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11-09-2025\"/>
    </mc:Choice>
  </mc:AlternateContent>
  <bookViews>
    <workbookView xWindow="0" yWindow="0" windowWidth="19200" windowHeight="6640"/>
  </bookViews>
  <sheets>
    <sheet name="Gulmohar" sheetId="7" r:id="rId1"/>
    <sheet name="Report J &amp; G" sheetId="1" r:id="rId2"/>
    <sheet name="Flat detail" sheetId="3" r:id="rId3"/>
    <sheet name="Note" sheetId="4" r:id="rId4"/>
    <sheet name="valuation" sheetId="5" r:id="rId5"/>
  </sheets>
  <definedNames>
    <definedName name="_xlnm.Print_Area" localSheetId="0">Gulmohar!$A$1:$H$263</definedName>
    <definedName name="_xlnm.Print_Area" localSheetId="1">'Report J &amp; G'!$A$1:$H$364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4" i="7" l="1"/>
  <c r="D165" i="7"/>
  <c r="D170" i="7"/>
  <c r="D169" i="7"/>
  <c r="D168" i="7"/>
  <c r="D167" i="7"/>
  <c r="D166" i="7"/>
  <c r="D162" i="7"/>
  <c r="D161" i="7"/>
  <c r="D160" i="7"/>
  <c r="D159" i="7"/>
  <c r="D142" i="7"/>
  <c r="D141" i="7"/>
  <c r="D140" i="7"/>
  <c r="D139" i="7"/>
  <c r="D138" i="7"/>
  <c r="D137" i="7"/>
  <c r="D136" i="7"/>
  <c r="D135" i="7"/>
  <c r="D134" i="7"/>
  <c r="D132" i="7"/>
  <c r="D131" i="7"/>
  <c r="C74" i="7" l="1"/>
  <c r="C13" i="7" l="1"/>
  <c r="D157" i="7" l="1"/>
  <c r="F157" i="7" s="1"/>
  <c r="D156" i="7"/>
  <c r="F156" i="7" s="1"/>
  <c r="D155" i="7"/>
  <c r="F155" i="7" s="1"/>
  <c r="D154" i="7"/>
  <c r="F154" i="7" s="1"/>
  <c r="D153" i="7"/>
  <c r="F153" i="7" s="1"/>
  <c r="D152" i="7"/>
  <c r="F152" i="7" s="1"/>
  <c r="D151" i="7"/>
  <c r="F151" i="7" s="1"/>
  <c r="D150" i="7"/>
  <c r="D149" i="7"/>
  <c r="F149" i="7" s="1"/>
  <c r="D148" i="7"/>
  <c r="F148" i="7" s="1"/>
  <c r="D147" i="7"/>
  <c r="F147" i="7" s="1"/>
  <c r="D146" i="7"/>
  <c r="D122" i="7"/>
  <c r="F122" i="7" s="1"/>
  <c r="L122" i="7"/>
  <c r="D129" i="7"/>
  <c r="F129" i="7" s="1"/>
  <c r="D128" i="7"/>
  <c r="F128" i="7" s="1"/>
  <c r="D127" i="7"/>
  <c r="F127" i="7" s="1"/>
  <c r="D126" i="7"/>
  <c r="F126" i="7" s="1"/>
  <c r="D125" i="7"/>
  <c r="F125" i="7" s="1"/>
  <c r="D124" i="7"/>
  <c r="F124" i="7" s="1"/>
  <c r="D123" i="7"/>
  <c r="F123" i="7" s="1"/>
  <c r="D121" i="7"/>
  <c r="F121" i="7" s="1"/>
  <c r="D120" i="7"/>
  <c r="F120" i="7" s="1"/>
  <c r="D119" i="7"/>
  <c r="F119" i="7" s="1"/>
  <c r="D118" i="7"/>
  <c r="L119" i="7"/>
  <c r="L118" i="7"/>
  <c r="C46" i="7"/>
  <c r="G46" i="7"/>
  <c r="F146" i="7" l="1"/>
  <c r="D109" i="7"/>
  <c r="C109" i="7"/>
  <c r="F118" i="7"/>
  <c r="C108" i="7"/>
  <c r="C110" i="7" s="1"/>
  <c r="D108" i="7"/>
  <c r="F150" i="7"/>
  <c r="J71" i="7" l="1"/>
  <c r="J70" i="7"/>
  <c r="J69" i="7"/>
  <c r="J68" i="7"/>
  <c r="H61" i="7"/>
  <c r="D73" i="7" l="1"/>
  <c r="D71" i="7"/>
  <c r="D69" i="7"/>
  <c r="D67" i="7"/>
  <c r="J66" i="7"/>
  <c r="J67" i="7" s="1"/>
  <c r="J72" i="7" s="1"/>
  <c r="J73" i="7" s="1"/>
  <c r="C65" i="7" s="1"/>
  <c r="D72" i="7"/>
  <c r="D70" i="7"/>
  <c r="D68" i="7"/>
  <c r="D66" i="7"/>
  <c r="J64" i="7"/>
  <c r="J65" i="7"/>
  <c r="C64" i="7" s="1"/>
  <c r="J63" i="7"/>
  <c r="E3" i="7"/>
  <c r="E64" i="7" l="1"/>
  <c r="D65" i="7"/>
  <c r="G64" i="7"/>
  <c r="D64" i="7"/>
  <c r="I60" i="7" l="1"/>
  <c r="C62" i="7" s="1"/>
  <c r="I96" i="7"/>
  <c r="J85" i="7" l="1"/>
  <c r="J84" i="7"/>
  <c r="H75" i="7"/>
  <c r="D80" i="7" l="1"/>
  <c r="D87" i="7"/>
  <c r="D83" i="7"/>
  <c r="J79" i="7"/>
  <c r="C78" i="7" s="1"/>
  <c r="J77" i="7"/>
  <c r="J78" i="7"/>
  <c r="D86" i="7"/>
  <c r="D82" i="7"/>
  <c r="D85" i="7"/>
  <c r="D81" i="7"/>
  <c r="J80" i="7"/>
  <c r="J81" i="7" s="1"/>
  <c r="J86" i="7" s="1"/>
  <c r="D84" i="7"/>
  <c r="J82" i="7" l="1"/>
  <c r="J83" i="7" s="1"/>
  <c r="J87" i="7"/>
  <c r="C79" i="7" s="1"/>
  <c r="D78" i="7"/>
  <c r="E78" i="7" l="1"/>
  <c r="I74" i="7" s="1"/>
  <c r="C76" i="7" s="1"/>
  <c r="D79" i="7"/>
  <c r="G78" i="7"/>
  <c r="G8" i="5" l="1"/>
  <c r="G7" i="5"/>
  <c r="G6" i="5"/>
  <c r="G5" i="5"/>
  <c r="G9" i="5" l="1"/>
  <c r="D185" i="7" l="1"/>
  <c r="F170" i="7"/>
  <c r="F169" i="7"/>
  <c r="F168" i="7"/>
  <c r="F167" i="7"/>
  <c r="F166" i="7"/>
  <c r="F165" i="7"/>
  <c r="F164" i="7"/>
  <c r="F162" i="7"/>
  <c r="F161" i="7"/>
  <c r="F160" i="7"/>
  <c r="G159" i="7"/>
  <c r="F142" i="7"/>
  <c r="F141" i="7"/>
  <c r="F140" i="7"/>
  <c r="F139" i="7"/>
  <c r="F138" i="7"/>
  <c r="F137" i="7"/>
  <c r="F136" i="7"/>
  <c r="F135" i="7"/>
  <c r="F134" i="7"/>
  <c r="F132" i="7"/>
  <c r="G131" i="7"/>
  <c r="G118" i="7"/>
  <c r="F102" i="7"/>
  <c r="D52" i="7"/>
  <c r="E40" i="7"/>
  <c r="E41" i="7" s="1"/>
  <c r="E7" i="7"/>
  <c r="F131" i="7" l="1"/>
  <c r="F108" i="7" s="1"/>
  <c r="F159" i="7"/>
  <c r="F109" i="7" s="1"/>
  <c r="D128" i="1"/>
  <c r="I170" i="1"/>
  <c r="I169" i="1"/>
  <c r="I168" i="1"/>
  <c r="I167" i="1"/>
  <c r="I166" i="1"/>
  <c r="D110" i="7" l="1"/>
  <c r="F110" i="7"/>
  <c r="D118" i="1"/>
  <c r="F118" i="1" s="1"/>
  <c r="I118" i="1" s="1"/>
  <c r="D117" i="1"/>
  <c r="F117" i="1" s="1"/>
  <c r="I117" i="1" s="1"/>
  <c r="D116" i="1"/>
  <c r="F116" i="1" s="1"/>
  <c r="I116" i="1" s="1"/>
  <c r="D115" i="1"/>
  <c r="F115" i="1" s="1"/>
  <c r="I115" i="1" s="1"/>
  <c r="D114" i="1"/>
  <c r="F114" i="1" s="1"/>
  <c r="I114" i="1" s="1"/>
  <c r="D113" i="1"/>
  <c r="F113" i="1" s="1"/>
  <c r="I113" i="1" s="1"/>
  <c r="D112" i="1"/>
  <c r="F112" i="1" s="1"/>
  <c r="I112" i="1" s="1"/>
  <c r="D150" i="1"/>
  <c r="F150" i="1" s="1"/>
  <c r="D149" i="1"/>
  <c r="F149" i="1" s="1"/>
  <c r="D148" i="1"/>
  <c r="F148" i="1" s="1"/>
  <c r="D147" i="1"/>
  <c r="F147" i="1" s="1"/>
  <c r="D146" i="1"/>
  <c r="F146" i="1" s="1"/>
  <c r="D145" i="1"/>
  <c r="F145" i="1" s="1"/>
  <c r="D144" i="1"/>
  <c r="F144" i="1" s="1"/>
  <c r="D143" i="1"/>
  <c r="F143" i="1" s="1"/>
  <c r="D142" i="1"/>
  <c r="F142" i="1" s="1"/>
  <c r="D141" i="1"/>
  <c r="F141" i="1" s="1"/>
  <c r="D140" i="1"/>
  <c r="F140" i="1" s="1"/>
  <c r="D139" i="1"/>
  <c r="F139" i="1" s="1"/>
  <c r="D138" i="1"/>
  <c r="F138" i="1" s="1"/>
  <c r="D153" i="1"/>
  <c r="D79" i="1" l="1"/>
  <c r="D78" i="1"/>
  <c r="D77" i="1"/>
  <c r="D76" i="1"/>
  <c r="D75" i="1"/>
  <c r="D74" i="1"/>
  <c r="G73" i="1"/>
  <c r="D73" i="1"/>
  <c r="I69" i="1"/>
  <c r="C71" i="1" s="1"/>
  <c r="E73" i="1" s="1"/>
  <c r="G251" i="1" l="1"/>
  <c r="D257" i="1"/>
  <c r="F257" i="1" s="1"/>
  <c r="D256" i="1"/>
  <c r="F256" i="1" s="1"/>
  <c r="D254" i="1"/>
  <c r="F254" i="1" s="1"/>
  <c r="D253" i="1"/>
  <c r="F253" i="1" s="1"/>
  <c r="D252" i="1"/>
  <c r="F252" i="1" s="1"/>
  <c r="D251" i="1"/>
  <c r="F251" i="1" s="1"/>
  <c r="D262" i="1"/>
  <c r="F262" i="1" s="1"/>
  <c r="D261" i="1"/>
  <c r="F261" i="1" s="1"/>
  <c r="D260" i="1"/>
  <c r="F260" i="1" s="1"/>
  <c r="D259" i="1"/>
  <c r="F259" i="1" s="1"/>
  <c r="D258" i="1"/>
  <c r="F258" i="1" s="1"/>
  <c r="G238" i="1"/>
  <c r="D249" i="1"/>
  <c r="F249" i="1" s="1"/>
  <c r="D248" i="1"/>
  <c r="F248" i="1" s="1"/>
  <c r="D247" i="1"/>
  <c r="F247" i="1" s="1"/>
  <c r="D246" i="1"/>
  <c r="F246" i="1" s="1"/>
  <c r="D245" i="1"/>
  <c r="F245" i="1" s="1"/>
  <c r="D244" i="1"/>
  <c r="F244" i="1" s="1"/>
  <c r="D243" i="1"/>
  <c r="F243" i="1" s="1"/>
  <c r="D242" i="1"/>
  <c r="F242" i="1" s="1"/>
  <c r="D241" i="1"/>
  <c r="F241" i="1" s="1"/>
  <c r="D240" i="1"/>
  <c r="F240" i="1" s="1"/>
  <c r="D239" i="1"/>
  <c r="F239" i="1" s="1"/>
  <c r="D238" i="1"/>
  <c r="F238" i="1" s="1"/>
  <c r="D235" i="1"/>
  <c r="F235" i="1" s="1"/>
  <c r="D234" i="1"/>
  <c r="F234" i="1" s="1"/>
  <c r="D233" i="1"/>
  <c r="F233" i="1" s="1"/>
  <c r="D232" i="1"/>
  <c r="F232" i="1" s="1"/>
  <c r="D231" i="1"/>
  <c r="F231" i="1" s="1"/>
  <c r="D230" i="1"/>
  <c r="F230" i="1" s="1"/>
  <c r="D229" i="1"/>
  <c r="F229" i="1" s="1"/>
  <c r="D228" i="1"/>
  <c r="F228" i="1" s="1"/>
  <c r="D227" i="1"/>
  <c r="F227" i="1" s="1"/>
  <c r="D226" i="1"/>
  <c r="F226" i="1" s="1"/>
  <c r="D225" i="1"/>
  <c r="F225" i="1" s="1"/>
  <c r="D224" i="1"/>
  <c r="F224" i="1" s="1"/>
  <c r="D210" i="1"/>
  <c r="F210" i="1" s="1"/>
  <c r="I210" i="1" s="1"/>
  <c r="G209" i="1"/>
  <c r="D220" i="1"/>
  <c r="F220" i="1" s="1"/>
  <c r="D219" i="1"/>
  <c r="F219" i="1" s="1"/>
  <c r="D218" i="1"/>
  <c r="F218" i="1" s="1"/>
  <c r="D217" i="1"/>
  <c r="F217" i="1" s="1"/>
  <c r="D216" i="1"/>
  <c r="F216" i="1" s="1"/>
  <c r="D215" i="1"/>
  <c r="F215" i="1" s="1"/>
  <c r="D214" i="1"/>
  <c r="F214" i="1" s="1"/>
  <c r="D213" i="1"/>
  <c r="F213" i="1" s="1"/>
  <c r="D212" i="1"/>
  <c r="F212" i="1" s="1"/>
  <c r="D209" i="1"/>
  <c r="F209" i="1" s="1"/>
  <c r="G196" i="1"/>
  <c r="D207" i="1"/>
  <c r="F207" i="1" s="1"/>
  <c r="D206" i="1"/>
  <c r="F206" i="1" s="1"/>
  <c r="D205" i="1"/>
  <c r="F205" i="1" s="1"/>
  <c r="D204" i="1"/>
  <c r="F204" i="1" s="1"/>
  <c r="D203" i="1"/>
  <c r="F203" i="1" s="1"/>
  <c r="D202" i="1"/>
  <c r="F202" i="1" s="1"/>
  <c r="D201" i="1"/>
  <c r="F201" i="1" s="1"/>
  <c r="D200" i="1"/>
  <c r="F200" i="1" s="1"/>
  <c r="D199" i="1"/>
  <c r="F199" i="1" s="1"/>
  <c r="D198" i="1"/>
  <c r="F198" i="1" s="1"/>
  <c r="D197" i="1"/>
  <c r="F197" i="1" s="1"/>
  <c r="D196" i="1"/>
  <c r="F196" i="1" s="1"/>
  <c r="G183" i="1"/>
  <c r="D194" i="1"/>
  <c r="F194" i="1" s="1"/>
  <c r="I194" i="1" s="1"/>
  <c r="D193" i="1"/>
  <c r="F193" i="1" s="1"/>
  <c r="I193" i="1" s="1"/>
  <c r="D192" i="1"/>
  <c r="F192" i="1" s="1"/>
  <c r="I192" i="1" s="1"/>
  <c r="D191" i="1"/>
  <c r="F191" i="1" s="1"/>
  <c r="I191" i="1" s="1"/>
  <c r="D190" i="1"/>
  <c r="F190" i="1" s="1"/>
  <c r="I190" i="1" s="1"/>
  <c r="D189" i="1"/>
  <c r="F189" i="1" s="1"/>
  <c r="I189" i="1" s="1"/>
  <c r="D188" i="1"/>
  <c r="F188" i="1" s="1"/>
  <c r="I188" i="1" s="1"/>
  <c r="D187" i="1"/>
  <c r="F187" i="1" s="1"/>
  <c r="I187" i="1" s="1"/>
  <c r="D186" i="1"/>
  <c r="F186" i="1" s="1"/>
  <c r="I186" i="1" s="1"/>
  <c r="D185" i="1"/>
  <c r="F185" i="1" s="1"/>
  <c r="I185" i="1" s="1"/>
  <c r="D184" i="1"/>
  <c r="F184" i="1" s="1"/>
  <c r="I184" i="1" s="1"/>
  <c r="D183" i="1"/>
  <c r="F183" i="1" s="1"/>
  <c r="G166" i="1"/>
  <c r="D178" i="1"/>
  <c r="F178" i="1" s="1"/>
  <c r="D177" i="1"/>
  <c r="F177" i="1" s="1"/>
  <c r="D176" i="1"/>
  <c r="F176" i="1" s="1"/>
  <c r="D175" i="1"/>
  <c r="F175" i="1" s="1"/>
  <c r="D174" i="1"/>
  <c r="F174" i="1" s="1"/>
  <c r="D173" i="1"/>
  <c r="F173" i="1" s="1"/>
  <c r="D171" i="1"/>
  <c r="F171" i="1" s="1"/>
  <c r="D170" i="1"/>
  <c r="F170" i="1" s="1"/>
  <c r="D169" i="1"/>
  <c r="F169" i="1" s="1"/>
  <c r="D168" i="1"/>
  <c r="F168" i="1" s="1"/>
  <c r="D167" i="1"/>
  <c r="F167" i="1" s="1"/>
  <c r="D166" i="1"/>
  <c r="F166" i="1" s="1"/>
  <c r="G152" i="1"/>
  <c r="D163" i="1"/>
  <c r="F163" i="1" s="1"/>
  <c r="D164" i="1"/>
  <c r="F164" i="1" s="1"/>
  <c r="D162" i="1"/>
  <c r="F162" i="1" s="1"/>
  <c r="D161" i="1"/>
  <c r="F161" i="1" s="1"/>
  <c r="D160" i="1"/>
  <c r="F160" i="1" s="1"/>
  <c r="D159" i="1"/>
  <c r="F159" i="1" s="1"/>
  <c r="D158" i="1"/>
  <c r="F158" i="1" s="1"/>
  <c r="D157" i="1"/>
  <c r="F157" i="1" s="1"/>
  <c r="D156" i="1"/>
  <c r="F156" i="1" s="1"/>
  <c r="D155" i="1"/>
  <c r="F155" i="1" s="1"/>
  <c r="D154" i="1"/>
  <c r="F154" i="1" s="1"/>
  <c r="F153" i="1"/>
  <c r="D152" i="1"/>
  <c r="G128" i="1"/>
  <c r="D134" i="1"/>
  <c r="F134" i="1" s="1"/>
  <c r="D133" i="1"/>
  <c r="F133" i="1" s="1"/>
  <c r="D132" i="1"/>
  <c r="F132" i="1" s="1"/>
  <c r="D131" i="1"/>
  <c r="F131" i="1" s="1"/>
  <c r="D130" i="1"/>
  <c r="F130" i="1" s="1"/>
  <c r="D129" i="1"/>
  <c r="F129" i="1" s="1"/>
  <c r="F128" i="1"/>
  <c r="G120" i="1"/>
  <c r="D126" i="1"/>
  <c r="F126" i="1" s="1"/>
  <c r="D125" i="1"/>
  <c r="F125" i="1" s="1"/>
  <c r="D124" i="1"/>
  <c r="F124" i="1" s="1"/>
  <c r="D123" i="1"/>
  <c r="F123" i="1" s="1"/>
  <c r="D122" i="1"/>
  <c r="F122" i="1" s="1"/>
  <c r="D120" i="1"/>
  <c r="D121" i="1"/>
  <c r="F121" i="1" s="1"/>
  <c r="F152" i="1" l="1"/>
  <c r="F101" i="1" s="1"/>
  <c r="C101" i="1"/>
  <c r="D101" i="1"/>
  <c r="F103" i="1"/>
  <c r="F120" i="1"/>
  <c r="C100" i="1"/>
  <c r="D100" i="1"/>
  <c r="C102" i="1"/>
  <c r="C103" i="1"/>
  <c r="F102" i="1"/>
  <c r="D102" i="1"/>
  <c r="D103" i="1"/>
  <c r="I102" i="1" l="1"/>
  <c r="D104" i="1"/>
  <c r="I101" i="1"/>
  <c r="C104" i="1"/>
  <c r="I183" i="1"/>
  <c r="F100" i="1"/>
  <c r="F104" i="1" s="1"/>
  <c r="I58" i="1" l="1"/>
  <c r="G62" i="1"/>
  <c r="C13" i="1"/>
  <c r="C60" i="1" l="1"/>
  <c r="E62" i="1" s="1"/>
  <c r="D63" i="1" l="1"/>
  <c r="D68" i="1"/>
  <c r="D67" i="1"/>
  <c r="D66" i="1"/>
  <c r="D65" i="1"/>
  <c r="D64" i="1"/>
  <c r="D62" i="1"/>
  <c r="E7" i="1" l="1"/>
  <c r="E39" i="1" l="1"/>
  <c r="D277" i="1" l="1"/>
  <c r="F94" i="1"/>
  <c r="G45" i="1"/>
  <c r="G46" i="1" s="1"/>
  <c r="C45" i="1"/>
  <c r="C46" i="1" s="1"/>
  <c r="E40" i="1"/>
  <c r="D50"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<sst xmlns="http://schemas.openxmlformats.org/spreadsheetml/2006/main" count="829" uniqueCount="314">
  <si>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</si>
  <si>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</si>
  <si>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</si>
  <si>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</si>
  <si>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</si>
  <si>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</si>
  <si>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</si>
  <si>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</si>
  <si>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</si>
  <si>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</si>
  <si>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</si>
  <si>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</si>
  <si>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</si>
  <si>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</si>
  <si>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</si>
  <si>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</si>
  <si>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</si>
  <si>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</si>
  <si>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</si>
  <si>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</si>
  <si>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</si>
  <si>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</si>
  <si>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</si>
  <si>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</si>
  <si>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</si>
  <si>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</si>
  <si>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</si>
  <si>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</si>
  <si>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</si>
  <si>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</si>
  <si>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</si>
  <si>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</si>
  <si>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</si>
  <si>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</si>
  <si>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</si>
  <si>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</si>
  <si>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</si>
  <si>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</si>
  <si>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</si>
  <si>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</si>
  <si>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</si>
  <si>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</si>
  <si>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</si>
  <si>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</si>
  <si>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</si>
  <si>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</si>
  <si>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</si>
  <si>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</si>
  <si>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</si>
  <si>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</si>
  <si>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</si>
  <si>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</si>
  <si>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</si>
  <si>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</si>
  <si>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</si>
  <si>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</si>
  <si>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</si>
  <si>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</si>
  <si>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</si>
  <si>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</si>
  <si>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</si>
  <si>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</si>
  <si>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</si>
  <si>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</si>
  <si>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</si>
  <si>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</si>
  <si>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</si>
  <si>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</si>
  <si>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</si>
  <si>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</si>
  <si>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</si>
  <si>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</si>
  <si>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</si>
  <si>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</si>
  <si>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</si>
  <si>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</si>
  <si>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</si>
  <si>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</si>
  <si>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</si>
  <si>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</si>
  <si>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</si>
  <si>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</si>
  <si>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</si>
  <si>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</si>
  <si>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</si>
  <si>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</si>
  <si>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</si>
  <si>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</si>
  <si>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</si>
  <si>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</si>
  <si>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</si>
  <si>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</si>
  <si>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</si>
  <si>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</si>
  <si>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</si>
  <si>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</si>
  <si>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</si>
  <si>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</si>
  <si>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</si>
  <si>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</si>
  <si>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</si>
  <si>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</si>
  <si>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</si>
  <si>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</si>
  <si>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</si>
  <si>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</si>
  <si>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</si>
  <si>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</si>
  <si>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</si>
  <si>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</si>
  <si>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</si>
  <si>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</si>
  <si>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</si>
  <si>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</si>
  <si>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</si>
  <si>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</si>
  <si>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</si>
  <si>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</si>
  <si>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</si>
  <si>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</si>
  <si>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</si>
  <si>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</si>
  <si>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</si>
  <si>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</si>
  <si>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</si>
  <si>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1302-ELLORA FIESTA, PLOT NO. 8, SECTOR 11, OPP. JUINAGAR RAILWAY STATION, SANPADA, NAVI MUMBAI 400 706. TEL: 022-27758396/95. FAX :022-27758394.
E mail : axisbank@vsjadon.com. vsjcvaluer@gmail.com. Web site : www.vsjadon.com</t>
  </si>
  <si>
    <t>Authorized Signatory
Name &amp; Seal of the agency</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</si>
  <si>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</si>
  <si>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</si>
  <si>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</si>
  <si>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</si>
  <si>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</si>
  <si>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</si>
  <si>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</si>
  <si>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</si>
  <si>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</si>
  <si>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</si>
  <si>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</si>
  <si>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</si>
  <si>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</si>
  <si>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</si>
  <si>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</si>
  <si>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</si>
  <si>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</si>
  <si>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</si>
  <si>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</si>
  <si>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</si>
  <si>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</si>
  <si>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</si>
  <si>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</si>
  <si>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</si>
  <si>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</si>
  <si>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</si>
  <si>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</si>
  <si>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</si>
  <si>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</si>
  <si>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</si>
  <si>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</si>
  <si>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RCC Slab</t>
  </si>
  <si>
    <t>All work Completed. Part OC Received.</t>
  </si>
  <si>
    <t>All work Completed. Wait For OC.</t>
  </si>
  <si>
    <t>All work Completed. OC Received.</t>
  </si>
  <si>
    <t>NA
Approved upto : NA</t>
  </si>
  <si>
    <t>Report By :</t>
  </si>
  <si>
    <t>Market Research Data</t>
  </si>
  <si>
    <t>Source</t>
  </si>
  <si>
    <t>Distance from proposed property</t>
  </si>
  <si>
    <t>Net Carpet</t>
  </si>
  <si>
    <t>Market Value</t>
  </si>
  <si>
    <t>3BHK</t>
  </si>
  <si>
    <t>Average</t>
  </si>
  <si>
    <t xml:space="preserve">Valuation Adopted </t>
  </si>
  <si>
    <t>Saleable Area</t>
  </si>
  <si>
    <t>Rate on Saleable</t>
  </si>
  <si>
    <t>29/12/2020.</t>
  </si>
  <si>
    <t>Axis Sanpada</t>
  </si>
  <si>
    <t>Vrindavan Flora Gulmohar &amp; Jasmine</t>
  </si>
  <si>
    <t>Middle Class</t>
  </si>
  <si>
    <t>Developing</t>
  </si>
  <si>
    <t>Raigad</t>
  </si>
  <si>
    <t>Gram Panchayat Road</t>
  </si>
  <si>
    <t>Open Plot</t>
  </si>
  <si>
    <t>Internal Road</t>
  </si>
  <si>
    <t>Building</t>
  </si>
  <si>
    <t>Chambharli</t>
  </si>
  <si>
    <t>Khalapur</t>
  </si>
  <si>
    <t>MSRDC/SPA/Chambharli/Khalapur/BP-200/CC/2019/638</t>
  </si>
  <si>
    <t>01/07/2019.</t>
  </si>
  <si>
    <t>6.7km from Chauk Railway Station</t>
  </si>
  <si>
    <t>Residential + Commercial</t>
  </si>
  <si>
    <t xml:space="preserve">Building No. 1 = Gr/St + 1st to 12th Floor
Building No. 2 = Gr/St +1st to 12th Floor </t>
  </si>
  <si>
    <t xml:space="preserve">Building No. 1- Jasmine </t>
  </si>
  <si>
    <t xml:space="preserve">Wing A </t>
  </si>
  <si>
    <t xml:space="preserve">Ground Floor for Parking </t>
  </si>
  <si>
    <t>1st Floor for Residential</t>
  </si>
  <si>
    <t xml:space="preserve">2nd to 7th, 9th to  12th, Floor </t>
  </si>
  <si>
    <t>201,...,1201</t>
  </si>
  <si>
    <t>202,….1202</t>
  </si>
  <si>
    <t>203,….1203</t>
  </si>
  <si>
    <t>204,….1204</t>
  </si>
  <si>
    <t>206,….1206</t>
  </si>
  <si>
    <t>207,….1207</t>
  </si>
  <si>
    <t>205,….1205</t>
  </si>
  <si>
    <t xml:space="preserve">8th Floor </t>
  </si>
  <si>
    <t>2BHK</t>
  </si>
  <si>
    <t>1BHK</t>
  </si>
  <si>
    <t>Wing B</t>
  </si>
  <si>
    <t>Gorund Floor for Parking</t>
  </si>
  <si>
    <t xml:space="preserve">2nd to7th, 9th to 12th Floor </t>
  </si>
  <si>
    <t>208,….1208</t>
  </si>
  <si>
    <t>209,….1209</t>
  </si>
  <si>
    <t>210,….1210</t>
  </si>
  <si>
    <t>211,….1211</t>
  </si>
  <si>
    <t>212,….1212</t>
  </si>
  <si>
    <t>213,….1213</t>
  </si>
  <si>
    <t>Refuge Area</t>
  </si>
  <si>
    <t>Wing C</t>
  </si>
  <si>
    <t>Ground Floor for Parking</t>
  </si>
  <si>
    <t xml:space="preserve">2nd to 7th, 9th to 12th Floor </t>
  </si>
  <si>
    <t>201,….1201</t>
  </si>
  <si>
    <t>Wing D</t>
  </si>
  <si>
    <t>2nd to 7th, 9th to 12th Floor</t>
  </si>
  <si>
    <t>Wing A</t>
  </si>
  <si>
    <t>1st Floor</t>
  </si>
  <si>
    <t>8th Floor</t>
  </si>
  <si>
    <t>Prathmesh</t>
  </si>
  <si>
    <t>Harshada</t>
  </si>
  <si>
    <t xml:space="preserve">1.Construction work is in process at the time of Visit (labour found).
2. We considered  Saleable area  as per our calculation.
3. We considered Carpet area as per Approved Plan.
4. We considered Gross carpet area = Net carpet + Enclose balcony + W.S. Area
5. We have considered rate by verifying it from market inquire.
6. Car parking is subjected to authentic documentation.
7. On Site, we meet Mr. Hemirji(9223212312).
</t>
  </si>
  <si>
    <t>Wheather the construction is as per approved Building plan : Under Construction</t>
  </si>
  <si>
    <t xml:space="preserve">Flats - </t>
  </si>
  <si>
    <t>Approved Plans, CC, Sale Plans</t>
  </si>
  <si>
    <t xml:space="preserve">Building Jasmine - P52000023788
Building Gulmohar- P52000023789
</t>
  </si>
  <si>
    <t xml:space="preserve">Cement, Aggregate, Steel, etc </t>
  </si>
  <si>
    <t>Dand Apta Road</t>
  </si>
  <si>
    <t xml:space="preserve">02 Building - 
Jasmine Building No.1 (Wing A &amp; B)
Gulmohar Building No.2 (Wing C &amp; D)
</t>
  </si>
  <si>
    <t>17/1 B,18/1, 18/2, 19, 20, 21, 22, 24, 25, 26, 27 &amp; 28</t>
  </si>
  <si>
    <t>Gut No</t>
  </si>
  <si>
    <t>9821354769/022-27742468</t>
  </si>
  <si>
    <t>04 Wings</t>
  </si>
  <si>
    <t xml:space="preserve">Valid Upto : 
Building No.1 - Jasmine (Wing A &amp; B) = Gr/St + 1st to 12th Floor
Building No.2 - Gulmohar (Wing C &amp; D) = Upto Plinth </t>
  </si>
  <si>
    <t>As per RERA - 
Building No.1 - Jasmine (Wing A &amp; B) = 31/12/2027
Building No.2 - Gulmohar (Wing C &amp; D) = 31/12/2024</t>
  </si>
  <si>
    <t>Construction details: Building No.1 - Jasmine(Wing A &amp; B) = Gr/St + 1st to 12th Floor</t>
  </si>
  <si>
    <t>Construction details: Building No.2 - Gulmohar (Wing C &amp; D) = Gr/St + 1st to 12th Floor</t>
  </si>
  <si>
    <t>Building No. 2 - Gulmohar</t>
  </si>
  <si>
    <t>M/s. Thalia Labh Home Makers Pvt. Ltd.</t>
  </si>
  <si>
    <t>02 Wings</t>
  </si>
  <si>
    <t>150000/-</t>
  </si>
  <si>
    <t>05/01/2021.</t>
  </si>
  <si>
    <t>M/s. Thalia Vastu Infra Projects (Jasmine)
M/s. Thalia Labh Home Makers Pvt. Ltd. (Gulmohar)</t>
  </si>
  <si>
    <t>Gulmohar - Vrindavan Flora</t>
  </si>
  <si>
    <t>Approved Plans, CC, Sale Plans, cost Sheet</t>
  </si>
  <si>
    <t xml:space="preserve">Gulmohar Building No.2 (Wing C &amp; D)
</t>
  </si>
  <si>
    <t>Legal Charges</t>
  </si>
  <si>
    <t>15,000/-</t>
  </si>
  <si>
    <t>Infra Charges</t>
  </si>
  <si>
    <t>25/- from 5th Floor onward</t>
  </si>
  <si>
    <t>Builder Saleable area</t>
  </si>
  <si>
    <t>magicbricks</t>
  </si>
  <si>
    <t>Vrindavan Flora</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</si>
  <si>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</si>
  <si>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</si>
  <si>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</si>
  <si>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</si>
  <si>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</si>
  <si>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</si>
  <si>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</si>
  <si>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</si>
  <si>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</si>
  <si>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</si>
  <si>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</si>
  <si>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</si>
  <si>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</si>
  <si>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</si>
  <si>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</si>
  <si>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</si>
  <si>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</si>
  <si>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</si>
  <si>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3,00,000/-</t>
  </si>
  <si>
    <t>2,00,000/-</t>
  </si>
  <si>
    <t>50,000/-</t>
  </si>
  <si>
    <t>Advance Maintenance Charges for 2 years</t>
  </si>
  <si>
    <t>18.894242, 73.191914</t>
  </si>
  <si>
    <t>Latitude &amp; Longitude</t>
  </si>
  <si>
    <t>Location Link</t>
  </si>
  <si>
    <t>https://goo.gl/maps/dwaNprTFN1J7CmHU7</t>
  </si>
  <si>
    <t xml:space="preserve">Building No. 2 (Wing C) = Gr/St +1st to 13th Floor </t>
  </si>
  <si>
    <t>Office No. 1031, Wing J, Akshar Business Park, Plot No. 03 Sector 25, Near APMC Market, Vashi, Navi Mumbai, Maharashtra 400703 TEL: 022-46090378/79/80                                                                                                                      E mail : vsjcapf@gmail.com. Web site : www.vsjadon.com</t>
  </si>
  <si>
    <t>300000/-</t>
  </si>
  <si>
    <t>4000 to 4400</t>
  </si>
  <si>
    <t>smith</t>
  </si>
  <si>
    <t>don’t further increase rate already on higher side.</t>
  </si>
  <si>
    <t>Vrindavan Flora - P52000023789</t>
  </si>
  <si>
    <t>RERA Name &amp; No.</t>
  </si>
  <si>
    <t>6.7 Km from Chauk Railway Station</t>
  </si>
  <si>
    <t>MSRDC/SPA/Chambharli/BP-200/Revised CC/2022/1011</t>
  </si>
  <si>
    <t>Valid Upto : Building No.2 - Stilt + 13th Floor</t>
  </si>
  <si>
    <t>1st to 7th &amp; 9th to 12th Floor for Residential</t>
  </si>
  <si>
    <t>as per plans</t>
  </si>
  <si>
    <t>L+D+2B.R+K</t>
  </si>
  <si>
    <t>Approved Floor plan No. for (8th floor)</t>
  </si>
  <si>
    <t xml:space="preserve">Layout Approval No for  </t>
  </si>
  <si>
    <t>Wing C &amp; D - Gr + 1st to 13th Floor</t>
  </si>
  <si>
    <t xml:space="preserve">
</t>
  </si>
  <si>
    <t>Loading consider - 80%</t>
  </si>
  <si>
    <t>Mr. Nitesh Patil</t>
  </si>
  <si>
    <t>As per RERA -Building No.2 - Gulmohar = Completed</t>
  </si>
  <si>
    <t>60 Years</t>
  </si>
  <si>
    <t>Nothing</t>
  </si>
  <si>
    <t>Wheather the construction is as per approved Building plan : Yes</t>
  </si>
  <si>
    <t>8th &amp; 13th Floor (Part Refuge Area)</t>
  </si>
  <si>
    <t>Flats - 308</t>
  </si>
  <si>
    <t>Approved Floor plan No. for (1st to 13th Floor )</t>
  </si>
  <si>
    <t>1. All work Completed. Please provide OC.
2. We considered  Saleable area as per Builder Saleable area.
3. We considered Carpet area as per Approved Plan.
4. We considered Gross carpet area = Net carpet + Enclose balcony + Balcony Area
5. We have considered rate by verifying it from market inquire.
6. Car parking is subjected to authentic documentation.
7. We have updated the approved floor plans for Building No. 2 (Wings C and D), 1st to 7th, 9th to 12th Floor, and CC (on 31/10/2023).
8. Please provide revised layout plan .
9. We have updated the approved floor plans for Building No. 2 (Wings C and D), 8th &amp; 13th Floor, and CC (on 30/11/2024).
10. On site we met Mr. Mayur : 9820820241.
9. On Site, we meet Miss. Seema Dhabane - 9206300800.</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</si>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</sst>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1" fillId="0" borderId="0"/>
    <xf numFmtId="0" fontId="22" fillId="0" borderId="0" applyNumberFormat="0" applyFill="0" applyBorder="0" applyAlignment="0" applyProtection="0"/>
  </cellStyleXfs>
  <cellXfs count="212">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top"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1" fontId="7"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9" fontId="8" fillId="2" borderId="1" xfId="1" applyNumberFormat="1" applyFont="1" applyFill="1" applyBorder="1" applyAlignment="1" applyProtection="1">
      <alignment horizontal="center" vertical="center" wrapText="1"/>
      <protection hidden="1"/>
    </xf>
    <xf numFmtId="0" fontId="13" fillId="0" borderId="8" xfId="1" applyFont="1" applyBorder="1" applyAlignment="1" applyProtection="1">
      <alignment horizontal="center" vertical="top"/>
      <protection locked="0"/>
    </xf>
    <xf numFmtId="9" fontId="8" fillId="2" borderId="11" xfId="1" applyNumberFormat="1" applyFont="1" applyFill="1" applyBorder="1" applyAlignment="1" applyProtection="1">
      <alignment horizontal="center" vertical="center" wrapText="1"/>
      <protection hidden="1"/>
    </xf>
    <xf numFmtId="0" fontId="8" fillId="0" borderId="15" xfId="1" applyFont="1" applyBorder="1" applyProtection="1">
      <protection hidden="1"/>
    </xf>
    <xf numFmtId="0" fontId="8" fillId="0" borderId="16" xfId="1" applyFont="1" applyBorder="1" applyProtection="1">
      <protection hidden="1"/>
    </xf>
    <xf numFmtId="0" fontId="8" fillId="0" borderId="17" xfId="1" applyFont="1" applyBorder="1" applyProtection="1">
      <protection hidden="1"/>
    </xf>
    <xf numFmtId="0" fontId="8" fillId="0" borderId="18" xfId="1" applyFont="1" applyBorder="1" applyProtection="1">
      <protection hidden="1"/>
    </xf>
    <xf numFmtId="0" fontId="8" fillId="0" borderId="19" xfId="1" applyFont="1" applyBorder="1" applyProtection="1">
      <protection hidden="1"/>
    </xf>
    <xf numFmtId="0" fontId="8" fillId="0" borderId="19" xfId="1" applyFont="1" applyBorder="1"/>
    <xf numFmtId="0" fontId="8" fillId="0" borderId="18" xfId="1" applyFont="1" applyBorder="1"/>
    <xf numFmtId="0" fontId="18" fillId="0" borderId="18" xfId="0" applyFont="1" applyBorder="1" applyProtection="1">
      <protection hidden="1"/>
    </xf>
    <xf numFmtId="9" fontId="18" fillId="0" borderId="0" xfId="0" applyNumberFormat="1" applyFont="1" applyProtection="1">
      <protection hidden="1"/>
    </xf>
    <xf numFmtId="9" fontId="18" fillId="0" borderId="19" xfId="0" applyNumberFormat="1" applyFont="1" applyBorder="1" applyProtection="1">
      <protection hidden="1"/>
    </xf>
    <xf numFmtId="0" fontId="18" fillId="0" borderId="20" xfId="0" applyFont="1" applyBorder="1" applyProtection="1">
      <protection hidden="1"/>
    </xf>
    <xf numFmtId="9" fontId="18" fillId="0" borderId="21" xfId="0" applyNumberFormat="1" applyFont="1" applyBorder="1" applyProtection="1">
      <protection hidden="1"/>
    </xf>
    <xf numFmtId="9" fontId="18" fillId="0" borderId="22" xfId="0" applyNumberFormat="1" applyFont="1" applyBorder="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4" fillId="2" borderId="1" xfId="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13" fillId="0" borderId="9" xfId="1" applyFont="1" applyBorder="1" applyAlignment="1" applyProtection="1">
      <alignment horizontal="center" vertical="top"/>
      <protection locked="0"/>
    </xf>
    <xf numFmtId="0" fontId="13" fillId="0" borderId="18" xfId="1" applyFont="1" applyBorder="1" applyProtection="1">
      <protection hidden="1"/>
    </xf>
    <xf numFmtId="0" fontId="13" fillId="0" borderId="0" xfId="1" applyFont="1" applyProtection="1">
      <protection hidden="1"/>
    </xf>
    <xf numFmtId="0" fontId="13" fillId="0" borderId="19" xfId="1" applyFont="1" applyBorder="1" applyProtection="1">
      <protection hidden="1"/>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0" fontId="13" fillId="0" borderId="11" xfId="1" applyFont="1" applyBorder="1" applyAlignment="1" applyProtection="1">
      <alignment horizontal="center" wrapText="1"/>
      <protection locked="0"/>
    </xf>
    <xf numFmtId="1" fontId="8" fillId="0" borderId="0" xfId="1" applyNumberFormat="1" applyFont="1" applyAlignment="1">
      <alignment horizontal="center" vertical="center"/>
    </xf>
    <xf numFmtId="1" fontId="8" fillId="0" borderId="0" xfId="0" applyNumberFormat="1" applyFont="1" applyAlignment="1">
      <alignment horizontal="center" vertical="center"/>
    </xf>
    <xf numFmtId="1" fontId="11" fillId="0" borderId="1" xfId="0" applyNumberFormat="1" applyFont="1" applyBorder="1" applyAlignment="1" applyProtection="1">
      <alignment horizontal="center" vertical="center"/>
      <protection locked="0"/>
    </xf>
    <xf numFmtId="2" fontId="8" fillId="0" borderId="0" xfId="1" applyNumberFormat="1" applyFont="1" applyAlignment="1">
      <alignment horizontal="center" vertical="center"/>
    </xf>
    <xf numFmtId="0" fontId="1" fillId="0" borderId="1" xfId="5" applyFont="1" applyBorder="1" applyAlignment="1">
      <alignment horizontal="center" vertical="center"/>
    </xf>
    <xf numFmtId="0" fontId="1" fillId="0" borderId="1" xfId="5" applyFont="1" applyBorder="1" applyAlignment="1">
      <alignment horizontal="left" vertical="center"/>
    </xf>
    <xf numFmtId="166" fontId="1" fillId="0" borderId="1" xfId="6" applyNumberFormat="1" applyFont="1" applyBorder="1" applyAlignment="1">
      <alignment horizontal="right" vertical="center"/>
    </xf>
    <xf numFmtId="0" fontId="18" fillId="0" borderId="0" xfId="0" applyFont="1" applyProtection="1">
      <protection hidden="1"/>
    </xf>
    <xf numFmtId="0" fontId="18" fillId="0" borderId="19" xfId="0" applyFont="1" applyBorder="1" applyProtection="1">
      <protection hidden="1"/>
    </xf>
    <xf numFmtId="1" fontId="0" fillId="0" borderId="19" xfId="0" applyNumberFormat="1" applyBorder="1"/>
    <xf numFmtId="2" fontId="0" fillId="0" borderId="0" xfId="0" applyNumberFormat="1"/>
    <xf numFmtId="165" fontId="0" fillId="0" borderId="0" xfId="0" applyNumberFormat="1"/>
    <xf numFmtId="2" fontId="18" fillId="0" borderId="0" xfId="0" applyNumberFormat="1" applyFont="1" applyProtection="1">
      <protection hidden="1"/>
    </xf>
    <xf numFmtId="1" fontId="0" fillId="0" borderId="19" xfId="0" applyNumberFormat="1" applyBorder="1" applyAlignment="1">
      <alignment horizontal="right"/>
    </xf>
    <xf numFmtId="0" fontId="18" fillId="0" borderId="21" xfId="0" applyFont="1" applyBorder="1" applyProtection="1">
      <protection hidden="1"/>
    </xf>
    <xf numFmtId="1" fontId="0" fillId="0" borderId="22" xfId="0" applyNumberFormat="1" applyBorder="1"/>
    <xf numFmtId="9" fontId="13" fillId="2" borderId="1" xfId="1" applyNumberFormat="1" applyFont="1" applyFill="1" applyBorder="1" applyAlignment="1" applyProtection="1">
      <alignment horizontal="center" vertical="center" wrapText="1"/>
      <protection hidden="1"/>
    </xf>
    <xf numFmtId="9" fontId="13" fillId="2" borderId="11" xfId="1" applyNumberFormat="1" applyFont="1" applyFill="1" applyBorder="1" applyAlignment="1" applyProtection="1">
      <alignment horizontal="center" vertical="center" wrapText="1"/>
      <protection hidden="1"/>
    </xf>
    <xf numFmtId="0" fontId="15" fillId="0" borderId="1" xfId="1" applyFont="1" applyBorder="1" applyAlignment="1" applyProtection="1">
      <alignment horizontal="center" vertical="top" wrapText="1"/>
      <protection locked="0"/>
    </xf>
    <xf numFmtId="0" fontId="8" fillId="3" borderId="0" xfId="1" applyFont="1" applyFill="1"/>
    <xf numFmtId="14" fontId="8" fillId="3" borderId="0" xfId="1" applyNumberFormat="1" applyFont="1" applyFill="1"/>
    <xf numFmtId="0" fontId="16" fillId="0" borderId="0" xfId="1" applyFont="1" applyAlignment="1">
      <alignment horizontal="center" vertical="center"/>
    </xf>
    <xf numFmtId="0" fontId="11" fillId="0" borderId="0" xfId="1" applyFont="1" applyAlignment="1">
      <alignment horizontal="center" vertical="center"/>
    </xf>
    <xf numFmtId="165" fontId="8" fillId="0" borderId="0" xfId="1" applyNumberFormat="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wrapText="1"/>
    </xf>
    <xf numFmtId="0" fontId="23" fillId="0" borderId="0" xfId="1" applyFont="1"/>
    <xf numFmtId="1" fontId="7"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15" fillId="0" borderId="1" xfId="1" applyFont="1" applyBorder="1" applyAlignment="1" applyProtection="1">
      <alignment horizontal="center" vertical="top" wrapText="1"/>
      <protection locked="0"/>
    </xf>
    <xf numFmtId="0" fontId="14" fillId="0" borderId="24" xfId="1" applyFont="1" applyBorder="1" applyAlignment="1" applyProtection="1">
      <alignment horizontal="center" vertical="top" wrapText="1"/>
      <protection locked="0"/>
    </xf>
    <xf numFmtId="0" fontId="14" fillId="0" borderId="30" xfId="1" applyFont="1" applyBorder="1" applyAlignment="1" applyProtection="1">
      <alignment horizontal="center" vertical="top" wrapText="1"/>
      <protection locked="0"/>
    </xf>
    <xf numFmtId="0" fontId="14" fillId="0" borderId="25" xfId="1" applyFont="1" applyBorder="1" applyAlignment="1" applyProtection="1">
      <alignment horizontal="center" vertical="top" wrapText="1"/>
      <protection locked="0"/>
    </xf>
    <xf numFmtId="0" fontId="14" fillId="0" borderId="26" xfId="1" applyFont="1" applyBorder="1" applyAlignment="1" applyProtection="1">
      <alignment horizontal="center" vertical="top" wrapText="1"/>
      <protection locked="0"/>
    </xf>
    <xf numFmtId="0" fontId="14" fillId="0" borderId="0" xfId="1" applyFont="1" applyAlignment="1" applyProtection="1">
      <alignment horizontal="center" vertical="top" wrapText="1"/>
      <protection locked="0"/>
    </xf>
    <xf numFmtId="0" fontId="14" fillId="0" borderId="27" xfId="1" applyFont="1" applyBorder="1" applyAlignment="1" applyProtection="1">
      <alignment horizontal="center" vertical="top" wrapText="1"/>
      <protection locked="0"/>
    </xf>
    <xf numFmtId="0" fontId="14" fillId="0" borderId="28" xfId="1" applyFont="1" applyBorder="1" applyAlignment="1" applyProtection="1">
      <alignment horizontal="center" vertical="top" wrapText="1"/>
      <protection locked="0"/>
    </xf>
    <xf numFmtId="0" fontId="14" fillId="0" borderId="2" xfId="1" applyFont="1" applyBorder="1" applyAlignment="1" applyProtection="1">
      <alignment horizontal="center" vertical="top" wrapText="1"/>
      <protection locked="0"/>
    </xf>
    <xf numFmtId="0" fontId="14" fillId="0" borderId="29"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7" fillId="0" borderId="1" xfId="1" applyFont="1" applyBorder="1" applyAlignment="1" applyProtection="1">
      <alignment horizontal="left" vertical="top" wrapText="1"/>
      <protection locked="0"/>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1" fontId="7" fillId="0" borderId="1" xfId="1" applyNumberFormat="1" applyFont="1" applyBorder="1" applyAlignment="1" applyProtection="1">
      <alignment horizontal="center" vertical="center" wrapText="1"/>
      <protection locked="0"/>
    </xf>
    <xf numFmtId="1" fontId="7" fillId="0" borderId="13" xfId="1" applyNumberFormat="1" applyFont="1" applyBorder="1" applyAlignment="1" applyProtection="1">
      <alignment horizontal="center" vertical="center" wrapText="1"/>
      <protection locked="0"/>
    </xf>
    <xf numFmtId="1" fontId="7" fillId="0" borderId="23" xfId="1" applyNumberFormat="1" applyFont="1" applyBorder="1" applyAlignment="1" applyProtection="1">
      <alignment horizontal="center" vertical="center" wrapText="1"/>
      <protection locked="0"/>
    </xf>
    <xf numFmtId="1" fontId="7" fillId="0" borderId="14" xfId="1" applyNumberFormat="1" applyFont="1" applyBorder="1" applyAlignment="1" applyProtection="1">
      <alignment horizontal="center" vertical="center" wrapText="1"/>
      <protection locked="0"/>
    </xf>
    <xf numFmtId="1" fontId="9" fillId="0" borderId="13" xfId="1" applyNumberFormat="1" applyFont="1" applyBorder="1" applyAlignment="1" applyProtection="1">
      <alignment horizontal="center" vertical="center" wrapText="1"/>
      <protection locked="0"/>
    </xf>
    <xf numFmtId="1" fontId="9" fillId="0" borderId="23" xfId="1" applyNumberFormat="1" applyFont="1" applyBorder="1" applyAlignment="1" applyProtection="1">
      <alignment horizontal="center" vertical="center" wrapText="1"/>
      <protection locked="0"/>
    </xf>
    <xf numFmtId="1" fontId="9" fillId="0" borderId="14"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25" xfId="1" applyNumberFormat="1" applyFont="1" applyBorder="1" applyAlignment="1" applyProtection="1">
      <alignment horizontal="center" vertical="center" wrapText="1"/>
      <protection locked="0"/>
    </xf>
    <xf numFmtId="1" fontId="7" fillId="0" borderId="26" xfId="1" applyNumberFormat="1" applyFont="1" applyBorder="1" applyAlignment="1" applyProtection="1">
      <alignment horizontal="center" vertical="center" wrapText="1"/>
      <protection locked="0"/>
    </xf>
    <xf numFmtId="1" fontId="7" fillId="0" borderId="27" xfId="1" applyNumberFormat="1" applyFont="1" applyBorder="1" applyAlignment="1" applyProtection="1">
      <alignment horizontal="center" vertical="center" wrapText="1"/>
      <protection locked="0"/>
    </xf>
    <xf numFmtId="1" fontId="7" fillId="0" borderId="28" xfId="1" applyNumberFormat="1" applyFont="1" applyBorder="1" applyAlignment="1" applyProtection="1">
      <alignment horizontal="center" vertical="center" wrapText="1"/>
      <protection locked="0"/>
    </xf>
    <xf numFmtId="1" fontId="7" fillId="0" borderId="2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 fontId="9"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9" fillId="0" borderId="1" xfId="1" applyFont="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0" fontId="13" fillId="2" borderId="1" xfId="1" applyFont="1" applyFill="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2" borderId="1" xfId="1" applyFont="1" applyFill="1" applyBorder="1" applyAlignment="1" applyProtection="1">
      <alignment horizontal="left" vertical="top"/>
      <protection locked="0"/>
    </xf>
    <xf numFmtId="0" fontId="14" fillId="0" borderId="31" xfId="1" applyFont="1" applyBorder="1" applyAlignment="1" applyProtection="1">
      <alignment horizontal="left" vertical="top" wrapText="1"/>
      <protection locked="0"/>
    </xf>
    <xf numFmtId="0" fontId="14" fillId="0" borderId="32" xfId="1" applyFont="1" applyBorder="1" applyAlignment="1" applyProtection="1">
      <alignment horizontal="left" vertical="top" wrapText="1"/>
      <protection locked="0"/>
    </xf>
    <xf numFmtId="0" fontId="14" fillId="0" borderId="33" xfId="1" applyFont="1" applyBorder="1" applyAlignment="1" applyProtection="1">
      <alignment horizontal="left" vertical="top" wrapText="1"/>
      <protection locked="0"/>
    </xf>
    <xf numFmtId="0" fontId="14" fillId="0" borderId="34" xfId="1" applyFont="1" applyBorder="1" applyAlignment="1" applyProtection="1">
      <alignment horizontal="left" vertical="top" wrapText="1"/>
      <protection locked="0"/>
    </xf>
    <xf numFmtId="0" fontId="14" fillId="0" borderId="35" xfId="1" applyFont="1" applyBorder="1" applyAlignment="1" applyProtection="1">
      <alignment horizontal="left" vertical="top" wrapText="1"/>
      <protection locked="0"/>
    </xf>
    <xf numFmtId="0" fontId="14" fillId="0" borderId="8" xfId="1" applyFont="1" applyBorder="1" applyAlignment="1" applyProtection="1">
      <alignment horizontal="left" vertical="top"/>
      <protection locked="0"/>
    </xf>
    <xf numFmtId="0" fontId="14" fillId="0" borderId="9"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9"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9" fillId="0" borderId="1" xfId="1" applyFont="1" applyBorder="1" applyAlignment="1" applyProtection="1">
      <alignment vertical="top"/>
      <protection locked="0"/>
    </xf>
    <xf numFmtId="14" fontId="13" fillId="2" borderId="1" xfId="1" applyNumberFormat="1" applyFont="1" applyFill="1" applyBorder="1" applyAlignment="1" applyProtection="1">
      <alignment horizontal="left" vertical="top"/>
      <protection locked="0"/>
    </xf>
    <xf numFmtId="0" fontId="13" fillId="2" borderId="13" xfId="1" applyFont="1" applyFill="1" applyBorder="1" applyAlignment="1" applyProtection="1">
      <alignment horizontal="left" vertical="top" wrapText="1"/>
      <protection locked="0"/>
    </xf>
    <xf numFmtId="0" fontId="13" fillId="2" borderId="23" xfId="1" applyFont="1" applyFill="1" applyBorder="1" applyAlignment="1" applyProtection="1">
      <alignment horizontal="left" vertical="top" wrapText="1"/>
      <protection locked="0"/>
    </xf>
    <xf numFmtId="0" fontId="13" fillId="2" borderId="14"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14" fontId="13" fillId="0" borderId="1" xfId="1" applyNumberFormat="1" applyFont="1" applyBorder="1" applyAlignment="1" applyProtection="1">
      <alignment horizontal="left" vertical="top" wrapText="1"/>
      <protection locked="0"/>
    </xf>
    <xf numFmtId="165"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left" vertical="center" wrapText="1"/>
      <protection locked="0"/>
    </xf>
    <xf numFmtId="0" fontId="14" fillId="0" borderId="1" xfId="1" applyFont="1" applyBorder="1" applyAlignment="1" applyProtection="1">
      <alignment horizontal="center"/>
      <protection locked="0"/>
    </xf>
    <xf numFmtId="0" fontId="14" fillId="0" borderId="1" xfId="1" applyFont="1" applyBorder="1" applyAlignment="1" applyProtection="1">
      <alignment horizontal="center" vertical="top"/>
      <protection locked="0"/>
    </xf>
    <xf numFmtId="0" fontId="7" fillId="2" borderId="1" xfId="1" applyFont="1" applyFill="1" applyBorder="1" applyAlignment="1" applyProtection="1">
      <alignment horizontal="left" vertical="top" wrapText="1"/>
      <protection locked="0"/>
    </xf>
    <xf numFmtId="0" fontId="13" fillId="0" borderId="1" xfId="1" applyFont="1" applyBorder="1" applyAlignment="1" applyProtection="1">
      <alignment horizontal="left"/>
      <protection locked="0"/>
    </xf>
    <xf numFmtId="14" fontId="13"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14" fontId="7" fillId="0" borderId="1" xfId="1" applyNumberFormat="1" applyFont="1" applyBorder="1" applyAlignment="1" applyProtection="1">
      <alignment horizontal="left" vertical="top"/>
      <protection locked="0"/>
    </xf>
    <xf numFmtId="9" fontId="13" fillId="2" borderId="1" xfId="1" applyNumberFormat="1" applyFont="1" applyFill="1" applyBorder="1" applyAlignment="1" applyProtection="1">
      <alignment horizontal="center" vertical="center" wrapText="1"/>
      <protection hidden="1"/>
    </xf>
    <xf numFmtId="9" fontId="13" fillId="2" borderId="11" xfId="1" applyNumberFormat="1" applyFont="1" applyFill="1" applyBorder="1" applyAlignment="1" applyProtection="1">
      <alignment horizontal="center" vertical="center" wrapText="1"/>
      <protection hidden="1"/>
    </xf>
    <xf numFmtId="9" fontId="13" fillId="2" borderId="9" xfId="1" applyNumberFormat="1" applyFont="1" applyFill="1" applyBorder="1" applyAlignment="1" applyProtection="1">
      <alignment horizontal="center" vertical="center" wrapText="1"/>
      <protection hidden="1"/>
    </xf>
    <xf numFmtId="9" fontId="13" fillId="2" borderId="12" xfId="1" applyNumberFormat="1" applyFont="1" applyFill="1" applyBorder="1" applyAlignment="1" applyProtection="1">
      <alignment horizontal="center" vertical="center" wrapText="1"/>
      <protection hidden="1"/>
    </xf>
    <xf numFmtId="0" fontId="13" fillId="0" borderId="8" xfId="1" applyFont="1" applyBorder="1" applyAlignment="1" applyProtection="1">
      <alignment horizontal="center" vertical="top" wrapText="1"/>
      <protection locked="0"/>
    </xf>
    <xf numFmtId="0" fontId="13" fillId="0" borderId="10" xfId="1" applyFont="1" applyBorder="1" applyAlignment="1" applyProtection="1">
      <alignment horizontal="center" vertical="top"/>
      <protection locked="0"/>
    </xf>
    <xf numFmtId="0" fontId="13" fillId="0" borderId="11" xfId="1" applyFont="1" applyBorder="1" applyAlignment="1" applyProtection="1">
      <alignment horizontal="center" vertical="top"/>
      <protection locked="0"/>
    </xf>
    <xf numFmtId="0" fontId="9" fillId="0" borderId="5" xfId="1" applyFont="1" applyBorder="1" applyAlignment="1" applyProtection="1">
      <alignment horizontal="left" vertical="top" wrapText="1"/>
      <protection locked="0"/>
    </xf>
    <xf numFmtId="0" fontId="9" fillId="0" borderId="6" xfId="1" applyFont="1" applyBorder="1" applyAlignment="1" applyProtection="1">
      <alignment horizontal="left" vertical="top" wrapText="1"/>
      <protection locked="0"/>
    </xf>
    <xf numFmtId="0" fontId="9" fillId="0" borderId="7" xfId="1" applyFont="1" applyBorder="1" applyAlignment="1" applyProtection="1">
      <alignment horizontal="left" vertical="top" wrapText="1"/>
      <protection locked="0"/>
    </xf>
    <xf numFmtId="9" fontId="8" fillId="2" borderId="1" xfId="1" applyNumberFormat="1" applyFont="1" applyFill="1" applyBorder="1" applyAlignment="1" applyProtection="1">
      <alignment horizontal="center" vertical="center" wrapText="1"/>
      <protection hidden="1"/>
    </xf>
    <xf numFmtId="9" fontId="8" fillId="2" borderId="11" xfId="1" applyNumberFormat="1" applyFont="1" applyFill="1" applyBorder="1" applyAlignment="1" applyProtection="1">
      <alignment horizontal="center" vertical="center" wrapText="1"/>
      <protection hidden="1"/>
    </xf>
    <xf numFmtId="0" fontId="14" fillId="0" borderId="8" xfId="1" applyFont="1" applyBorder="1" applyAlignment="1" applyProtection="1">
      <alignment horizontal="center" vertical="top"/>
      <protection locked="0"/>
    </xf>
    <xf numFmtId="0" fontId="8" fillId="0" borderId="8"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9" fontId="8" fillId="2" borderId="9" xfId="1" applyNumberFormat="1" applyFont="1" applyFill="1" applyBorder="1" applyAlignment="1" applyProtection="1">
      <alignment horizontal="center" vertical="center" wrapText="1"/>
      <protection hidden="1"/>
    </xf>
    <xf numFmtId="9" fontId="8" fillId="2" borderId="12" xfId="1" applyNumberFormat="1" applyFont="1" applyFill="1" applyBorder="1" applyAlignment="1" applyProtection="1">
      <alignment horizontal="center" vertical="center" wrapText="1"/>
      <protection hidden="1"/>
    </xf>
    <xf numFmtId="0" fontId="8" fillId="0" borderId="10" xfId="1" applyFont="1" applyBorder="1" applyAlignment="1" applyProtection="1">
      <alignment horizontal="center" vertical="top" wrapText="1"/>
      <protection locked="0"/>
    </xf>
    <xf numFmtId="0" fontId="8" fillId="0" borderId="11" xfId="1" applyFont="1" applyBorder="1" applyAlignment="1" applyProtection="1">
      <alignment horizontal="center" vertical="top" wrapText="1"/>
      <protection locked="0"/>
    </xf>
    <xf numFmtId="0" fontId="8" fillId="0" borderId="1" xfId="1" applyFont="1" applyBorder="1" applyAlignment="1" applyProtection="1">
      <alignment horizontal="center"/>
      <protection locked="0"/>
    </xf>
    <xf numFmtId="0" fontId="7" fillId="0" borderId="1" xfId="1" applyFont="1" applyBorder="1" applyAlignment="1" applyProtection="1">
      <alignment horizontal="center" vertical="top"/>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xf numFmtId="0" fontId="11" fillId="0" borderId="1" xfId="1" applyFont="1" applyBorder="1" applyAlignment="1" applyProtection="1">
      <alignment horizontal="left" vertical="center"/>
      <protection locked="0"/>
    </xf>
    <xf numFmtId="0" fontId="22" fillId="0" borderId="1" xfId="8" applyBorder="1" applyAlignment="1" applyProtection="1">
      <alignment horizontal="left" vertical="center"/>
      <protection locked="0"/>
    </xf>
    <xf numFmtId="0" fontId="8" fillId="0" borderId="1" xfId="1" applyFont="1" applyBorder="1" applyAlignment="1" applyProtection="1">
      <alignment horizontal="left" vertical="center"/>
      <protection locked="0"/>
    </xf>
    <xf numFmtId="0" fontId="14" fillId="0" borderId="8" xfId="1" applyFont="1" applyBorder="1" applyAlignment="1" applyProtection="1">
      <alignment horizontal="left" vertical="center"/>
      <protection locked="0"/>
    </xf>
    <xf numFmtId="0" fontId="14" fillId="0" borderId="1" xfId="1" applyFont="1" applyBorder="1" applyAlignment="1" applyProtection="1">
      <alignment horizontal="left" vertical="center"/>
      <protection locked="0"/>
    </xf>
    <xf numFmtId="0" fontId="14" fillId="0" borderId="1" xfId="1" applyFont="1" applyBorder="1" applyAlignment="1" applyProtection="1">
      <alignment horizontal="left" vertical="center" wrapText="1"/>
      <protection locked="0"/>
    </xf>
    <xf numFmtId="0" fontId="14" fillId="0" borderId="9" xfId="1" applyFont="1" applyBorder="1" applyAlignment="1" applyProtection="1">
      <alignment horizontal="left" vertical="center" wrapText="1"/>
      <protection locked="0"/>
    </xf>
    <xf numFmtId="0" fontId="13" fillId="0" borderId="36" xfId="1" applyFont="1" applyBorder="1" applyAlignment="1" applyProtection="1">
      <alignment horizontal="center" vertical="top"/>
      <protection locked="0"/>
    </xf>
    <xf numFmtId="0" fontId="13" fillId="0" borderId="3" xfId="1" applyFont="1" applyBorder="1" applyAlignment="1" applyProtection="1">
      <alignment horizontal="center" vertical="top"/>
      <protection locked="0"/>
    </xf>
    <xf numFmtId="0" fontId="13" fillId="0" borderId="3" xfId="1" applyFont="1" applyBorder="1" applyAlignment="1" applyProtection="1">
      <alignment horizontal="center" wrapText="1"/>
      <protection locked="0"/>
    </xf>
    <xf numFmtId="9" fontId="13" fillId="2" borderId="3" xfId="1" applyNumberFormat="1" applyFont="1" applyFill="1" applyBorder="1" applyAlignment="1" applyProtection="1">
      <alignment horizontal="center" vertical="center" wrapText="1"/>
      <protection hidden="1"/>
    </xf>
    <xf numFmtId="9" fontId="13" fillId="2" borderId="3" xfId="1" applyNumberFormat="1" applyFont="1" applyFill="1" applyBorder="1" applyAlignment="1" applyProtection="1">
      <alignment horizontal="center" vertical="center" wrapText="1"/>
      <protection hidden="1"/>
    </xf>
    <xf numFmtId="9" fontId="13" fillId="2" borderId="37" xfId="1" applyNumberFormat="1" applyFont="1" applyFill="1" applyBorder="1" applyAlignment="1" applyProtection="1">
      <alignment horizontal="center" vertical="center" wrapText="1"/>
      <protection hidden="1"/>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30.jpeg"/><Relationship Id="rId3" Type="http://schemas.openxmlformats.org/officeDocument/2006/relationships/image" Target="../media/image25.jpeg"/><Relationship Id="rId7" Type="http://schemas.openxmlformats.org/officeDocument/2006/relationships/image" Target="../media/image29.jpeg"/><Relationship Id="rId2" Type="http://schemas.openxmlformats.org/officeDocument/2006/relationships/image" Target="../media/image24.jpeg"/><Relationship Id="rId1" Type="http://schemas.openxmlformats.org/officeDocument/2006/relationships/image" Target="../media/image23.jpeg"/><Relationship Id="rId6" Type="http://schemas.openxmlformats.org/officeDocument/2006/relationships/image" Target="../media/image28.jpeg"/><Relationship Id="rId11" Type="http://schemas.openxmlformats.org/officeDocument/2006/relationships/image" Target="../media/image2.png"/><Relationship Id="rId5" Type="http://schemas.openxmlformats.org/officeDocument/2006/relationships/image" Target="../media/image27.jpeg"/><Relationship Id="rId10" Type="http://schemas.openxmlformats.org/officeDocument/2006/relationships/image" Target="../media/image1.png"/><Relationship Id="rId4" Type="http://schemas.openxmlformats.org/officeDocument/2006/relationships/image" Target="../media/image26.jpeg"/><Relationship Id="rId9" Type="http://schemas.openxmlformats.org/officeDocument/2006/relationships/image" Target="../media/image3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 Id="rId4" Type="http://schemas.openxmlformats.org/officeDocument/2006/relationships/image" Target="../media/image3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0</xdr:col>
      <xdr:colOff>528469</xdr:colOff>
      <xdr:row>245</xdr:row>
      <xdr:rowOff>27343</xdr:rowOff>
    </xdr:from>
    <xdr:to>
      <xdr:col>7</xdr:col>
      <xdr:colOff>346935</xdr:colOff>
      <xdr:row>261</xdr:row>
      <xdr:rowOff>450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28469" y="52552003"/>
          <a:ext cx="5518226" cy="3143026"/>
        </a:xfrm>
        <a:prstGeom prst="rect">
          <a:avLst/>
        </a:prstGeom>
        <a:ln>
          <a:solidFill>
            <a:schemeClr val="tx1"/>
          </a:solidFill>
        </a:ln>
      </xdr:spPr>
    </xdr:pic>
    <xdr:clientData/>
  </xdr:twoCellAnchor>
  <xdr:twoCellAnchor editAs="oneCell">
    <xdr:from>
      <xdr:col>0</xdr:col>
      <xdr:colOff>506057</xdr:colOff>
      <xdr:row>228</xdr:row>
      <xdr:rowOff>185121</xdr:rowOff>
    </xdr:from>
    <xdr:to>
      <xdr:col>7</xdr:col>
      <xdr:colOff>324523</xdr:colOff>
      <xdr:row>244</xdr:row>
      <xdr:rowOff>9414</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06057" y="49341741"/>
          <a:ext cx="5518226" cy="2994214"/>
        </a:xfrm>
        <a:prstGeom prst="rect">
          <a:avLst/>
        </a:prstGeom>
        <a:ln>
          <a:solidFill>
            <a:schemeClr val="tx1"/>
          </a:solidFill>
        </a:ln>
      </xdr:spPr>
    </xdr:pic>
    <xdr:clientData/>
  </xdr:twoCellAnchor>
  <xdr:twoCellAnchor>
    <xdr:from>
      <xdr:col>8</xdr:col>
      <xdr:colOff>1235075</xdr:colOff>
      <xdr:row>186</xdr:row>
      <xdr:rowOff>82550</xdr:rowOff>
    </xdr:from>
    <xdr:to>
      <xdr:col>17</xdr:col>
      <xdr:colOff>448070</xdr:colOff>
      <xdr:row>226</xdr:row>
      <xdr:rowOff>41362</xdr:rowOff>
    </xdr:to>
    <xdr:grpSp>
      <xdr:nvGrpSpPr>
        <xdr:cNvPr id="2" name="Group 1"/>
        <xdr:cNvGrpSpPr/>
      </xdr:nvGrpSpPr>
      <xdr:grpSpPr>
        <a:xfrm>
          <a:off x="7902575" y="36385500"/>
          <a:ext cx="6445645" cy="7832812"/>
          <a:chOff x="177800" y="36283900"/>
          <a:chExt cx="6353570" cy="7832812"/>
        </a:xfrm>
      </xdr:grpSpPr>
      <xdr:pic>
        <xdr:nvPicPr>
          <xdr:cNvPr id="14" name="Picture 1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913620" y="41950786"/>
            <a:ext cx="1617750" cy="2160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331038" y="36283900"/>
            <a:ext cx="2022188" cy="270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77800" y="41956712"/>
            <a:ext cx="2876000" cy="216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77800" y="36283900"/>
            <a:ext cx="2022188" cy="270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484276" y="36289826"/>
            <a:ext cx="2022188" cy="270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77800" y="39120306"/>
            <a:ext cx="2022188" cy="270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174835" y="41956712"/>
            <a:ext cx="1617750" cy="216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331038" y="39120306"/>
            <a:ext cx="2022188" cy="270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484276" y="39120306"/>
            <a:ext cx="2022188" cy="2700000"/>
          </a:xfrm>
          <a:prstGeom prst="rect">
            <a:avLst/>
          </a:prstGeom>
          <a:ln>
            <a:solidFill>
              <a:schemeClr val="tx1"/>
            </a:solidFill>
          </a:ln>
        </xdr:spPr>
      </xdr:pic>
    </xdr:grpSp>
    <xdr:clientData/>
  </xdr:twoCellAnchor>
  <xdr:oneCellAnchor>
    <xdr:from>
      <xdr:col>8</xdr:col>
      <xdr:colOff>1308100</xdr:colOff>
      <xdr:row>184</xdr:row>
      <xdr:rowOff>6350</xdr:rowOff>
    </xdr:from>
    <xdr:ext cx="700769" cy="311496"/>
    <xdr:sp macro="" textlink="">
      <xdr:nvSpPr>
        <xdr:cNvPr id="4" name="TextBox 3"/>
        <xdr:cNvSpPr txBox="1"/>
      </xdr:nvSpPr>
      <xdr:spPr>
        <a:xfrm>
          <a:off x="7975600" y="35921950"/>
          <a:ext cx="7007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C Wing</a:t>
          </a:r>
        </a:p>
      </xdr:txBody>
    </xdr:sp>
    <xdr:clientData/>
  </xdr:oneCellAnchor>
  <xdr:twoCellAnchor>
    <xdr:from>
      <xdr:col>0</xdr:col>
      <xdr:colOff>139700</xdr:colOff>
      <xdr:row>185</xdr:row>
      <xdr:rowOff>95250</xdr:rowOff>
    </xdr:from>
    <xdr:to>
      <xdr:col>7</xdr:col>
      <xdr:colOff>746538</xdr:colOff>
      <xdr:row>222</xdr:row>
      <xdr:rowOff>103098</xdr:rowOff>
    </xdr:to>
    <xdr:grpSp>
      <xdr:nvGrpSpPr>
        <xdr:cNvPr id="5" name="Group 4"/>
        <xdr:cNvGrpSpPr/>
      </xdr:nvGrpSpPr>
      <xdr:grpSpPr>
        <a:xfrm>
          <a:off x="139700" y="36201350"/>
          <a:ext cx="6404388" cy="7291298"/>
          <a:chOff x="139700" y="36201350"/>
          <a:chExt cx="6404388" cy="7291298"/>
        </a:xfrm>
      </xdr:grpSpPr>
      <xdr:pic>
        <xdr:nvPicPr>
          <xdr:cNvPr id="28" name="Picture 2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901286" y="41332648"/>
            <a:ext cx="1617750"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317319" y="36201350"/>
            <a:ext cx="2049150"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175743" y="41332648"/>
            <a:ext cx="1617750"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39700" y="36201350"/>
            <a:ext cx="2049150"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494938" y="36201350"/>
            <a:ext cx="2049150"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917493" y="39049346"/>
            <a:ext cx="1617750"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91950" y="41321342"/>
            <a:ext cx="2876000"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91950" y="39049346"/>
            <a:ext cx="1617750" cy="21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643036" y="39049346"/>
            <a:ext cx="2876000" cy="2160000"/>
          </a:xfrm>
          <a:prstGeom prst="rect">
            <a:avLst/>
          </a:prstGeom>
          <a:ln>
            <a:solidFill>
              <a:schemeClr val="tx1"/>
            </a:solidFill>
          </a:ln>
        </xdr:spPr>
      </xdr:pic>
      <xdr:sp macro="" textlink="">
        <xdr:nvSpPr>
          <xdr:cNvPr id="37" name="TextBox 36"/>
          <xdr:cNvSpPr txBox="1"/>
        </xdr:nvSpPr>
        <xdr:spPr>
          <a:xfrm>
            <a:off x="628650" y="38093650"/>
            <a:ext cx="7007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C Wing</a:t>
            </a:r>
          </a:p>
        </xdr:txBody>
      </xdr:sp>
      <xdr:sp macro="" textlink="">
        <xdr:nvSpPr>
          <xdr:cNvPr id="38" name="TextBox 37"/>
          <xdr:cNvSpPr txBox="1"/>
        </xdr:nvSpPr>
        <xdr:spPr>
          <a:xfrm>
            <a:off x="3098369" y="38068250"/>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D Wing</a:t>
            </a:r>
          </a:p>
        </xdr:txBody>
      </xdr:sp>
      <xdr:sp macro="" textlink="">
        <xdr:nvSpPr>
          <xdr:cNvPr id="39" name="TextBox 38"/>
          <xdr:cNvSpPr txBox="1"/>
        </xdr:nvSpPr>
        <xdr:spPr>
          <a:xfrm>
            <a:off x="5155338" y="37687250"/>
            <a:ext cx="7007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C Wing</a:t>
            </a:r>
          </a:p>
        </xdr:txBody>
      </xdr:sp>
      <xdr:sp macro="" textlink="">
        <xdr:nvSpPr>
          <xdr:cNvPr id="40" name="TextBox 39"/>
          <xdr:cNvSpPr txBox="1"/>
        </xdr:nvSpPr>
        <xdr:spPr>
          <a:xfrm>
            <a:off x="4722536" y="40147896"/>
            <a:ext cx="7007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C Wing</a:t>
            </a:r>
          </a:p>
        </xdr:txBody>
      </xdr:sp>
      <xdr:sp macro="" textlink="">
        <xdr:nvSpPr>
          <xdr:cNvPr id="41" name="TextBox 40"/>
          <xdr:cNvSpPr txBox="1"/>
        </xdr:nvSpPr>
        <xdr:spPr>
          <a:xfrm>
            <a:off x="572950" y="40287596"/>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D Wing</a:t>
            </a:r>
          </a:p>
        </xdr:txBody>
      </xdr:sp>
      <xdr:sp macro="" textlink="">
        <xdr:nvSpPr>
          <xdr:cNvPr id="42" name="TextBox 41"/>
          <xdr:cNvSpPr txBox="1"/>
        </xdr:nvSpPr>
        <xdr:spPr>
          <a:xfrm>
            <a:off x="2076243" y="40490796"/>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D Wing</a:t>
            </a:r>
          </a:p>
        </xdr:txBody>
      </xdr:sp>
      <xdr:sp macro="" textlink="">
        <xdr:nvSpPr>
          <xdr:cNvPr id="43" name="TextBox 42"/>
          <xdr:cNvSpPr txBox="1"/>
        </xdr:nvSpPr>
        <xdr:spPr>
          <a:xfrm>
            <a:off x="1360350" y="42432592"/>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D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787338</xdr:colOff>
      <xdr:row>299</xdr:row>
      <xdr:rowOff>97220</xdr:rowOff>
    </xdr:from>
    <xdr:to>
      <xdr:col>7</xdr:col>
      <xdr:colOff>224465</xdr:colOff>
      <xdr:row>310</xdr:row>
      <xdr:rowOff>38456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308662" y="65584396"/>
          <a:ext cx="2877332" cy="2160000"/>
        </a:xfrm>
        <a:prstGeom prst="rect">
          <a:avLst/>
        </a:prstGeom>
        <a:ln>
          <a:solidFill>
            <a:schemeClr val="tx1"/>
          </a:solidFill>
        </a:ln>
      </xdr:spPr>
    </xdr:pic>
    <xdr:clientData/>
  </xdr:twoCellAnchor>
  <xdr:twoCellAnchor editAs="oneCell">
    <xdr:from>
      <xdr:col>0</xdr:col>
      <xdr:colOff>358588</xdr:colOff>
      <xdr:row>299</xdr:row>
      <xdr:rowOff>92120</xdr:rowOff>
    </xdr:from>
    <xdr:to>
      <xdr:col>3</xdr:col>
      <xdr:colOff>703392</xdr:colOff>
      <xdr:row>310</xdr:row>
      <xdr:rowOff>33356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358588" y="65579296"/>
          <a:ext cx="2866128" cy="2160000"/>
        </a:xfrm>
        <a:prstGeom prst="rect">
          <a:avLst/>
        </a:prstGeom>
        <a:ln>
          <a:solidFill>
            <a:schemeClr val="tx1"/>
          </a:solidFill>
        </a:ln>
      </xdr:spPr>
    </xdr:pic>
    <xdr:clientData/>
  </xdr:twoCellAnchor>
  <xdr:twoCellAnchor editAs="oneCell">
    <xdr:from>
      <xdr:col>4</xdr:col>
      <xdr:colOff>279039</xdr:colOff>
      <xdr:row>288</xdr:row>
      <xdr:rowOff>63101</xdr:rowOff>
    </xdr:from>
    <xdr:to>
      <xdr:col>6</xdr:col>
      <xdr:colOff>216468</xdr:colOff>
      <xdr:row>299</xdr:row>
      <xdr:rowOff>4336</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719245" y="63331513"/>
          <a:ext cx="1618311" cy="2160000"/>
        </a:xfrm>
        <a:prstGeom prst="rect">
          <a:avLst/>
        </a:prstGeom>
        <a:ln>
          <a:solidFill>
            <a:schemeClr val="tx1"/>
          </a:solidFill>
        </a:ln>
      </xdr:spPr>
    </xdr:pic>
    <xdr:clientData/>
  </xdr:twoCellAnchor>
  <xdr:twoCellAnchor editAs="oneCell">
    <xdr:from>
      <xdr:col>0</xdr:col>
      <xdr:colOff>762000</xdr:colOff>
      <xdr:row>288</xdr:row>
      <xdr:rowOff>53446</xdr:rowOff>
    </xdr:from>
    <xdr:to>
      <xdr:col>4</xdr:col>
      <xdr:colOff>187922</xdr:colOff>
      <xdr:row>298</xdr:row>
      <xdr:rowOff>196387</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62000" y="63321858"/>
          <a:ext cx="2866128" cy="2160000"/>
        </a:xfrm>
        <a:prstGeom prst="rect">
          <a:avLst/>
        </a:prstGeom>
        <a:ln>
          <a:solidFill>
            <a:schemeClr val="tx1"/>
          </a:solidFill>
        </a:ln>
      </xdr:spPr>
    </xdr:pic>
    <xdr:clientData/>
  </xdr:twoCellAnchor>
  <xdr:twoCellAnchor editAs="oneCell">
    <xdr:from>
      <xdr:col>0</xdr:col>
      <xdr:colOff>381002</xdr:colOff>
      <xdr:row>277</xdr:row>
      <xdr:rowOff>23964</xdr:rowOff>
    </xdr:from>
    <xdr:to>
      <xdr:col>3</xdr:col>
      <xdr:colOff>725806</xdr:colOff>
      <xdr:row>287</xdr:row>
      <xdr:rowOff>166905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81002" y="61073611"/>
          <a:ext cx="2866128" cy="2160000"/>
        </a:xfrm>
        <a:prstGeom prst="rect">
          <a:avLst/>
        </a:prstGeom>
        <a:ln>
          <a:solidFill>
            <a:schemeClr val="tx1"/>
          </a:solidFill>
        </a:ln>
      </xdr:spPr>
    </xdr:pic>
    <xdr:clientData/>
  </xdr:twoCellAnchor>
  <xdr:twoCellAnchor editAs="oneCell">
    <xdr:from>
      <xdr:col>3</xdr:col>
      <xdr:colOff>820060</xdr:colOff>
      <xdr:row>277</xdr:row>
      <xdr:rowOff>33618</xdr:rowOff>
    </xdr:from>
    <xdr:to>
      <xdr:col>7</xdr:col>
      <xdr:colOff>257187</xdr:colOff>
      <xdr:row>287</xdr:row>
      <xdr:rowOff>176559</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341384" y="61083265"/>
          <a:ext cx="2877332" cy="2160000"/>
        </a:xfrm>
        <a:prstGeom prst="rect">
          <a:avLst/>
        </a:prstGeom>
        <a:ln>
          <a:solidFill>
            <a:schemeClr val="tx1"/>
          </a:solidFill>
        </a:ln>
      </xdr:spPr>
    </xdr:pic>
    <xdr:clientData/>
  </xdr:twoCellAnchor>
  <xdr:twoCellAnchor editAs="oneCell">
    <xdr:from>
      <xdr:col>4</xdr:col>
      <xdr:colOff>829173</xdr:colOff>
      <xdr:row>310</xdr:row>
      <xdr:rowOff>157167</xdr:rowOff>
    </xdr:from>
    <xdr:to>
      <xdr:col>7</xdr:col>
      <xdr:colOff>32719</xdr:colOff>
      <xdr:row>319</xdr:row>
      <xdr:rowOff>157168</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269379" y="67863108"/>
          <a:ext cx="1724869" cy="1815354"/>
        </a:xfrm>
        <a:prstGeom prst="rect">
          <a:avLst/>
        </a:prstGeom>
        <a:ln>
          <a:solidFill>
            <a:schemeClr val="tx1"/>
          </a:solidFill>
        </a:ln>
      </xdr:spPr>
    </xdr:pic>
    <xdr:clientData/>
  </xdr:twoCellAnchor>
  <xdr:twoCellAnchor editAs="oneCell">
    <xdr:from>
      <xdr:col>2</xdr:col>
      <xdr:colOff>813049</xdr:colOff>
      <xdr:row>310</xdr:row>
      <xdr:rowOff>142576</xdr:rowOff>
    </xdr:from>
    <xdr:to>
      <xdr:col>4</xdr:col>
      <xdr:colOff>759157</xdr:colOff>
      <xdr:row>319</xdr:row>
      <xdr:rowOff>142577</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426696" y="67848517"/>
          <a:ext cx="1772667" cy="1815354"/>
        </a:xfrm>
        <a:prstGeom prst="rect">
          <a:avLst/>
        </a:prstGeom>
        <a:ln>
          <a:solidFill>
            <a:schemeClr val="tx1"/>
          </a:solidFill>
        </a:ln>
      </xdr:spPr>
    </xdr:pic>
    <xdr:clientData/>
  </xdr:twoCellAnchor>
  <xdr:twoCellAnchor editAs="oneCell">
    <xdr:from>
      <xdr:col>0</xdr:col>
      <xdr:colOff>549088</xdr:colOff>
      <xdr:row>310</xdr:row>
      <xdr:rowOff>134470</xdr:rowOff>
    </xdr:from>
    <xdr:to>
      <xdr:col>2</xdr:col>
      <xdr:colOff>736849</xdr:colOff>
      <xdr:row>319</xdr:row>
      <xdr:rowOff>134471</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549088" y="67840411"/>
          <a:ext cx="1801408" cy="1815354"/>
        </a:xfrm>
        <a:prstGeom prst="rect">
          <a:avLst/>
        </a:prstGeom>
        <a:ln>
          <a:solidFill>
            <a:schemeClr val="tx1"/>
          </a:solidFill>
        </a:ln>
      </xdr:spPr>
    </xdr:pic>
    <xdr:clientData/>
  </xdr:twoCellAnchor>
  <xdr:twoCellAnchor editAs="oneCell">
    <xdr:from>
      <xdr:col>0</xdr:col>
      <xdr:colOff>291352</xdr:colOff>
      <xdr:row>337</xdr:row>
      <xdr:rowOff>6723</xdr:rowOff>
    </xdr:from>
    <xdr:to>
      <xdr:col>7</xdr:col>
      <xdr:colOff>109818</xdr:colOff>
      <xdr:row>352</xdr:row>
      <xdr:rowOff>181535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a:ext>
          </a:extLst>
        </a:blip>
        <a:srcRect/>
        <a:stretch/>
      </xdr:blipFill>
      <xdr:spPr>
        <a:xfrm>
          <a:off x="291352" y="71477841"/>
          <a:ext cx="5791201" cy="3200400"/>
        </a:xfrm>
        <a:prstGeom prst="rect">
          <a:avLst/>
        </a:prstGeom>
        <a:ln>
          <a:solidFill>
            <a:schemeClr val="tx1"/>
          </a:solidFill>
        </a:ln>
      </xdr:spPr>
    </xdr:pic>
    <xdr:clientData/>
  </xdr:twoCellAnchor>
  <xdr:twoCellAnchor editAs="oneCell">
    <xdr:from>
      <xdr:col>0</xdr:col>
      <xdr:colOff>324970</xdr:colOff>
      <xdr:row>321</xdr:row>
      <xdr:rowOff>56029</xdr:rowOff>
    </xdr:from>
    <xdr:to>
      <xdr:col>7</xdr:col>
      <xdr:colOff>143436</xdr:colOff>
      <xdr:row>336</xdr:row>
      <xdr:rowOff>78441</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a:ext>
          </a:extLst>
        </a:blip>
        <a:srcRect/>
        <a:stretch/>
      </xdr:blipFill>
      <xdr:spPr>
        <a:xfrm>
          <a:off x="324970" y="68299853"/>
          <a:ext cx="5791201" cy="3048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4756</xdr:colOff>
      <xdr:row>11</xdr:row>
      <xdr:rowOff>0</xdr:rowOff>
    </xdr:from>
    <xdr:to>
      <xdr:col>6</xdr:col>
      <xdr:colOff>361142</xdr:colOff>
      <xdr:row>29</xdr:row>
      <xdr:rowOff>171000</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585781" y="2105025"/>
          <a:ext cx="6757186" cy="3600000"/>
        </a:xfrm>
        <a:prstGeom prst="rect">
          <a:avLst/>
        </a:prstGeom>
        <a:ln>
          <a:solidFill>
            <a:schemeClr val="tx1"/>
          </a:solidFill>
        </a:ln>
      </xdr:spPr>
    </xdr:pic>
    <xdr:clientData/>
  </xdr:twoCellAnchor>
  <xdr:twoCellAnchor editAs="oneCell">
    <xdr:from>
      <xdr:col>1</xdr:col>
      <xdr:colOff>0</xdr:colOff>
      <xdr:row>30</xdr:row>
      <xdr:rowOff>156923</xdr:rowOff>
    </xdr:from>
    <xdr:to>
      <xdr:col>6</xdr:col>
      <xdr:colOff>356386</xdr:colOff>
      <xdr:row>49</xdr:row>
      <xdr:rowOff>137423</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2"/>
        <a:stretch>
          <a:fillRect/>
        </a:stretch>
      </xdr:blipFill>
      <xdr:spPr>
        <a:xfrm>
          <a:off x="581025" y="5881448"/>
          <a:ext cx="6757186" cy="3600000"/>
        </a:xfrm>
        <a:prstGeom prst="rect">
          <a:avLst/>
        </a:prstGeom>
        <a:ln>
          <a:solidFill>
            <a:schemeClr val="tx1"/>
          </a:solidFill>
        </a:ln>
      </xdr:spPr>
    </xdr:pic>
    <xdr:clientData/>
  </xdr:twoCellAnchor>
  <xdr:twoCellAnchor editAs="oneCell">
    <xdr:from>
      <xdr:col>6</xdr:col>
      <xdr:colOff>646599</xdr:colOff>
      <xdr:row>11</xdr:row>
      <xdr:rowOff>0</xdr:rowOff>
    </xdr:from>
    <xdr:to>
      <xdr:col>16</xdr:col>
      <xdr:colOff>308221</xdr:colOff>
      <xdr:row>29</xdr:row>
      <xdr:rowOff>171000</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3"/>
        <a:stretch>
          <a:fillRect/>
        </a:stretch>
      </xdr:blipFill>
      <xdr:spPr>
        <a:xfrm>
          <a:off x="7628424" y="2105025"/>
          <a:ext cx="6738697" cy="3600000"/>
        </a:xfrm>
        <a:prstGeom prst="rect">
          <a:avLst/>
        </a:prstGeom>
        <a:ln>
          <a:solidFill>
            <a:schemeClr val="tx1"/>
          </a:solidFill>
        </a:ln>
      </xdr:spPr>
    </xdr:pic>
    <xdr:clientData/>
  </xdr:twoCellAnchor>
  <xdr:twoCellAnchor editAs="oneCell">
    <xdr:from>
      <xdr:col>6</xdr:col>
      <xdr:colOff>633318</xdr:colOff>
      <xdr:row>30</xdr:row>
      <xdr:rowOff>166905</xdr:rowOff>
    </xdr:from>
    <xdr:to>
      <xdr:col>16</xdr:col>
      <xdr:colOff>294940</xdr:colOff>
      <xdr:row>49</xdr:row>
      <xdr:rowOff>147405</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4"/>
        <a:stretch>
          <a:fillRect/>
        </a:stretch>
      </xdr:blipFill>
      <xdr:spPr>
        <a:xfrm>
          <a:off x="7615143" y="5891430"/>
          <a:ext cx="6738697"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waNprTFN1J7CmHU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8"/>
  <sheetViews>
    <sheetView tabSelected="1" view="pageBreakPreview" zoomScaleNormal="100" zoomScaleSheetLayoutView="100" zoomScalePageLayoutView="70" workbookViewId="0">
      <selection activeCell="E9" sqref="E9:H9"/>
    </sheetView>
  </sheetViews>
  <sheetFormatPr defaultColWidth="9.1796875" defaultRowHeight="15.5" x14ac:dyDescent="0.35"/>
  <cols>
    <col min="1" max="1" width="12.54296875" style="19" customWidth="1"/>
    <col min="2" max="2" width="11.81640625" style="19" customWidth="1"/>
    <col min="3" max="3" width="12.7265625" style="19" customWidth="1"/>
    <col min="4" max="4" width="12.81640625" style="19" customWidth="1"/>
    <col min="5" max="5" width="11.7265625" style="19" customWidth="1"/>
    <col min="6" max="6" width="10.81640625" style="19" customWidth="1"/>
    <col min="7" max="7" width="10.54296875" style="19" customWidth="1"/>
    <col min="8" max="8" width="12.453125" style="19" customWidth="1"/>
    <col min="9" max="9" width="20.453125" style="8" customWidth="1"/>
    <col min="10" max="10" width="16.1796875" style="8" customWidth="1"/>
    <col min="11" max="11" width="11.81640625" style="8" bestFit="1" customWidth="1"/>
    <col min="12"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8" ht="46.5" customHeight="1" x14ac:dyDescent="0.35">
      <c r="A1" s="171" t="s">
        <v>286</v>
      </c>
      <c r="B1" s="171"/>
      <c r="C1" s="171"/>
      <c r="D1" s="171"/>
      <c r="E1" s="171"/>
      <c r="F1" s="171"/>
      <c r="G1" s="171"/>
      <c r="H1" s="171"/>
    </row>
    <row r="2" spans="1:8" ht="16.5" customHeight="1" x14ac:dyDescent="0.35">
      <c r="A2" s="124" t="s">
        <v>0</v>
      </c>
      <c r="B2" s="124"/>
      <c r="C2" s="124"/>
      <c r="D2" s="124"/>
      <c r="E2" s="124"/>
      <c r="F2" s="124"/>
      <c r="G2" s="124"/>
      <c r="H2" s="124"/>
    </row>
    <row r="3" spans="1:8" x14ac:dyDescent="0.35">
      <c r="A3" s="101" t="s">
        <v>1</v>
      </c>
      <c r="B3" s="101"/>
      <c r="C3" s="101"/>
      <c r="D3" s="101"/>
      <c r="E3" s="172" t="str">
        <f ca="1">TEXT(TODAY(),"DD/MM/YYYY")</f>
        <v>11/09/2025</v>
      </c>
      <c r="F3" s="172"/>
      <c r="G3" s="172"/>
      <c r="H3" s="172"/>
    </row>
    <row r="4" spans="1:8" ht="15" customHeight="1" x14ac:dyDescent="0.35">
      <c r="A4" s="101" t="s">
        <v>2</v>
      </c>
      <c r="B4" s="101"/>
      <c r="C4" s="101"/>
      <c r="D4" s="101"/>
      <c r="E4" s="165" t="s">
        <v>175</v>
      </c>
      <c r="F4" s="165"/>
      <c r="G4" s="165"/>
      <c r="H4" s="165"/>
    </row>
    <row r="5" spans="1:8" x14ac:dyDescent="0.35">
      <c r="A5" s="101" t="s">
        <v>3</v>
      </c>
      <c r="B5" s="101"/>
      <c r="C5" s="101"/>
      <c r="D5" s="101"/>
      <c r="E5" s="170">
        <v>45911</v>
      </c>
      <c r="F5" s="170"/>
      <c r="G5" s="170"/>
      <c r="H5" s="170"/>
    </row>
    <row r="6" spans="1:8" x14ac:dyDescent="0.35">
      <c r="A6" s="101" t="s">
        <v>4</v>
      </c>
      <c r="B6" s="101"/>
      <c r="C6" s="101"/>
      <c r="D6" s="101"/>
      <c r="E6" s="103" t="s">
        <v>244</v>
      </c>
      <c r="F6" s="103"/>
      <c r="G6" s="103"/>
      <c r="H6" s="103"/>
    </row>
    <row r="7" spans="1:8" x14ac:dyDescent="0.35">
      <c r="A7" s="101" t="s">
        <v>5</v>
      </c>
      <c r="B7" s="101"/>
      <c r="C7" s="101"/>
      <c r="D7" s="101"/>
      <c r="E7" s="103" t="str">
        <f>E6</f>
        <v>M/s. Thalia Labh Home Makers Pvt. Ltd.</v>
      </c>
      <c r="F7" s="103"/>
      <c r="G7" s="103"/>
      <c r="H7" s="103"/>
    </row>
    <row r="8" spans="1:8" x14ac:dyDescent="0.35">
      <c r="A8" s="101" t="s">
        <v>6</v>
      </c>
      <c r="B8" s="101"/>
      <c r="C8" s="101"/>
      <c r="D8" s="101"/>
      <c r="E8" s="130" t="s">
        <v>249</v>
      </c>
      <c r="F8" s="130"/>
      <c r="G8" s="130"/>
      <c r="H8" s="130"/>
    </row>
    <row r="9" spans="1:8" x14ac:dyDescent="0.35">
      <c r="A9" s="101" t="s">
        <v>7</v>
      </c>
      <c r="B9" s="101"/>
      <c r="C9" s="101"/>
      <c r="D9" s="101"/>
      <c r="E9" s="101" t="s">
        <v>237</v>
      </c>
      <c r="F9" s="101"/>
      <c r="G9" s="101"/>
      <c r="H9" s="101"/>
    </row>
    <row r="10" spans="1:8" x14ac:dyDescent="0.35">
      <c r="A10" s="151" t="s">
        <v>8</v>
      </c>
      <c r="B10" s="151"/>
      <c r="C10" s="151"/>
      <c r="D10" s="151"/>
      <c r="E10" s="150" t="s">
        <v>251</v>
      </c>
      <c r="F10" s="151"/>
      <c r="G10" s="151"/>
      <c r="H10" s="151"/>
    </row>
    <row r="11" spans="1:8" x14ac:dyDescent="0.35">
      <c r="A11" s="101" t="s">
        <v>9</v>
      </c>
      <c r="B11" s="101"/>
      <c r="C11" s="101"/>
      <c r="D11" s="101"/>
      <c r="E11" s="150" t="s">
        <v>250</v>
      </c>
      <c r="F11" s="150"/>
      <c r="G11" s="150"/>
      <c r="H11" s="150"/>
    </row>
    <row r="12" spans="1:8" x14ac:dyDescent="0.35">
      <c r="A12" s="101" t="s">
        <v>292</v>
      </c>
      <c r="B12" s="101"/>
      <c r="C12" s="101"/>
      <c r="D12" s="101"/>
      <c r="E12" s="150" t="s">
        <v>291</v>
      </c>
      <c r="F12" s="151"/>
      <c r="G12" s="151"/>
      <c r="H12" s="151"/>
    </row>
    <row r="13" spans="1:8" ht="33.65" customHeight="1" x14ac:dyDescent="0.35">
      <c r="A13" s="103" t="s">
        <v>11</v>
      </c>
      <c r="B13" s="103"/>
      <c r="C13" s="103" t="str">
        <f>CONCATENATE((IF(OR(E8="",E8="NA"),"",E8)),", ",(IF(OR(A14="",A14="NA"),"",A14)),".",(IF(OR(C14="",C14="NA"),"",C14)),", ",(IF(OR(C15="",C15="NA"),"",C15)),", ",(IF(OR(G15="",G15="NA"),"",G15)),", ",(IF(OR(C16="",C16="NA"),"",C16)),", ",(IF(OR(C17="",C17="NA"),"",C17)),", ",(IF(OR(G16="",G16="NA"),"",G16)),".")</f>
        <v>Gulmohar - Vrindavan Flora, Gut No.17/1 B,18/1, 18/2, 19, 20, 21, 22, 24, 25, 26, 27 &amp; 28, Dand Apta Road, Chambharli, Khalapur, Khalapur, Raigad.</v>
      </c>
      <c r="D13" s="103"/>
      <c r="E13" s="103"/>
      <c r="F13" s="103"/>
      <c r="G13" s="103"/>
      <c r="H13" s="103"/>
    </row>
    <row r="14" spans="1:8" ht="15.75" customHeight="1" x14ac:dyDescent="0.35">
      <c r="A14" s="150" t="s">
        <v>236</v>
      </c>
      <c r="B14" s="150"/>
      <c r="C14" s="150" t="s">
        <v>235</v>
      </c>
      <c r="D14" s="150"/>
      <c r="E14" s="150"/>
      <c r="F14" s="150"/>
      <c r="G14" s="150"/>
      <c r="H14" s="150"/>
    </row>
    <row r="15" spans="1:8" ht="15.75" customHeight="1" x14ac:dyDescent="0.35">
      <c r="A15" s="103" t="s">
        <v>12</v>
      </c>
      <c r="B15" s="103"/>
      <c r="C15" s="151" t="s">
        <v>233</v>
      </c>
      <c r="D15" s="151"/>
      <c r="E15" s="103" t="s">
        <v>115</v>
      </c>
      <c r="F15" s="103"/>
      <c r="G15" s="150" t="s">
        <v>184</v>
      </c>
      <c r="H15" s="150"/>
    </row>
    <row r="16" spans="1:8" x14ac:dyDescent="0.35">
      <c r="A16" s="101" t="s">
        <v>14</v>
      </c>
      <c r="B16" s="101"/>
      <c r="C16" s="150" t="s">
        <v>185</v>
      </c>
      <c r="D16" s="150"/>
      <c r="E16" s="103" t="s">
        <v>13</v>
      </c>
      <c r="F16" s="103"/>
      <c r="G16" s="169" t="s">
        <v>179</v>
      </c>
      <c r="H16" s="169"/>
    </row>
    <row r="17" spans="1:8" x14ac:dyDescent="0.35">
      <c r="A17" s="101" t="s">
        <v>116</v>
      </c>
      <c r="B17" s="101"/>
      <c r="C17" s="150" t="s">
        <v>185</v>
      </c>
      <c r="D17" s="150"/>
      <c r="E17" s="103" t="s">
        <v>15</v>
      </c>
      <c r="F17" s="103"/>
      <c r="G17" s="150">
        <v>410202</v>
      </c>
      <c r="H17" s="150"/>
    </row>
    <row r="18" spans="1:8" ht="32.25" customHeight="1" x14ac:dyDescent="0.35">
      <c r="A18" s="101" t="s">
        <v>16</v>
      </c>
      <c r="B18" s="101"/>
      <c r="C18" s="168" t="s">
        <v>180</v>
      </c>
      <c r="D18" s="168"/>
      <c r="E18" s="103" t="s">
        <v>17</v>
      </c>
      <c r="F18" s="103"/>
      <c r="G18" s="150" t="s">
        <v>293</v>
      </c>
      <c r="H18" s="150"/>
    </row>
    <row r="19" spans="1:8" ht="15" customHeight="1" x14ac:dyDescent="0.35">
      <c r="A19" s="103" t="s">
        <v>122</v>
      </c>
      <c r="B19" s="103"/>
      <c r="C19" s="103"/>
      <c r="D19" s="103"/>
      <c r="E19" s="151" t="s">
        <v>18</v>
      </c>
      <c r="F19" s="151"/>
      <c r="G19" s="151"/>
      <c r="H19" s="151"/>
    </row>
    <row r="20" spans="1:8" ht="18.75" customHeight="1" x14ac:dyDescent="0.35">
      <c r="A20" s="103"/>
      <c r="B20" s="103"/>
      <c r="C20" s="103"/>
      <c r="D20" s="103"/>
      <c r="E20" s="151"/>
      <c r="F20" s="151"/>
      <c r="G20" s="151"/>
      <c r="H20" s="151"/>
    </row>
    <row r="21" spans="1:8" ht="15" customHeight="1" x14ac:dyDescent="0.35">
      <c r="A21" s="103" t="s">
        <v>19</v>
      </c>
      <c r="B21" s="103"/>
      <c r="C21" s="103"/>
      <c r="D21" s="103"/>
      <c r="E21" s="150" t="s">
        <v>20</v>
      </c>
      <c r="F21" s="150"/>
      <c r="G21" s="150"/>
      <c r="H21" s="150"/>
    </row>
    <row r="22" spans="1:8" ht="15" customHeight="1" x14ac:dyDescent="0.35">
      <c r="A22" s="101" t="s">
        <v>21</v>
      </c>
      <c r="B22" s="101"/>
      <c r="C22" s="101"/>
      <c r="D22" s="101"/>
      <c r="E22" s="150" t="s">
        <v>177</v>
      </c>
      <c r="F22" s="150"/>
      <c r="G22" s="150"/>
      <c r="H22" s="150"/>
    </row>
    <row r="23" spans="1:8" x14ac:dyDescent="0.35">
      <c r="A23" s="101" t="s">
        <v>22</v>
      </c>
      <c r="B23" s="101"/>
      <c r="C23" s="101"/>
      <c r="D23" s="101"/>
      <c r="E23" s="150" t="s">
        <v>23</v>
      </c>
      <c r="F23" s="150"/>
      <c r="G23" s="150"/>
      <c r="H23" s="150"/>
    </row>
    <row r="24" spans="1:8" x14ac:dyDescent="0.35">
      <c r="A24" s="101" t="s">
        <v>24</v>
      </c>
      <c r="B24" s="101"/>
      <c r="C24" s="101"/>
      <c r="D24" s="101"/>
      <c r="E24" s="150" t="s">
        <v>178</v>
      </c>
      <c r="F24" s="150"/>
      <c r="G24" s="150"/>
      <c r="H24" s="150"/>
    </row>
    <row r="25" spans="1:8" x14ac:dyDescent="0.35">
      <c r="A25" s="101" t="s">
        <v>25</v>
      </c>
      <c r="B25" s="101"/>
      <c r="C25" s="101"/>
      <c r="D25" s="101"/>
      <c r="E25" s="150" t="s">
        <v>26</v>
      </c>
      <c r="F25" s="150"/>
      <c r="G25" s="150"/>
      <c r="H25" s="150"/>
    </row>
    <row r="26" spans="1:8" x14ac:dyDescent="0.35">
      <c r="A26" s="101" t="s">
        <v>128</v>
      </c>
      <c r="B26" s="101"/>
      <c r="C26" s="101"/>
      <c r="D26" s="101"/>
      <c r="E26" s="150" t="s">
        <v>129</v>
      </c>
      <c r="F26" s="150"/>
      <c r="G26" s="150"/>
      <c r="H26" s="150"/>
    </row>
    <row r="27" spans="1:8" ht="15" customHeight="1" x14ac:dyDescent="0.35">
      <c r="A27" s="103" t="s">
        <v>37</v>
      </c>
      <c r="B27" s="103"/>
      <c r="C27" s="103"/>
      <c r="D27" s="103"/>
      <c r="E27" s="165" t="s">
        <v>189</v>
      </c>
      <c r="F27" s="165"/>
      <c r="G27" s="165"/>
      <c r="H27" s="165"/>
    </row>
    <row r="28" spans="1:8" x14ac:dyDescent="0.35">
      <c r="A28" s="103" t="s">
        <v>142</v>
      </c>
      <c r="B28" s="103"/>
      <c r="C28" s="103"/>
      <c r="D28" s="103"/>
      <c r="E28" s="103" t="s">
        <v>38</v>
      </c>
      <c r="F28" s="103"/>
      <c r="G28" s="103"/>
      <c r="H28" s="103"/>
    </row>
    <row r="29" spans="1:8" s="11" customFormat="1" x14ac:dyDescent="0.35">
      <c r="A29" s="166" t="s">
        <v>143</v>
      </c>
      <c r="B29" s="166"/>
      <c r="C29" s="167" t="s">
        <v>31</v>
      </c>
      <c r="D29" s="167"/>
      <c r="E29" s="167"/>
      <c r="F29" s="167" t="s">
        <v>33</v>
      </c>
      <c r="G29" s="167"/>
      <c r="H29" s="167"/>
    </row>
    <row r="30" spans="1:8" s="11" customFormat="1" x14ac:dyDescent="0.35">
      <c r="A30" s="164" t="s">
        <v>27</v>
      </c>
      <c r="B30" s="164" t="s">
        <v>32</v>
      </c>
      <c r="C30" s="147" t="s">
        <v>32</v>
      </c>
      <c r="D30" s="147"/>
      <c r="E30" s="147"/>
      <c r="F30" s="147" t="s">
        <v>182</v>
      </c>
      <c r="G30" s="147"/>
      <c r="H30" s="147"/>
    </row>
    <row r="31" spans="1:8" x14ac:dyDescent="0.35">
      <c r="A31" s="164" t="s">
        <v>28</v>
      </c>
      <c r="B31" s="164" t="s">
        <v>32</v>
      </c>
      <c r="C31" s="147" t="s">
        <v>32</v>
      </c>
      <c r="D31" s="147"/>
      <c r="E31" s="147"/>
      <c r="F31" s="147" t="s">
        <v>181</v>
      </c>
      <c r="G31" s="147"/>
      <c r="H31" s="147"/>
    </row>
    <row r="32" spans="1:8" s="11" customFormat="1" x14ac:dyDescent="0.35">
      <c r="A32" s="164" t="s">
        <v>30</v>
      </c>
      <c r="B32" s="164" t="s">
        <v>32</v>
      </c>
      <c r="C32" s="147" t="s">
        <v>32</v>
      </c>
      <c r="D32" s="147"/>
      <c r="E32" s="147"/>
      <c r="F32" s="147" t="s">
        <v>181</v>
      </c>
      <c r="G32" s="147"/>
      <c r="H32" s="147"/>
    </row>
    <row r="33" spans="1:8" x14ac:dyDescent="0.35">
      <c r="A33" s="164" t="s">
        <v>29</v>
      </c>
      <c r="B33" s="164" t="s">
        <v>32</v>
      </c>
      <c r="C33" s="147" t="s">
        <v>32</v>
      </c>
      <c r="D33" s="147"/>
      <c r="E33" s="147"/>
      <c r="F33" s="147" t="s">
        <v>183</v>
      </c>
      <c r="G33" s="147"/>
      <c r="H33" s="147"/>
    </row>
    <row r="34" spans="1:8" x14ac:dyDescent="0.35">
      <c r="A34" s="101" t="s">
        <v>34</v>
      </c>
      <c r="B34" s="101"/>
      <c r="C34" s="101"/>
      <c r="D34" s="101"/>
      <c r="E34" s="101"/>
      <c r="F34" s="101"/>
      <c r="G34" s="101"/>
      <c r="H34" s="101"/>
    </row>
    <row r="35" spans="1:8" ht="15.75" customHeight="1" x14ac:dyDescent="0.35">
      <c r="A35" s="124" t="s">
        <v>282</v>
      </c>
      <c r="B35" s="124"/>
      <c r="C35" s="199" t="s">
        <v>281</v>
      </c>
      <c r="D35" s="199"/>
      <c r="E35" s="199"/>
      <c r="F35" s="199"/>
      <c r="G35" s="199"/>
      <c r="H35" s="199"/>
    </row>
    <row r="36" spans="1:8" ht="15.75" customHeight="1" x14ac:dyDescent="0.35">
      <c r="A36" s="124" t="s">
        <v>283</v>
      </c>
      <c r="B36" s="124"/>
      <c r="C36" s="200" t="s">
        <v>284</v>
      </c>
      <c r="D36" s="201"/>
      <c r="E36" s="201"/>
      <c r="F36" s="201"/>
      <c r="G36" s="201"/>
      <c r="H36" s="201"/>
    </row>
    <row r="37" spans="1:8" x14ac:dyDescent="0.35">
      <c r="A37" s="130" t="s">
        <v>39</v>
      </c>
      <c r="B37" s="130"/>
      <c r="C37" s="130"/>
      <c r="D37" s="130"/>
      <c r="E37" s="130"/>
      <c r="F37" s="130"/>
      <c r="G37" s="130"/>
      <c r="H37" s="130"/>
    </row>
    <row r="38" spans="1:8" x14ac:dyDescent="0.35">
      <c r="A38" s="101" t="s">
        <v>40</v>
      </c>
      <c r="B38" s="101"/>
      <c r="C38" s="101"/>
      <c r="D38" s="101"/>
      <c r="E38" s="163">
        <v>47305</v>
      </c>
      <c r="F38" s="163"/>
      <c r="G38" s="163"/>
      <c r="H38" s="163"/>
    </row>
    <row r="39" spans="1:8" x14ac:dyDescent="0.35">
      <c r="A39" s="101" t="s">
        <v>41</v>
      </c>
      <c r="B39" s="101"/>
      <c r="C39" s="101"/>
      <c r="D39" s="101"/>
      <c r="E39" s="161">
        <v>0.2</v>
      </c>
      <c r="F39" s="161"/>
      <c r="G39" s="161"/>
      <c r="H39" s="161"/>
    </row>
    <row r="40" spans="1:8" x14ac:dyDescent="0.35">
      <c r="A40" s="101" t="s">
        <v>42</v>
      </c>
      <c r="B40" s="101"/>
      <c r="C40" s="101"/>
      <c r="D40" s="101"/>
      <c r="E40" s="161">
        <f>E42/E38-E39</f>
        <v>0.60907350174400166</v>
      </c>
      <c r="F40" s="161"/>
      <c r="G40" s="161"/>
      <c r="H40" s="161"/>
    </row>
    <row r="41" spans="1:8" x14ac:dyDescent="0.35">
      <c r="A41" s="101" t="s">
        <v>43</v>
      </c>
      <c r="B41" s="101"/>
      <c r="C41" s="101"/>
      <c r="D41" s="101"/>
      <c r="E41" s="161">
        <f>E39+E40</f>
        <v>0.80907350174400161</v>
      </c>
      <c r="F41" s="161"/>
      <c r="G41" s="161"/>
      <c r="H41" s="161"/>
    </row>
    <row r="42" spans="1:8" x14ac:dyDescent="0.35">
      <c r="A42" s="101" t="s">
        <v>141</v>
      </c>
      <c r="B42" s="101"/>
      <c r="C42" s="101"/>
      <c r="D42" s="101"/>
      <c r="E42" s="162">
        <v>38273.222000000002</v>
      </c>
      <c r="F42" s="162"/>
      <c r="G42" s="162"/>
      <c r="H42" s="162"/>
    </row>
    <row r="43" spans="1:8" x14ac:dyDescent="0.35">
      <c r="A43" s="151" t="s">
        <v>44</v>
      </c>
      <c r="B43" s="151"/>
      <c r="C43" s="151"/>
      <c r="D43" s="151"/>
      <c r="E43" s="151" t="s">
        <v>245</v>
      </c>
      <c r="F43" s="151"/>
      <c r="G43" s="151"/>
      <c r="H43" s="151"/>
    </row>
    <row r="44" spans="1:8" x14ac:dyDescent="0.35">
      <c r="A44" s="130" t="s">
        <v>45</v>
      </c>
      <c r="B44" s="130"/>
      <c r="C44" s="130"/>
      <c r="D44" s="130"/>
      <c r="E44" s="130"/>
      <c r="F44" s="130"/>
      <c r="G44" s="130"/>
      <c r="H44" s="130"/>
    </row>
    <row r="45" spans="1:8" ht="34.5" customHeight="1" x14ac:dyDescent="0.35">
      <c r="A45" s="150" t="s">
        <v>300</v>
      </c>
      <c r="B45" s="150"/>
      <c r="C45" s="132" t="s">
        <v>186</v>
      </c>
      <c r="D45" s="132"/>
      <c r="E45" s="132"/>
      <c r="F45" s="50" t="s">
        <v>47</v>
      </c>
      <c r="G45" s="150" t="s">
        <v>187</v>
      </c>
      <c r="H45" s="150"/>
    </row>
    <row r="46" spans="1:8" ht="31.5" hidden="1" customHeight="1" x14ac:dyDescent="0.35">
      <c r="A46" s="150" t="s">
        <v>299</v>
      </c>
      <c r="B46" s="150"/>
      <c r="C46" s="132" t="str">
        <f>C45</f>
        <v>MSRDC/SPA/Chambharli/Khalapur/BP-200/CC/2019/638</v>
      </c>
      <c r="D46" s="132"/>
      <c r="E46" s="132"/>
      <c r="F46" s="50" t="s">
        <v>47</v>
      </c>
      <c r="G46" s="150" t="str">
        <f>G45</f>
        <v>01/07/2019.</v>
      </c>
      <c r="H46" s="150"/>
    </row>
    <row r="47" spans="1:8" ht="33" customHeight="1" x14ac:dyDescent="0.35">
      <c r="A47" s="150" t="s">
        <v>311</v>
      </c>
      <c r="B47" s="150"/>
      <c r="C47" s="132" t="s">
        <v>294</v>
      </c>
      <c r="D47" s="132"/>
      <c r="E47" s="132"/>
      <c r="F47" s="50" t="s">
        <v>47</v>
      </c>
      <c r="G47" s="160">
        <v>44746</v>
      </c>
      <c r="H47" s="150"/>
    </row>
    <row r="48" spans="1:8" s="10" customFormat="1" ht="32.25" customHeight="1" x14ac:dyDescent="0.35">
      <c r="A48" s="150" t="s">
        <v>49</v>
      </c>
      <c r="B48" s="150"/>
      <c r="C48" s="132" t="s">
        <v>294</v>
      </c>
      <c r="D48" s="131"/>
      <c r="E48" s="131"/>
      <c r="F48" s="13" t="s">
        <v>47</v>
      </c>
      <c r="G48" s="153">
        <v>44746</v>
      </c>
      <c r="H48" s="131"/>
    </row>
    <row r="49" spans="1:11" s="10" customFormat="1" x14ac:dyDescent="0.35">
      <c r="A49" s="150"/>
      <c r="B49" s="150"/>
      <c r="C49" s="154" t="s">
        <v>295</v>
      </c>
      <c r="D49" s="155"/>
      <c r="E49" s="155"/>
      <c r="F49" s="155"/>
      <c r="G49" s="155"/>
      <c r="H49" s="156"/>
    </row>
    <row r="50" spans="1:11" x14ac:dyDescent="0.35">
      <c r="A50" s="137" t="s">
        <v>50</v>
      </c>
      <c r="B50" s="137"/>
      <c r="C50" s="157" t="s">
        <v>162</v>
      </c>
      <c r="D50" s="138"/>
      <c r="E50" s="138" t="s">
        <v>51</v>
      </c>
      <c r="F50" s="52" t="s">
        <v>47</v>
      </c>
      <c r="G50" s="158" t="s">
        <v>32</v>
      </c>
      <c r="H50" s="159"/>
    </row>
    <row r="51" spans="1:11" x14ac:dyDescent="0.35">
      <c r="A51" s="152" t="s">
        <v>53</v>
      </c>
      <c r="B51" s="152"/>
      <c r="C51" s="152"/>
      <c r="D51" s="152"/>
      <c r="E51" s="152"/>
      <c r="F51" s="152"/>
      <c r="G51" s="152"/>
      <c r="H51" s="152"/>
    </row>
    <row r="52" spans="1:11" x14ac:dyDescent="0.35">
      <c r="A52" s="103" t="s">
        <v>140</v>
      </c>
      <c r="B52" s="103"/>
      <c r="C52" s="103"/>
      <c r="D52" s="101">
        <f>E42</f>
        <v>38273.222000000002</v>
      </c>
      <c r="E52" s="101"/>
      <c r="F52" s="101"/>
      <c r="G52" s="101"/>
      <c r="H52" s="101"/>
    </row>
    <row r="53" spans="1:11" x14ac:dyDescent="0.35">
      <c r="A53" s="150" t="s">
        <v>54</v>
      </c>
      <c r="B53" s="151"/>
      <c r="C53" s="151"/>
      <c r="D53" s="151" t="s">
        <v>310</v>
      </c>
      <c r="E53" s="151"/>
      <c r="F53" s="151"/>
      <c r="G53" s="151"/>
      <c r="H53" s="151"/>
    </row>
    <row r="54" spans="1:11" x14ac:dyDescent="0.35">
      <c r="A54" s="150" t="s">
        <v>55</v>
      </c>
      <c r="B54" s="151"/>
      <c r="C54" s="151"/>
      <c r="D54" s="150" t="s">
        <v>301</v>
      </c>
      <c r="E54" s="151"/>
      <c r="F54" s="151"/>
      <c r="G54" s="151"/>
      <c r="H54" s="151"/>
    </row>
    <row r="55" spans="1:11" x14ac:dyDescent="0.35">
      <c r="A55" s="150" t="s">
        <v>138</v>
      </c>
      <c r="B55" s="151"/>
      <c r="C55" s="151"/>
      <c r="D55" s="150" t="s">
        <v>301</v>
      </c>
      <c r="E55" s="151"/>
      <c r="F55" s="151"/>
      <c r="G55" s="151"/>
      <c r="H55" s="151"/>
    </row>
    <row r="56" spans="1:11" x14ac:dyDescent="0.35">
      <c r="A56" s="101" t="s">
        <v>52</v>
      </c>
      <c r="B56" s="101"/>
      <c r="C56" s="101"/>
      <c r="D56" s="103" t="s">
        <v>305</v>
      </c>
      <c r="E56" s="103"/>
      <c r="F56" s="103"/>
      <c r="G56" s="103"/>
      <c r="H56" s="103"/>
    </row>
    <row r="57" spans="1:11" ht="15.75" customHeight="1" x14ac:dyDescent="0.35">
      <c r="A57" s="101" t="s">
        <v>135</v>
      </c>
      <c r="B57" s="101"/>
      <c r="C57" s="101"/>
      <c r="D57" s="103" t="s">
        <v>306</v>
      </c>
      <c r="E57" s="103"/>
      <c r="F57" s="103"/>
      <c r="G57" s="103"/>
      <c r="H57" s="103"/>
    </row>
    <row r="58" spans="1:11" ht="15.75" customHeight="1" x14ac:dyDescent="0.35">
      <c r="A58" s="101" t="s">
        <v>137</v>
      </c>
      <c r="B58" s="101"/>
      <c r="C58" s="101"/>
      <c r="D58" s="103" t="s">
        <v>26</v>
      </c>
      <c r="E58" s="103"/>
      <c r="F58" s="103"/>
      <c r="G58" s="103"/>
      <c r="H58" s="103"/>
      <c r="J58" s="21"/>
      <c r="K58" s="21"/>
    </row>
    <row r="59" spans="1:11" ht="15.75" customHeight="1" thickBot="1" x14ac:dyDescent="0.4">
      <c r="A59" s="133" t="s">
        <v>134</v>
      </c>
      <c r="B59" s="133"/>
      <c r="C59" s="133"/>
      <c r="D59" s="134" t="s">
        <v>307</v>
      </c>
      <c r="E59" s="134"/>
      <c r="F59" s="134"/>
      <c r="G59" s="134"/>
      <c r="H59" s="134"/>
      <c r="J59" s="21"/>
      <c r="K59" s="21"/>
    </row>
    <row r="60" spans="1:11" customFormat="1" ht="15.75" hidden="1" customHeight="1" x14ac:dyDescent="0.35">
      <c r="A60" s="139" t="s">
        <v>259</v>
      </c>
      <c r="B60" s="140"/>
      <c r="C60" s="141" t="s">
        <v>285</v>
      </c>
      <c r="D60" s="142"/>
      <c r="E60" s="142"/>
      <c r="F60" s="142"/>
      <c r="G60" s="142"/>
      <c r="H60" s="143"/>
      <c r="I60" s="29"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completed, RCC Slab, Brickwork, Internal Plaster, External Plaster, Flooring upto 12 Floor, Painting upto 10 Floor, Finishing upto 2 Floor Completed</v>
      </c>
      <c r="J60" s="30"/>
    </row>
    <row r="61" spans="1:11" customFormat="1" hidden="1" x14ac:dyDescent="0.35">
      <c r="A61" s="26" t="s">
        <v>112</v>
      </c>
      <c r="B61" s="51">
        <v>0</v>
      </c>
      <c r="C61" s="51" t="s">
        <v>114</v>
      </c>
      <c r="D61" s="51">
        <v>1</v>
      </c>
      <c r="E61" s="51" t="s">
        <v>113</v>
      </c>
      <c r="F61" s="51">
        <v>0</v>
      </c>
      <c r="G61" s="51" t="s">
        <v>127</v>
      </c>
      <c r="H61" s="54">
        <f ca="1">--TRIM(RIGHT(SUBSTITUTE(LEFT(C60,_xlfn.AGGREGATE(16,6,FIND({0,1,2,3,4,5,6,7,8,9},C60,ROW(INDIRECT("1:"&amp;LEN(C60)))),1))," ",REPT(" ",LEN(C60))),LEN(C60)))</f>
        <v>13</v>
      </c>
      <c r="I61" s="21"/>
      <c r="J61" s="32"/>
    </row>
    <row r="62" spans="1:11" customFormat="1" ht="50.25" hidden="1" customHeight="1" x14ac:dyDescent="0.35">
      <c r="A62" s="144" t="s">
        <v>139</v>
      </c>
      <c r="B62" s="136"/>
      <c r="C62" s="137" t="str">
        <f ca="1">I60</f>
        <v>Excavation work Completed. Plinth work completed, RCC Slab, Brickwork, Internal Plaster, External Plaster, Flooring upto 12 Floor, Painting upto 10 Floor, Finishing upto 2 Floor Completed</v>
      </c>
      <c r="D62" s="137"/>
      <c r="E62" s="137"/>
      <c r="F62" s="137"/>
      <c r="G62" s="137"/>
      <c r="H62" s="145"/>
      <c r="I62" s="21" t="s">
        <v>161</v>
      </c>
      <c r="J62" s="32"/>
    </row>
    <row r="63" spans="1:11" customFormat="1" ht="31" hidden="1" x14ac:dyDescent="0.35">
      <c r="A63" s="146" t="s">
        <v>56</v>
      </c>
      <c r="B63" s="147"/>
      <c r="C63" s="58" t="s">
        <v>260</v>
      </c>
      <c r="D63" s="58" t="s">
        <v>131</v>
      </c>
      <c r="E63" s="148" t="s">
        <v>133</v>
      </c>
      <c r="F63" s="148"/>
      <c r="G63" s="148" t="s">
        <v>132</v>
      </c>
      <c r="H63" s="149"/>
      <c r="I63" s="69" t="s">
        <v>261</v>
      </c>
      <c r="J63" s="33">
        <f ca="1">H61*25%</f>
        <v>3.25</v>
      </c>
    </row>
    <row r="64" spans="1:11" customFormat="1" hidden="1" x14ac:dyDescent="0.35">
      <c r="A64" s="146" t="s">
        <v>262</v>
      </c>
      <c r="B64" s="147"/>
      <c r="C64" s="59">
        <f ca="1">J65</f>
        <v>13</v>
      </c>
      <c r="D64" s="78">
        <f ca="1">((100/H61)*C64)/100</f>
        <v>1</v>
      </c>
      <c r="E64" s="173">
        <f ca="1">(((C65/H61*10)+(40/(D61+F61+H61)*C66)+(7.5/(H61)*C67)+(7.5/(H61)*C68)+(10/H61*C69)+(10/H61*C70)+(5/H61*C71)+(5/H61*C72)+(5/H61*C73))/100)</f>
        <v>0.88846153846153841</v>
      </c>
      <c r="F64" s="173"/>
      <c r="G64" s="173">
        <f ca="1">((((C64/H61)*20)+((C65/H61)*25)+(30/(H61+F61+D61)*C66)+(5/H61*C67)+(5/H61*C68)+(5/H61*C69)+(5/H61*C70)+(0/H61*C71)+(0/H61*C72)+(5/H61*C73))/100)</f>
        <v>0.94615384615384612</v>
      </c>
      <c r="H64" s="175"/>
      <c r="I64" s="69" t="s">
        <v>152</v>
      </c>
      <c r="J64" s="70">
        <f ca="1">H61*50%</f>
        <v>6.5</v>
      </c>
    </row>
    <row r="65" spans="1:14" customFormat="1" hidden="1" x14ac:dyDescent="0.35">
      <c r="A65" s="146" t="s">
        <v>57</v>
      </c>
      <c r="B65" s="147"/>
      <c r="C65" s="60">
        <f ca="1">J73</f>
        <v>13</v>
      </c>
      <c r="D65" s="78">
        <f ca="1">((100/H61)*C65)/100</f>
        <v>1</v>
      </c>
      <c r="E65" s="173"/>
      <c r="F65" s="173"/>
      <c r="G65" s="173"/>
      <c r="H65" s="175"/>
      <c r="I65" s="69" t="s">
        <v>153</v>
      </c>
      <c r="J65" s="70">
        <f ca="1">H61</f>
        <v>13</v>
      </c>
    </row>
    <row r="66" spans="1:14" customFormat="1" hidden="1" x14ac:dyDescent="0.35">
      <c r="A66" s="146" t="s">
        <v>263</v>
      </c>
      <c r="B66" s="147"/>
      <c r="C66" s="60">
        <v>14</v>
      </c>
      <c r="D66" s="78">
        <f ca="1">((100/(D61+F61+H61))*C66)/100</f>
        <v>1</v>
      </c>
      <c r="E66" s="173"/>
      <c r="F66" s="173"/>
      <c r="G66" s="173"/>
      <c r="H66" s="175"/>
      <c r="I66" s="69" t="s">
        <v>154</v>
      </c>
      <c r="J66" s="71">
        <f ca="1">(IF(B61&gt;1,(H61/(B61+2)),H61/4))</f>
        <v>3.25</v>
      </c>
      <c r="L66" s="72"/>
    </row>
    <row r="67" spans="1:14" customFormat="1" ht="15.75" hidden="1" customHeight="1" x14ac:dyDescent="0.35">
      <c r="A67" s="146" t="s">
        <v>264</v>
      </c>
      <c r="B67" s="147" t="s">
        <v>265</v>
      </c>
      <c r="C67" s="59">
        <v>13</v>
      </c>
      <c r="D67" s="78">
        <f ca="1">((100/H61)*C67)/100</f>
        <v>1</v>
      </c>
      <c r="E67" s="173"/>
      <c r="F67" s="173"/>
      <c r="G67" s="173"/>
      <c r="H67" s="175"/>
      <c r="I67" s="69" t="s">
        <v>155</v>
      </c>
      <c r="J67" s="71">
        <f ca="1">(IF(B61&gt;1,(H61/(B61+2)+J66),H61/4+J66))</f>
        <v>6.5</v>
      </c>
      <c r="L67" s="72"/>
    </row>
    <row r="68" spans="1:14" customFormat="1" ht="15.75" hidden="1" customHeight="1" x14ac:dyDescent="0.35">
      <c r="A68" s="146" t="s">
        <v>266</v>
      </c>
      <c r="B68" s="147" t="s">
        <v>265</v>
      </c>
      <c r="C68" s="59">
        <v>13</v>
      </c>
      <c r="D68" s="78">
        <f ca="1">((100/H61)*C68)/100</f>
        <v>1</v>
      </c>
      <c r="E68" s="173"/>
      <c r="F68" s="173"/>
      <c r="G68" s="173"/>
      <c r="H68" s="175"/>
      <c r="I68" s="69" t="s">
        <v>267</v>
      </c>
      <c r="J68" s="71">
        <f>(IF(B61&gt;1,(H61/(B61+2)+J67),0))</f>
        <v>0</v>
      </c>
      <c r="L68" s="73"/>
      <c r="N68" s="72"/>
    </row>
    <row r="69" spans="1:14" customFormat="1" ht="15.75" hidden="1" customHeight="1" x14ac:dyDescent="0.35">
      <c r="A69" s="146" t="s">
        <v>268</v>
      </c>
      <c r="B69" s="147" t="s">
        <v>269</v>
      </c>
      <c r="C69" s="59">
        <v>13</v>
      </c>
      <c r="D69" s="78">
        <f ca="1">((100/(H61))*C69)/100</f>
        <v>1</v>
      </c>
      <c r="E69" s="173"/>
      <c r="F69" s="173"/>
      <c r="G69" s="173"/>
      <c r="H69" s="175"/>
      <c r="I69" s="69" t="s">
        <v>270</v>
      </c>
      <c r="J69" s="71">
        <f>(IF(B61&gt;2,(H61/(B61+2)+J68),0))</f>
        <v>0</v>
      </c>
      <c r="K69" s="74"/>
      <c r="L69" s="73"/>
    </row>
    <row r="70" spans="1:14" customFormat="1" ht="15.75" hidden="1" customHeight="1" x14ac:dyDescent="0.35">
      <c r="A70" s="146" t="s">
        <v>271</v>
      </c>
      <c r="B70" s="147" t="s">
        <v>271</v>
      </c>
      <c r="C70" s="59">
        <v>12</v>
      </c>
      <c r="D70" s="78">
        <f ca="1">((100/H61)*C70)/100</f>
        <v>0.92307692307692302</v>
      </c>
      <c r="E70" s="173"/>
      <c r="F70" s="173"/>
      <c r="G70" s="173"/>
      <c r="H70" s="175"/>
      <c r="I70" s="69" t="s">
        <v>272</v>
      </c>
      <c r="J70" s="75">
        <f>(IF(B61&gt;3,(H61/(B61+2)+J69),0))</f>
        <v>0</v>
      </c>
      <c r="K70" s="74"/>
      <c r="L70" s="73"/>
    </row>
    <row r="71" spans="1:14" customFormat="1" ht="15.75" hidden="1" customHeight="1" x14ac:dyDescent="0.35">
      <c r="A71" s="146" t="s">
        <v>273</v>
      </c>
      <c r="B71" s="147"/>
      <c r="C71" s="59">
        <v>10</v>
      </c>
      <c r="D71" s="78">
        <f ca="1">((100/H61)*C71)/100</f>
        <v>0.76923076923076916</v>
      </c>
      <c r="E71" s="173"/>
      <c r="F71" s="173"/>
      <c r="G71" s="173"/>
      <c r="H71" s="175"/>
      <c r="I71" s="69" t="s">
        <v>274</v>
      </c>
      <c r="J71" s="71">
        <f>(IF(B61&gt;4,(H61/(B61+2)+J70),0))</f>
        <v>0</v>
      </c>
      <c r="K71" s="72"/>
      <c r="L71" s="73"/>
    </row>
    <row r="72" spans="1:14" customFormat="1" ht="15.75" hidden="1" customHeight="1" x14ac:dyDescent="0.35">
      <c r="A72" s="177" t="s">
        <v>275</v>
      </c>
      <c r="B72" s="148" t="s">
        <v>275</v>
      </c>
      <c r="C72" s="59">
        <v>2</v>
      </c>
      <c r="D72" s="78">
        <f ca="1">((100/(H61))*C72)/100</f>
        <v>0.15384615384615385</v>
      </c>
      <c r="E72" s="173"/>
      <c r="F72" s="173"/>
      <c r="G72" s="173"/>
      <c r="H72" s="175"/>
      <c r="I72" s="69" t="s">
        <v>156</v>
      </c>
      <c r="J72" s="71">
        <f ca="1">(IF(B61=1,(H61/(B61+3)+J67),IF(B61=0,(H61/4+J67),IF(B61&gt;1,0))))</f>
        <v>9.75</v>
      </c>
      <c r="K72" s="74"/>
      <c r="L72" s="73"/>
    </row>
    <row r="73" spans="1:14" customFormat="1" ht="16" hidden="1" thickBot="1" x14ac:dyDescent="0.4">
      <c r="A73" s="178" t="s">
        <v>276</v>
      </c>
      <c r="B73" s="179"/>
      <c r="C73" s="61">
        <v>0</v>
      </c>
      <c r="D73" s="79">
        <f ca="1">((100/(H61))*C73)/100</f>
        <v>0</v>
      </c>
      <c r="E73" s="174"/>
      <c r="F73" s="174"/>
      <c r="G73" s="174"/>
      <c r="H73" s="176"/>
      <c r="I73" s="76" t="s">
        <v>157</v>
      </c>
      <c r="J73" s="77">
        <f ca="1">(IF(B61&gt;1.5,(H61/(B61+2)+J67+MAX(0,J68-J67)+MAX(0,J69-J68)+MAX(0,J70-J69)+MAX(0,J71-J70)+MAX(0,J72-J71)),IF(B61=1,(H61/(B61+3)+J72),IF(B61=0,H61/4+J72))))</f>
        <v>13</v>
      </c>
      <c r="K73" s="74"/>
      <c r="L73" s="73"/>
    </row>
    <row r="74" spans="1:14" customFormat="1" ht="15.75" customHeight="1" x14ac:dyDescent="0.35">
      <c r="A74" s="139" t="s">
        <v>259</v>
      </c>
      <c r="B74" s="140"/>
      <c r="C74" s="141" t="str">
        <f>D55</f>
        <v>Wing C &amp; D - Gr + 1st to 13th Floor</v>
      </c>
      <c r="D74" s="142"/>
      <c r="E74" s="142"/>
      <c r="F74" s="142"/>
      <c r="G74" s="142"/>
      <c r="H74" s="143"/>
      <c r="I74" s="29" t="str">
        <f ca="1">(IF(E78&gt;99%,"All work completed. Please provide OC.",IF(E78&gt;89.8%,"Plinth, RCC, Brick, Plaster, Flooring, Painting work Completed. Finishing work is in process.",IF(E78&lt;94%,(IF(C78=0,"Work not yet Started.",IF(D78=25%,"Piling work in process",IF(D78=50%,"Excavation work in process",IF(D78=100%,"Excavation work Completed. ","0")))&amp;(IF(C79=0%,"",IF(C79=J80,"Footing work is process",IF(C79=J81,"Footing work Completed",IF(C79=J82,"1st Basement Completed",IF(C79=J83,"1st &amp; 2nd Basement Completed",IF(C79=J84,"1st to 3rd Basement Completed",IF(C79=J85,"1st to 4th Basement Completed",IF(C79=J86,"Plinth work is process",IF(C79=J87,"Plinth work completed","0")))))))))))&amp;(IF(C80=(D75+F75+H75),", RCC Slab",IF(C80&gt;0,", RCC upto "&amp;C80&amp;" Slab",""))&amp;(IF(C81=H75,", Brickwork",IF(C81&gt;0,", Brickwork upto "&amp;C81&amp;" Floor",""))&amp;(IF(C82=H75,", Internal Plaster",IF(C82&gt;0,", Internal Plaster upto "&amp;C82&amp;" Floor",""))&amp;(IF(C83=H75,", External Plaster",IF(C83&gt;0,", External Plaster upto "&amp;C83&amp;" Floor",""))&amp;(IF(C84=H75,", Flooring",IF(C84&gt;0,", Flooring upto "&amp;C84&amp;" Floor",""))&amp;(IF(C85=H75,", Painting",IF(C85&gt;0,", Painting upto "&amp;C85&amp;" Floor",""))&amp;(IF(C86&gt;0,", Finishing upto "&amp;C86&amp;" Floor","")&amp;(IF(C80&gt;0.5," Completed",""))))))))))))))</f>
        <v>All work completed. Please provide OC.</v>
      </c>
      <c r="J74" s="30"/>
    </row>
    <row r="75" spans="1:14" customFormat="1" x14ac:dyDescent="0.35">
      <c r="A75" s="26" t="s">
        <v>112</v>
      </c>
      <c r="B75" s="51">
        <v>0</v>
      </c>
      <c r="C75" s="51" t="s">
        <v>114</v>
      </c>
      <c r="D75" s="51">
        <v>1</v>
      </c>
      <c r="E75" s="51" t="s">
        <v>113</v>
      </c>
      <c r="F75" s="51">
        <v>0</v>
      </c>
      <c r="G75" s="51" t="s">
        <v>127</v>
      </c>
      <c r="H75" s="54">
        <f ca="1">--TRIM(RIGHT(SUBSTITUTE(LEFT(C74,_xlfn.AGGREGATE(16,6,FIND({0,1,2,3,4,5,6,7,8,9},C74,ROW(INDIRECT("1:"&amp;LEN(C74)))),1))," ",REPT(" ",LEN(C74))),LEN(C74)))</f>
        <v>13</v>
      </c>
      <c r="I75" s="21"/>
      <c r="J75" s="32"/>
    </row>
    <row r="76" spans="1:14" customFormat="1" ht="20.5" customHeight="1" x14ac:dyDescent="0.35">
      <c r="A76" s="202" t="s">
        <v>139</v>
      </c>
      <c r="B76" s="203"/>
      <c r="C76" s="204" t="str">
        <f ca="1">I74</f>
        <v>All work completed. Please provide OC.</v>
      </c>
      <c r="D76" s="204"/>
      <c r="E76" s="204"/>
      <c r="F76" s="204"/>
      <c r="G76" s="204"/>
      <c r="H76" s="205"/>
      <c r="I76" s="21" t="s">
        <v>161</v>
      </c>
      <c r="J76" s="32"/>
    </row>
    <row r="77" spans="1:14" customFormat="1" x14ac:dyDescent="0.35">
      <c r="A77" s="146" t="s">
        <v>56</v>
      </c>
      <c r="B77" s="147"/>
      <c r="C77" s="58" t="s">
        <v>260</v>
      </c>
      <c r="D77" s="80" t="s">
        <v>131</v>
      </c>
      <c r="E77" s="148" t="s">
        <v>133</v>
      </c>
      <c r="F77" s="148"/>
      <c r="G77" s="148" t="s">
        <v>132</v>
      </c>
      <c r="H77" s="149"/>
      <c r="I77" s="69" t="s">
        <v>261</v>
      </c>
      <c r="J77" s="33">
        <f ca="1">H75*25%</f>
        <v>3.25</v>
      </c>
    </row>
    <row r="78" spans="1:14" customFormat="1" x14ac:dyDescent="0.35">
      <c r="A78" s="146" t="s">
        <v>262</v>
      </c>
      <c r="B78" s="147"/>
      <c r="C78" s="59">
        <f ca="1">J79</f>
        <v>13</v>
      </c>
      <c r="D78" s="78">
        <f ca="1">((100/H75)*C78)/100</f>
        <v>1</v>
      </c>
      <c r="E78" s="173">
        <f ca="1">(((C79/H75*10)+(40/(D75+F75+H75)*C80)+(7.5/(H75)*C81)+(7.5/(H75)*C82)+(10/H75*C83)+(10/H75*C84)+(5/H75*C85)+(5/H75*C86)+(5/H75*C87))/100)</f>
        <v>1</v>
      </c>
      <c r="F78" s="173"/>
      <c r="G78" s="173">
        <f ca="1">((((C78/H75)*20)+((C79/H75)*25)+(30/(H75+F75+D75)*C80)+(5/H75*C81)+(5/H75*C82)+(5/H75*C83)+(5/H75*C84)+(0/H75*C85)+(0/H75*C86)+(5/H75*C87))/100)</f>
        <v>1</v>
      </c>
      <c r="H78" s="175"/>
      <c r="I78" s="69" t="s">
        <v>152</v>
      </c>
      <c r="J78" s="70">
        <f ca="1">H75*50%</f>
        <v>6.5</v>
      </c>
    </row>
    <row r="79" spans="1:14" customFormat="1" x14ac:dyDescent="0.35">
      <c r="A79" s="146" t="s">
        <v>57</v>
      </c>
      <c r="B79" s="147"/>
      <c r="C79" s="60">
        <f ca="1">J87</f>
        <v>13</v>
      </c>
      <c r="D79" s="78">
        <f ca="1">((100/H75)*C79)/100</f>
        <v>1</v>
      </c>
      <c r="E79" s="173"/>
      <c r="F79" s="173"/>
      <c r="G79" s="173"/>
      <c r="H79" s="175"/>
      <c r="I79" s="69" t="s">
        <v>153</v>
      </c>
      <c r="J79" s="70">
        <f ca="1">H75</f>
        <v>13</v>
      </c>
    </row>
    <row r="80" spans="1:14" customFormat="1" x14ac:dyDescent="0.35">
      <c r="A80" s="146" t="s">
        <v>263</v>
      </c>
      <c r="B80" s="147"/>
      <c r="C80" s="60">
        <v>14</v>
      </c>
      <c r="D80" s="78">
        <f ca="1">((100/(D75+F75+H75))*C80)/100</f>
        <v>1</v>
      </c>
      <c r="E80" s="173"/>
      <c r="F80" s="173"/>
      <c r="G80" s="173"/>
      <c r="H80" s="175"/>
      <c r="I80" s="69" t="s">
        <v>154</v>
      </c>
      <c r="J80" s="71">
        <f ca="1">(IF(B75&gt;1,(H75/(B75+2)),H75/4))</f>
        <v>3.25</v>
      </c>
      <c r="L80" s="72"/>
    </row>
    <row r="81" spans="1:15" customFormat="1" ht="15.75" customHeight="1" x14ac:dyDescent="0.35">
      <c r="A81" s="146" t="s">
        <v>264</v>
      </c>
      <c r="B81" s="147" t="s">
        <v>265</v>
      </c>
      <c r="C81" s="59">
        <v>13</v>
      </c>
      <c r="D81" s="78">
        <f ca="1">((100/H75)*C81)/100</f>
        <v>1</v>
      </c>
      <c r="E81" s="173"/>
      <c r="F81" s="173"/>
      <c r="G81" s="173"/>
      <c r="H81" s="175"/>
      <c r="I81" s="69" t="s">
        <v>155</v>
      </c>
      <c r="J81" s="71">
        <f ca="1">(IF(B75&gt;1,(H75/(B75+2)+J80),H75/4+J80))</f>
        <v>6.5</v>
      </c>
      <c r="L81" s="72"/>
    </row>
    <row r="82" spans="1:15" customFormat="1" ht="15.75" customHeight="1" x14ac:dyDescent="0.35">
      <c r="A82" s="146" t="s">
        <v>266</v>
      </c>
      <c r="B82" s="147" t="s">
        <v>265</v>
      </c>
      <c r="C82" s="59">
        <v>13</v>
      </c>
      <c r="D82" s="78">
        <f ca="1">((100/H75)*C82)/100</f>
        <v>1</v>
      </c>
      <c r="E82" s="173"/>
      <c r="F82" s="173"/>
      <c r="G82" s="173"/>
      <c r="H82" s="175"/>
      <c r="I82" s="69" t="s">
        <v>267</v>
      </c>
      <c r="J82" s="71">
        <f>(IF(B75&gt;1,(H75/(B75+2)+J81),0))</f>
        <v>0</v>
      </c>
      <c r="L82" s="73"/>
      <c r="N82" s="72"/>
    </row>
    <row r="83" spans="1:15" customFormat="1" ht="15.75" customHeight="1" x14ac:dyDescent="0.35">
      <c r="A83" s="146" t="s">
        <v>268</v>
      </c>
      <c r="B83" s="147" t="s">
        <v>269</v>
      </c>
      <c r="C83" s="59">
        <v>13</v>
      </c>
      <c r="D83" s="78">
        <f ca="1">((100/(H75))*C83)/100</f>
        <v>1</v>
      </c>
      <c r="E83" s="173"/>
      <c r="F83" s="173"/>
      <c r="G83" s="173"/>
      <c r="H83" s="175"/>
      <c r="I83" s="69" t="s">
        <v>270</v>
      </c>
      <c r="J83" s="71">
        <f>(IF(B75&gt;2,(H75/(B75+2)+J82),0))</f>
        <v>0</v>
      </c>
      <c r="K83" s="74"/>
      <c r="L83" s="73"/>
    </row>
    <row r="84" spans="1:15" customFormat="1" ht="15.75" customHeight="1" x14ac:dyDescent="0.35">
      <c r="A84" s="146" t="s">
        <v>271</v>
      </c>
      <c r="B84" s="147" t="s">
        <v>271</v>
      </c>
      <c r="C84" s="59">
        <v>13</v>
      </c>
      <c r="D84" s="78">
        <f ca="1">((100/H75)*C84)/100</f>
        <v>1</v>
      </c>
      <c r="E84" s="173"/>
      <c r="F84" s="173"/>
      <c r="G84" s="173"/>
      <c r="H84" s="175"/>
      <c r="I84" s="69" t="s">
        <v>272</v>
      </c>
      <c r="J84" s="75">
        <f>(IF(B75&gt;3,(H75/(B75+2)+J83),0))</f>
        <v>0</v>
      </c>
      <c r="K84" s="74"/>
      <c r="L84" s="73"/>
    </row>
    <row r="85" spans="1:15" customFormat="1" ht="15.75" customHeight="1" x14ac:dyDescent="0.35">
      <c r="A85" s="146" t="s">
        <v>273</v>
      </c>
      <c r="B85" s="147"/>
      <c r="C85" s="59">
        <v>13</v>
      </c>
      <c r="D85" s="78">
        <f ca="1">((100/H75)*C85)/100</f>
        <v>1</v>
      </c>
      <c r="E85" s="173"/>
      <c r="F85" s="173"/>
      <c r="G85" s="173"/>
      <c r="H85" s="175"/>
      <c r="I85" s="69" t="s">
        <v>274</v>
      </c>
      <c r="J85" s="71">
        <f>(IF(B75&gt;4,(H75/(B75+2)+J84),0))</f>
        <v>0</v>
      </c>
      <c r="K85" s="72"/>
      <c r="L85" s="73"/>
    </row>
    <row r="86" spans="1:15" customFormat="1" ht="15.75" customHeight="1" x14ac:dyDescent="0.35">
      <c r="A86" s="177" t="s">
        <v>275</v>
      </c>
      <c r="B86" s="148" t="s">
        <v>275</v>
      </c>
      <c r="C86" s="59">
        <v>13</v>
      </c>
      <c r="D86" s="78">
        <f ca="1">((100/(H75))*C86)/100</f>
        <v>1</v>
      </c>
      <c r="E86" s="173"/>
      <c r="F86" s="173"/>
      <c r="G86" s="173"/>
      <c r="H86" s="175"/>
      <c r="I86" s="69" t="s">
        <v>156</v>
      </c>
      <c r="J86" s="71">
        <f ca="1">(IF(B75=1,(H75/(B75+3)+J81),IF(B75=0,(H75/4+J81),IF(B75&gt;1,0))))</f>
        <v>9.75</v>
      </c>
      <c r="K86" s="74"/>
      <c r="L86" s="73"/>
    </row>
    <row r="87" spans="1:15" customFormat="1" ht="16" thickBot="1" x14ac:dyDescent="0.4">
      <c r="A87" s="206" t="s">
        <v>276</v>
      </c>
      <c r="B87" s="207"/>
      <c r="C87" s="208">
        <v>13</v>
      </c>
      <c r="D87" s="209">
        <f ca="1">((100/(H75))*C87)/100</f>
        <v>1</v>
      </c>
      <c r="E87" s="210"/>
      <c r="F87" s="210"/>
      <c r="G87" s="210"/>
      <c r="H87" s="211"/>
      <c r="I87" s="76" t="s">
        <v>157</v>
      </c>
      <c r="J87" s="77">
        <f ca="1">(IF(B75&gt;1.5,(H75/(B75+2)+J81+MAX(0,J82-J81)+MAX(0,J83-J82)+MAX(0,J84-J83)+MAX(0,J85-J84)+MAX(0,J86-J85)),IF(B75=1,(H75/(B75+3)+J86),IF(B75=0,H75/4+J86))))</f>
        <v>13</v>
      </c>
      <c r="K87" s="74"/>
      <c r="L87" s="73"/>
    </row>
    <row r="88" spans="1:15" x14ac:dyDescent="0.35">
      <c r="A88" s="151" t="s">
        <v>308</v>
      </c>
      <c r="B88" s="151"/>
      <c r="C88" s="151"/>
      <c r="D88" s="151"/>
      <c r="E88" s="151"/>
      <c r="F88" s="151"/>
      <c r="G88" s="151"/>
      <c r="H88" s="151"/>
    </row>
    <row r="89" spans="1:15" x14ac:dyDescent="0.35">
      <c r="A89" s="101" t="s">
        <v>63</v>
      </c>
      <c r="B89" s="101"/>
      <c r="C89" s="101"/>
      <c r="D89" s="101"/>
      <c r="E89" s="101"/>
      <c r="F89" s="101"/>
      <c r="G89" s="101"/>
      <c r="H89" s="101"/>
    </row>
    <row r="90" spans="1:15" ht="15" customHeight="1" x14ac:dyDescent="0.35">
      <c r="A90" s="136" t="s">
        <v>117</v>
      </c>
      <c r="B90" s="136"/>
      <c r="C90" s="137" t="s">
        <v>118</v>
      </c>
      <c r="D90" s="137"/>
      <c r="E90" s="137"/>
      <c r="F90" s="137"/>
      <c r="G90" s="137"/>
      <c r="H90" s="137"/>
    </row>
    <row r="91" spans="1:15" x14ac:dyDescent="0.35">
      <c r="A91" s="130" t="s">
        <v>64</v>
      </c>
      <c r="B91" s="130"/>
      <c r="C91" s="130"/>
      <c r="D91" s="130"/>
      <c r="E91" s="130"/>
      <c r="F91" s="130"/>
      <c r="G91" s="130"/>
      <c r="H91" s="130"/>
    </row>
    <row r="92" spans="1:15" x14ac:dyDescent="0.35">
      <c r="A92" s="101" t="s">
        <v>119</v>
      </c>
      <c r="B92" s="101"/>
      <c r="C92" s="101"/>
      <c r="D92" s="101"/>
      <c r="E92" s="101"/>
      <c r="F92" s="138">
        <v>4400</v>
      </c>
      <c r="G92" s="138"/>
      <c r="H92" s="138"/>
      <c r="J92" s="81" t="s">
        <v>288</v>
      </c>
      <c r="K92" s="82">
        <v>45181</v>
      </c>
      <c r="L92" s="81" t="s">
        <v>289</v>
      </c>
      <c r="M92" s="81" t="s">
        <v>290</v>
      </c>
      <c r="N92" s="81"/>
      <c r="O92" s="81"/>
    </row>
    <row r="93" spans="1:15" s="12" customFormat="1" x14ac:dyDescent="0.3">
      <c r="A93" s="101" t="s">
        <v>144</v>
      </c>
      <c r="B93" s="101"/>
      <c r="C93" s="101"/>
      <c r="D93" s="101"/>
      <c r="E93" s="101"/>
      <c r="F93" s="131" t="s">
        <v>255</v>
      </c>
      <c r="G93" s="131"/>
      <c r="H93" s="131"/>
    </row>
    <row r="94" spans="1:15" s="12" customFormat="1" x14ac:dyDescent="0.3">
      <c r="A94" s="101" t="s">
        <v>145</v>
      </c>
      <c r="B94" s="101"/>
      <c r="C94" s="101"/>
      <c r="D94" s="101"/>
      <c r="E94" s="101"/>
      <c r="F94" s="132" t="s">
        <v>277</v>
      </c>
      <c r="G94" s="131"/>
      <c r="H94" s="131"/>
    </row>
    <row r="95" spans="1:15" s="12" customFormat="1" x14ac:dyDescent="0.3">
      <c r="A95" s="101" t="s">
        <v>254</v>
      </c>
      <c r="B95" s="101"/>
      <c r="C95" s="101"/>
      <c r="D95" s="101"/>
      <c r="E95" s="101"/>
      <c r="F95" s="132" t="s">
        <v>278</v>
      </c>
      <c r="G95" s="131"/>
      <c r="H95" s="131"/>
    </row>
    <row r="96" spans="1:15" s="12" customFormat="1" hidden="1" x14ac:dyDescent="0.3">
      <c r="A96" s="101" t="s">
        <v>252</v>
      </c>
      <c r="B96" s="101"/>
      <c r="C96" s="101"/>
      <c r="D96" s="101"/>
      <c r="E96" s="101"/>
      <c r="F96" s="131" t="s">
        <v>253</v>
      </c>
      <c r="G96" s="131"/>
      <c r="H96" s="131"/>
      <c r="I96" s="12">
        <f>2000*24</f>
        <v>48000</v>
      </c>
    </row>
    <row r="97" spans="1:9" s="12" customFormat="1" hidden="1" x14ac:dyDescent="0.3">
      <c r="A97" s="101" t="s">
        <v>148</v>
      </c>
      <c r="B97" s="101"/>
      <c r="C97" s="101"/>
      <c r="D97" s="101"/>
      <c r="E97" s="101"/>
      <c r="F97" s="131" t="s">
        <v>32</v>
      </c>
      <c r="G97" s="131"/>
      <c r="H97" s="131"/>
    </row>
    <row r="98" spans="1:9" s="12" customFormat="1" hidden="1" x14ac:dyDescent="0.3">
      <c r="A98" s="101" t="s">
        <v>149</v>
      </c>
      <c r="B98" s="101"/>
      <c r="C98" s="101"/>
      <c r="D98" s="101"/>
      <c r="E98" s="101"/>
      <c r="F98" s="131" t="s">
        <v>32</v>
      </c>
      <c r="G98" s="131"/>
      <c r="H98" s="131"/>
    </row>
    <row r="99" spans="1:9" s="12" customFormat="1" hidden="1" x14ac:dyDescent="0.3">
      <c r="A99" s="101" t="s">
        <v>150</v>
      </c>
      <c r="B99" s="101"/>
      <c r="C99" s="101"/>
      <c r="D99" s="101"/>
      <c r="E99" s="101"/>
      <c r="F99" s="131" t="s">
        <v>32</v>
      </c>
      <c r="G99" s="131"/>
      <c r="H99" s="131"/>
    </row>
    <row r="100" spans="1:9" s="12" customFormat="1" x14ac:dyDescent="0.3">
      <c r="A100" s="101" t="s">
        <v>280</v>
      </c>
      <c r="B100" s="101"/>
      <c r="C100" s="101"/>
      <c r="D100" s="101"/>
      <c r="E100" s="101"/>
      <c r="F100" s="131" t="s">
        <v>279</v>
      </c>
      <c r="G100" s="131"/>
      <c r="H100" s="131"/>
    </row>
    <row r="101" spans="1:9" x14ac:dyDescent="0.35">
      <c r="A101" s="101" t="s">
        <v>65</v>
      </c>
      <c r="B101" s="101"/>
      <c r="C101" s="101"/>
      <c r="D101" s="101"/>
      <c r="E101" s="101"/>
      <c r="F101" s="132" t="s">
        <v>287</v>
      </c>
      <c r="G101" s="132"/>
      <c r="H101" s="132"/>
    </row>
    <row r="102" spans="1:9" s="9" customFormat="1" x14ac:dyDescent="0.35">
      <c r="A102" s="130" t="s">
        <v>66</v>
      </c>
      <c r="B102" s="130"/>
      <c r="C102" s="130"/>
      <c r="D102" s="130"/>
      <c r="E102" s="130"/>
      <c r="F102" s="131">
        <f>F92*0.8</f>
        <v>3520</v>
      </c>
      <c r="G102" s="131"/>
      <c r="H102" s="131"/>
    </row>
    <row r="103" spans="1:9" s="1" customFormat="1" ht="15.75" hidden="1" customHeight="1" x14ac:dyDescent="0.35">
      <c r="A103" s="121" t="s">
        <v>120</v>
      </c>
      <c r="B103" s="121"/>
      <c r="C103" s="121"/>
      <c r="D103" s="121"/>
      <c r="E103" s="121"/>
      <c r="F103" s="121"/>
      <c r="G103" s="121"/>
      <c r="H103" s="121"/>
    </row>
    <row r="104" spans="1:9" s="1" customFormat="1" ht="15.75" hidden="1" customHeight="1" x14ac:dyDescent="0.35">
      <c r="A104" s="123" t="s">
        <v>67</v>
      </c>
      <c r="B104" s="123"/>
      <c r="C104" s="14" t="s">
        <v>124</v>
      </c>
      <c r="D104" s="129" t="s">
        <v>68</v>
      </c>
      <c r="E104" s="129"/>
      <c r="F104" s="123" t="s">
        <v>69</v>
      </c>
      <c r="G104" s="123"/>
      <c r="H104" s="123"/>
    </row>
    <row r="105" spans="1:9" s="1" customFormat="1" hidden="1" x14ac:dyDescent="0.35">
      <c r="A105" s="126"/>
      <c r="B105" s="126"/>
      <c r="C105" s="15"/>
      <c r="D105" s="127"/>
      <c r="E105" s="127"/>
      <c r="F105" s="128"/>
      <c r="G105" s="128"/>
      <c r="H105" s="128"/>
    </row>
    <row r="106" spans="1:9" s="1" customFormat="1" x14ac:dyDescent="0.35">
      <c r="A106" s="121" t="s">
        <v>111</v>
      </c>
      <c r="B106" s="121"/>
      <c r="C106" s="121"/>
      <c r="D106" s="121"/>
      <c r="E106" s="121"/>
      <c r="F106" s="121"/>
      <c r="G106" s="121"/>
      <c r="H106" s="121"/>
    </row>
    <row r="107" spans="1:9" s="1" customFormat="1" x14ac:dyDescent="0.35">
      <c r="A107" s="123" t="s">
        <v>67</v>
      </c>
      <c r="B107" s="123"/>
      <c r="C107" s="14" t="s">
        <v>124</v>
      </c>
      <c r="D107" s="129" t="s">
        <v>68</v>
      </c>
      <c r="E107" s="129"/>
      <c r="F107" s="123" t="s">
        <v>69</v>
      </c>
      <c r="G107" s="123"/>
      <c r="H107" s="123"/>
    </row>
    <row r="108" spans="1:9" s="1" customFormat="1" x14ac:dyDescent="0.35">
      <c r="A108" s="126" t="s">
        <v>216</v>
      </c>
      <c r="B108" s="126"/>
      <c r="C108" s="15">
        <f>COUNT(D118:D129)*11+COUNT(D131:D132,D134:D142)*2</f>
        <v>154</v>
      </c>
      <c r="D108" s="127">
        <f>SUM(D118:D129)*11+SUM(D131:D132,D134:D142)*2</f>
        <v>93523.089348000009</v>
      </c>
      <c r="E108" s="127"/>
      <c r="F108" s="128">
        <f>SUM(F118:F129)*11+SUM(F131:F132,F134:F142)*2</f>
        <v>168341.5608264</v>
      </c>
      <c r="G108" s="128"/>
      <c r="H108" s="128"/>
      <c r="I108" s="63"/>
    </row>
    <row r="109" spans="1:9" s="1" customFormat="1" x14ac:dyDescent="0.35">
      <c r="A109" s="126" t="s">
        <v>220</v>
      </c>
      <c r="B109" s="126"/>
      <c r="C109" s="15">
        <f>COUNT(D146:D157)*11+COUNT(D159:D162,D164:D170)*2</f>
        <v>154</v>
      </c>
      <c r="D109" s="127">
        <f>SUM(D146:D157)*11+SUM(D159:D162,D164:D170)*2</f>
        <v>95528.142683999991</v>
      </c>
      <c r="E109" s="127"/>
      <c r="F109" s="128">
        <f>SUM(F146:F157)*11+SUM(F159:F162,F164:F170)*2</f>
        <v>171950.65683119997</v>
      </c>
      <c r="G109" s="128"/>
      <c r="H109" s="128"/>
    </row>
    <row r="110" spans="1:9" s="1" customFormat="1" x14ac:dyDescent="0.35">
      <c r="A110" s="121" t="s">
        <v>71</v>
      </c>
      <c r="B110" s="121"/>
      <c r="C110" s="64">
        <f>SUM(C108:C109)</f>
        <v>308</v>
      </c>
      <c r="D110" s="122">
        <f>SUM(D108:E109)</f>
        <v>189051.232032</v>
      </c>
      <c r="E110" s="122"/>
      <c r="F110" s="123">
        <f>SUM(F108:H109)</f>
        <v>340292.21765759995</v>
      </c>
      <c r="G110" s="123"/>
      <c r="H110" s="123"/>
    </row>
    <row r="111" spans="1:9" s="9" customFormat="1" x14ac:dyDescent="0.35">
      <c r="A111" s="124" t="s">
        <v>72</v>
      </c>
      <c r="B111" s="124"/>
      <c r="C111" s="124"/>
      <c r="D111" s="124"/>
      <c r="E111" s="124"/>
      <c r="F111" s="124"/>
      <c r="G111" s="124"/>
      <c r="H111" s="124"/>
    </row>
    <row r="112" spans="1:9" x14ac:dyDescent="0.35">
      <c r="A112" s="124" t="s">
        <v>73</v>
      </c>
      <c r="B112" s="124"/>
      <c r="C112" s="124"/>
      <c r="D112" s="124"/>
      <c r="E112" s="124"/>
      <c r="F112" s="124"/>
      <c r="G112" s="124"/>
      <c r="H112" s="124"/>
    </row>
    <row r="113" spans="1:12" ht="47.25" customHeight="1" x14ac:dyDescent="0.35">
      <c r="A113" s="125" t="s">
        <v>121</v>
      </c>
      <c r="B113" s="125"/>
      <c r="C113" s="23" t="s">
        <v>74</v>
      </c>
      <c r="D113" s="23" t="s">
        <v>75</v>
      </c>
      <c r="E113" s="16" t="s">
        <v>76</v>
      </c>
      <c r="F113" s="23" t="s">
        <v>256</v>
      </c>
      <c r="G113" s="125" t="s">
        <v>78</v>
      </c>
      <c r="H113" s="125"/>
      <c r="I113" s="87" t="s">
        <v>302</v>
      </c>
      <c r="J113" s="88" t="s">
        <v>303</v>
      </c>
    </row>
    <row r="114" spans="1:12" s="2" customFormat="1" ht="15.75" customHeight="1" x14ac:dyDescent="0.35">
      <c r="A114" s="120" t="s">
        <v>243</v>
      </c>
      <c r="B114" s="120"/>
      <c r="C114" s="120"/>
      <c r="D114" s="120"/>
      <c r="E114" s="120"/>
      <c r="F114" s="120"/>
      <c r="G114" s="120"/>
      <c r="H114" s="120"/>
    </row>
    <row r="115" spans="1:12" s="2" customFormat="1" x14ac:dyDescent="0.35">
      <c r="A115" s="120" t="s">
        <v>216</v>
      </c>
      <c r="B115" s="120"/>
      <c r="C115" s="120"/>
      <c r="D115" s="120"/>
      <c r="E115" s="120"/>
      <c r="F115" s="120"/>
      <c r="G115" s="120"/>
      <c r="H115" s="120"/>
    </row>
    <row r="116" spans="1:12" s="2" customFormat="1" x14ac:dyDescent="0.35">
      <c r="A116" s="120" t="s">
        <v>217</v>
      </c>
      <c r="B116" s="120"/>
      <c r="C116" s="120"/>
      <c r="D116" s="120"/>
      <c r="E116" s="120"/>
      <c r="F116" s="120"/>
      <c r="G116" s="120"/>
      <c r="H116" s="120"/>
    </row>
    <row r="117" spans="1:12" s="2" customFormat="1" x14ac:dyDescent="0.35">
      <c r="A117" s="110" t="s">
        <v>296</v>
      </c>
      <c r="B117" s="111"/>
      <c r="C117" s="111"/>
      <c r="D117" s="111"/>
      <c r="E117" s="111"/>
      <c r="F117" s="111"/>
      <c r="G117" s="111"/>
      <c r="H117" s="112"/>
      <c r="L117" s="83" t="s">
        <v>297</v>
      </c>
    </row>
    <row r="118" spans="1:12" s="2" customFormat="1" x14ac:dyDescent="0.35">
      <c r="A118" s="106">
        <v>1</v>
      </c>
      <c r="B118" s="106"/>
      <c r="C118" s="22" t="s">
        <v>205</v>
      </c>
      <c r="D118" s="22">
        <f>((30.332+8.525+6.394))*10.764</f>
        <v>487.08176399999996</v>
      </c>
      <c r="E118" s="22">
        <v>0</v>
      </c>
      <c r="F118" s="22">
        <f>D118*1.8</f>
        <v>876.7471751999999</v>
      </c>
      <c r="G118" s="113" t="str">
        <f>A117</f>
        <v>1st to 7th &amp; 9th to 12th Floor for Residential</v>
      </c>
      <c r="H118" s="114"/>
      <c r="I118" s="65"/>
      <c r="L118" s="22">
        <f>3.65*2.75+1.2*1.2+1.5*2.25+2.4*3+0.9*2.4+0.9*1.2+2.1*1.2+1.2*0.9+2.75+2.25+3+0.75*(2.75+2.25+3)</f>
        <v>42.892499999999998</v>
      </c>
    </row>
    <row r="119" spans="1:12" s="2" customFormat="1" x14ac:dyDescent="0.35">
      <c r="A119" s="106">
        <v>2</v>
      </c>
      <c r="B119" s="106"/>
      <c r="C119" s="22" t="s">
        <v>204</v>
      </c>
      <c r="D119" s="22">
        <f>((52.4+10.85+8.25))*10.764</f>
        <v>769.62599999999998</v>
      </c>
      <c r="E119" s="22">
        <v>0</v>
      </c>
      <c r="F119" s="22">
        <f t="shared" ref="F119:F129" si="0">D119*1.8</f>
        <v>1385.3268</v>
      </c>
      <c r="G119" s="115"/>
      <c r="H119" s="116"/>
      <c r="I119" s="65"/>
      <c r="L119" s="22">
        <f>1.2*1.35+3.35*3.85+2.55*2.75+2.4*3.65+2.4*3.4+2.55*0.9+1.2*1.05+1.2*2.35+1.2*2.1+3.35+2.25+3.65+3.4+0.75*(3.35+2.55+3.65+3.4)</f>
        <v>69.70750000000001</v>
      </c>
    </row>
    <row r="120" spans="1:12" s="2" customFormat="1" x14ac:dyDescent="0.35">
      <c r="A120" s="106">
        <v>3</v>
      </c>
      <c r="B120" s="106"/>
      <c r="C120" s="22" t="s">
        <v>205</v>
      </c>
      <c r="D120" s="22">
        <f>((29.262+8.2+6.15))*10.764</f>
        <v>469.43956800000001</v>
      </c>
      <c r="E120" s="22">
        <v>0</v>
      </c>
      <c r="F120" s="22">
        <f t="shared" si="0"/>
        <v>844.99122240000008</v>
      </c>
      <c r="G120" s="115"/>
      <c r="H120" s="116"/>
      <c r="I120" s="65"/>
    </row>
    <row r="121" spans="1:12" s="2" customFormat="1" x14ac:dyDescent="0.35">
      <c r="A121" s="106">
        <v>4</v>
      </c>
      <c r="B121" s="106"/>
      <c r="C121" s="22" t="s">
        <v>205</v>
      </c>
      <c r="D121" s="22">
        <f>((27.522+8.2+6.15))*10.764</f>
        <v>450.71020799999991</v>
      </c>
      <c r="E121" s="22">
        <v>0</v>
      </c>
      <c r="F121" s="22">
        <f t="shared" si="0"/>
        <v>811.27837439999985</v>
      </c>
      <c r="G121" s="115"/>
      <c r="H121" s="116"/>
      <c r="I121" s="65"/>
    </row>
    <row r="122" spans="1:12" s="2" customFormat="1" x14ac:dyDescent="0.35">
      <c r="A122" s="106">
        <v>5</v>
      </c>
      <c r="B122" s="106"/>
      <c r="C122" s="22" t="s">
        <v>204</v>
      </c>
      <c r="D122" s="22">
        <f>((59.85+11.325+8.494))*10.764</f>
        <v>857.55711599999995</v>
      </c>
      <c r="E122" s="22">
        <v>0</v>
      </c>
      <c r="F122" s="22">
        <f t="shared" si="0"/>
        <v>1543.6028088</v>
      </c>
      <c r="G122" s="115"/>
      <c r="H122" s="116"/>
      <c r="I122" s="65"/>
      <c r="J122" s="84" t="s">
        <v>298</v>
      </c>
      <c r="L122" s="86">
        <f>3.95*1.45+2.75*3.45+2.4*2.55+2.75*2.4+1.2*2.1+2.75*2.8+2.079*1.3+2.1*1.3+3*2.277+6.65*0.9+2.75+2.4+2.75+2.75+0.75*(2.75+2.4+2.75+2.75)</f>
        <v>75.041199999999989</v>
      </c>
    </row>
    <row r="123" spans="1:12" s="2" customFormat="1" x14ac:dyDescent="0.35">
      <c r="A123" s="106">
        <v>6</v>
      </c>
      <c r="B123" s="106"/>
      <c r="C123" s="22" t="s">
        <v>204</v>
      </c>
      <c r="D123" s="22">
        <f>((59.85+11.325+8.494))*10.764</f>
        <v>857.55711599999995</v>
      </c>
      <c r="E123" s="22">
        <v>0</v>
      </c>
      <c r="F123" s="22">
        <f t="shared" si="0"/>
        <v>1543.6028088</v>
      </c>
      <c r="G123" s="115"/>
      <c r="H123" s="116"/>
      <c r="I123" s="65"/>
      <c r="J123" s="84" t="s">
        <v>298</v>
      </c>
    </row>
    <row r="124" spans="1:12" s="2" customFormat="1" x14ac:dyDescent="0.35">
      <c r="A124" s="106">
        <v>7</v>
      </c>
      <c r="B124" s="106"/>
      <c r="C124" s="22" t="s">
        <v>205</v>
      </c>
      <c r="D124" s="22">
        <f>((27.485+8.275+6.206))*10.764</f>
        <v>451.72202399999998</v>
      </c>
      <c r="E124" s="22">
        <v>0</v>
      </c>
      <c r="F124" s="22">
        <f t="shared" si="0"/>
        <v>813.09964319999995</v>
      </c>
      <c r="G124" s="115"/>
      <c r="H124" s="116"/>
      <c r="I124" s="65"/>
    </row>
    <row r="125" spans="1:12" s="2" customFormat="1" x14ac:dyDescent="0.35">
      <c r="A125" s="106">
        <v>8</v>
      </c>
      <c r="B125" s="106"/>
      <c r="C125" s="22" t="s">
        <v>205</v>
      </c>
      <c r="D125" s="22">
        <f>((33.098+5.7+4.275))*10.764</f>
        <v>463.63777199999998</v>
      </c>
      <c r="E125" s="22">
        <v>0</v>
      </c>
      <c r="F125" s="22">
        <f t="shared" si="0"/>
        <v>834.54798959999994</v>
      </c>
      <c r="G125" s="115"/>
      <c r="H125" s="116"/>
      <c r="I125" s="65"/>
    </row>
    <row r="126" spans="1:12" s="2" customFormat="1" x14ac:dyDescent="0.35">
      <c r="A126" s="106">
        <v>9</v>
      </c>
      <c r="B126" s="106"/>
      <c r="C126" s="22" t="s">
        <v>205</v>
      </c>
      <c r="D126" s="22">
        <f>((33.098+5.625+4.219))*10.764</f>
        <v>462.227688</v>
      </c>
      <c r="E126" s="22">
        <v>0</v>
      </c>
      <c r="F126" s="22">
        <f t="shared" si="0"/>
        <v>832.00983840000004</v>
      </c>
      <c r="G126" s="115"/>
      <c r="H126" s="116"/>
      <c r="I126" s="65"/>
    </row>
    <row r="127" spans="1:12" s="2" customFormat="1" x14ac:dyDescent="0.35">
      <c r="A127" s="106">
        <v>10</v>
      </c>
      <c r="B127" s="106"/>
      <c r="C127" s="22" t="s">
        <v>169</v>
      </c>
      <c r="D127" s="22">
        <f>((85.945+6.25+4.687))*10.764</f>
        <v>1042.8378479999999</v>
      </c>
      <c r="E127" s="22">
        <v>0</v>
      </c>
      <c r="F127" s="22">
        <f t="shared" si="0"/>
        <v>1877.1081263999999</v>
      </c>
      <c r="G127" s="115"/>
      <c r="H127" s="116"/>
      <c r="I127" s="65"/>
    </row>
    <row r="128" spans="1:12" s="2" customFormat="1" x14ac:dyDescent="0.35">
      <c r="A128" s="106">
        <v>11</v>
      </c>
      <c r="B128" s="106"/>
      <c r="C128" s="22" t="s">
        <v>205</v>
      </c>
      <c r="D128" s="22">
        <f>((33.098+5.625+4.219))*10.764</f>
        <v>462.227688</v>
      </c>
      <c r="E128" s="22">
        <v>0</v>
      </c>
      <c r="F128" s="22">
        <f t="shared" si="0"/>
        <v>832.00983840000004</v>
      </c>
      <c r="G128" s="115"/>
      <c r="H128" s="116"/>
      <c r="I128" s="65"/>
    </row>
    <row r="129" spans="1:9" s="2" customFormat="1" x14ac:dyDescent="0.35">
      <c r="A129" s="106">
        <v>12</v>
      </c>
      <c r="B129" s="106"/>
      <c r="C129" s="22" t="s">
        <v>205</v>
      </c>
      <c r="D129" s="22">
        <f>((33.098+5.7+4.275))*10.764</f>
        <v>463.63777199999998</v>
      </c>
      <c r="E129" s="22">
        <v>0</v>
      </c>
      <c r="F129" s="22">
        <f t="shared" si="0"/>
        <v>834.54798959999994</v>
      </c>
      <c r="G129" s="117"/>
      <c r="H129" s="118"/>
      <c r="I129" s="65"/>
    </row>
    <row r="130" spans="1:9" s="2" customFormat="1" x14ac:dyDescent="0.35">
      <c r="A130" s="120" t="s">
        <v>309</v>
      </c>
      <c r="B130" s="120"/>
      <c r="C130" s="120"/>
      <c r="D130" s="120"/>
      <c r="E130" s="120"/>
      <c r="F130" s="120"/>
      <c r="G130" s="120"/>
      <c r="H130" s="120"/>
      <c r="I130" s="65"/>
    </row>
    <row r="131" spans="1:9" s="2" customFormat="1" x14ac:dyDescent="0.35">
      <c r="A131" s="106">
        <v>1</v>
      </c>
      <c r="B131" s="106"/>
      <c r="C131" s="89" t="s">
        <v>205</v>
      </c>
      <c r="D131" s="89">
        <f>((30.332+8.525+6.394))*10.764</f>
        <v>487.08176399999996</v>
      </c>
      <c r="E131" s="89">
        <v>0</v>
      </c>
      <c r="F131" s="89">
        <f>D131*1.8</f>
        <v>876.7471751999999</v>
      </c>
      <c r="G131" s="106" t="str">
        <f>A130</f>
        <v>8th &amp; 13th Floor (Part Refuge Area)</v>
      </c>
      <c r="H131" s="106"/>
      <c r="I131" s="85"/>
    </row>
    <row r="132" spans="1:9" s="2" customFormat="1" x14ac:dyDescent="0.35">
      <c r="A132" s="119">
        <v>2</v>
      </c>
      <c r="B132" s="119"/>
      <c r="C132" s="90" t="s">
        <v>169</v>
      </c>
      <c r="D132" s="89">
        <f>((64.39+13.675+10.369))*10.764</f>
        <v>951.90357599999993</v>
      </c>
      <c r="E132" s="90">
        <v>0</v>
      </c>
      <c r="F132" s="89">
        <f>D132*1.8</f>
        <v>1713.4264367999999</v>
      </c>
      <c r="G132" s="106"/>
      <c r="H132" s="106"/>
      <c r="I132" s="85"/>
    </row>
    <row r="133" spans="1:9" s="2" customFormat="1" x14ac:dyDescent="0.35">
      <c r="A133" s="106">
        <v>3</v>
      </c>
      <c r="B133" s="106"/>
      <c r="C133" s="106" t="s">
        <v>215</v>
      </c>
      <c r="D133" s="106"/>
      <c r="E133" s="106"/>
      <c r="F133" s="106"/>
      <c r="G133" s="106"/>
      <c r="H133" s="106"/>
      <c r="I133" s="85"/>
    </row>
    <row r="134" spans="1:9" s="2" customFormat="1" x14ac:dyDescent="0.35">
      <c r="A134" s="106">
        <v>4</v>
      </c>
      <c r="B134" s="106"/>
      <c r="C134" s="89" t="s">
        <v>205</v>
      </c>
      <c r="D134" s="89">
        <f>((27.522+8.2+6.15))*10.764</f>
        <v>450.71020799999991</v>
      </c>
      <c r="E134" s="89">
        <v>0</v>
      </c>
      <c r="F134" s="89">
        <f>D134*1.8</f>
        <v>811.27837439999985</v>
      </c>
      <c r="G134" s="106"/>
      <c r="H134" s="106"/>
      <c r="I134" s="85"/>
    </row>
    <row r="135" spans="1:9" s="2" customFormat="1" x14ac:dyDescent="0.35">
      <c r="A135" s="106">
        <v>5</v>
      </c>
      <c r="B135" s="106"/>
      <c r="C135" s="89" t="s">
        <v>204</v>
      </c>
      <c r="D135" s="89">
        <f>((59.85+11.325+8.494))*10.764</f>
        <v>857.55711599999995</v>
      </c>
      <c r="E135" s="89">
        <v>0</v>
      </c>
      <c r="F135" s="89">
        <f t="shared" ref="F135:F142" si="1">D135*1.8</f>
        <v>1543.6028088</v>
      </c>
      <c r="G135" s="106"/>
      <c r="H135" s="106"/>
      <c r="I135" s="85"/>
    </row>
    <row r="136" spans="1:9" s="2" customFormat="1" x14ac:dyDescent="0.35">
      <c r="A136" s="106">
        <v>6</v>
      </c>
      <c r="B136" s="106"/>
      <c r="C136" s="89" t="s">
        <v>204</v>
      </c>
      <c r="D136" s="89">
        <f>((59.85+11.325+8.494))*10.764</f>
        <v>857.55711599999995</v>
      </c>
      <c r="E136" s="89">
        <v>0</v>
      </c>
      <c r="F136" s="89">
        <f t="shared" si="1"/>
        <v>1543.6028088</v>
      </c>
      <c r="G136" s="106"/>
      <c r="H136" s="106"/>
      <c r="I136" s="85"/>
    </row>
    <row r="137" spans="1:9" s="2" customFormat="1" x14ac:dyDescent="0.35">
      <c r="A137" s="106">
        <v>7</v>
      </c>
      <c r="B137" s="106"/>
      <c r="C137" s="89" t="s">
        <v>205</v>
      </c>
      <c r="D137" s="89">
        <f>((27.485+8.275+6.206))*10.764</f>
        <v>451.72202399999998</v>
      </c>
      <c r="E137" s="89">
        <v>0</v>
      </c>
      <c r="F137" s="89">
        <f t="shared" si="1"/>
        <v>813.09964319999995</v>
      </c>
      <c r="G137" s="106"/>
      <c r="H137" s="106"/>
      <c r="I137" s="85"/>
    </row>
    <row r="138" spans="1:9" s="2" customFormat="1" x14ac:dyDescent="0.35">
      <c r="A138" s="106">
        <v>8</v>
      </c>
      <c r="B138" s="106"/>
      <c r="C138" s="89" t="s">
        <v>205</v>
      </c>
      <c r="D138" s="89">
        <f>((33.098+5.7+4.275))*10.764</f>
        <v>463.63777199999998</v>
      </c>
      <c r="E138" s="89">
        <v>0</v>
      </c>
      <c r="F138" s="89">
        <f t="shared" si="1"/>
        <v>834.54798959999994</v>
      </c>
      <c r="G138" s="106"/>
      <c r="H138" s="106"/>
      <c r="I138" s="85"/>
    </row>
    <row r="139" spans="1:9" s="2" customFormat="1" x14ac:dyDescent="0.35">
      <c r="A139" s="106">
        <v>9</v>
      </c>
      <c r="B139" s="106"/>
      <c r="C139" s="89" t="s">
        <v>205</v>
      </c>
      <c r="D139" s="89">
        <f>((33.098+5.625+4.219))*10.764</f>
        <v>462.227688</v>
      </c>
      <c r="E139" s="89">
        <v>0</v>
      </c>
      <c r="F139" s="89">
        <f t="shared" si="1"/>
        <v>832.00983840000004</v>
      </c>
      <c r="G139" s="106"/>
      <c r="H139" s="106"/>
      <c r="I139" s="85"/>
    </row>
    <row r="140" spans="1:9" s="2" customFormat="1" x14ac:dyDescent="0.35">
      <c r="A140" s="106">
        <v>10</v>
      </c>
      <c r="B140" s="106"/>
      <c r="C140" s="89" t="s">
        <v>169</v>
      </c>
      <c r="D140" s="89">
        <f>((85.945+6.25+4.687))*10.764</f>
        <v>1042.8378479999999</v>
      </c>
      <c r="E140" s="89">
        <v>0</v>
      </c>
      <c r="F140" s="89">
        <f t="shared" si="1"/>
        <v>1877.1081263999999</v>
      </c>
      <c r="G140" s="106"/>
      <c r="H140" s="106"/>
      <c r="I140" s="85"/>
    </row>
    <row r="141" spans="1:9" s="2" customFormat="1" x14ac:dyDescent="0.35">
      <c r="A141" s="106">
        <v>11</v>
      </c>
      <c r="B141" s="106"/>
      <c r="C141" s="89" t="s">
        <v>205</v>
      </c>
      <c r="D141" s="89">
        <f>((33.098+5.625+4.219))*10.764</f>
        <v>462.227688</v>
      </c>
      <c r="E141" s="89">
        <v>0</v>
      </c>
      <c r="F141" s="89">
        <f t="shared" si="1"/>
        <v>832.00983840000004</v>
      </c>
      <c r="G141" s="106"/>
      <c r="H141" s="106"/>
      <c r="I141" s="85"/>
    </row>
    <row r="142" spans="1:9" s="2" customFormat="1" x14ac:dyDescent="0.35">
      <c r="A142" s="106">
        <v>12</v>
      </c>
      <c r="B142" s="106"/>
      <c r="C142" s="89" t="s">
        <v>205</v>
      </c>
      <c r="D142" s="89">
        <f>((33.098+5.7+4.275))*10.764</f>
        <v>463.63777199999998</v>
      </c>
      <c r="E142" s="89">
        <v>0</v>
      </c>
      <c r="F142" s="89">
        <f t="shared" si="1"/>
        <v>834.54798959999994</v>
      </c>
      <c r="G142" s="106"/>
      <c r="H142" s="106"/>
      <c r="I142" s="85"/>
    </row>
    <row r="143" spans="1:9" s="2" customFormat="1" x14ac:dyDescent="0.35">
      <c r="A143" s="110" t="s">
        <v>220</v>
      </c>
      <c r="B143" s="111"/>
      <c r="C143" s="111"/>
      <c r="D143" s="111"/>
      <c r="E143" s="111"/>
      <c r="F143" s="111"/>
      <c r="G143" s="111"/>
      <c r="H143" s="112"/>
      <c r="I143" s="65"/>
    </row>
    <row r="144" spans="1:9" s="2" customFormat="1" x14ac:dyDescent="0.35">
      <c r="A144" s="110" t="s">
        <v>217</v>
      </c>
      <c r="B144" s="111"/>
      <c r="C144" s="111"/>
      <c r="D144" s="111"/>
      <c r="E144" s="111"/>
      <c r="F144" s="111"/>
      <c r="G144" s="111"/>
      <c r="H144" s="112"/>
      <c r="I144" s="65"/>
    </row>
    <row r="145" spans="1:10" s="2" customFormat="1" ht="15.75" customHeight="1" x14ac:dyDescent="0.35">
      <c r="A145" s="110" t="s">
        <v>296</v>
      </c>
      <c r="B145" s="111"/>
      <c r="C145" s="111"/>
      <c r="D145" s="111"/>
      <c r="E145" s="111"/>
      <c r="F145" s="111"/>
      <c r="G145" s="111"/>
      <c r="H145" s="112"/>
      <c r="I145" s="65"/>
    </row>
    <row r="146" spans="1:10" s="2" customFormat="1" x14ac:dyDescent="0.35">
      <c r="A146" s="106">
        <v>1</v>
      </c>
      <c r="B146" s="106"/>
      <c r="C146" s="22" t="s">
        <v>205</v>
      </c>
      <c r="D146" s="22">
        <f>((27.485+8.275+6.206))*10.764</f>
        <v>451.72202399999998</v>
      </c>
      <c r="E146" s="22">
        <v>0</v>
      </c>
      <c r="F146" s="22">
        <f t="shared" ref="F146:F170" si="2">D146*1.8</f>
        <v>813.09964319999995</v>
      </c>
      <c r="G146" s="113" t="s">
        <v>223</v>
      </c>
      <c r="H146" s="114"/>
      <c r="I146" s="65"/>
    </row>
    <row r="147" spans="1:10" s="2" customFormat="1" x14ac:dyDescent="0.35">
      <c r="A147" s="119">
        <v>2</v>
      </c>
      <c r="B147" s="119"/>
      <c r="C147" s="22" t="s">
        <v>204</v>
      </c>
      <c r="D147" s="22">
        <f>((59.85+11.325+8.494))*10.764</f>
        <v>857.55711599999995</v>
      </c>
      <c r="E147" s="22">
        <v>0</v>
      </c>
      <c r="F147" s="22">
        <f t="shared" si="2"/>
        <v>1543.6028088</v>
      </c>
      <c r="G147" s="115"/>
      <c r="H147" s="116"/>
      <c r="I147" s="65"/>
      <c r="J147" s="84" t="s">
        <v>298</v>
      </c>
    </row>
    <row r="148" spans="1:10" s="2" customFormat="1" x14ac:dyDescent="0.35">
      <c r="A148" s="106">
        <v>3</v>
      </c>
      <c r="B148" s="106"/>
      <c r="C148" s="22" t="s">
        <v>204</v>
      </c>
      <c r="D148" s="22">
        <f>((59.85+11.325+8.494))*10.764</f>
        <v>857.55711599999995</v>
      </c>
      <c r="E148" s="22">
        <v>0</v>
      </c>
      <c r="F148" s="22">
        <f t="shared" si="2"/>
        <v>1543.6028088</v>
      </c>
      <c r="G148" s="115"/>
      <c r="H148" s="116"/>
      <c r="I148" s="65"/>
      <c r="J148" s="84" t="s">
        <v>298</v>
      </c>
    </row>
    <row r="149" spans="1:10" s="2" customFormat="1" x14ac:dyDescent="0.35">
      <c r="A149" s="106">
        <v>4</v>
      </c>
      <c r="B149" s="106"/>
      <c r="C149" s="22" t="s">
        <v>205</v>
      </c>
      <c r="D149" s="22">
        <f>((27.522+8.2+6.15))*10.764</f>
        <v>450.71020799999991</v>
      </c>
      <c r="E149" s="22">
        <v>0</v>
      </c>
      <c r="F149" s="22">
        <f t="shared" si="2"/>
        <v>811.27837439999985</v>
      </c>
      <c r="G149" s="115"/>
      <c r="H149" s="116"/>
      <c r="I149" s="65"/>
    </row>
    <row r="150" spans="1:10" s="2" customFormat="1" x14ac:dyDescent="0.35">
      <c r="A150" s="106">
        <v>5</v>
      </c>
      <c r="B150" s="106"/>
      <c r="C150" s="22" t="s">
        <v>205</v>
      </c>
      <c r="D150" s="22">
        <f>((29.262+8.2+6.15))*10.764</f>
        <v>469.43956800000001</v>
      </c>
      <c r="E150" s="22">
        <v>0</v>
      </c>
      <c r="F150" s="22">
        <f t="shared" si="2"/>
        <v>844.99122240000008</v>
      </c>
      <c r="G150" s="115"/>
      <c r="H150" s="116"/>
      <c r="I150" s="65"/>
    </row>
    <row r="151" spans="1:10" s="2" customFormat="1" x14ac:dyDescent="0.35">
      <c r="A151" s="106">
        <v>6</v>
      </c>
      <c r="B151" s="106"/>
      <c r="C151" s="22" t="s">
        <v>204</v>
      </c>
      <c r="D151" s="22">
        <f>((64.39+13.675+10.369))*10.764</f>
        <v>951.90357599999993</v>
      </c>
      <c r="E151" s="22">
        <v>0</v>
      </c>
      <c r="F151" s="22">
        <f t="shared" si="2"/>
        <v>1713.4264367999999</v>
      </c>
      <c r="G151" s="115"/>
      <c r="H151" s="116"/>
      <c r="I151" s="65"/>
    </row>
    <row r="152" spans="1:10" s="2" customFormat="1" x14ac:dyDescent="0.35">
      <c r="A152" s="106">
        <v>7</v>
      </c>
      <c r="B152" s="106"/>
      <c r="C152" s="22" t="s">
        <v>205</v>
      </c>
      <c r="D152" s="22">
        <f>((30.332+8.525+6.394))*10.764</f>
        <v>487.08176399999996</v>
      </c>
      <c r="E152" s="22">
        <v>0</v>
      </c>
      <c r="F152" s="22">
        <f t="shared" si="2"/>
        <v>876.7471751999999</v>
      </c>
      <c r="G152" s="115"/>
      <c r="H152" s="116"/>
      <c r="I152" s="65"/>
    </row>
    <row r="153" spans="1:10" s="2" customFormat="1" x14ac:dyDescent="0.35">
      <c r="A153" s="106">
        <v>8</v>
      </c>
      <c r="B153" s="106"/>
      <c r="C153" s="22" t="s">
        <v>205</v>
      </c>
      <c r="D153" s="22">
        <f>((33.098+5.7+4.275))*10.764</f>
        <v>463.63777199999998</v>
      </c>
      <c r="E153" s="22">
        <v>0</v>
      </c>
      <c r="F153" s="22">
        <f t="shared" si="2"/>
        <v>834.54798959999994</v>
      </c>
      <c r="G153" s="115"/>
      <c r="H153" s="116"/>
      <c r="I153" s="65"/>
    </row>
    <row r="154" spans="1:10" s="2" customFormat="1" x14ac:dyDescent="0.35">
      <c r="A154" s="106">
        <v>9</v>
      </c>
      <c r="B154" s="106"/>
      <c r="C154" s="22" t="s">
        <v>205</v>
      </c>
      <c r="D154" s="22">
        <f>((33.098+5.625+4.219))*10.764</f>
        <v>462.227688</v>
      </c>
      <c r="E154" s="22">
        <v>0</v>
      </c>
      <c r="F154" s="22">
        <f t="shared" si="2"/>
        <v>832.00983840000004</v>
      </c>
      <c r="G154" s="115"/>
      <c r="H154" s="116"/>
      <c r="I154" s="65"/>
    </row>
    <row r="155" spans="1:10" s="2" customFormat="1" x14ac:dyDescent="0.35">
      <c r="A155" s="106">
        <v>10</v>
      </c>
      <c r="B155" s="106"/>
      <c r="C155" s="22" t="s">
        <v>169</v>
      </c>
      <c r="D155" s="22">
        <f>((85.945+6.25+4.687))*10.764</f>
        <v>1042.8378479999999</v>
      </c>
      <c r="E155" s="22">
        <v>0</v>
      </c>
      <c r="F155" s="22">
        <f t="shared" si="2"/>
        <v>1877.1081263999999</v>
      </c>
      <c r="G155" s="115"/>
      <c r="H155" s="116"/>
      <c r="I155" s="65"/>
    </row>
    <row r="156" spans="1:10" s="2" customFormat="1" x14ac:dyDescent="0.35">
      <c r="A156" s="106">
        <v>11</v>
      </c>
      <c r="B156" s="106"/>
      <c r="C156" s="22" t="s">
        <v>205</v>
      </c>
      <c r="D156" s="22">
        <f>((33.098+5.625+4.219))*10.764</f>
        <v>462.227688</v>
      </c>
      <c r="E156" s="22">
        <v>0</v>
      </c>
      <c r="F156" s="22">
        <f t="shared" si="2"/>
        <v>832.00983840000004</v>
      </c>
      <c r="G156" s="115"/>
      <c r="H156" s="116"/>
      <c r="I156" s="65"/>
    </row>
    <row r="157" spans="1:10" s="2" customFormat="1" x14ac:dyDescent="0.35">
      <c r="A157" s="106">
        <v>12</v>
      </c>
      <c r="B157" s="106"/>
      <c r="C157" s="22" t="s">
        <v>205</v>
      </c>
      <c r="D157" s="22">
        <f>((33.098+5.7+4.275))*10.764</f>
        <v>463.63777199999998</v>
      </c>
      <c r="E157" s="22">
        <v>0</v>
      </c>
      <c r="F157" s="22">
        <f t="shared" si="2"/>
        <v>834.54798959999994</v>
      </c>
      <c r="G157" s="117"/>
      <c r="H157" s="118"/>
      <c r="I157" s="65"/>
    </row>
    <row r="158" spans="1:10" s="2" customFormat="1" x14ac:dyDescent="0.35">
      <c r="A158" s="110" t="s">
        <v>309</v>
      </c>
      <c r="B158" s="111"/>
      <c r="C158" s="111"/>
      <c r="D158" s="111"/>
      <c r="E158" s="111"/>
      <c r="F158" s="111"/>
      <c r="G158" s="111"/>
      <c r="H158" s="112"/>
      <c r="I158" s="65"/>
    </row>
    <row r="159" spans="1:10" s="2" customFormat="1" x14ac:dyDescent="0.35">
      <c r="A159" s="106">
        <v>1</v>
      </c>
      <c r="B159" s="106"/>
      <c r="C159" s="89" t="s">
        <v>205</v>
      </c>
      <c r="D159" s="89">
        <f>((27.485+8.275+6.206))*10.764</f>
        <v>451.72202399999998</v>
      </c>
      <c r="E159" s="89">
        <v>0</v>
      </c>
      <c r="F159" s="89">
        <f t="shared" si="2"/>
        <v>813.09964319999995</v>
      </c>
      <c r="G159" s="106" t="str">
        <f>A158</f>
        <v>8th &amp; 13th Floor (Part Refuge Area)</v>
      </c>
      <c r="H159" s="106"/>
      <c r="I159" s="65"/>
    </row>
    <row r="160" spans="1:10" s="2" customFormat="1" x14ac:dyDescent="0.35">
      <c r="A160" s="119">
        <v>2</v>
      </c>
      <c r="B160" s="119"/>
      <c r="C160" s="89" t="s">
        <v>204</v>
      </c>
      <c r="D160" s="89">
        <f>((59.85+11.325+8.494))*10.764</f>
        <v>857.55711599999995</v>
      </c>
      <c r="E160" s="89">
        <v>0</v>
      </c>
      <c r="F160" s="89">
        <f t="shared" si="2"/>
        <v>1543.6028088</v>
      </c>
      <c r="G160" s="106"/>
      <c r="H160" s="106"/>
      <c r="I160" s="65"/>
    </row>
    <row r="161" spans="1:9" s="2" customFormat="1" x14ac:dyDescent="0.35">
      <c r="A161" s="106">
        <v>3</v>
      </c>
      <c r="B161" s="106"/>
      <c r="C161" s="89" t="s">
        <v>204</v>
      </c>
      <c r="D161" s="89">
        <f>((59.85+11.325+8.494))*10.764</f>
        <v>857.55711599999995</v>
      </c>
      <c r="E161" s="89">
        <v>0</v>
      </c>
      <c r="F161" s="89">
        <f t="shared" si="2"/>
        <v>1543.6028088</v>
      </c>
      <c r="G161" s="106"/>
      <c r="H161" s="106"/>
      <c r="I161" s="65"/>
    </row>
    <row r="162" spans="1:9" s="2" customFormat="1" x14ac:dyDescent="0.35">
      <c r="A162" s="106">
        <v>4</v>
      </c>
      <c r="B162" s="106"/>
      <c r="C162" s="89" t="s">
        <v>205</v>
      </c>
      <c r="D162" s="89">
        <f>((27.522+8.2+6.15))*10.764</f>
        <v>450.71020799999991</v>
      </c>
      <c r="E162" s="89">
        <v>0</v>
      </c>
      <c r="F162" s="89">
        <f t="shared" si="2"/>
        <v>811.27837439999985</v>
      </c>
      <c r="G162" s="106"/>
      <c r="H162" s="106"/>
      <c r="I162" s="65"/>
    </row>
    <row r="163" spans="1:9" s="2" customFormat="1" x14ac:dyDescent="0.35">
      <c r="A163" s="106">
        <v>5</v>
      </c>
      <c r="B163" s="106"/>
      <c r="C163" s="106" t="s">
        <v>215</v>
      </c>
      <c r="D163" s="106"/>
      <c r="E163" s="106"/>
      <c r="F163" s="106"/>
      <c r="G163" s="106"/>
      <c r="H163" s="106"/>
      <c r="I163" s="65"/>
    </row>
    <row r="164" spans="1:9" s="2" customFormat="1" x14ac:dyDescent="0.35">
      <c r="A164" s="106">
        <v>6</v>
      </c>
      <c r="B164" s="106"/>
      <c r="C164" s="89" t="s">
        <v>169</v>
      </c>
      <c r="D164" s="89">
        <f>((64.39+13.675+10.369))*10.764</f>
        <v>951.90357599999993</v>
      </c>
      <c r="E164" s="89">
        <v>0</v>
      </c>
      <c r="F164" s="89">
        <f t="shared" si="2"/>
        <v>1713.4264367999999</v>
      </c>
      <c r="G164" s="106"/>
      <c r="H164" s="106"/>
      <c r="I164" s="65"/>
    </row>
    <row r="165" spans="1:9" s="2" customFormat="1" x14ac:dyDescent="0.35">
      <c r="A165" s="106">
        <v>7</v>
      </c>
      <c r="B165" s="106"/>
      <c r="C165" s="89" t="s">
        <v>205</v>
      </c>
      <c r="D165" s="89">
        <f>((30.332+8.525+6.394))*10.764</f>
        <v>487.08176399999996</v>
      </c>
      <c r="E165" s="89">
        <v>0</v>
      </c>
      <c r="F165" s="89">
        <f t="shared" si="2"/>
        <v>876.7471751999999</v>
      </c>
      <c r="G165" s="106"/>
      <c r="H165" s="106"/>
      <c r="I165" s="65"/>
    </row>
    <row r="166" spans="1:9" s="2" customFormat="1" x14ac:dyDescent="0.35">
      <c r="A166" s="106">
        <v>8</v>
      </c>
      <c r="B166" s="106"/>
      <c r="C166" s="89" t="s">
        <v>205</v>
      </c>
      <c r="D166" s="89">
        <f>((33.098+5.7+4.275))*10.764</f>
        <v>463.63777199999998</v>
      </c>
      <c r="E166" s="89">
        <v>0</v>
      </c>
      <c r="F166" s="89">
        <f t="shared" si="2"/>
        <v>834.54798959999994</v>
      </c>
      <c r="G166" s="106"/>
      <c r="H166" s="106"/>
      <c r="I166" s="65"/>
    </row>
    <row r="167" spans="1:9" s="2" customFormat="1" x14ac:dyDescent="0.35">
      <c r="A167" s="106">
        <v>9</v>
      </c>
      <c r="B167" s="106"/>
      <c r="C167" s="89" t="s">
        <v>205</v>
      </c>
      <c r="D167" s="89">
        <f>((33.098+5.625+4.219))*10.764</f>
        <v>462.227688</v>
      </c>
      <c r="E167" s="89">
        <v>0</v>
      </c>
      <c r="F167" s="89">
        <f t="shared" si="2"/>
        <v>832.00983840000004</v>
      </c>
      <c r="G167" s="106"/>
      <c r="H167" s="106"/>
      <c r="I167" s="65"/>
    </row>
    <row r="168" spans="1:9" s="2" customFormat="1" x14ac:dyDescent="0.35">
      <c r="A168" s="106">
        <v>10</v>
      </c>
      <c r="B168" s="106"/>
      <c r="C168" s="89" t="s">
        <v>169</v>
      </c>
      <c r="D168" s="89">
        <f>((85.945+6.25+4.687))*10.764</f>
        <v>1042.8378479999999</v>
      </c>
      <c r="E168" s="89">
        <v>0</v>
      </c>
      <c r="F168" s="89">
        <f t="shared" si="2"/>
        <v>1877.1081263999999</v>
      </c>
      <c r="G168" s="106"/>
      <c r="H168" s="106"/>
      <c r="I168" s="65"/>
    </row>
    <row r="169" spans="1:9" s="2" customFormat="1" x14ac:dyDescent="0.35">
      <c r="A169" s="106">
        <v>11</v>
      </c>
      <c r="B169" s="106"/>
      <c r="C169" s="89" t="s">
        <v>205</v>
      </c>
      <c r="D169" s="89">
        <f>((33.098+5.625+4.219))*10.764</f>
        <v>462.227688</v>
      </c>
      <c r="E169" s="89">
        <v>0</v>
      </c>
      <c r="F169" s="89">
        <f t="shared" si="2"/>
        <v>832.00983840000004</v>
      </c>
      <c r="G169" s="106"/>
      <c r="H169" s="106"/>
      <c r="I169" s="65"/>
    </row>
    <row r="170" spans="1:9" s="2" customFormat="1" x14ac:dyDescent="0.35">
      <c r="A170" s="106">
        <v>12</v>
      </c>
      <c r="B170" s="106"/>
      <c r="C170" s="89" t="s">
        <v>205</v>
      </c>
      <c r="D170" s="89">
        <f>((33.098+5.7+4.275))*10.764</f>
        <v>463.63777199999998</v>
      </c>
      <c r="E170" s="89">
        <v>0</v>
      </c>
      <c r="F170" s="89">
        <f t="shared" si="2"/>
        <v>834.54798959999994</v>
      </c>
      <c r="G170" s="106"/>
      <c r="H170" s="106"/>
      <c r="I170" s="65"/>
    </row>
    <row r="171" spans="1:9" x14ac:dyDescent="0.35">
      <c r="A171" s="104" t="s">
        <v>88</v>
      </c>
      <c r="B171" s="104"/>
      <c r="C171" s="104"/>
      <c r="D171" s="104"/>
      <c r="E171" s="104"/>
      <c r="F171" s="104"/>
      <c r="G171" s="104"/>
      <c r="H171" s="104"/>
    </row>
    <row r="172" spans="1:9" ht="173.25" customHeight="1" x14ac:dyDescent="0.35">
      <c r="A172" s="105" t="s">
        <v>312</v>
      </c>
      <c r="B172" s="105"/>
      <c r="C172" s="105"/>
      <c r="D172" s="105"/>
      <c r="E172" s="105"/>
      <c r="F172" s="105"/>
      <c r="G172" s="105"/>
      <c r="H172" s="105"/>
    </row>
    <row r="173" spans="1:9" x14ac:dyDescent="0.35">
      <c r="A173" s="102" t="s">
        <v>79</v>
      </c>
      <c r="B173" s="102"/>
      <c r="C173" s="102"/>
      <c r="D173" s="102"/>
      <c r="E173" s="102"/>
      <c r="F173" s="102"/>
      <c r="G173" s="102"/>
      <c r="H173" s="102"/>
    </row>
    <row r="174" spans="1:9" x14ac:dyDescent="0.35">
      <c r="A174" s="101" t="s">
        <v>80</v>
      </c>
      <c r="B174" s="101"/>
      <c r="C174" s="101"/>
      <c r="D174" s="101"/>
      <c r="E174" s="101"/>
      <c r="F174" s="101"/>
      <c r="G174" s="101"/>
      <c r="H174" s="101"/>
    </row>
    <row r="175" spans="1:9" x14ac:dyDescent="0.35">
      <c r="A175" s="102" t="s">
        <v>81</v>
      </c>
      <c r="B175" s="102"/>
      <c r="C175" s="102"/>
      <c r="D175" s="102"/>
      <c r="E175" s="102"/>
      <c r="F175" s="102"/>
      <c r="G175" s="102"/>
      <c r="H175" s="102"/>
    </row>
    <row r="176" spans="1:9" ht="18.75" customHeight="1" x14ac:dyDescent="0.35">
      <c r="A176" s="101" t="s">
        <v>82</v>
      </c>
      <c r="B176" s="101"/>
      <c r="C176" s="101"/>
      <c r="D176" s="101"/>
      <c r="E176" s="101"/>
      <c r="F176" s="101"/>
      <c r="G176" s="101"/>
      <c r="H176" s="101"/>
    </row>
    <row r="177" spans="1:8" x14ac:dyDescent="0.35">
      <c r="A177" s="101" t="s">
        <v>83</v>
      </c>
      <c r="B177" s="101"/>
      <c r="C177" s="101"/>
      <c r="D177" s="101"/>
      <c r="E177" s="101"/>
      <c r="F177" s="101"/>
      <c r="G177" s="101"/>
      <c r="H177" s="101"/>
    </row>
    <row r="178" spans="1:8" x14ac:dyDescent="0.35">
      <c r="A178" s="101" t="s">
        <v>84</v>
      </c>
      <c r="B178" s="101"/>
      <c r="C178" s="101"/>
      <c r="D178" s="101"/>
      <c r="E178" s="101"/>
      <c r="F178" s="101"/>
      <c r="G178" s="101"/>
      <c r="H178" s="101"/>
    </row>
    <row r="179" spans="1:8" x14ac:dyDescent="0.35">
      <c r="A179" s="103" t="s">
        <v>85</v>
      </c>
      <c r="B179" s="103"/>
      <c r="C179" s="103"/>
      <c r="D179" s="103"/>
      <c r="E179" s="103"/>
      <c r="F179" s="103"/>
      <c r="G179" s="103"/>
      <c r="H179" s="103"/>
    </row>
    <row r="180" spans="1:8" x14ac:dyDescent="0.35">
      <c r="A180" s="91" t="s">
        <v>123</v>
      </c>
      <c r="B180" s="91"/>
      <c r="C180" s="91" t="s">
        <v>304</v>
      </c>
      <c r="D180" s="91"/>
      <c r="E180" s="91" t="s">
        <v>163</v>
      </c>
      <c r="F180" s="91"/>
      <c r="G180" s="91" t="s">
        <v>313</v>
      </c>
      <c r="H180" s="91"/>
    </row>
    <row r="181" spans="1:8" ht="15.75" customHeight="1" x14ac:dyDescent="0.35">
      <c r="A181" s="92" t="s">
        <v>126</v>
      </c>
      <c r="B181" s="93"/>
      <c r="C181" s="93"/>
      <c r="D181" s="93"/>
      <c r="E181" s="93"/>
      <c r="F181" s="93"/>
      <c r="G181" s="93"/>
      <c r="H181" s="94"/>
    </row>
    <row r="182" spans="1:8" x14ac:dyDescent="0.35">
      <c r="A182" s="95"/>
      <c r="B182" s="96"/>
      <c r="C182" s="96"/>
      <c r="D182" s="96"/>
      <c r="E182" s="96"/>
      <c r="F182" s="96"/>
      <c r="G182" s="96"/>
      <c r="H182" s="97"/>
    </row>
    <row r="183" spans="1:8" x14ac:dyDescent="0.35">
      <c r="A183" s="95"/>
      <c r="B183" s="96"/>
      <c r="C183" s="96"/>
      <c r="D183" s="96"/>
      <c r="E183" s="96"/>
      <c r="F183" s="96"/>
      <c r="G183" s="96"/>
      <c r="H183" s="97"/>
    </row>
    <row r="184" spans="1:8" x14ac:dyDescent="0.35">
      <c r="A184" s="98"/>
      <c r="B184" s="99"/>
      <c r="C184" s="99"/>
      <c r="D184" s="99"/>
      <c r="E184" s="99"/>
      <c r="F184" s="99"/>
      <c r="G184" s="99"/>
      <c r="H184" s="100"/>
    </row>
    <row r="185" spans="1:8" ht="15" customHeight="1" x14ac:dyDescent="0.35">
      <c r="A185" s="17" t="s">
        <v>86</v>
      </c>
      <c r="B185" s="18"/>
      <c r="C185" s="18"/>
      <c r="D185" s="17" t="str">
        <f>E8</f>
        <v>Gulmohar - Vrindavan Flora</v>
      </c>
      <c r="F185" s="18"/>
      <c r="G185" s="18"/>
      <c r="H185" s="18"/>
    </row>
    <row r="186" spans="1:8" x14ac:dyDescent="0.35">
      <c r="A186" s="18"/>
      <c r="B186" s="18"/>
      <c r="C186" s="18"/>
      <c r="D186" s="18"/>
      <c r="E186" s="18"/>
      <c r="F186" s="18"/>
      <c r="G186" s="18"/>
      <c r="H186" s="18"/>
    </row>
    <row r="187" spans="1:8" x14ac:dyDescent="0.35">
      <c r="A187" s="18"/>
      <c r="B187" s="18"/>
      <c r="C187" s="18"/>
      <c r="D187" s="18"/>
      <c r="E187" s="18"/>
      <c r="F187" s="18"/>
      <c r="G187" s="18"/>
      <c r="H187" s="18"/>
    </row>
    <row r="228" spans="1:11" s="19" customFormat="1" x14ac:dyDescent="0.35">
      <c r="A228" s="20" t="s">
        <v>87</v>
      </c>
      <c r="I228" s="8"/>
      <c r="J228" s="8"/>
      <c r="K228" s="8"/>
    </row>
  </sheetData>
  <mergeCells count="293">
    <mergeCell ref="A60:B60"/>
    <mergeCell ref="C60:H60"/>
    <mergeCell ref="A62:B62"/>
    <mergeCell ref="C62:H62"/>
    <mergeCell ref="A63:B63"/>
    <mergeCell ref="E63:F63"/>
    <mergeCell ref="G63:H63"/>
    <mergeCell ref="A64:B64"/>
    <mergeCell ref="E64:F73"/>
    <mergeCell ref="G64:H73"/>
    <mergeCell ref="A65:B65"/>
    <mergeCell ref="A66:B66"/>
    <mergeCell ref="A67:B67"/>
    <mergeCell ref="A68:B68"/>
    <mergeCell ref="A69:B69"/>
    <mergeCell ref="A70:B70"/>
    <mergeCell ref="A71:B71"/>
    <mergeCell ref="A72:B72"/>
    <mergeCell ref="A73:B73"/>
    <mergeCell ref="A78:B78"/>
    <mergeCell ref="E78:F87"/>
    <mergeCell ref="G78:H87"/>
    <mergeCell ref="A79:B79"/>
    <mergeCell ref="A80:B80"/>
    <mergeCell ref="A81:B81"/>
    <mergeCell ref="A82:B82"/>
    <mergeCell ref="A83:B83"/>
    <mergeCell ref="A84:B84"/>
    <mergeCell ref="A85:B85"/>
    <mergeCell ref="A86:B86"/>
    <mergeCell ref="A87:B87"/>
    <mergeCell ref="A1:H1"/>
    <mergeCell ref="A2:H2"/>
    <mergeCell ref="A3:D3"/>
    <mergeCell ref="E3:H3"/>
    <mergeCell ref="A4:D4"/>
    <mergeCell ref="E4:H4"/>
    <mergeCell ref="A8:D8"/>
    <mergeCell ref="E8:H8"/>
    <mergeCell ref="A9:D9"/>
    <mergeCell ref="E9:H9"/>
    <mergeCell ref="A10:D10"/>
    <mergeCell ref="E10:H10"/>
    <mergeCell ref="A5:D5"/>
    <mergeCell ref="E5:H5"/>
    <mergeCell ref="A6:D6"/>
    <mergeCell ref="E6:H6"/>
    <mergeCell ref="A7:D7"/>
    <mergeCell ref="E7:H7"/>
    <mergeCell ref="A14:B14"/>
    <mergeCell ref="C14:H14"/>
    <mergeCell ref="A15:B15"/>
    <mergeCell ref="C15:D15"/>
    <mergeCell ref="E15:F15"/>
    <mergeCell ref="G15:H15"/>
    <mergeCell ref="A11:D11"/>
    <mergeCell ref="E11:H11"/>
    <mergeCell ref="A12:D12"/>
    <mergeCell ref="E12:H12"/>
    <mergeCell ref="A13:B13"/>
    <mergeCell ref="C13:H13"/>
    <mergeCell ref="A18:B18"/>
    <mergeCell ref="C18:D18"/>
    <mergeCell ref="E18:F18"/>
    <mergeCell ref="G18:H18"/>
    <mergeCell ref="A19:D20"/>
    <mergeCell ref="E19:H20"/>
    <mergeCell ref="A16:B16"/>
    <mergeCell ref="C16:D16"/>
    <mergeCell ref="E16:F16"/>
    <mergeCell ref="G16:H16"/>
    <mergeCell ref="A17:B17"/>
    <mergeCell ref="C17:D17"/>
    <mergeCell ref="E17:F17"/>
    <mergeCell ref="G17:H17"/>
    <mergeCell ref="A24:D24"/>
    <mergeCell ref="E24:H24"/>
    <mergeCell ref="A25:D25"/>
    <mergeCell ref="E25:H25"/>
    <mergeCell ref="A26:D26"/>
    <mergeCell ref="E26:H26"/>
    <mergeCell ref="A21:D21"/>
    <mergeCell ref="E21:H21"/>
    <mergeCell ref="A22:D22"/>
    <mergeCell ref="E22:H22"/>
    <mergeCell ref="A23:D23"/>
    <mergeCell ref="E23:H23"/>
    <mergeCell ref="A30:B30"/>
    <mergeCell ref="C30:E30"/>
    <mergeCell ref="F30:H30"/>
    <mergeCell ref="A31:B31"/>
    <mergeCell ref="C31:E31"/>
    <mergeCell ref="F31:H31"/>
    <mergeCell ref="A27:D27"/>
    <mergeCell ref="E27:H27"/>
    <mergeCell ref="A28:D28"/>
    <mergeCell ref="E28:H28"/>
    <mergeCell ref="A29:B29"/>
    <mergeCell ref="C29:E29"/>
    <mergeCell ref="F29:H29"/>
    <mergeCell ref="A34:H34"/>
    <mergeCell ref="A35:B35"/>
    <mergeCell ref="A37:H37"/>
    <mergeCell ref="A32:B32"/>
    <mergeCell ref="C32:E32"/>
    <mergeCell ref="F32:H32"/>
    <mergeCell ref="A33:B33"/>
    <mergeCell ref="C33:E33"/>
    <mergeCell ref="F33:H33"/>
    <mergeCell ref="C35:H35"/>
    <mergeCell ref="A36:B36"/>
    <mergeCell ref="C36:H36"/>
    <mergeCell ref="A41:D41"/>
    <mergeCell ref="E41:H41"/>
    <mergeCell ref="A42:D42"/>
    <mergeCell ref="E42:H42"/>
    <mergeCell ref="A43:D43"/>
    <mergeCell ref="E43:H43"/>
    <mergeCell ref="A38:D38"/>
    <mergeCell ref="E38:H38"/>
    <mergeCell ref="A39:D39"/>
    <mergeCell ref="E39:H39"/>
    <mergeCell ref="A40:D40"/>
    <mergeCell ref="E40:H40"/>
    <mergeCell ref="A48:B49"/>
    <mergeCell ref="C48:E48"/>
    <mergeCell ref="G48:H48"/>
    <mergeCell ref="C49:H49"/>
    <mergeCell ref="A50:B50"/>
    <mergeCell ref="C50:E50"/>
    <mergeCell ref="G50:H50"/>
    <mergeCell ref="A44:H44"/>
    <mergeCell ref="A45:B45"/>
    <mergeCell ref="C45:E45"/>
    <mergeCell ref="G45:H45"/>
    <mergeCell ref="A46:B46"/>
    <mergeCell ref="C46:E46"/>
    <mergeCell ref="G46:H46"/>
    <mergeCell ref="A47:B47"/>
    <mergeCell ref="C47:E47"/>
    <mergeCell ref="G47:H47"/>
    <mergeCell ref="A55:C55"/>
    <mergeCell ref="D55:H55"/>
    <mergeCell ref="A56:C56"/>
    <mergeCell ref="D56:H56"/>
    <mergeCell ref="A57:C57"/>
    <mergeCell ref="D57:H57"/>
    <mergeCell ref="A51:H51"/>
    <mergeCell ref="A52:C52"/>
    <mergeCell ref="D52:H52"/>
    <mergeCell ref="A53:C53"/>
    <mergeCell ref="D53:H53"/>
    <mergeCell ref="A54:C54"/>
    <mergeCell ref="D54:H54"/>
    <mergeCell ref="A58:C58"/>
    <mergeCell ref="D58:H58"/>
    <mergeCell ref="A59:C59"/>
    <mergeCell ref="D59:H59"/>
    <mergeCell ref="A93:E93"/>
    <mergeCell ref="F93:H93"/>
    <mergeCell ref="A94:E94"/>
    <mergeCell ref="F94:H94"/>
    <mergeCell ref="A95:E95"/>
    <mergeCell ref="F95:H95"/>
    <mergeCell ref="A88:H88"/>
    <mergeCell ref="A89:H89"/>
    <mergeCell ref="A90:B90"/>
    <mergeCell ref="C90:H90"/>
    <mergeCell ref="A91:H91"/>
    <mergeCell ref="A92:E92"/>
    <mergeCell ref="F92:H92"/>
    <mergeCell ref="A74:B74"/>
    <mergeCell ref="C74:H74"/>
    <mergeCell ref="A76:B76"/>
    <mergeCell ref="C76:H76"/>
    <mergeCell ref="A77:B77"/>
    <mergeCell ref="E77:F77"/>
    <mergeCell ref="G77:H77"/>
    <mergeCell ref="A99:E99"/>
    <mergeCell ref="F99:H99"/>
    <mergeCell ref="A100:E100"/>
    <mergeCell ref="F100:H100"/>
    <mergeCell ref="A101:E101"/>
    <mergeCell ref="F101:H101"/>
    <mergeCell ref="A96:E96"/>
    <mergeCell ref="F96:H96"/>
    <mergeCell ref="A97:E97"/>
    <mergeCell ref="F97:H97"/>
    <mergeCell ref="A98:E98"/>
    <mergeCell ref="F98:H98"/>
    <mergeCell ref="A105:B105"/>
    <mergeCell ref="D105:E105"/>
    <mergeCell ref="F105:H105"/>
    <mergeCell ref="A106:H106"/>
    <mergeCell ref="A107:B107"/>
    <mergeCell ref="D107:E107"/>
    <mergeCell ref="F107:H107"/>
    <mergeCell ref="A102:E102"/>
    <mergeCell ref="F102:H102"/>
    <mergeCell ref="A103:H103"/>
    <mergeCell ref="A104:B104"/>
    <mergeCell ref="D104:E104"/>
    <mergeCell ref="F104:H104"/>
    <mergeCell ref="A110:B110"/>
    <mergeCell ref="D110:E110"/>
    <mergeCell ref="F110:H110"/>
    <mergeCell ref="A111:H111"/>
    <mergeCell ref="A112:H112"/>
    <mergeCell ref="A113:B113"/>
    <mergeCell ref="G113:H113"/>
    <mergeCell ref="A108:B108"/>
    <mergeCell ref="D108:E108"/>
    <mergeCell ref="F108:H108"/>
    <mergeCell ref="A109:B109"/>
    <mergeCell ref="D109:E109"/>
    <mergeCell ref="F109:H109"/>
    <mergeCell ref="A123:B123"/>
    <mergeCell ref="A124:B124"/>
    <mergeCell ref="A125:B125"/>
    <mergeCell ref="A126:B126"/>
    <mergeCell ref="A127:B127"/>
    <mergeCell ref="A128:B128"/>
    <mergeCell ref="A114:H114"/>
    <mergeCell ref="A115:H115"/>
    <mergeCell ref="A116:H116"/>
    <mergeCell ref="A117:H117"/>
    <mergeCell ref="A118:B118"/>
    <mergeCell ref="G118:H129"/>
    <mergeCell ref="A119:B119"/>
    <mergeCell ref="A120:B120"/>
    <mergeCell ref="A121:B121"/>
    <mergeCell ref="A122:B122"/>
    <mergeCell ref="A130:H130"/>
    <mergeCell ref="A129:B129"/>
    <mergeCell ref="A139:B139"/>
    <mergeCell ref="A140:B140"/>
    <mergeCell ref="A141:B141"/>
    <mergeCell ref="A142:B142"/>
    <mergeCell ref="A143:H143"/>
    <mergeCell ref="A144:H144"/>
    <mergeCell ref="A131:B131"/>
    <mergeCell ref="G131:H142"/>
    <mergeCell ref="A132:B132"/>
    <mergeCell ref="A133:B133"/>
    <mergeCell ref="C133:F133"/>
    <mergeCell ref="A134:B134"/>
    <mergeCell ref="A135:B135"/>
    <mergeCell ref="A136:B136"/>
    <mergeCell ref="A137:B137"/>
    <mergeCell ref="A138:B138"/>
    <mergeCell ref="A154:B154"/>
    <mergeCell ref="A155:B155"/>
    <mergeCell ref="A156:B156"/>
    <mergeCell ref="A157:B157"/>
    <mergeCell ref="A145:H145"/>
    <mergeCell ref="A146:B146"/>
    <mergeCell ref="G146:H157"/>
    <mergeCell ref="A147:B147"/>
    <mergeCell ref="A148:B148"/>
    <mergeCell ref="A149:B149"/>
    <mergeCell ref="A150:B150"/>
    <mergeCell ref="A151:B151"/>
    <mergeCell ref="A152:B152"/>
    <mergeCell ref="A153:B153"/>
    <mergeCell ref="A158:H158"/>
    <mergeCell ref="A159:B159"/>
    <mergeCell ref="G159:H170"/>
    <mergeCell ref="A160:B160"/>
    <mergeCell ref="A161:B161"/>
    <mergeCell ref="A162:B162"/>
    <mergeCell ref="A168:B168"/>
    <mergeCell ref="A169:B169"/>
    <mergeCell ref="A170:B170"/>
    <mergeCell ref="A171:H171"/>
    <mergeCell ref="A172:H172"/>
    <mergeCell ref="A173:H173"/>
    <mergeCell ref="A163:B163"/>
    <mergeCell ref="C163:F163"/>
    <mergeCell ref="A164:B164"/>
    <mergeCell ref="A165:B165"/>
    <mergeCell ref="A166:B166"/>
    <mergeCell ref="A167:B167"/>
    <mergeCell ref="A180:B180"/>
    <mergeCell ref="C180:D180"/>
    <mergeCell ref="E180:F180"/>
    <mergeCell ref="G180:H180"/>
    <mergeCell ref="A181:H184"/>
    <mergeCell ref="A174:H174"/>
    <mergeCell ref="A175:H175"/>
    <mergeCell ref="A176:H176"/>
    <mergeCell ref="A177:H177"/>
    <mergeCell ref="A178:H178"/>
    <mergeCell ref="A179:H179"/>
  </mergeCells>
  <hyperlinks>
    <hyperlink ref="C36" r:id="rId1"/>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                           &amp;P</oddFooter>
  </headerFooter>
  <rowBreaks count="4" manualBreakCount="4">
    <brk id="90" max="16383" man="1"/>
    <brk id="170" max="16383" man="1"/>
    <brk id="184" max="16383" man="1"/>
    <brk id="22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1"/>
  <sheetViews>
    <sheetView view="pageLayout" topLeftCell="A7" zoomScale="85" zoomScaleNormal="100" zoomScaleSheetLayoutView="110" zoomScalePageLayoutView="85" workbookViewId="0">
      <selection activeCell="E12" sqref="E12:H12"/>
    </sheetView>
  </sheetViews>
  <sheetFormatPr defaultColWidth="9.1796875" defaultRowHeight="15.5" x14ac:dyDescent="0.35"/>
  <cols>
    <col min="1" max="1" width="11.453125" style="19" customWidth="1"/>
    <col min="2" max="2" width="11.1796875" style="19" customWidth="1"/>
    <col min="3" max="3" width="12.7265625" style="19" customWidth="1"/>
    <col min="4" max="4" width="12.81640625" style="19" customWidth="1"/>
    <col min="5" max="7" width="11.7265625" style="19" customWidth="1"/>
    <col min="8" max="8" width="12.453125" style="19" customWidth="1"/>
    <col min="9" max="9" width="20.453125" style="8" customWidth="1"/>
    <col min="10" max="10" width="9.81640625" style="8" bestFit="1" customWidth="1"/>
    <col min="11"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8" ht="46.5" customHeight="1" x14ac:dyDescent="0.35">
      <c r="A1" s="171" t="s">
        <v>125</v>
      </c>
      <c r="B1" s="171"/>
      <c r="C1" s="171"/>
      <c r="D1" s="171"/>
      <c r="E1" s="171"/>
      <c r="F1" s="171"/>
      <c r="G1" s="171"/>
      <c r="H1" s="171"/>
    </row>
    <row r="2" spans="1:8" ht="16.5" customHeight="1" x14ac:dyDescent="0.35">
      <c r="A2" s="124" t="s">
        <v>0</v>
      </c>
      <c r="B2" s="124"/>
      <c r="C2" s="124"/>
      <c r="D2" s="124"/>
      <c r="E2" s="124"/>
      <c r="F2" s="124"/>
      <c r="G2" s="124"/>
      <c r="H2" s="124"/>
    </row>
    <row r="3" spans="1:8" x14ac:dyDescent="0.35">
      <c r="A3" s="101" t="s">
        <v>1</v>
      </c>
      <c r="B3" s="101"/>
      <c r="C3" s="101"/>
      <c r="D3" s="101"/>
      <c r="E3" s="172" t="s">
        <v>247</v>
      </c>
      <c r="F3" s="172"/>
      <c r="G3" s="172"/>
      <c r="H3" s="172"/>
    </row>
    <row r="4" spans="1:8" ht="15" customHeight="1" x14ac:dyDescent="0.35">
      <c r="A4" s="101" t="s">
        <v>2</v>
      </c>
      <c r="B4" s="101"/>
      <c r="C4" s="101"/>
      <c r="D4" s="101"/>
      <c r="E4" s="165" t="s">
        <v>175</v>
      </c>
      <c r="F4" s="165"/>
      <c r="G4" s="165"/>
      <c r="H4" s="165"/>
    </row>
    <row r="5" spans="1:8" x14ac:dyDescent="0.35">
      <c r="A5" s="101" t="s">
        <v>3</v>
      </c>
      <c r="B5" s="101"/>
      <c r="C5" s="101"/>
      <c r="D5" s="101"/>
      <c r="E5" s="170" t="s">
        <v>174</v>
      </c>
      <c r="F5" s="170"/>
      <c r="G5" s="170"/>
      <c r="H5" s="170"/>
    </row>
    <row r="6" spans="1:8" ht="49.5" customHeight="1" x14ac:dyDescent="0.35">
      <c r="A6" s="101" t="s">
        <v>4</v>
      </c>
      <c r="B6" s="101"/>
      <c r="C6" s="101"/>
      <c r="D6" s="101"/>
      <c r="E6" s="103" t="s">
        <v>248</v>
      </c>
      <c r="F6" s="103"/>
      <c r="G6" s="103"/>
      <c r="H6" s="103"/>
    </row>
    <row r="7" spans="1:8" ht="49.5" customHeight="1" x14ac:dyDescent="0.35">
      <c r="A7" s="101" t="s">
        <v>5</v>
      </c>
      <c r="B7" s="101"/>
      <c r="C7" s="101"/>
      <c r="D7" s="101"/>
      <c r="E7" s="103" t="str">
        <f>E6</f>
        <v>M/s. Thalia Vastu Infra Projects (Jasmine)
M/s. Thalia Labh Home Makers Pvt. Ltd. (Gulmohar)</v>
      </c>
      <c r="F7" s="103"/>
      <c r="G7" s="103"/>
      <c r="H7" s="103"/>
    </row>
    <row r="8" spans="1:8" x14ac:dyDescent="0.35">
      <c r="A8" s="101" t="s">
        <v>6</v>
      </c>
      <c r="B8" s="101"/>
      <c r="C8" s="101"/>
      <c r="D8" s="101"/>
      <c r="E8" s="101" t="s">
        <v>176</v>
      </c>
      <c r="F8" s="101"/>
      <c r="G8" s="101"/>
      <c r="H8" s="101"/>
    </row>
    <row r="9" spans="1:8" x14ac:dyDescent="0.35">
      <c r="A9" s="101" t="s">
        <v>7</v>
      </c>
      <c r="B9" s="101"/>
      <c r="C9" s="101"/>
      <c r="D9" s="101"/>
      <c r="E9" s="101" t="s">
        <v>237</v>
      </c>
      <c r="F9" s="101"/>
      <c r="G9" s="101"/>
      <c r="H9" s="101"/>
    </row>
    <row r="10" spans="1:8" ht="50.25" customHeight="1" x14ac:dyDescent="0.35">
      <c r="A10" s="151" t="s">
        <v>8</v>
      </c>
      <c r="B10" s="151"/>
      <c r="C10" s="151"/>
      <c r="D10" s="151"/>
      <c r="E10" s="150" t="s">
        <v>234</v>
      </c>
      <c r="F10" s="151"/>
      <c r="G10" s="151"/>
      <c r="H10" s="151"/>
    </row>
    <row r="11" spans="1:8" ht="18.75" customHeight="1" x14ac:dyDescent="0.35">
      <c r="A11" s="101" t="s">
        <v>9</v>
      </c>
      <c r="B11" s="101"/>
      <c r="C11" s="101"/>
      <c r="D11" s="101"/>
      <c r="E11" s="150" t="s">
        <v>230</v>
      </c>
      <c r="F11" s="150"/>
      <c r="G11" s="150"/>
      <c r="H11" s="150"/>
    </row>
    <row r="12" spans="1:8" ht="33.75" customHeight="1" x14ac:dyDescent="0.35">
      <c r="A12" s="101" t="s">
        <v>10</v>
      </c>
      <c r="B12" s="101"/>
      <c r="C12" s="101"/>
      <c r="D12" s="101"/>
      <c r="E12" s="150" t="s">
        <v>231</v>
      </c>
      <c r="F12" s="151"/>
      <c r="G12" s="151"/>
      <c r="H12" s="151"/>
    </row>
    <row r="13" spans="1:8" ht="53.25" customHeight="1" x14ac:dyDescent="0.35">
      <c r="A13" s="103" t="s">
        <v>11</v>
      </c>
      <c r="B13" s="103"/>
      <c r="C13" s="103" t="str">
        <f>CONCATENATE((IF(OR(E8="",E8="NA"),"",E8)),", ",(IF(OR(A14="",A14="NA"),"",A14)),".",(IF(OR(C14="",C14="NA"),"",C14)),", ",(IF(OR(C15="",C15="NA"),"",C15)),", ",(IF(OR(G15="",G15="NA"),"",G15)),", ",(IF(OR(C16="",C16="NA"),"",C16)),", ",(IF(OR(C17="",C17="NA"),"",C17)),", ",(IF(OR(G16="",G16="NA"),"",G16)),".")</f>
        <v>Vrindavan Flora Gulmohar &amp; Jasmine, Gut No.17/1 B,18/1, 18/2, 19, 20, 21, 22, 24, 25, 26, 27 &amp; 28, Dand Apta Road, Chambharli, Khalapur, Khalapur, Raigad.</v>
      </c>
      <c r="D13" s="103"/>
      <c r="E13" s="103"/>
      <c r="F13" s="103"/>
      <c r="G13" s="103"/>
      <c r="H13" s="103"/>
    </row>
    <row r="14" spans="1:8" ht="15.75" customHeight="1" x14ac:dyDescent="0.35">
      <c r="A14" s="150" t="s">
        <v>236</v>
      </c>
      <c r="B14" s="150"/>
      <c r="C14" s="150" t="s">
        <v>235</v>
      </c>
      <c r="D14" s="150"/>
      <c r="E14" s="150"/>
      <c r="F14" s="150"/>
      <c r="G14" s="150"/>
      <c r="H14" s="150"/>
    </row>
    <row r="15" spans="1:8" ht="15.75" customHeight="1" x14ac:dyDescent="0.35">
      <c r="A15" s="103" t="s">
        <v>12</v>
      </c>
      <c r="B15" s="103"/>
      <c r="C15" s="151" t="s">
        <v>233</v>
      </c>
      <c r="D15" s="151"/>
      <c r="E15" s="103" t="s">
        <v>115</v>
      </c>
      <c r="F15" s="103"/>
      <c r="G15" s="150" t="s">
        <v>184</v>
      </c>
      <c r="H15" s="150"/>
    </row>
    <row r="16" spans="1:8" x14ac:dyDescent="0.35">
      <c r="A16" s="101" t="s">
        <v>14</v>
      </c>
      <c r="B16" s="101"/>
      <c r="C16" s="150" t="s">
        <v>185</v>
      </c>
      <c r="D16" s="150"/>
      <c r="E16" s="103" t="s">
        <v>13</v>
      </c>
      <c r="F16" s="103"/>
      <c r="G16" s="169" t="s">
        <v>179</v>
      </c>
      <c r="H16" s="169"/>
    </row>
    <row r="17" spans="1:8" x14ac:dyDescent="0.35">
      <c r="A17" s="101" t="s">
        <v>116</v>
      </c>
      <c r="B17" s="101"/>
      <c r="C17" s="150" t="s">
        <v>185</v>
      </c>
      <c r="D17" s="150"/>
      <c r="E17" s="103" t="s">
        <v>15</v>
      </c>
      <c r="F17" s="103"/>
      <c r="G17" s="150">
        <v>410202</v>
      </c>
      <c r="H17" s="150"/>
    </row>
    <row r="18" spans="1:8" ht="32.25" customHeight="1" x14ac:dyDescent="0.35">
      <c r="A18" s="101" t="s">
        <v>16</v>
      </c>
      <c r="B18" s="101"/>
      <c r="C18" s="168" t="s">
        <v>180</v>
      </c>
      <c r="D18" s="168"/>
      <c r="E18" s="103" t="s">
        <v>17</v>
      </c>
      <c r="F18" s="103"/>
      <c r="G18" s="150" t="s">
        <v>188</v>
      </c>
      <c r="H18" s="150"/>
    </row>
    <row r="19" spans="1:8" ht="15" customHeight="1" x14ac:dyDescent="0.35">
      <c r="A19" s="103" t="s">
        <v>122</v>
      </c>
      <c r="B19" s="103"/>
      <c r="C19" s="103"/>
      <c r="D19" s="103"/>
      <c r="E19" s="151" t="s">
        <v>18</v>
      </c>
      <c r="F19" s="151"/>
      <c r="G19" s="151"/>
      <c r="H19" s="151"/>
    </row>
    <row r="20" spans="1:8" ht="18.75" customHeight="1" x14ac:dyDescent="0.35">
      <c r="A20" s="103"/>
      <c r="B20" s="103"/>
      <c r="C20" s="103"/>
      <c r="D20" s="103"/>
      <c r="E20" s="151"/>
      <c r="F20" s="151"/>
      <c r="G20" s="151"/>
      <c r="H20" s="151"/>
    </row>
    <row r="21" spans="1:8" ht="15" customHeight="1" x14ac:dyDescent="0.35">
      <c r="A21" s="103" t="s">
        <v>19</v>
      </c>
      <c r="B21" s="103"/>
      <c r="C21" s="103"/>
      <c r="D21" s="103"/>
      <c r="E21" s="150" t="s">
        <v>20</v>
      </c>
      <c r="F21" s="150"/>
      <c r="G21" s="150"/>
      <c r="H21" s="150"/>
    </row>
    <row r="22" spans="1:8" ht="15" customHeight="1" x14ac:dyDescent="0.35">
      <c r="A22" s="101" t="s">
        <v>21</v>
      </c>
      <c r="B22" s="101"/>
      <c r="C22" s="101"/>
      <c r="D22" s="101"/>
      <c r="E22" s="150" t="s">
        <v>177</v>
      </c>
      <c r="F22" s="150"/>
      <c r="G22" s="150"/>
      <c r="H22" s="150"/>
    </row>
    <row r="23" spans="1:8" x14ac:dyDescent="0.35">
      <c r="A23" s="101" t="s">
        <v>22</v>
      </c>
      <c r="B23" s="101"/>
      <c r="C23" s="101"/>
      <c r="D23" s="101"/>
      <c r="E23" s="150" t="s">
        <v>23</v>
      </c>
      <c r="F23" s="150"/>
      <c r="G23" s="150"/>
      <c r="H23" s="150"/>
    </row>
    <row r="24" spans="1:8" x14ac:dyDescent="0.35">
      <c r="A24" s="101" t="s">
        <v>24</v>
      </c>
      <c r="B24" s="101"/>
      <c r="C24" s="101"/>
      <c r="D24" s="101"/>
      <c r="E24" s="150" t="s">
        <v>178</v>
      </c>
      <c r="F24" s="150"/>
      <c r="G24" s="150"/>
      <c r="H24" s="150"/>
    </row>
    <row r="25" spans="1:8" x14ac:dyDescent="0.35">
      <c r="A25" s="101" t="s">
        <v>25</v>
      </c>
      <c r="B25" s="101"/>
      <c r="C25" s="101"/>
      <c r="D25" s="101"/>
      <c r="E25" s="150" t="s">
        <v>26</v>
      </c>
      <c r="F25" s="150"/>
      <c r="G25" s="150"/>
      <c r="H25" s="150"/>
    </row>
    <row r="26" spans="1:8" x14ac:dyDescent="0.35">
      <c r="A26" s="101" t="s">
        <v>128</v>
      </c>
      <c r="B26" s="101"/>
      <c r="C26" s="101"/>
      <c r="D26" s="101"/>
      <c r="E26" s="150" t="s">
        <v>129</v>
      </c>
      <c r="F26" s="150"/>
      <c r="G26" s="150"/>
      <c r="H26" s="150"/>
    </row>
    <row r="27" spans="1:8" ht="15" customHeight="1" x14ac:dyDescent="0.35">
      <c r="A27" s="103" t="s">
        <v>37</v>
      </c>
      <c r="B27" s="103"/>
      <c r="C27" s="103"/>
      <c r="D27" s="103"/>
      <c r="E27" s="165" t="s">
        <v>189</v>
      </c>
      <c r="F27" s="165"/>
      <c r="G27" s="165"/>
      <c r="H27" s="165"/>
    </row>
    <row r="28" spans="1:8" x14ac:dyDescent="0.35">
      <c r="A28" s="103" t="s">
        <v>142</v>
      </c>
      <c r="B28" s="103"/>
      <c r="C28" s="103"/>
      <c r="D28" s="103"/>
      <c r="E28" s="103" t="s">
        <v>38</v>
      </c>
      <c r="F28" s="103"/>
      <c r="G28" s="103"/>
      <c r="H28" s="103"/>
    </row>
    <row r="29" spans="1:8" s="11" customFormat="1" x14ac:dyDescent="0.35">
      <c r="A29" s="166" t="s">
        <v>143</v>
      </c>
      <c r="B29" s="166"/>
      <c r="C29" s="167" t="s">
        <v>31</v>
      </c>
      <c r="D29" s="167"/>
      <c r="E29" s="167"/>
      <c r="F29" s="167" t="s">
        <v>33</v>
      </c>
      <c r="G29" s="167"/>
      <c r="H29" s="167"/>
    </row>
    <row r="30" spans="1:8" s="11" customFormat="1" x14ac:dyDescent="0.35">
      <c r="A30" s="164" t="s">
        <v>27</v>
      </c>
      <c r="B30" s="164" t="s">
        <v>32</v>
      </c>
      <c r="C30" s="147" t="s">
        <v>32</v>
      </c>
      <c r="D30" s="147"/>
      <c r="E30" s="147"/>
      <c r="F30" s="147" t="s">
        <v>182</v>
      </c>
      <c r="G30" s="147"/>
      <c r="H30" s="147"/>
    </row>
    <row r="31" spans="1:8" x14ac:dyDescent="0.35">
      <c r="A31" s="164" t="s">
        <v>28</v>
      </c>
      <c r="B31" s="164" t="s">
        <v>32</v>
      </c>
      <c r="C31" s="147" t="s">
        <v>32</v>
      </c>
      <c r="D31" s="147"/>
      <c r="E31" s="147"/>
      <c r="F31" s="147" t="s">
        <v>181</v>
      </c>
      <c r="G31" s="147"/>
      <c r="H31" s="147"/>
    </row>
    <row r="32" spans="1:8" s="11" customFormat="1" x14ac:dyDescent="0.35">
      <c r="A32" s="164" t="s">
        <v>30</v>
      </c>
      <c r="B32" s="164" t="s">
        <v>32</v>
      </c>
      <c r="C32" s="147" t="s">
        <v>32</v>
      </c>
      <c r="D32" s="147"/>
      <c r="E32" s="147"/>
      <c r="F32" s="147" t="s">
        <v>181</v>
      </c>
      <c r="G32" s="147"/>
      <c r="H32" s="147"/>
    </row>
    <row r="33" spans="1:8" x14ac:dyDescent="0.35">
      <c r="A33" s="164" t="s">
        <v>29</v>
      </c>
      <c r="B33" s="164" t="s">
        <v>32</v>
      </c>
      <c r="C33" s="147" t="s">
        <v>32</v>
      </c>
      <c r="D33" s="147"/>
      <c r="E33" s="147"/>
      <c r="F33" s="147" t="s">
        <v>183</v>
      </c>
      <c r="G33" s="147"/>
      <c r="H33" s="147"/>
    </row>
    <row r="34" spans="1:8" x14ac:dyDescent="0.35">
      <c r="A34" s="101" t="s">
        <v>34</v>
      </c>
      <c r="B34" s="101"/>
      <c r="C34" s="101"/>
      <c r="D34" s="101"/>
      <c r="E34" s="101"/>
      <c r="F34" s="101"/>
      <c r="G34" s="101"/>
      <c r="H34" s="101"/>
    </row>
    <row r="35" spans="1:8" ht="15.75" customHeight="1" x14ac:dyDescent="0.35">
      <c r="A35" s="124" t="s">
        <v>35</v>
      </c>
      <c r="B35" s="124"/>
      <c r="C35" s="194">
        <v>18.894241999999998</v>
      </c>
      <c r="D35" s="194"/>
      <c r="E35" s="124" t="s">
        <v>36</v>
      </c>
      <c r="F35" s="124"/>
      <c r="G35" s="195">
        <v>73.191913999999997</v>
      </c>
      <c r="H35" s="195"/>
    </row>
    <row r="36" spans="1:8" x14ac:dyDescent="0.35">
      <c r="A36" s="130" t="s">
        <v>39</v>
      </c>
      <c r="B36" s="130"/>
      <c r="C36" s="130"/>
      <c r="D36" s="130"/>
      <c r="E36" s="130"/>
      <c r="F36" s="130"/>
      <c r="G36" s="130"/>
      <c r="H36" s="130"/>
    </row>
    <row r="37" spans="1:8" x14ac:dyDescent="0.35">
      <c r="A37" s="101" t="s">
        <v>40</v>
      </c>
      <c r="B37" s="101"/>
      <c r="C37" s="101"/>
      <c r="D37" s="101"/>
      <c r="E37" s="163">
        <v>47305</v>
      </c>
      <c r="F37" s="163"/>
      <c r="G37" s="163"/>
      <c r="H37" s="163"/>
    </row>
    <row r="38" spans="1:8" x14ac:dyDescent="0.35">
      <c r="A38" s="101" t="s">
        <v>41</v>
      </c>
      <c r="B38" s="101"/>
      <c r="C38" s="101"/>
      <c r="D38" s="101"/>
      <c r="E38" s="161">
        <v>0.2</v>
      </c>
      <c r="F38" s="161"/>
      <c r="G38" s="161"/>
      <c r="H38" s="161"/>
    </row>
    <row r="39" spans="1:8" x14ac:dyDescent="0.35">
      <c r="A39" s="101" t="s">
        <v>42</v>
      </c>
      <c r="B39" s="101"/>
      <c r="C39" s="101"/>
      <c r="D39" s="101"/>
      <c r="E39" s="161">
        <f>E41/E37-E38</f>
        <v>0.60907350174400166</v>
      </c>
      <c r="F39" s="161"/>
      <c r="G39" s="161"/>
      <c r="H39" s="161"/>
    </row>
    <row r="40" spans="1:8" x14ac:dyDescent="0.35">
      <c r="A40" s="101" t="s">
        <v>43</v>
      </c>
      <c r="B40" s="101"/>
      <c r="C40" s="101"/>
      <c r="D40" s="101"/>
      <c r="E40" s="161">
        <f>E38+E39</f>
        <v>0.80907350174400161</v>
      </c>
      <c r="F40" s="161"/>
      <c r="G40" s="161"/>
      <c r="H40" s="161"/>
    </row>
    <row r="41" spans="1:8" x14ac:dyDescent="0.35">
      <c r="A41" s="101" t="s">
        <v>141</v>
      </c>
      <c r="B41" s="101"/>
      <c r="C41" s="101"/>
      <c r="D41" s="101"/>
      <c r="E41" s="162">
        <v>38273.222000000002</v>
      </c>
      <c r="F41" s="162"/>
      <c r="G41" s="162"/>
      <c r="H41" s="162"/>
    </row>
    <row r="42" spans="1:8" x14ac:dyDescent="0.35">
      <c r="A42" s="151" t="s">
        <v>44</v>
      </c>
      <c r="B42" s="151"/>
      <c r="C42" s="151"/>
      <c r="D42" s="151"/>
      <c r="E42" s="151" t="s">
        <v>238</v>
      </c>
      <c r="F42" s="151"/>
      <c r="G42" s="151"/>
      <c r="H42" s="151"/>
    </row>
    <row r="43" spans="1:8" x14ac:dyDescent="0.35">
      <c r="A43" s="130" t="s">
        <v>45</v>
      </c>
      <c r="B43" s="130"/>
      <c r="C43" s="130"/>
      <c r="D43" s="130"/>
      <c r="E43" s="130"/>
      <c r="F43" s="130"/>
      <c r="G43" s="130"/>
      <c r="H43" s="130"/>
    </row>
    <row r="44" spans="1:8" x14ac:dyDescent="0.35">
      <c r="A44" s="150" t="s">
        <v>46</v>
      </c>
      <c r="B44" s="150"/>
      <c r="C44" s="132" t="s">
        <v>186</v>
      </c>
      <c r="D44" s="132"/>
      <c r="E44" s="132"/>
      <c r="F44" s="50" t="s">
        <v>47</v>
      </c>
      <c r="G44" s="150" t="s">
        <v>187</v>
      </c>
      <c r="H44" s="150"/>
    </row>
    <row r="45" spans="1:8" ht="31.5" customHeight="1" x14ac:dyDescent="0.35">
      <c r="A45" s="150" t="s">
        <v>48</v>
      </c>
      <c r="B45" s="150"/>
      <c r="C45" s="132" t="str">
        <f>C44</f>
        <v>MSRDC/SPA/Chambharli/Khalapur/BP-200/CC/2019/638</v>
      </c>
      <c r="D45" s="132"/>
      <c r="E45" s="132"/>
      <c r="F45" s="50" t="s">
        <v>47</v>
      </c>
      <c r="G45" s="150" t="str">
        <f>G44</f>
        <v>01/07/2019.</v>
      </c>
      <c r="H45" s="150"/>
    </row>
    <row r="46" spans="1:8" s="10" customFormat="1" ht="32.25" customHeight="1" x14ac:dyDescent="0.35">
      <c r="A46" s="150" t="s">
        <v>49</v>
      </c>
      <c r="B46" s="150"/>
      <c r="C46" s="132" t="str">
        <f>C45</f>
        <v>MSRDC/SPA/Chambharli/Khalapur/BP-200/CC/2019/638</v>
      </c>
      <c r="D46" s="131"/>
      <c r="E46" s="131"/>
      <c r="F46" s="13" t="s">
        <v>47</v>
      </c>
      <c r="G46" s="131" t="str">
        <f>G45</f>
        <v>01/07/2019.</v>
      </c>
      <c r="H46" s="131"/>
    </row>
    <row r="47" spans="1:8" s="10" customFormat="1" ht="49.5" customHeight="1" x14ac:dyDescent="0.35">
      <c r="A47" s="150"/>
      <c r="B47" s="150"/>
      <c r="C47" s="154" t="s">
        <v>239</v>
      </c>
      <c r="D47" s="155"/>
      <c r="E47" s="155"/>
      <c r="F47" s="155"/>
      <c r="G47" s="155"/>
      <c r="H47" s="156"/>
    </row>
    <row r="48" spans="1:8" ht="34.5" customHeight="1" x14ac:dyDescent="0.35">
      <c r="A48" s="137" t="s">
        <v>50</v>
      </c>
      <c r="B48" s="137"/>
      <c r="C48" s="157" t="s">
        <v>162</v>
      </c>
      <c r="D48" s="138"/>
      <c r="E48" s="138" t="s">
        <v>51</v>
      </c>
      <c r="F48" s="52" t="s">
        <v>47</v>
      </c>
      <c r="G48" s="158" t="s">
        <v>32</v>
      </c>
      <c r="H48" s="159"/>
    </row>
    <row r="49" spans="1:11" x14ac:dyDescent="0.35">
      <c r="A49" s="152" t="s">
        <v>53</v>
      </c>
      <c r="B49" s="152"/>
      <c r="C49" s="152"/>
      <c r="D49" s="152"/>
      <c r="E49" s="152"/>
      <c r="F49" s="152"/>
      <c r="G49" s="152"/>
      <c r="H49" s="152"/>
    </row>
    <row r="50" spans="1:11" x14ac:dyDescent="0.35">
      <c r="A50" s="103" t="s">
        <v>140</v>
      </c>
      <c r="B50" s="103"/>
      <c r="C50" s="103"/>
      <c r="D50" s="101">
        <f>E41</f>
        <v>38273.222000000002</v>
      </c>
      <c r="E50" s="101"/>
      <c r="F50" s="101"/>
      <c r="G50" s="101"/>
      <c r="H50" s="101"/>
    </row>
    <row r="51" spans="1:11" x14ac:dyDescent="0.35">
      <c r="A51" s="150" t="s">
        <v>54</v>
      </c>
      <c r="B51" s="151"/>
      <c r="C51" s="151"/>
      <c r="D51" s="151" t="s">
        <v>229</v>
      </c>
      <c r="E51" s="151"/>
      <c r="F51" s="151"/>
      <c r="G51" s="151"/>
      <c r="H51" s="151"/>
    </row>
    <row r="52" spans="1:11" ht="34.5" customHeight="1" x14ac:dyDescent="0.35">
      <c r="A52" s="150" t="s">
        <v>55</v>
      </c>
      <c r="B52" s="151"/>
      <c r="C52" s="151"/>
      <c r="D52" s="150" t="s">
        <v>190</v>
      </c>
      <c r="E52" s="151"/>
      <c r="F52" s="151"/>
      <c r="G52" s="151"/>
      <c r="H52" s="151"/>
    </row>
    <row r="53" spans="1:11" ht="31.5" customHeight="1" x14ac:dyDescent="0.35">
      <c r="A53" s="150" t="s">
        <v>138</v>
      </c>
      <c r="B53" s="151"/>
      <c r="C53" s="151"/>
      <c r="D53" s="150" t="s">
        <v>190</v>
      </c>
      <c r="E53" s="151"/>
      <c r="F53" s="151"/>
      <c r="G53" s="151"/>
      <c r="H53" s="151"/>
    </row>
    <row r="54" spans="1:11" ht="48.75" customHeight="1" x14ac:dyDescent="0.35">
      <c r="A54" s="101" t="s">
        <v>52</v>
      </c>
      <c r="B54" s="101"/>
      <c r="C54" s="101"/>
      <c r="D54" s="103" t="s">
        <v>240</v>
      </c>
      <c r="E54" s="103"/>
      <c r="F54" s="103"/>
      <c r="G54" s="103"/>
      <c r="H54" s="103"/>
    </row>
    <row r="55" spans="1:11" ht="15.75" customHeight="1" x14ac:dyDescent="0.35">
      <c r="A55" s="101" t="s">
        <v>135</v>
      </c>
      <c r="B55" s="101"/>
      <c r="C55" s="101"/>
      <c r="D55" s="103" t="s">
        <v>136</v>
      </c>
      <c r="E55" s="103"/>
      <c r="F55" s="103"/>
      <c r="G55" s="103"/>
      <c r="H55" s="103"/>
    </row>
    <row r="56" spans="1:11" ht="15.75" customHeight="1" x14ac:dyDescent="0.35">
      <c r="A56" s="101" t="s">
        <v>137</v>
      </c>
      <c r="B56" s="101"/>
      <c r="C56" s="101"/>
      <c r="D56" s="103" t="s">
        <v>26</v>
      </c>
      <c r="E56" s="103"/>
      <c r="F56" s="103"/>
      <c r="G56" s="103"/>
      <c r="H56" s="103"/>
      <c r="J56" s="21"/>
      <c r="K56" s="21"/>
    </row>
    <row r="57" spans="1:11" ht="15.75" customHeight="1" thickBot="1" x14ac:dyDescent="0.4">
      <c r="A57" s="133" t="s">
        <v>134</v>
      </c>
      <c r="B57" s="133"/>
      <c r="C57" s="133"/>
      <c r="D57" s="134" t="s">
        <v>232</v>
      </c>
      <c r="E57" s="134"/>
      <c r="F57" s="134"/>
      <c r="G57" s="134"/>
      <c r="H57" s="134"/>
      <c r="J57" s="21"/>
      <c r="K57" s="21"/>
    </row>
    <row r="58" spans="1:11" x14ac:dyDescent="0.35">
      <c r="A58" s="180" t="s">
        <v>241</v>
      </c>
      <c r="B58" s="181"/>
      <c r="C58" s="181"/>
      <c r="D58" s="181"/>
      <c r="E58" s="181"/>
      <c r="F58" s="181"/>
      <c r="G58" s="181"/>
      <c r="H58" s="182"/>
      <c r="I58" s="28" t="str">
        <f>(IF(C62=0,"Work not yet Started.",IF(C62=1,"Excavation work in process",IF(C62=2,"Excavation work completed",IF(C62=4,"Footing work is process",IF(C62=5,"Footing work Completed",IF(C62=7,"Plinth work is process",IF(C62=10,"Plinth work completed","0")))))))&amp;(IF(C63&gt;0,", RCC upto "&amp;C63&amp;" Slab completed",""))&amp;(IF(C64&gt;0,", Brickwork upto "&amp;C64&amp;" Floor completed"," "))&amp;(IF(C65&gt;0,", Plaster upto "&amp;C65&amp;" Floor completed"," "))&amp;(IF(C66&gt;0,", Flooring upto "&amp;C66&amp;" Floor completed"," "))&amp;(IF(C67&gt;0,", Painting upto "&amp;C67&amp;" Floor completed"," "))&amp;(IF(C68&gt;0,", Finishing upto "&amp;C68&amp;" Floor completed"," ")))</f>
        <v xml:space="preserve">Plinth work completed, RCC upto 10 Slab completed, Brickwork upto 6 Floor completed    </v>
      </c>
      <c r="J58" s="29"/>
      <c r="K58" s="30"/>
    </row>
    <row r="59" spans="1:11" s="10" customFormat="1" x14ac:dyDescent="0.35">
      <c r="A59" s="26" t="s">
        <v>112</v>
      </c>
      <c r="B59" s="51">
        <v>0</v>
      </c>
      <c r="C59" s="51" t="s">
        <v>114</v>
      </c>
      <c r="D59" s="51">
        <v>1</v>
      </c>
      <c r="E59" s="51" t="s">
        <v>113</v>
      </c>
      <c r="F59" s="51">
        <v>0</v>
      </c>
      <c r="G59" s="51" t="s">
        <v>127</v>
      </c>
      <c r="H59" s="54">
        <v>12</v>
      </c>
      <c r="I59" s="55" t="s">
        <v>160</v>
      </c>
      <c r="J59" s="56"/>
      <c r="K59" s="57"/>
    </row>
    <row r="60" spans="1:11" ht="35.25" customHeight="1" x14ac:dyDescent="0.35">
      <c r="A60" s="185" t="s">
        <v>139</v>
      </c>
      <c r="B60" s="167"/>
      <c r="C60" s="137" t="str">
        <f>I58</f>
        <v xml:space="preserve">Plinth work completed, RCC upto 10 Slab completed, Brickwork upto 6 Floor completed    </v>
      </c>
      <c r="D60" s="137"/>
      <c r="E60" s="137"/>
      <c r="F60" s="137"/>
      <c r="G60" s="137"/>
      <c r="H60" s="145"/>
      <c r="I60" s="31" t="s">
        <v>159</v>
      </c>
      <c r="J60" s="21"/>
      <c r="K60" s="32"/>
    </row>
    <row r="61" spans="1:11" ht="36" customHeight="1" x14ac:dyDescent="0.35">
      <c r="A61" s="186" t="s">
        <v>56</v>
      </c>
      <c r="B61" s="187"/>
      <c r="C61" s="58" t="s">
        <v>130</v>
      </c>
      <c r="D61" s="24" t="s">
        <v>131</v>
      </c>
      <c r="E61" s="188" t="s">
        <v>133</v>
      </c>
      <c r="F61" s="188"/>
      <c r="G61" s="188" t="s">
        <v>132</v>
      </c>
      <c r="H61" s="189"/>
      <c r="I61" s="31" t="s">
        <v>161</v>
      </c>
      <c r="K61" s="33"/>
    </row>
    <row r="62" spans="1:11" x14ac:dyDescent="0.35">
      <c r="A62" s="186" t="s">
        <v>57</v>
      </c>
      <c r="B62" s="187"/>
      <c r="C62" s="59">
        <v>10</v>
      </c>
      <c r="D62" s="25">
        <f>((100/10)*C62)/100</f>
        <v>1</v>
      </c>
      <c r="E62" s="183">
        <f>(IF(C60=I60,"100%",IF(C60=I61,"100%",((C62+(40/(B59+D59+F59+H59)*C63)+(15/H59*C64)+(10/H59*C65)+(10/H59*C66)+(5/H59*C67)+(5/H59*C68))/100))))</f>
        <v>0.48269230769230775</v>
      </c>
      <c r="F62" s="183"/>
      <c r="G62" s="183">
        <f>((IF(C62=1,"2",IF(C62=2,"4",IF(C62=4,"8",IF(C62=5,"15",IF(C62=7,"20",IF(C62=10,"30","0")))))))/100)+(((30/(H59+F59+D59+B59)*C63)+(15/H59*C64)+(10/H59*C65)+(5/H59*C66)+(5/H59*C67)+(5/H59*C68))/100)</f>
        <v>0.60576923076923073</v>
      </c>
      <c r="H62" s="190"/>
      <c r="I62" s="34"/>
      <c r="K62" s="33"/>
    </row>
    <row r="63" spans="1:11" x14ac:dyDescent="0.35">
      <c r="A63" s="186" t="s">
        <v>158</v>
      </c>
      <c r="B63" s="187"/>
      <c r="C63" s="60">
        <v>10</v>
      </c>
      <c r="D63" s="25">
        <f>((100/(B59+F59+D59+H59))*C63)/100</f>
        <v>0.76923076923076916</v>
      </c>
      <c r="E63" s="183"/>
      <c r="F63" s="183"/>
      <c r="G63" s="183"/>
      <c r="H63" s="190"/>
      <c r="I63" s="35" t="s">
        <v>152</v>
      </c>
      <c r="J63" s="36">
        <v>0.01</v>
      </c>
      <c r="K63" s="37">
        <v>0.02</v>
      </c>
    </row>
    <row r="64" spans="1:11" x14ac:dyDescent="0.35">
      <c r="A64" s="186" t="s">
        <v>58</v>
      </c>
      <c r="B64" s="187"/>
      <c r="C64" s="59">
        <v>6</v>
      </c>
      <c r="D64" s="25">
        <f>((100/H59)*C64)/100</f>
        <v>0.5</v>
      </c>
      <c r="E64" s="183"/>
      <c r="F64" s="183"/>
      <c r="G64" s="183"/>
      <c r="H64" s="190"/>
      <c r="I64" s="35" t="s">
        <v>153</v>
      </c>
      <c r="J64" s="36">
        <v>0.02</v>
      </c>
      <c r="K64" s="37">
        <v>0.04</v>
      </c>
    </row>
    <row r="65" spans="1:11" x14ac:dyDescent="0.35">
      <c r="A65" s="186" t="s">
        <v>59</v>
      </c>
      <c r="B65" s="187"/>
      <c r="C65" s="59">
        <v>0</v>
      </c>
      <c r="D65" s="25">
        <f>((100/H59)*C65)/100</f>
        <v>0</v>
      </c>
      <c r="E65" s="183"/>
      <c r="F65" s="183"/>
      <c r="G65" s="183"/>
      <c r="H65" s="190"/>
      <c r="I65" s="35" t="s">
        <v>154</v>
      </c>
      <c r="J65" s="36">
        <v>0.04</v>
      </c>
      <c r="K65" s="37">
        <v>0.08</v>
      </c>
    </row>
    <row r="66" spans="1:11" x14ac:dyDescent="0.35">
      <c r="A66" s="186" t="s">
        <v>60</v>
      </c>
      <c r="B66" s="187"/>
      <c r="C66" s="59">
        <v>0</v>
      </c>
      <c r="D66" s="25">
        <f>((100/H59)*C66)/100</f>
        <v>0</v>
      </c>
      <c r="E66" s="183"/>
      <c r="F66" s="183"/>
      <c r="G66" s="183"/>
      <c r="H66" s="190"/>
      <c r="I66" s="35" t="s">
        <v>155</v>
      </c>
      <c r="J66" s="36">
        <v>0.05</v>
      </c>
      <c r="K66" s="37">
        <v>0.15</v>
      </c>
    </row>
    <row r="67" spans="1:11" ht="15" customHeight="1" x14ac:dyDescent="0.35">
      <c r="A67" s="186" t="s">
        <v>61</v>
      </c>
      <c r="B67" s="187"/>
      <c r="C67" s="59">
        <v>0</v>
      </c>
      <c r="D67" s="25">
        <f>((100/H59)*C67)/100</f>
        <v>0</v>
      </c>
      <c r="E67" s="183"/>
      <c r="F67" s="183"/>
      <c r="G67" s="183"/>
      <c r="H67" s="190"/>
      <c r="I67" s="35" t="s">
        <v>156</v>
      </c>
      <c r="J67" s="36">
        <v>7.0000000000000007E-2</v>
      </c>
      <c r="K67" s="37">
        <v>0.2</v>
      </c>
    </row>
    <row r="68" spans="1:11" ht="16" thickBot="1" x14ac:dyDescent="0.4">
      <c r="A68" s="192" t="s">
        <v>62</v>
      </c>
      <c r="B68" s="193"/>
      <c r="C68" s="61">
        <v>0</v>
      </c>
      <c r="D68" s="27">
        <f>((100/H59)*C68)/100</f>
        <v>0</v>
      </c>
      <c r="E68" s="184"/>
      <c r="F68" s="184"/>
      <c r="G68" s="184"/>
      <c r="H68" s="191"/>
      <c r="I68" s="38" t="s">
        <v>157</v>
      </c>
      <c r="J68" s="39">
        <v>0.1</v>
      </c>
      <c r="K68" s="40">
        <v>0.3</v>
      </c>
    </row>
    <row r="69" spans="1:11" x14ac:dyDescent="0.35">
      <c r="A69" s="180" t="s">
        <v>242</v>
      </c>
      <c r="B69" s="181"/>
      <c r="C69" s="181"/>
      <c r="D69" s="181"/>
      <c r="E69" s="181"/>
      <c r="F69" s="181"/>
      <c r="G69" s="181"/>
      <c r="H69" s="182"/>
      <c r="I69" s="28" t="str">
        <f>(IF(C73=0,"Work not yet Started.",IF(C73=1,"Excavation work in process",IF(C73=2,"Excavation work completed",IF(C73=4,"Footing work is process",IF(C73=5,"Footing work Completed",IF(C73=7,"Plinth work is process",IF(C73=10,"Plinth work completed","0")))))))&amp;(IF(C74&gt;0,", RCC upto "&amp;C74&amp;" Slab completed",""))&amp;(IF(C75&gt;0,", Brickwork upto "&amp;C75&amp;" Floor completed"," "))&amp;(IF(C76&gt;0,", Plaster upto "&amp;C76&amp;" Floor completed"," "))&amp;(IF(C77&gt;0,", Flooring upto "&amp;C77&amp;" Floor completed"," "))&amp;(IF(C78&gt;0,", Painting upto "&amp;C78&amp;" Floor completed"," "))&amp;(IF(C79&gt;0,", Finishing upto "&amp;C79&amp;" Floor completed"," ")))</f>
        <v xml:space="preserve">Work not yet Started.     </v>
      </c>
      <c r="J69" s="29"/>
      <c r="K69" s="30"/>
    </row>
    <row r="70" spans="1:11" s="10" customFormat="1" x14ac:dyDescent="0.35">
      <c r="A70" s="26" t="s">
        <v>112</v>
      </c>
      <c r="B70" s="51">
        <v>0</v>
      </c>
      <c r="C70" s="51" t="s">
        <v>114</v>
      </c>
      <c r="D70" s="51">
        <v>1</v>
      </c>
      <c r="E70" s="51" t="s">
        <v>113</v>
      </c>
      <c r="F70" s="51">
        <v>0</v>
      </c>
      <c r="G70" s="51" t="s">
        <v>127</v>
      </c>
      <c r="H70" s="54">
        <v>12</v>
      </c>
      <c r="I70" s="55" t="s">
        <v>160</v>
      </c>
      <c r="J70" s="56"/>
      <c r="K70" s="57"/>
    </row>
    <row r="71" spans="1:11" ht="35.25" customHeight="1" x14ac:dyDescent="0.35">
      <c r="A71" s="185" t="s">
        <v>139</v>
      </c>
      <c r="B71" s="167"/>
      <c r="C71" s="137" t="str">
        <f>I69</f>
        <v xml:space="preserve">Work not yet Started.     </v>
      </c>
      <c r="D71" s="137"/>
      <c r="E71" s="137"/>
      <c r="F71" s="137"/>
      <c r="G71" s="137"/>
      <c r="H71" s="145"/>
      <c r="I71" s="31" t="s">
        <v>159</v>
      </c>
      <c r="J71" s="21"/>
      <c r="K71" s="32"/>
    </row>
    <row r="72" spans="1:11" ht="36" customHeight="1" x14ac:dyDescent="0.35">
      <c r="A72" s="186" t="s">
        <v>56</v>
      </c>
      <c r="B72" s="187"/>
      <c r="C72" s="58" t="s">
        <v>130</v>
      </c>
      <c r="D72" s="24" t="s">
        <v>131</v>
      </c>
      <c r="E72" s="188" t="s">
        <v>133</v>
      </c>
      <c r="F72" s="188"/>
      <c r="G72" s="188" t="s">
        <v>132</v>
      </c>
      <c r="H72" s="189"/>
      <c r="I72" s="31" t="s">
        <v>161</v>
      </c>
      <c r="K72" s="33"/>
    </row>
    <row r="73" spans="1:11" x14ac:dyDescent="0.35">
      <c r="A73" s="186" t="s">
        <v>57</v>
      </c>
      <c r="B73" s="187"/>
      <c r="C73" s="59">
        <v>0</v>
      </c>
      <c r="D73" s="25">
        <f>((100/10)*C73)/100</f>
        <v>0</v>
      </c>
      <c r="E73" s="183">
        <f>(IF(C71=I71,"100%",IF(C71=I72,"100%",((C73+(40/(B70+D70+F70+H70)*C74)+(15/H70*C75)+(10/H70*C76)+(10/H70*C77)+(5/H70*C78)+(5/H70*C79))/100))))</f>
        <v>0</v>
      </c>
      <c r="F73" s="183"/>
      <c r="G73" s="183">
        <f>((IF(C73=1,"2",IF(C73=2,"4",IF(C73=4,"8",IF(C73=5,"15",IF(C73=7,"20",IF(C73=10,"30","0")))))))/100)+(((30/(H70+F70+D70+B70)*C74)+(15/H70*C75)+(10/H70*C76)+(5/H70*C77)+(5/H70*C78)+(5/H70*C79))/100)</f>
        <v>0</v>
      </c>
      <c r="H73" s="190"/>
      <c r="I73" s="34"/>
      <c r="K73" s="33"/>
    </row>
    <row r="74" spans="1:11" x14ac:dyDescent="0.35">
      <c r="A74" s="186" t="s">
        <v>158</v>
      </c>
      <c r="B74" s="187"/>
      <c r="C74" s="60">
        <v>0</v>
      </c>
      <c r="D74" s="25">
        <f>((100/(B70+F70+D70+H70))*C74)/100</f>
        <v>0</v>
      </c>
      <c r="E74" s="183"/>
      <c r="F74" s="183"/>
      <c r="G74" s="183"/>
      <c r="H74" s="190"/>
      <c r="I74" s="35" t="s">
        <v>152</v>
      </c>
      <c r="J74" s="36">
        <v>0.01</v>
      </c>
      <c r="K74" s="37">
        <v>0.02</v>
      </c>
    </row>
    <row r="75" spans="1:11" x14ac:dyDescent="0.35">
      <c r="A75" s="186" t="s">
        <v>58</v>
      </c>
      <c r="B75" s="187"/>
      <c r="C75" s="59">
        <v>0</v>
      </c>
      <c r="D75" s="25">
        <f>((100/H70)*C75)/100</f>
        <v>0</v>
      </c>
      <c r="E75" s="183"/>
      <c r="F75" s="183"/>
      <c r="G75" s="183"/>
      <c r="H75" s="190"/>
      <c r="I75" s="35" t="s">
        <v>153</v>
      </c>
      <c r="J75" s="36">
        <v>0.02</v>
      </c>
      <c r="K75" s="37">
        <v>0.04</v>
      </c>
    </row>
    <row r="76" spans="1:11" x14ac:dyDescent="0.35">
      <c r="A76" s="186" t="s">
        <v>59</v>
      </c>
      <c r="B76" s="187"/>
      <c r="C76" s="59">
        <v>0</v>
      </c>
      <c r="D76" s="25">
        <f>((100/H70)*C76)/100</f>
        <v>0</v>
      </c>
      <c r="E76" s="183"/>
      <c r="F76" s="183"/>
      <c r="G76" s="183"/>
      <c r="H76" s="190"/>
      <c r="I76" s="35" t="s">
        <v>154</v>
      </c>
      <c r="J76" s="36">
        <v>0.04</v>
      </c>
      <c r="K76" s="37">
        <v>0.08</v>
      </c>
    </row>
    <row r="77" spans="1:11" x14ac:dyDescent="0.35">
      <c r="A77" s="186" t="s">
        <v>60</v>
      </c>
      <c r="B77" s="187"/>
      <c r="C77" s="59">
        <v>0</v>
      </c>
      <c r="D77" s="25">
        <f>((100/H70)*C77)/100</f>
        <v>0</v>
      </c>
      <c r="E77" s="183"/>
      <c r="F77" s="183"/>
      <c r="G77" s="183"/>
      <c r="H77" s="190"/>
      <c r="I77" s="35" t="s">
        <v>155</v>
      </c>
      <c r="J77" s="36">
        <v>0.05</v>
      </c>
      <c r="K77" s="37">
        <v>0.15</v>
      </c>
    </row>
    <row r="78" spans="1:11" ht="15" customHeight="1" x14ac:dyDescent="0.35">
      <c r="A78" s="186" t="s">
        <v>61</v>
      </c>
      <c r="B78" s="187"/>
      <c r="C78" s="59">
        <v>0</v>
      </c>
      <c r="D78" s="25">
        <f>((100/H70)*C78)/100</f>
        <v>0</v>
      </c>
      <c r="E78" s="183"/>
      <c r="F78" s="183"/>
      <c r="G78" s="183"/>
      <c r="H78" s="190"/>
      <c r="I78" s="35" t="s">
        <v>156</v>
      </c>
      <c r="J78" s="36">
        <v>7.0000000000000007E-2</v>
      </c>
      <c r="K78" s="37">
        <v>0.2</v>
      </c>
    </row>
    <row r="79" spans="1:11" ht="16" thickBot="1" x14ac:dyDescent="0.4">
      <c r="A79" s="192" t="s">
        <v>62</v>
      </c>
      <c r="B79" s="193"/>
      <c r="C79" s="61">
        <v>0</v>
      </c>
      <c r="D79" s="27">
        <f>((100/H70)*C79)/100</f>
        <v>0</v>
      </c>
      <c r="E79" s="184"/>
      <c r="F79" s="184"/>
      <c r="G79" s="184"/>
      <c r="H79" s="191"/>
      <c r="I79" s="38" t="s">
        <v>157</v>
      </c>
      <c r="J79" s="39">
        <v>0.1</v>
      </c>
      <c r="K79" s="40">
        <v>0.3</v>
      </c>
    </row>
    <row r="80" spans="1:11" x14ac:dyDescent="0.35">
      <c r="A80" s="135" t="s">
        <v>228</v>
      </c>
      <c r="B80" s="135"/>
      <c r="C80" s="135"/>
      <c r="D80" s="135"/>
      <c r="E80" s="135"/>
      <c r="F80" s="135"/>
      <c r="G80" s="135"/>
      <c r="H80" s="135"/>
    </row>
    <row r="81" spans="1:8" x14ac:dyDescent="0.35">
      <c r="A81" s="101" t="s">
        <v>63</v>
      </c>
      <c r="B81" s="101"/>
      <c r="C81" s="101"/>
      <c r="D81" s="101"/>
      <c r="E81" s="101"/>
      <c r="F81" s="101"/>
      <c r="G81" s="101"/>
      <c r="H81" s="101"/>
    </row>
    <row r="82" spans="1:8" ht="15" customHeight="1" x14ac:dyDescent="0.35">
      <c r="A82" s="136" t="s">
        <v>117</v>
      </c>
      <c r="B82" s="136"/>
      <c r="C82" s="137" t="s">
        <v>118</v>
      </c>
      <c r="D82" s="137"/>
      <c r="E82" s="137"/>
      <c r="F82" s="137"/>
      <c r="G82" s="137"/>
      <c r="H82" s="137"/>
    </row>
    <row r="83" spans="1:8" x14ac:dyDescent="0.35">
      <c r="A83" s="130" t="s">
        <v>64</v>
      </c>
      <c r="B83" s="130"/>
      <c r="C83" s="130"/>
      <c r="D83" s="130"/>
      <c r="E83" s="130"/>
      <c r="F83" s="130"/>
      <c r="G83" s="130"/>
      <c r="H83" s="130"/>
    </row>
    <row r="84" spans="1:8" x14ac:dyDescent="0.35">
      <c r="A84" s="101" t="s">
        <v>119</v>
      </c>
      <c r="B84" s="101"/>
      <c r="C84" s="101"/>
      <c r="D84" s="101"/>
      <c r="E84" s="101"/>
      <c r="F84" s="131">
        <v>5300</v>
      </c>
      <c r="G84" s="131"/>
      <c r="H84" s="131"/>
    </row>
    <row r="85" spans="1:8" s="12" customFormat="1" hidden="1" x14ac:dyDescent="0.3">
      <c r="A85" s="101" t="s">
        <v>144</v>
      </c>
      <c r="B85" s="101"/>
      <c r="C85" s="101"/>
      <c r="D85" s="101"/>
      <c r="E85" s="101"/>
      <c r="F85" s="131" t="s">
        <v>32</v>
      </c>
      <c r="G85" s="131"/>
      <c r="H85" s="131"/>
    </row>
    <row r="86" spans="1:8" s="12" customFormat="1" hidden="1" x14ac:dyDescent="0.3">
      <c r="A86" s="101" t="s">
        <v>145</v>
      </c>
      <c r="B86" s="101"/>
      <c r="C86" s="101"/>
      <c r="D86" s="101"/>
      <c r="E86" s="101"/>
      <c r="F86" s="131" t="s">
        <v>32</v>
      </c>
      <c r="G86" s="131"/>
      <c r="H86" s="131"/>
    </row>
    <row r="87" spans="1:8" s="12" customFormat="1" hidden="1" x14ac:dyDescent="0.3">
      <c r="A87" s="101" t="s">
        <v>146</v>
      </c>
      <c r="B87" s="101"/>
      <c r="C87" s="101"/>
      <c r="D87" s="101"/>
      <c r="E87" s="101"/>
      <c r="F87" s="131" t="s">
        <v>32</v>
      </c>
      <c r="G87" s="131"/>
      <c r="H87" s="131"/>
    </row>
    <row r="88" spans="1:8" s="12" customFormat="1" hidden="1" x14ac:dyDescent="0.3">
      <c r="A88" s="101" t="s">
        <v>147</v>
      </c>
      <c r="B88" s="101"/>
      <c r="C88" s="101"/>
      <c r="D88" s="101"/>
      <c r="E88" s="101"/>
      <c r="F88" s="131" t="s">
        <v>32</v>
      </c>
      <c r="G88" s="131"/>
      <c r="H88" s="131"/>
    </row>
    <row r="89" spans="1:8" s="12" customFormat="1" hidden="1" x14ac:dyDescent="0.3">
      <c r="A89" s="101" t="s">
        <v>148</v>
      </c>
      <c r="B89" s="101"/>
      <c r="C89" s="101"/>
      <c r="D89" s="101"/>
      <c r="E89" s="101"/>
      <c r="F89" s="131" t="s">
        <v>32</v>
      </c>
      <c r="G89" s="131"/>
      <c r="H89" s="131"/>
    </row>
    <row r="90" spans="1:8" s="12" customFormat="1" hidden="1" x14ac:dyDescent="0.3">
      <c r="A90" s="101" t="s">
        <v>149</v>
      </c>
      <c r="B90" s="101"/>
      <c r="C90" s="101"/>
      <c r="D90" s="101"/>
      <c r="E90" s="101"/>
      <c r="F90" s="131" t="s">
        <v>32</v>
      </c>
      <c r="G90" s="131"/>
      <c r="H90" s="131"/>
    </row>
    <row r="91" spans="1:8" s="12" customFormat="1" hidden="1" x14ac:dyDescent="0.3">
      <c r="A91" s="101" t="s">
        <v>150</v>
      </c>
      <c r="B91" s="101"/>
      <c r="C91" s="101"/>
      <c r="D91" s="101"/>
      <c r="E91" s="101"/>
      <c r="F91" s="131" t="s">
        <v>32</v>
      </c>
      <c r="G91" s="131"/>
      <c r="H91" s="131"/>
    </row>
    <row r="92" spans="1:8" s="12" customFormat="1" hidden="1" x14ac:dyDescent="0.3">
      <c r="A92" s="101" t="s">
        <v>151</v>
      </c>
      <c r="B92" s="101"/>
      <c r="C92" s="101"/>
      <c r="D92" s="101"/>
      <c r="E92" s="101"/>
      <c r="F92" s="131" t="s">
        <v>32</v>
      </c>
      <c r="G92" s="131"/>
      <c r="H92" s="131"/>
    </row>
    <row r="93" spans="1:8" x14ac:dyDescent="0.35">
      <c r="A93" s="101" t="s">
        <v>65</v>
      </c>
      <c r="B93" s="101"/>
      <c r="C93" s="101"/>
      <c r="D93" s="101"/>
      <c r="E93" s="101"/>
      <c r="F93" s="132" t="s">
        <v>246</v>
      </c>
      <c r="G93" s="132"/>
      <c r="H93" s="132"/>
    </row>
    <row r="94" spans="1:8" s="9" customFormat="1" x14ac:dyDescent="0.35">
      <c r="A94" s="130" t="s">
        <v>66</v>
      </c>
      <c r="B94" s="130"/>
      <c r="C94" s="130"/>
      <c r="D94" s="130"/>
      <c r="E94" s="130"/>
      <c r="F94" s="131">
        <f>F84*0.8</f>
        <v>4240</v>
      </c>
      <c r="G94" s="131"/>
      <c r="H94" s="131"/>
    </row>
    <row r="95" spans="1:8" s="1" customFormat="1" ht="15.75" hidden="1" customHeight="1" x14ac:dyDescent="0.35">
      <c r="A95" s="121" t="s">
        <v>120</v>
      </c>
      <c r="B95" s="121"/>
      <c r="C95" s="121"/>
      <c r="D95" s="121"/>
      <c r="E95" s="121"/>
      <c r="F95" s="121"/>
      <c r="G95" s="121"/>
      <c r="H95" s="121"/>
    </row>
    <row r="96" spans="1:8" s="1" customFormat="1" ht="15.75" hidden="1" customHeight="1" x14ac:dyDescent="0.35">
      <c r="A96" s="123" t="s">
        <v>67</v>
      </c>
      <c r="B96" s="123"/>
      <c r="C96" s="14" t="s">
        <v>124</v>
      </c>
      <c r="D96" s="129" t="s">
        <v>68</v>
      </c>
      <c r="E96" s="129"/>
      <c r="F96" s="123" t="s">
        <v>69</v>
      </c>
      <c r="G96" s="123"/>
      <c r="H96" s="123"/>
    </row>
    <row r="97" spans="1:9" s="1" customFormat="1" hidden="1" x14ac:dyDescent="0.35">
      <c r="A97" s="126"/>
      <c r="B97" s="126"/>
      <c r="C97" s="15"/>
      <c r="D97" s="127"/>
      <c r="E97" s="127"/>
      <c r="F97" s="128"/>
      <c r="G97" s="128"/>
      <c r="H97" s="128"/>
    </row>
    <row r="98" spans="1:9" s="1" customFormat="1" x14ac:dyDescent="0.35">
      <c r="A98" s="121" t="s">
        <v>111</v>
      </c>
      <c r="B98" s="121"/>
      <c r="C98" s="121"/>
      <c r="D98" s="121"/>
      <c r="E98" s="121"/>
      <c r="F98" s="121"/>
      <c r="G98" s="121"/>
      <c r="H98" s="121"/>
    </row>
    <row r="99" spans="1:9" s="1" customFormat="1" x14ac:dyDescent="0.35">
      <c r="A99" s="123" t="s">
        <v>67</v>
      </c>
      <c r="B99" s="123"/>
      <c r="C99" s="14" t="s">
        <v>124</v>
      </c>
      <c r="D99" s="129" t="s">
        <v>68</v>
      </c>
      <c r="E99" s="129"/>
      <c r="F99" s="123" t="s">
        <v>69</v>
      </c>
      <c r="G99" s="123"/>
      <c r="H99" s="123"/>
    </row>
    <row r="100" spans="1:9" s="1" customFormat="1" x14ac:dyDescent="0.35">
      <c r="A100" s="126" t="s">
        <v>222</v>
      </c>
      <c r="B100" s="126"/>
      <c r="C100" s="15">
        <f>COUNT(D112:D118)+COUNT(D120:D126)*10+COUNT(D128:D134)</f>
        <v>84</v>
      </c>
      <c r="D100" s="127">
        <f>SUM(D112:D118)+SUM(D120:D126)*10+SUM(D128:D134)</f>
        <v>48185.07291000001</v>
      </c>
      <c r="E100" s="127"/>
      <c r="F100" s="128">
        <f>SUM(F112:F118)+SUM(F120:F126)*10+SUM(F128:F134)</f>
        <v>72277.609364999997</v>
      </c>
      <c r="G100" s="128"/>
      <c r="H100" s="128"/>
    </row>
    <row r="101" spans="1:9" s="1" customFormat="1" x14ac:dyDescent="0.35">
      <c r="A101" s="126" t="s">
        <v>206</v>
      </c>
      <c r="B101" s="126"/>
      <c r="C101" s="15">
        <f>COUNT(D138:D150)+COUNT(D152:D164)*10+COUNT(D166:D171)+COUNT(D173:D178)</f>
        <v>155</v>
      </c>
      <c r="D101" s="127">
        <f>SUM(D138:D150)+SUM(D152:D164)*10+SUM(D166:D171)+SUM(D173:D178)</f>
        <v>75376.503072000007</v>
      </c>
      <c r="E101" s="127"/>
      <c r="F101" s="128">
        <f>SUM(F138:F150)+SUM(F152:F164)*10+SUM(F166:F171)+SUM(F173:F178)</f>
        <v>113064.75460799999</v>
      </c>
      <c r="G101" s="128"/>
      <c r="H101" s="128"/>
      <c r="I101" s="63">
        <f>C100+C101</f>
        <v>239</v>
      </c>
    </row>
    <row r="102" spans="1:9" s="1" customFormat="1" x14ac:dyDescent="0.35">
      <c r="A102" s="126" t="s">
        <v>216</v>
      </c>
      <c r="B102" s="126"/>
      <c r="C102" s="15">
        <f>COUNT(D183:D194)+COUNT(D196:D207)*10+COUNT(D209:D210)+COUNT(D212:D220)</f>
        <v>143</v>
      </c>
      <c r="D102" s="127">
        <f>SUM(D183:D194)+SUM(D196:D207)*10+SUM(D209:D210)+SUM(D212:D220)</f>
        <v>69355.352897999997</v>
      </c>
      <c r="E102" s="127"/>
      <c r="F102" s="128">
        <f>SUM(F183:F194)+SUM(F196:F207)*10+SUM(F209:F210)+SUM(F212:F220)</f>
        <v>104033.02934699999</v>
      </c>
      <c r="G102" s="128"/>
      <c r="H102" s="128"/>
      <c r="I102" s="63">
        <f>C102+C103</f>
        <v>286</v>
      </c>
    </row>
    <row r="103" spans="1:9" s="1" customFormat="1" x14ac:dyDescent="0.35">
      <c r="A103" s="126" t="s">
        <v>220</v>
      </c>
      <c r="B103" s="126"/>
      <c r="C103" s="15">
        <f>COUNT(D224:D235)+COUNT(D238:D249)*10+COUNT(D251:D254)+COUNT(D256:D262)</f>
        <v>143</v>
      </c>
      <c r="D103" s="127">
        <f>SUM(D224:D235)+SUM(D238:D249)*10+SUM(D251:D254)+SUM(D256:D262)</f>
        <v>69355.352897999997</v>
      </c>
      <c r="E103" s="127"/>
      <c r="F103" s="128">
        <f>SUM(F224:F235)+SUM(F238:F249)*10+SUM(F251:F254)+SUM(F256:F262)</f>
        <v>104033.02934699999</v>
      </c>
      <c r="G103" s="128"/>
      <c r="H103" s="128"/>
    </row>
    <row r="104" spans="1:9" s="1" customFormat="1" x14ac:dyDescent="0.35">
      <c r="A104" s="121" t="s">
        <v>71</v>
      </c>
      <c r="B104" s="121"/>
      <c r="C104" s="64">
        <f>C100+C101+C102+C103</f>
        <v>525</v>
      </c>
      <c r="D104" s="122">
        <f>D100+D101+D102+D103</f>
        <v>262272.281778</v>
      </c>
      <c r="E104" s="122"/>
      <c r="F104" s="123">
        <f>F100+F101+F102+F103</f>
        <v>393408.42266699998</v>
      </c>
      <c r="G104" s="123"/>
      <c r="H104" s="123"/>
    </row>
    <row r="105" spans="1:9" s="9" customFormat="1" x14ac:dyDescent="0.35">
      <c r="A105" s="124" t="s">
        <v>72</v>
      </c>
      <c r="B105" s="124"/>
      <c r="C105" s="124"/>
      <c r="D105" s="124"/>
      <c r="E105" s="124"/>
      <c r="F105" s="124"/>
      <c r="G105" s="124"/>
      <c r="H105" s="124"/>
    </row>
    <row r="106" spans="1:9" x14ac:dyDescent="0.35">
      <c r="A106" s="124" t="s">
        <v>73</v>
      </c>
      <c r="B106" s="124"/>
      <c r="C106" s="124"/>
      <c r="D106" s="124"/>
      <c r="E106" s="124"/>
      <c r="F106" s="124"/>
      <c r="G106" s="124"/>
      <c r="H106" s="124"/>
    </row>
    <row r="107" spans="1:9" ht="47.25" customHeight="1" x14ac:dyDescent="0.35">
      <c r="A107" s="125" t="s">
        <v>121</v>
      </c>
      <c r="B107" s="125"/>
      <c r="C107" s="23" t="s">
        <v>74</v>
      </c>
      <c r="D107" s="23" t="s">
        <v>75</v>
      </c>
      <c r="E107" s="16" t="s">
        <v>76</v>
      </c>
      <c r="F107" s="23" t="s">
        <v>77</v>
      </c>
      <c r="G107" s="125" t="s">
        <v>78</v>
      </c>
      <c r="H107" s="125"/>
    </row>
    <row r="108" spans="1:9" s="2" customFormat="1" x14ac:dyDescent="0.35">
      <c r="A108" s="120" t="s">
        <v>191</v>
      </c>
      <c r="B108" s="120"/>
      <c r="C108" s="120"/>
      <c r="D108" s="120"/>
      <c r="E108" s="120"/>
      <c r="F108" s="120"/>
      <c r="G108" s="120"/>
      <c r="H108" s="120"/>
    </row>
    <row r="109" spans="1:9" s="2" customFormat="1" x14ac:dyDescent="0.35">
      <c r="A109" s="120" t="s">
        <v>192</v>
      </c>
      <c r="B109" s="120"/>
      <c r="C109" s="120"/>
      <c r="D109" s="120"/>
      <c r="E109" s="120"/>
      <c r="F109" s="120"/>
      <c r="G109" s="120"/>
      <c r="H109" s="120"/>
    </row>
    <row r="110" spans="1:9" s="2" customFormat="1" x14ac:dyDescent="0.35">
      <c r="A110" s="120" t="s">
        <v>193</v>
      </c>
      <c r="B110" s="120"/>
      <c r="C110" s="120"/>
      <c r="D110" s="120"/>
      <c r="E110" s="120"/>
      <c r="F110" s="120"/>
      <c r="G110" s="120"/>
      <c r="H110" s="120"/>
    </row>
    <row r="111" spans="1:9" s="2" customFormat="1" x14ac:dyDescent="0.35">
      <c r="A111" s="120" t="s">
        <v>194</v>
      </c>
      <c r="B111" s="120"/>
      <c r="C111" s="120"/>
      <c r="D111" s="120"/>
      <c r="E111" s="120"/>
      <c r="F111" s="120"/>
      <c r="G111" s="120"/>
      <c r="H111" s="120"/>
    </row>
    <row r="112" spans="1:9" s="2" customFormat="1" x14ac:dyDescent="0.35">
      <c r="A112" s="106">
        <v>101</v>
      </c>
      <c r="B112" s="106"/>
      <c r="C112" s="22" t="s">
        <v>204</v>
      </c>
      <c r="D112" s="22">
        <f>((4.8*2.75+1.5*2.2+2.6*2.75+1.2*2.1+1.5*1.2+1.2*0.9)+(2.4*0.9+(2.9+2.47+2.9)*1))*10.764</f>
        <v>424.96271999999993</v>
      </c>
      <c r="E112" s="22">
        <v>0</v>
      </c>
      <c r="F112" s="22">
        <f>D112*1.5+E112</f>
        <v>637.44407999999987</v>
      </c>
      <c r="G112" s="113" t="s">
        <v>223</v>
      </c>
      <c r="H112" s="114"/>
      <c r="I112" s="62">
        <f>3610240/F112</f>
        <v>5663.6183679045234</v>
      </c>
    </row>
    <row r="113" spans="1:9" s="2" customFormat="1" x14ac:dyDescent="0.35">
      <c r="A113" s="106">
        <v>102</v>
      </c>
      <c r="B113" s="106"/>
      <c r="C113" s="22" t="s">
        <v>204</v>
      </c>
      <c r="D113" s="22">
        <f>((5.05*2.75+1.35*1.2+1.6*2.25+2.5*3+2.5*3+1.5*1.2+1.2*0.9)+(2.4*0.9+0.9*1.2+(2.9+2.4+3.15)*1))*10.764</f>
        <v>523.96460999999988</v>
      </c>
      <c r="E113" s="22">
        <v>0</v>
      </c>
      <c r="F113" s="22">
        <f t="shared" ref="F113:F118" si="0">D113*1.5+E113</f>
        <v>785.94691499999976</v>
      </c>
      <c r="G113" s="115"/>
      <c r="H113" s="116"/>
      <c r="I113" s="62">
        <f>3761840/F113</f>
        <v>4786.379242928896</v>
      </c>
    </row>
    <row r="114" spans="1:9" s="2" customFormat="1" x14ac:dyDescent="0.35">
      <c r="A114" s="106">
        <v>103</v>
      </c>
      <c r="B114" s="106"/>
      <c r="C114" s="22" t="s">
        <v>204</v>
      </c>
      <c r="D114" s="22">
        <f>((2.75*4.5+0.9*3.2+2.1*2.85+2.4*2.75+2.4*3.05+2.2*1.2+1.2*2.1)+(1.2*0.95+3.3*0.9+0.9*0.45+(2.9+3.12)*1))*10.764</f>
        <v>547.40322000000003</v>
      </c>
      <c r="E114" s="22">
        <v>0</v>
      </c>
      <c r="F114" s="22">
        <f t="shared" si="0"/>
        <v>821.10482999999999</v>
      </c>
      <c r="G114" s="115"/>
      <c r="H114" s="116"/>
      <c r="I114" s="62">
        <f>4101840/F114</f>
        <v>4995.5131794803838</v>
      </c>
    </row>
    <row r="115" spans="1:9" s="2" customFormat="1" x14ac:dyDescent="0.35">
      <c r="A115" s="106">
        <v>104</v>
      </c>
      <c r="B115" s="106"/>
      <c r="C115" s="22" t="s">
        <v>204</v>
      </c>
      <c r="D115" s="22">
        <f>((2.75*4.5+0.9*3.2+2.1*2.85+2.4*2.75+2.4*3.05+2.2*1.2+1.2*2.1)+(1.2*0.95+3.3*0.9+0.9*0.45+(2.9+3.12)*1))*10.764</f>
        <v>547.40322000000003</v>
      </c>
      <c r="E115" s="22">
        <v>0</v>
      </c>
      <c r="F115" s="22">
        <f t="shared" si="0"/>
        <v>821.10482999999999</v>
      </c>
      <c r="G115" s="115"/>
      <c r="H115" s="116"/>
      <c r="I115" s="62">
        <f>4101840/F115</f>
        <v>4995.5131794803838</v>
      </c>
    </row>
    <row r="116" spans="1:9" s="2" customFormat="1" x14ac:dyDescent="0.35">
      <c r="A116" s="106">
        <v>105</v>
      </c>
      <c r="B116" s="106"/>
      <c r="C116" s="22" t="s">
        <v>204</v>
      </c>
      <c r="D116" s="22">
        <f>((5.05*2.75+1.35*1.2+1.6*2.25+2.5*3+2.5*3+1.5*1.2+1.2*0.9)+(2.4*0.9+0.9*1.2+(2.9+2.4+3.15)*1))*10.764</f>
        <v>523.96460999999988</v>
      </c>
      <c r="E116" s="22">
        <v>0</v>
      </c>
      <c r="F116" s="22">
        <f t="shared" si="0"/>
        <v>785.94691499999976</v>
      </c>
      <c r="G116" s="115"/>
      <c r="H116" s="116"/>
      <c r="I116" s="62">
        <f>3642696/F116</f>
        <v>4634.7863074187408</v>
      </c>
    </row>
    <row r="117" spans="1:9" s="2" customFormat="1" x14ac:dyDescent="0.35">
      <c r="A117" s="106">
        <v>106</v>
      </c>
      <c r="B117" s="106"/>
      <c r="C117" s="22" t="s">
        <v>204</v>
      </c>
      <c r="D117" s="22">
        <f>((2.75*4.31+1.5*1+2.25*1.5+2.75*2.4+2.75*2.4+2.1*1.2+1.2*2.1)+(2.4*0.9+1.2*0.5+(2.85+2.9+2.4+2.97)*1))*10.764</f>
        <v>525.79449000000011</v>
      </c>
      <c r="E117" s="22">
        <v>0</v>
      </c>
      <c r="F117" s="22">
        <f t="shared" si="0"/>
        <v>788.69173500000011</v>
      </c>
      <c r="G117" s="115"/>
      <c r="H117" s="116"/>
      <c r="I117" s="62">
        <f>3426560/F117</f>
        <v>4344.6125373686073</v>
      </c>
    </row>
    <row r="118" spans="1:9" s="2" customFormat="1" x14ac:dyDescent="0.35">
      <c r="A118" s="106">
        <v>107</v>
      </c>
      <c r="B118" s="106"/>
      <c r="C118" s="22" t="s">
        <v>204</v>
      </c>
      <c r="D118" s="22">
        <f>((2.75*4.31+1.5*1+2.25*1.5+2.75*2.4+2.75*2.4+2.1*1.2+1.2*2.1)+(2.4*0.9+1.2*0.5+(2.85+2.9+2.4+2.97)*1))*10.764</f>
        <v>525.79449000000011</v>
      </c>
      <c r="E118" s="22">
        <v>0</v>
      </c>
      <c r="F118" s="22">
        <f t="shared" si="0"/>
        <v>788.69173500000011</v>
      </c>
      <c r="G118" s="117"/>
      <c r="H118" s="118"/>
      <c r="I118" s="62">
        <f>3598080/F118</f>
        <v>4562.0866053579221</v>
      </c>
    </row>
    <row r="119" spans="1:9" s="2" customFormat="1" x14ac:dyDescent="0.35">
      <c r="A119" s="120" t="s">
        <v>195</v>
      </c>
      <c r="B119" s="120"/>
      <c r="C119" s="120"/>
      <c r="D119" s="120"/>
      <c r="E119" s="120"/>
      <c r="F119" s="120"/>
      <c r="G119" s="120"/>
      <c r="H119" s="120"/>
      <c r="I119" s="62"/>
    </row>
    <row r="120" spans="1:9" s="2" customFormat="1" x14ac:dyDescent="0.35">
      <c r="A120" s="106" t="s">
        <v>196</v>
      </c>
      <c r="B120" s="106"/>
      <c r="C120" s="22" t="s">
        <v>204</v>
      </c>
      <c r="D120" s="22">
        <f>((4.8*2.75+1.6*2.25+2.6*2.75+2.5*2.75+1.2*2.1+1.5*1.2+1.2*0.9+2.4*0.9+0.75*5.6)+(2.9*1+2.475*1+2.9*1))*10.764</f>
        <v>547.45704000000001</v>
      </c>
      <c r="E120" s="22">
        <v>0</v>
      </c>
      <c r="F120" s="22">
        <f>D120*1.5+E120</f>
        <v>821.18556000000001</v>
      </c>
      <c r="G120" s="113" t="str">
        <f>A119</f>
        <v xml:space="preserve">2nd to 7th, 9th to  12th, Floor </v>
      </c>
      <c r="H120" s="114"/>
      <c r="I120" s="62"/>
    </row>
    <row r="121" spans="1:9" s="2" customFormat="1" x14ac:dyDescent="0.35">
      <c r="A121" s="106" t="s">
        <v>197</v>
      </c>
      <c r="B121" s="106"/>
      <c r="C121" s="22" t="s">
        <v>204</v>
      </c>
      <c r="D121" s="22">
        <f>((5.05*2.75+1.6*2.25+2.5*3+2.5*3+1.2*2.1+1.5*1.2+1.2*0.9)+(1.35*1.2+2.4*0.9+0.9*1.2)+(2.9*1+3.15*1+2.4*1+3.15*1))*10.764</f>
        <v>584.99648999999988</v>
      </c>
      <c r="E121" s="22">
        <v>0</v>
      </c>
      <c r="F121" s="22">
        <f t="shared" ref="F121:F133" si="1">D121*1.5+E121</f>
        <v>877.49473499999976</v>
      </c>
      <c r="G121" s="115"/>
      <c r="H121" s="116"/>
      <c r="I121" s="62"/>
    </row>
    <row r="122" spans="1:9" s="2" customFormat="1" x14ac:dyDescent="0.35">
      <c r="A122" s="106" t="s">
        <v>198</v>
      </c>
      <c r="B122" s="106"/>
      <c r="C122" s="22" t="s">
        <v>204</v>
      </c>
      <c r="D122" s="22">
        <f>((2.75*4.5+2.1*2.85+2.4*3.05+2.4*2.75+1.2*2.1+2.2*1.2)+(0.9*3.2+1.2*0.95+3.3*0.9+0.9*0.45)+(3.125*1+2.9*1+0.75*2.2+0.75*2.6))*10.764</f>
        <v>586.20744000000002</v>
      </c>
      <c r="E122" s="22">
        <v>0</v>
      </c>
      <c r="F122" s="22">
        <f t="shared" si="1"/>
        <v>879.31115999999997</v>
      </c>
      <c r="G122" s="115"/>
      <c r="H122" s="116"/>
      <c r="I122" s="62"/>
    </row>
    <row r="123" spans="1:9" s="2" customFormat="1" x14ac:dyDescent="0.35">
      <c r="A123" s="106" t="s">
        <v>199</v>
      </c>
      <c r="B123" s="106"/>
      <c r="C123" s="22" t="s">
        <v>204</v>
      </c>
      <c r="D123" s="22">
        <f>((2.75*4.5+2.1*2.85+2.4*3.05+2.4*2.75+1.2*2.1+2.2*1.2)+(0.9*3.2+1.2*0.95+3.3*0.9+0.9*0.45)+(3.125*1+2.9*1+0.75*2.2+0.75*2.6))*10.764</f>
        <v>586.20744000000002</v>
      </c>
      <c r="E123" s="22">
        <v>0</v>
      </c>
      <c r="F123" s="22">
        <f t="shared" si="1"/>
        <v>879.31115999999997</v>
      </c>
      <c r="G123" s="115"/>
      <c r="H123" s="116"/>
      <c r="I123" s="62"/>
    </row>
    <row r="124" spans="1:9" s="2" customFormat="1" x14ac:dyDescent="0.35">
      <c r="A124" s="106" t="s">
        <v>202</v>
      </c>
      <c r="B124" s="106"/>
      <c r="C124" s="22" t="s">
        <v>204</v>
      </c>
      <c r="D124" s="22">
        <f>((4.25*2.75+1.6*2.25+2.5*3+2.4*3+1.2*2.1+1.5*1.2+1.2*0.9)+(1.2*1.2+2.4*0.9+0.9*1.2)+(2.9*1+3.15*1+2.4*1+3.15*1))*10.764</f>
        <v>556.14896999999996</v>
      </c>
      <c r="E124" s="22">
        <v>0</v>
      </c>
      <c r="F124" s="22">
        <f t="shared" si="1"/>
        <v>834.22345499999994</v>
      </c>
      <c r="G124" s="115"/>
      <c r="H124" s="116"/>
      <c r="I124" s="62"/>
    </row>
    <row r="125" spans="1:9" s="2" customFormat="1" x14ac:dyDescent="0.35">
      <c r="A125" s="106" t="s">
        <v>200</v>
      </c>
      <c r="B125" s="106"/>
      <c r="C125" s="22" t="s">
        <v>204</v>
      </c>
      <c r="D125" s="22">
        <f>((2.75*4.315+2.25*1.5+2.75*2.4+2.75*2.4+2.1*1.2+1.2*2.1)+(1.5*1+2.4*0.9+1.2*0.6)+(2.82*1+2.9*1+2.4*1+2.975*1)+0.75*11)*10.764</f>
        <v>615.76807499999995</v>
      </c>
      <c r="E125" s="22">
        <v>0</v>
      </c>
      <c r="F125" s="22">
        <f t="shared" si="1"/>
        <v>923.65211249999993</v>
      </c>
      <c r="G125" s="115"/>
      <c r="H125" s="116"/>
      <c r="I125" s="62"/>
    </row>
    <row r="126" spans="1:9" s="2" customFormat="1" x14ac:dyDescent="0.35">
      <c r="A126" s="106" t="s">
        <v>201</v>
      </c>
      <c r="B126" s="106"/>
      <c r="C126" s="22" t="s">
        <v>204</v>
      </c>
      <c r="D126" s="22">
        <f>((2.75*4.315+2.25*1.5+2.75*2.4+2.75*2.4+2.1*1.2+1.2*2.1)+(1.5*1+2.4*0.9+1.2*0.6)+(2.82*1+2.475*1+2.975*1)+5.8*0.75+5.3*0.75)*10.764</f>
        <v>586.16707500000007</v>
      </c>
      <c r="E126" s="22">
        <v>0</v>
      </c>
      <c r="F126" s="22">
        <f t="shared" si="1"/>
        <v>879.2506125000001</v>
      </c>
      <c r="G126" s="117"/>
      <c r="H126" s="118"/>
    </row>
    <row r="127" spans="1:9" s="2" customFormat="1" x14ac:dyDescent="0.35">
      <c r="A127" s="120" t="s">
        <v>203</v>
      </c>
      <c r="B127" s="120"/>
      <c r="C127" s="120"/>
      <c r="D127" s="120"/>
      <c r="E127" s="120"/>
      <c r="F127" s="120"/>
      <c r="G127" s="120"/>
      <c r="H127" s="120"/>
    </row>
    <row r="128" spans="1:9" s="2" customFormat="1" x14ac:dyDescent="0.35">
      <c r="A128" s="106">
        <v>801</v>
      </c>
      <c r="B128" s="106"/>
      <c r="C128" s="22" t="s">
        <v>205</v>
      </c>
      <c r="D128" s="22">
        <f>((4.8*2.75+1.6*2.25+2.5*2.75+1.5*1.2+1.2*0.9+2.4*0.9)+(2.9*1+2.475*1+2.9*1+0.75*2.8))*10.764</f>
        <v>420.76476000000002</v>
      </c>
      <c r="E128" s="22">
        <v>0</v>
      </c>
      <c r="F128" s="22">
        <f t="shared" si="1"/>
        <v>631.14714000000004</v>
      </c>
      <c r="G128" s="113" t="str">
        <f>A127</f>
        <v xml:space="preserve">8th Floor </v>
      </c>
      <c r="H128" s="114"/>
    </row>
    <row r="129" spans="1:8" s="2" customFormat="1" x14ac:dyDescent="0.35">
      <c r="A129" s="106">
        <v>802</v>
      </c>
      <c r="B129" s="106"/>
      <c r="C129" s="22" t="s">
        <v>204</v>
      </c>
      <c r="D129" s="22">
        <f>((5.05*2.75+1.6*2.25+2.5*3+2.5*3+1.2*2.1+1.5*1.2+1.2*0.9)+(1.35*1.2+2.4*0.9+0.9*1.2)+(2.9*1+3.15*1+2.4*1+3.15*1))*10.764</f>
        <v>584.99648999999988</v>
      </c>
      <c r="E129" s="22">
        <v>0</v>
      </c>
      <c r="F129" s="22">
        <f t="shared" si="1"/>
        <v>877.49473499999976</v>
      </c>
      <c r="G129" s="115"/>
      <c r="H129" s="116"/>
    </row>
    <row r="130" spans="1:8" s="2" customFormat="1" x14ac:dyDescent="0.35">
      <c r="A130" s="106">
        <v>803</v>
      </c>
      <c r="B130" s="106"/>
      <c r="C130" s="22" t="s">
        <v>204</v>
      </c>
      <c r="D130" s="22">
        <f>((2.75*4.5+2.1*2.85+2.4*3.05+2.4*2.75+1.2*2.1+2.2*1.2)+(0.9*3.2+1.2*0.95+3.3*0.9+0.9*0.45)+(3.125*1+2.9*1+0.75*2.2+0.75*2.6))*10.764</f>
        <v>586.20744000000002</v>
      </c>
      <c r="E130" s="22">
        <v>0</v>
      </c>
      <c r="F130" s="22">
        <f t="shared" si="1"/>
        <v>879.31115999999997</v>
      </c>
      <c r="G130" s="115"/>
      <c r="H130" s="116"/>
    </row>
    <row r="131" spans="1:8" s="2" customFormat="1" x14ac:dyDescent="0.35">
      <c r="A131" s="106">
        <v>804</v>
      </c>
      <c r="B131" s="106"/>
      <c r="C131" s="22" t="s">
        <v>204</v>
      </c>
      <c r="D131" s="22">
        <f>((2.75*4.5+2.1*2.85+2.4*3.05+2.4*2.75+1.2*2.1+2.2*1.2)+(0.9*3.2+1.2*0.95+3.3*0.9+0.9*0.45)+(3.125*1+2.9*1+0.75*2.2+0.75*2.6))*10.764</f>
        <v>586.20744000000002</v>
      </c>
      <c r="E131" s="22">
        <v>0</v>
      </c>
      <c r="F131" s="22">
        <f t="shared" si="1"/>
        <v>879.31115999999997</v>
      </c>
      <c r="G131" s="115"/>
      <c r="H131" s="116"/>
    </row>
    <row r="132" spans="1:8" s="2" customFormat="1" x14ac:dyDescent="0.35">
      <c r="A132" s="106">
        <v>805</v>
      </c>
      <c r="B132" s="106"/>
      <c r="C132" s="22" t="s">
        <v>204</v>
      </c>
      <c r="D132" s="22">
        <f>((4.25*2.75+1.6*2.25+2.5*3+2.4*3+1.2*2.1+1.5*1.2+1.2*0.9)+(1.2*1.2+2.4*0.9+0.9*1.2)+(2.9*1+3.15*1+2.4*1+3.15*1))*10.764</f>
        <v>556.14896999999996</v>
      </c>
      <c r="E132" s="22">
        <v>0</v>
      </c>
      <c r="F132" s="22">
        <f t="shared" si="1"/>
        <v>834.22345499999994</v>
      </c>
      <c r="G132" s="115"/>
      <c r="H132" s="116"/>
    </row>
    <row r="133" spans="1:8" s="2" customFormat="1" x14ac:dyDescent="0.35">
      <c r="A133" s="106">
        <v>806</v>
      </c>
      <c r="B133" s="106"/>
      <c r="C133" s="22" t="s">
        <v>204</v>
      </c>
      <c r="D133" s="22">
        <f>((2.75*4.315+2.25*1.5+2.75*2.4+2.75*2.4+2.1*1.2+1.2*2.1)+(1.5*1+2.4*0.9+1.2*0.6)+(2.82*1+2.9*1+2.4*1+2.975*1)+0.75*11)*10.764</f>
        <v>615.76807499999995</v>
      </c>
      <c r="E133" s="22">
        <v>0</v>
      </c>
      <c r="F133" s="22">
        <f t="shared" si="1"/>
        <v>923.65211249999993</v>
      </c>
      <c r="G133" s="115"/>
      <c r="H133" s="116"/>
    </row>
    <row r="134" spans="1:8" s="2" customFormat="1" x14ac:dyDescent="0.35">
      <c r="A134" s="106">
        <v>807</v>
      </c>
      <c r="B134" s="106"/>
      <c r="C134" s="22" t="s">
        <v>204</v>
      </c>
      <c r="D134" s="22">
        <f>((2.75*4.315+2.25*1.5+2.75*2.4+2.75*2.4+2.1*1.2+1.2*2.1)+(1.5*1+2.4*0.9+1.2*0.6)+(2.82*1+2.475*1+2.975*1)+5.8*0.75+5.3*0.75)*10.764</f>
        <v>586.16707500000007</v>
      </c>
      <c r="E134" s="22">
        <v>0</v>
      </c>
      <c r="F134" s="22">
        <f>D134*1.5+E134</f>
        <v>879.2506125000001</v>
      </c>
      <c r="G134" s="117"/>
      <c r="H134" s="118"/>
    </row>
    <row r="135" spans="1:8" s="2" customFormat="1" x14ac:dyDescent="0.35">
      <c r="A135" s="120" t="s">
        <v>206</v>
      </c>
      <c r="B135" s="120"/>
      <c r="C135" s="120"/>
      <c r="D135" s="120"/>
      <c r="E135" s="120"/>
      <c r="F135" s="120"/>
      <c r="G135" s="120"/>
      <c r="H135" s="120"/>
    </row>
    <row r="136" spans="1:8" s="2" customFormat="1" x14ac:dyDescent="0.35">
      <c r="A136" s="120" t="s">
        <v>207</v>
      </c>
      <c r="B136" s="120"/>
      <c r="C136" s="120"/>
      <c r="D136" s="120"/>
      <c r="E136" s="120"/>
      <c r="F136" s="120"/>
      <c r="G136" s="120"/>
      <c r="H136" s="120"/>
    </row>
    <row r="137" spans="1:8" s="2" customFormat="1" x14ac:dyDescent="0.35">
      <c r="A137" s="120" t="s">
        <v>194</v>
      </c>
      <c r="B137" s="120"/>
      <c r="C137" s="120"/>
      <c r="D137" s="120"/>
      <c r="E137" s="120"/>
      <c r="F137" s="120"/>
      <c r="G137" s="120"/>
      <c r="H137" s="120"/>
    </row>
    <row r="138" spans="1:8" s="2" customFormat="1" x14ac:dyDescent="0.35">
      <c r="A138" s="106">
        <v>101</v>
      </c>
      <c r="B138" s="106"/>
      <c r="C138" s="22" t="s">
        <v>205</v>
      </c>
      <c r="D138" s="22">
        <f>((3.65*2.75+1.45*1.2+1.5*2.25+2.4*3+1.2*0.9+0.9*1.2+2.1*1.2)+(2.1*0.9+2.975*1+2.4*0.6+3.25*1))*10.764</f>
        <v>393.8278499999999</v>
      </c>
      <c r="E138" s="22">
        <v>0</v>
      </c>
      <c r="F138" s="22">
        <f>D138*1.5+E138</f>
        <v>590.74177499999985</v>
      </c>
      <c r="G138" s="113" t="s">
        <v>223</v>
      </c>
      <c r="H138" s="114"/>
    </row>
    <row r="139" spans="1:8" s="2" customFormat="1" x14ac:dyDescent="0.35">
      <c r="A139" s="106">
        <v>102</v>
      </c>
      <c r="B139" s="106"/>
      <c r="C139" s="22" t="s">
        <v>205</v>
      </c>
      <c r="D139" s="22">
        <f>((4.8*2.75+1.45+1.1+1.5*2.25+2.4*3+1.65*1.2+1.2*0.9)+(2.1*0.9+1.2*0.9)+(2.2*0.6+3*1))*10.764</f>
        <v>394.76969999999994</v>
      </c>
      <c r="E139" s="22">
        <v>0</v>
      </c>
      <c r="F139" s="22">
        <f t="shared" ref="F139:F150" si="2">D139*1.5+E139</f>
        <v>592.15454999999997</v>
      </c>
      <c r="G139" s="115"/>
      <c r="H139" s="116"/>
    </row>
    <row r="140" spans="1:8" s="2" customFormat="1" x14ac:dyDescent="0.35">
      <c r="A140" s="106">
        <v>103</v>
      </c>
      <c r="B140" s="106"/>
      <c r="C140" s="22" t="s">
        <v>204</v>
      </c>
      <c r="D140" s="22">
        <f>((2.75*4.5+0.9*3.2+2.1*2.85+2.4*2.75+2.4*3.05+2.2*1.2+1.2*2.1+1.2*0.95)+(3.3*0.9+2.9*1+3.12*1))*10.764</f>
        <v>543.04380000000003</v>
      </c>
      <c r="E140" s="22">
        <v>0</v>
      </c>
      <c r="F140" s="22">
        <f t="shared" si="2"/>
        <v>814.56570000000011</v>
      </c>
      <c r="G140" s="115"/>
      <c r="H140" s="116"/>
    </row>
    <row r="141" spans="1:8" s="2" customFormat="1" x14ac:dyDescent="0.35">
      <c r="A141" s="106">
        <v>104</v>
      </c>
      <c r="B141" s="106"/>
      <c r="C141" s="22" t="s">
        <v>204</v>
      </c>
      <c r="D141" s="22">
        <f>((2.75*4.5+0.9*3.2+2.1*2.85+2.4*2.75+2.4*3.05+2.2*1.2+1.2*2.1+1.2*0.95)+(3.3*0.9+2.9*1+3.12*1))*10.764</f>
        <v>543.04380000000003</v>
      </c>
      <c r="E141" s="22">
        <v>0</v>
      </c>
      <c r="F141" s="22">
        <f t="shared" si="2"/>
        <v>814.56570000000011</v>
      </c>
      <c r="G141" s="115"/>
      <c r="H141" s="116"/>
    </row>
    <row r="142" spans="1:8" s="2" customFormat="1" x14ac:dyDescent="0.35">
      <c r="A142" s="106">
        <v>105</v>
      </c>
      <c r="B142" s="106"/>
      <c r="C142" s="22" t="s">
        <v>205</v>
      </c>
      <c r="D142" s="22">
        <f>((3.65*2.75+1.45*1.2+1.5*2.25+2.4*3+1.5*1.2+1.2*0.9)+(2.4*0.9+0.9*1.2)+(2.9*1+2.4*1+3.15*1))*10.764</f>
        <v>397.43378999999999</v>
      </c>
      <c r="E142" s="22">
        <v>0</v>
      </c>
      <c r="F142" s="22">
        <f t="shared" si="2"/>
        <v>596.15068499999995</v>
      </c>
      <c r="G142" s="115"/>
      <c r="H142" s="116"/>
    </row>
    <row r="143" spans="1:8" s="2" customFormat="1" x14ac:dyDescent="0.35">
      <c r="A143" s="106">
        <v>106</v>
      </c>
      <c r="B143" s="106"/>
      <c r="C143" s="22" t="s">
        <v>205</v>
      </c>
      <c r="D143" s="22">
        <f>((3.65*2.75+1.45*1.2+1.5*2.25+2.4*3+1.5*1.2+1.2*0.9)+(2.4*0.9+0.9*1.2)+(2.9*1+2.4*1+3.15*1))*10.764</f>
        <v>397.43378999999999</v>
      </c>
      <c r="E143" s="22">
        <v>0</v>
      </c>
      <c r="F143" s="22">
        <f t="shared" si="2"/>
        <v>596.15068499999995</v>
      </c>
      <c r="G143" s="115"/>
      <c r="H143" s="116"/>
    </row>
    <row r="144" spans="1:8" s="2" customFormat="1" x14ac:dyDescent="0.35">
      <c r="A144" s="106">
        <v>107</v>
      </c>
      <c r="B144" s="106"/>
      <c r="C144" s="22" t="s">
        <v>205</v>
      </c>
      <c r="D144" s="22">
        <f>((4.3*2.75+1.5*2.25+2.4*3+1.2*0.9+2.1*1.2)+(2.4*0.9+1.2*0.9)+(2.475*1+3.15*1))*10.764</f>
        <v>375.28685999999993</v>
      </c>
      <c r="E144" s="22">
        <v>0</v>
      </c>
      <c r="F144" s="22">
        <f t="shared" si="2"/>
        <v>562.9302899999999</v>
      </c>
      <c r="G144" s="115"/>
      <c r="H144" s="116"/>
    </row>
    <row r="145" spans="1:8" s="2" customFormat="1" x14ac:dyDescent="0.35">
      <c r="A145" s="106">
        <v>108</v>
      </c>
      <c r="B145" s="106"/>
      <c r="C145" s="22" t="s">
        <v>204</v>
      </c>
      <c r="D145" s="22">
        <f>((5.04*2.75+2.9*1.05+1.5*2.25+2.5*2.75+2.75*3.9+2.3*1.2+2.45*1.2)+(3.75*0.9+2.9*1+2.32*1+2.9*1))*10.764</f>
        <v>592.82730000000004</v>
      </c>
      <c r="E145" s="22">
        <v>0</v>
      </c>
      <c r="F145" s="22">
        <f t="shared" si="2"/>
        <v>889.24095000000011</v>
      </c>
      <c r="G145" s="115"/>
      <c r="H145" s="116"/>
    </row>
    <row r="146" spans="1:8" s="2" customFormat="1" x14ac:dyDescent="0.35">
      <c r="A146" s="106">
        <v>109</v>
      </c>
      <c r="B146" s="106"/>
      <c r="C146" s="22" t="s">
        <v>205</v>
      </c>
      <c r="D146" s="22">
        <f>((2.75*3.3+1.2*1.35+2.25*1.5+3*2.4+0.9*1.2+1.2*2.1)+(2.4*0.9+1.2*0.9)+(2.97+2.4+3.225)*1)*10.764</f>
        <v>395.09261999999995</v>
      </c>
      <c r="E146" s="22">
        <v>0</v>
      </c>
      <c r="F146" s="22">
        <f t="shared" si="2"/>
        <v>592.63892999999996</v>
      </c>
      <c r="G146" s="115"/>
      <c r="H146" s="116"/>
    </row>
    <row r="147" spans="1:8" s="2" customFormat="1" x14ac:dyDescent="0.35">
      <c r="A147" s="106">
        <v>110</v>
      </c>
      <c r="B147" s="106"/>
      <c r="C147" s="22" t="s">
        <v>205</v>
      </c>
      <c r="D147" s="22">
        <f t="shared" ref="D147" si="3">((2.75*3.3+1.2*1.35+2.25*1.5+3*2.4+0.9*1.2+1.2*2.1)+(2.4*0.9+1.2*0.9)+(2.97+2.4+3.225)*1)*10.764</f>
        <v>395.09261999999995</v>
      </c>
      <c r="E147" s="22">
        <v>0</v>
      </c>
      <c r="F147" s="22">
        <f t="shared" si="2"/>
        <v>592.63892999999996</v>
      </c>
      <c r="G147" s="115"/>
      <c r="H147" s="116"/>
    </row>
    <row r="148" spans="1:8" s="2" customFormat="1" x14ac:dyDescent="0.35">
      <c r="A148" s="106">
        <v>111</v>
      </c>
      <c r="B148" s="106"/>
      <c r="C148" s="22" t="s">
        <v>205</v>
      </c>
      <c r="D148" s="22">
        <f>((2.75*4.3+1.45*0.85+2.25*1.5+2.75*2.4+0.9*1.2+1.2*2.1)+(2.1*0.9+1.2*0.9+(2.47+2.92)*1))*10.764</f>
        <v>376.65926999999999</v>
      </c>
      <c r="E148" s="22">
        <v>0</v>
      </c>
      <c r="F148" s="22">
        <f t="shared" si="2"/>
        <v>564.98890499999993</v>
      </c>
      <c r="G148" s="115"/>
      <c r="H148" s="116"/>
    </row>
    <row r="149" spans="1:8" s="2" customFormat="1" x14ac:dyDescent="0.35">
      <c r="A149" s="106">
        <v>112</v>
      </c>
      <c r="B149" s="106"/>
      <c r="C149" s="22" t="s">
        <v>205</v>
      </c>
      <c r="D149" s="22">
        <f>((2.75*4.3+1.45*0.85+2.25*1.5+2.75*2.4+0.9*1.2+1.2*2.1)+(2.1*0.9+1.2*0.9+(2.47+2.92)*1))*10.764</f>
        <v>376.65926999999999</v>
      </c>
      <c r="E149" s="22">
        <v>0</v>
      </c>
      <c r="F149" s="22">
        <f t="shared" si="2"/>
        <v>564.98890499999993</v>
      </c>
      <c r="G149" s="115"/>
      <c r="H149" s="116"/>
    </row>
    <row r="150" spans="1:8" s="2" customFormat="1" x14ac:dyDescent="0.35">
      <c r="A150" s="106">
        <v>113</v>
      </c>
      <c r="B150" s="106"/>
      <c r="C150" s="22" t="s">
        <v>205</v>
      </c>
      <c r="D150" s="22">
        <f>((2.75*4.1+2.25*1.5+2.75*2.4+0.9*1.2+1.2*2.1)+(1.2*0.9+2.4+0.9+(2.47+2.97)*1))*10.764</f>
        <v>373.18788000000001</v>
      </c>
      <c r="E150" s="22">
        <v>0</v>
      </c>
      <c r="F150" s="22">
        <f t="shared" si="2"/>
        <v>559.78182000000004</v>
      </c>
      <c r="G150" s="117"/>
      <c r="H150" s="118"/>
    </row>
    <row r="151" spans="1:8" s="2" customFormat="1" ht="15.75" customHeight="1" x14ac:dyDescent="0.35">
      <c r="A151" s="120" t="s">
        <v>208</v>
      </c>
      <c r="B151" s="120"/>
      <c r="C151" s="120"/>
      <c r="D151" s="120"/>
      <c r="E151" s="120"/>
      <c r="F151" s="120"/>
      <c r="G151" s="120"/>
      <c r="H151" s="120"/>
    </row>
    <row r="152" spans="1:8" s="2" customFormat="1" x14ac:dyDescent="0.35">
      <c r="A152" s="106" t="s">
        <v>196</v>
      </c>
      <c r="B152" s="106"/>
      <c r="C152" s="22" t="s">
        <v>205</v>
      </c>
      <c r="D152" s="22">
        <f>((3.65*2.75+1.45*1.2+1.5*2.25+2.4*3+1.2*0.9+2.1*1.2)+0.9*1.2+2.4*0.9+(2.975*1+2.4*1+3.225*1+0.75*8.2))*10.764</f>
        <v>472.99706999999989</v>
      </c>
      <c r="E152" s="22">
        <v>0</v>
      </c>
      <c r="F152" s="22">
        <f t="shared" ref="F152:F164" si="4">D152*1.5+E152</f>
        <v>709.49560499999984</v>
      </c>
      <c r="G152" s="113" t="str">
        <f>A151</f>
        <v xml:space="preserve">2nd to7th, 9th to 12th Floor </v>
      </c>
      <c r="H152" s="114"/>
    </row>
    <row r="153" spans="1:8" s="2" customFormat="1" x14ac:dyDescent="0.35">
      <c r="A153" s="106" t="s">
        <v>197</v>
      </c>
      <c r="B153" s="106"/>
      <c r="C153" s="22" t="s">
        <v>205</v>
      </c>
      <c r="D153" s="22">
        <f>((4.5*2.75+1.45*1.2+1.5*2.25+2.4*3+1.65*1.2+1.2*0.9+0.9*1.2+2.4*0.9)+(0.75*2.6+2.475*1+3.15*1+0.75*5.5))*10.764</f>
        <v>459.51515999999992</v>
      </c>
      <c r="E153" s="22">
        <v>0</v>
      </c>
      <c r="F153" s="22">
        <f t="shared" si="4"/>
        <v>689.27273999999989</v>
      </c>
      <c r="G153" s="115"/>
      <c r="H153" s="116"/>
    </row>
    <row r="154" spans="1:8" s="2" customFormat="1" x14ac:dyDescent="0.35">
      <c r="A154" s="106" t="s">
        <v>198</v>
      </c>
      <c r="B154" s="106"/>
      <c r="C154" s="22" t="s">
        <v>204</v>
      </c>
      <c r="D154" s="22">
        <f>((2.75*4.5+0.9*3.2+1.2*0.95+3.3*0.9+0.9*0.45+2.1*2.85+2.4*2.75+2.4*3.05+1.2*2.1+2.2*1.2)+(0.75*2.75+2.25*0.75+3.125*1+2.9*1))*10.764</f>
        <v>587.8220399999999</v>
      </c>
      <c r="E154" s="22">
        <v>0</v>
      </c>
      <c r="F154" s="22">
        <f t="shared" si="4"/>
        <v>881.7330599999998</v>
      </c>
      <c r="G154" s="115"/>
      <c r="H154" s="116"/>
    </row>
    <row r="155" spans="1:8" s="2" customFormat="1" x14ac:dyDescent="0.35">
      <c r="A155" s="106" t="s">
        <v>199</v>
      </c>
      <c r="B155" s="106"/>
      <c r="C155" s="22" t="s">
        <v>204</v>
      </c>
      <c r="D155" s="22">
        <f>((2.75*4.5+0.9*3.2+1.2*0.95+3.3*0.9+0.9*0.45+2.1*2.85+2.4*2.75+2.4*3.05+1.2*2.1+2.2*1.2)+(0.75*2.75+2.25*0.75+3.125*1+2.9*1))*10.764</f>
        <v>587.8220399999999</v>
      </c>
      <c r="E155" s="22">
        <v>0</v>
      </c>
      <c r="F155" s="22">
        <f t="shared" si="4"/>
        <v>881.7330599999998</v>
      </c>
      <c r="G155" s="115"/>
      <c r="H155" s="116"/>
    </row>
    <row r="156" spans="1:8" s="2" customFormat="1" x14ac:dyDescent="0.35">
      <c r="A156" s="106" t="s">
        <v>202</v>
      </c>
      <c r="B156" s="106"/>
      <c r="C156" s="22" t="s">
        <v>205</v>
      </c>
      <c r="D156" s="22">
        <f>((4.5*2.75+1.45*1.2+1.5*2.25+2.4*3+1.65*1.2+1.2*0.9+0.9*1.2+2.4*0.9)+(0.75*2.6+2.475*1+3.15*1+0.75*5.5))*10.764</f>
        <v>459.51515999999992</v>
      </c>
      <c r="E156" s="22">
        <v>0</v>
      </c>
      <c r="F156" s="22">
        <f t="shared" si="4"/>
        <v>689.27273999999989</v>
      </c>
      <c r="G156" s="115"/>
      <c r="H156" s="116"/>
    </row>
    <row r="157" spans="1:8" s="2" customFormat="1" x14ac:dyDescent="0.35">
      <c r="A157" s="106" t="s">
        <v>200</v>
      </c>
      <c r="B157" s="106"/>
      <c r="C157" s="22" t="s">
        <v>205</v>
      </c>
      <c r="D157" s="22">
        <f>((3.65*2.75+1.45*1.2+1.5*2.25+2.4*3+1.2*0.9+2.1*1.2)+0.9*1.2+2.4*0.9+(2.975*1+2.4*1+3.225*1+0.75*8.2))*10.764</f>
        <v>472.99706999999989</v>
      </c>
      <c r="E157" s="22">
        <v>0</v>
      </c>
      <c r="F157" s="22">
        <f t="shared" si="4"/>
        <v>709.49560499999984</v>
      </c>
      <c r="G157" s="115"/>
      <c r="H157" s="116"/>
    </row>
    <row r="158" spans="1:8" s="2" customFormat="1" x14ac:dyDescent="0.35">
      <c r="A158" s="106" t="s">
        <v>201</v>
      </c>
      <c r="B158" s="106"/>
      <c r="C158" s="22" t="s">
        <v>205</v>
      </c>
      <c r="D158" s="22">
        <f>((4.3*2.75+1.5*2.25+2.4*3+1.2*0.9+2.1*1.2+2.4*0.9+0.9*1.2)+(0.75*2.6+0.75*5.5)+(2.47*1+3.15*1))*10.764</f>
        <v>440.6243399999999</v>
      </c>
      <c r="E158" s="22">
        <v>0</v>
      </c>
      <c r="F158" s="22">
        <f t="shared" si="4"/>
        <v>660.93650999999988</v>
      </c>
      <c r="G158" s="115"/>
      <c r="H158" s="116"/>
    </row>
    <row r="159" spans="1:8" s="2" customFormat="1" x14ac:dyDescent="0.35">
      <c r="A159" s="106" t="s">
        <v>209</v>
      </c>
      <c r="B159" s="106"/>
      <c r="C159" s="22" t="s">
        <v>204</v>
      </c>
      <c r="D159" s="22">
        <f>((5.4*2.75+2.9*1.05+3.75*0.9+1.2*0.9+1.6*2.25+2.5*2.75+2.75*3.9+2.3*1.2+2.45*1.2)+(2.9*1+2.32*1+2.9*1+0.75*5+0.75*2.8))*10.764</f>
        <v>680.50007999999991</v>
      </c>
      <c r="E159" s="22">
        <v>0</v>
      </c>
      <c r="F159" s="22">
        <f t="shared" si="4"/>
        <v>1020.7501199999999</v>
      </c>
      <c r="G159" s="115"/>
      <c r="H159" s="116"/>
    </row>
    <row r="160" spans="1:8" s="2" customFormat="1" x14ac:dyDescent="0.35">
      <c r="A160" s="106" t="s">
        <v>210</v>
      </c>
      <c r="B160" s="106"/>
      <c r="C160" s="22" t="s">
        <v>205</v>
      </c>
      <c r="D160" s="22">
        <f>((2.75*3.3+2.4*0.9+1.2*0.9+1.2*1.35+2.25*1.5+3*2.4+0.9*1.2+1.2*2.1)+(2.975*1+2.4*1+3.225*1+0.75*8.6))*10.764</f>
        <v>464.57423999999992</v>
      </c>
      <c r="E160" s="22">
        <v>0</v>
      </c>
      <c r="F160" s="22">
        <f t="shared" si="4"/>
        <v>696.86135999999988</v>
      </c>
      <c r="G160" s="115"/>
      <c r="H160" s="116"/>
    </row>
    <row r="161" spans="1:9" s="2" customFormat="1" x14ac:dyDescent="0.35">
      <c r="A161" s="106" t="s">
        <v>211</v>
      </c>
      <c r="B161" s="106"/>
      <c r="C161" s="22" t="s">
        <v>205</v>
      </c>
      <c r="D161" s="22">
        <f>((2.75*4.3+1.2*0.9+2.4*0.9+2.25*1.5+3*2.4+1.2*2.1+0.9*1.2)+(0.75*2.82+2.47*1+3.22*1+0.75+5.7))*10.764</f>
        <v>468.18017999999989</v>
      </c>
      <c r="E161" s="22">
        <v>0</v>
      </c>
      <c r="F161" s="22">
        <f t="shared" si="4"/>
        <v>702.27026999999987</v>
      </c>
      <c r="G161" s="115"/>
      <c r="H161" s="116"/>
    </row>
    <row r="162" spans="1:9" s="2" customFormat="1" x14ac:dyDescent="0.35">
      <c r="A162" s="106" t="s">
        <v>212</v>
      </c>
      <c r="B162" s="106"/>
      <c r="C162" s="22" t="s">
        <v>205</v>
      </c>
      <c r="D162" s="22">
        <f>((2.75*4.3+1.2*0.9+2.4*0.9+2.25*1.5+2.75*2.4+1.2*2.1+0.9*1.2+1.45*0.82)+(0.75*2.82+2.47*1+2.97*1+0.75+5.5))*10.764</f>
        <v>469.67637599999995</v>
      </c>
      <c r="E162" s="22">
        <v>0</v>
      </c>
      <c r="F162" s="22">
        <f t="shared" si="4"/>
        <v>704.51456399999995</v>
      </c>
      <c r="G162" s="115"/>
      <c r="H162" s="116"/>
    </row>
    <row r="163" spans="1:9" s="2" customFormat="1" x14ac:dyDescent="0.35">
      <c r="A163" s="106" t="s">
        <v>213</v>
      </c>
      <c r="B163" s="106"/>
      <c r="C163" s="22" t="s">
        <v>205</v>
      </c>
      <c r="D163" s="22">
        <f>((2.75*3.3+1.2*0.9+2.4*0.9+2.25*1.5+2.75*2.4+1.2*1.5+0.9*1.2+1.45*0.82)+(0.75*8.2+2.82*1+2.4*1+2.975*1))*10.764</f>
        <v>438.137856</v>
      </c>
      <c r="E163" s="22">
        <v>0</v>
      </c>
      <c r="F163" s="22">
        <f t="shared" si="4"/>
        <v>657.20678399999997</v>
      </c>
      <c r="G163" s="115"/>
      <c r="H163" s="116"/>
    </row>
    <row r="164" spans="1:9" s="2" customFormat="1" x14ac:dyDescent="0.35">
      <c r="A164" s="106" t="s">
        <v>214</v>
      </c>
      <c r="B164" s="106"/>
      <c r="C164" s="22" t="s">
        <v>205</v>
      </c>
      <c r="D164" s="22">
        <f>((2.75*4.15+1.2*0.9+2.4*0.9+2.25*1.5+2.75*2.4+1.2*2.1+0.9*1.2)+(0.75*2.82+2.47*1+2.97*1))*10.764</f>
        <v>385.16283000000004</v>
      </c>
      <c r="E164" s="22">
        <v>0</v>
      </c>
      <c r="F164" s="22">
        <f t="shared" si="4"/>
        <v>577.74424500000009</v>
      </c>
      <c r="G164" s="117"/>
      <c r="H164" s="118"/>
    </row>
    <row r="165" spans="1:9" s="2" customFormat="1" x14ac:dyDescent="0.35">
      <c r="A165" s="120" t="s">
        <v>224</v>
      </c>
      <c r="B165" s="120"/>
      <c r="C165" s="120"/>
      <c r="D165" s="120"/>
      <c r="E165" s="120"/>
      <c r="F165" s="120"/>
      <c r="G165" s="120"/>
      <c r="H165" s="120"/>
    </row>
    <row r="166" spans="1:9" s="2" customFormat="1" x14ac:dyDescent="0.35">
      <c r="A166" s="106">
        <v>801</v>
      </c>
      <c r="B166" s="106"/>
      <c r="C166" s="22" t="s">
        <v>205</v>
      </c>
      <c r="D166" s="22">
        <f>((3.65*2.75+1.45*1.2+1.5*2.25+2.4*3+1.2*0.9+2.1*1.2)+0.9*1.2+2.4*0.9+(2.975*1+2.4*1+3.225*1+0.75*8.2))*10.764</f>
        <v>472.99706999999989</v>
      </c>
      <c r="E166" s="22">
        <v>0</v>
      </c>
      <c r="F166" s="22">
        <f t="shared" ref="F166:F171" si="5">D166*1.5+E166</f>
        <v>709.49560499999984</v>
      </c>
      <c r="G166" s="113" t="str">
        <f>A165</f>
        <v>8th Floor</v>
      </c>
      <c r="H166" s="114"/>
      <c r="I166" s="62">
        <f>29.726*10.764</f>
        <v>319.97066399999994</v>
      </c>
    </row>
    <row r="167" spans="1:9" s="2" customFormat="1" x14ac:dyDescent="0.35">
      <c r="A167" s="106">
        <v>802</v>
      </c>
      <c r="B167" s="106"/>
      <c r="C167" s="22" t="s">
        <v>205</v>
      </c>
      <c r="D167" s="22">
        <f>((4.5*2.75+1.45*1.2+1.5*2.25+2.4*3+1.65*1.2+1.2*0.9+0.9*1.2+2.4*0.9)+(0.75*2.6+2.475*1+3.15*1+0.75*5.5))*10.764</f>
        <v>459.51515999999992</v>
      </c>
      <c r="E167" s="22">
        <v>0</v>
      </c>
      <c r="F167" s="22">
        <f t="shared" si="5"/>
        <v>689.27273999999989</v>
      </c>
      <c r="G167" s="115"/>
      <c r="H167" s="116"/>
      <c r="I167" s="62">
        <f>31.587*10.764</f>
        <v>340.00246799999996</v>
      </c>
    </row>
    <row r="168" spans="1:9" s="2" customFormat="1" x14ac:dyDescent="0.35">
      <c r="A168" s="106">
        <v>803</v>
      </c>
      <c r="B168" s="106"/>
      <c r="C168" s="22" t="s">
        <v>204</v>
      </c>
      <c r="D168" s="22">
        <f>((2.75*4.5+0.9*3.2+1.2*0.95+3.3*0.9+0.9*0.45+2.1*2.85+2.4*2.75+2.4*3.05+1.2*2.1+2.2*1.2)+(0.75*2.75+2.25*0.75+3.125*1+2.9*1))*10.764</f>
        <v>587.8220399999999</v>
      </c>
      <c r="E168" s="22">
        <v>0</v>
      </c>
      <c r="F168" s="22">
        <f t="shared" si="5"/>
        <v>881.7330599999998</v>
      </c>
      <c r="G168" s="115"/>
      <c r="H168" s="116"/>
      <c r="I168" s="62">
        <f>45.346*10.764</f>
        <v>488.10434399999991</v>
      </c>
    </row>
    <row r="169" spans="1:9" s="2" customFormat="1" x14ac:dyDescent="0.35">
      <c r="A169" s="106">
        <v>804</v>
      </c>
      <c r="B169" s="106"/>
      <c r="C169" s="22" t="s">
        <v>204</v>
      </c>
      <c r="D169" s="22">
        <f>((2.75*4.5+0.9*3.2+1.2*0.95+3.3*0.9+0.9*0.45+2.1*2.85+2.4*2.75+2.4*3.05+1.2*2.1+2.2*1.2)+(0.75*2.75+2.25*0.75+3.125*1+2.9*1))*10.764</f>
        <v>587.8220399999999</v>
      </c>
      <c r="E169" s="22">
        <v>0</v>
      </c>
      <c r="F169" s="22">
        <f t="shared" si="5"/>
        <v>881.7330599999998</v>
      </c>
      <c r="G169" s="115"/>
      <c r="H169" s="116"/>
      <c r="I169" s="62">
        <f>45.346*10.764</f>
        <v>488.10434399999991</v>
      </c>
    </row>
    <row r="170" spans="1:9" s="2" customFormat="1" x14ac:dyDescent="0.35">
      <c r="A170" s="106">
        <v>805</v>
      </c>
      <c r="B170" s="106"/>
      <c r="C170" s="22" t="s">
        <v>205</v>
      </c>
      <c r="D170" s="22">
        <f>((4.5*2.75+1.45*1.2+1.5*2.25+2.4*3+1.65*1.2+1.2*0.9+0.9*1.2+2.4*0.9)+(0.75*2.6+2.475*1+3.15*1+0.75*5.5))*10.764</f>
        <v>459.51515999999992</v>
      </c>
      <c r="E170" s="22">
        <v>0</v>
      </c>
      <c r="F170" s="22">
        <f t="shared" si="5"/>
        <v>689.27273999999989</v>
      </c>
      <c r="G170" s="115"/>
      <c r="H170" s="116"/>
      <c r="I170" s="62">
        <f>29.007*10.764</f>
        <v>312.23134799999997</v>
      </c>
    </row>
    <row r="171" spans="1:9" s="2" customFormat="1" x14ac:dyDescent="0.35">
      <c r="A171" s="106">
        <v>806</v>
      </c>
      <c r="B171" s="106"/>
      <c r="C171" s="22" t="s">
        <v>205</v>
      </c>
      <c r="D171" s="22">
        <f>((3.65*2.75+1.45*1.2+1.5*2.25+2.4*3+1.2*0.9+2.1*1.2)+0.9*1.2+2.4*0.9+(2.975*1+2.4*1+3.225*1+0.75*8.2))*10.764</f>
        <v>472.99706999999989</v>
      </c>
      <c r="E171" s="22">
        <v>0</v>
      </c>
      <c r="F171" s="22">
        <f t="shared" si="5"/>
        <v>709.49560499999984</v>
      </c>
      <c r="G171" s="115"/>
      <c r="H171" s="116"/>
    </row>
    <row r="172" spans="1:9" s="2" customFormat="1" x14ac:dyDescent="0.35">
      <c r="A172" s="106">
        <v>807</v>
      </c>
      <c r="B172" s="106"/>
      <c r="C172" s="107" t="s">
        <v>215</v>
      </c>
      <c r="D172" s="108"/>
      <c r="E172" s="108"/>
      <c r="F172" s="109"/>
      <c r="G172" s="115"/>
      <c r="H172" s="116"/>
    </row>
    <row r="173" spans="1:9" s="2" customFormat="1" x14ac:dyDescent="0.35">
      <c r="A173" s="106">
        <v>808</v>
      </c>
      <c r="B173" s="106"/>
      <c r="C173" s="22" t="s">
        <v>204</v>
      </c>
      <c r="D173" s="22">
        <f>((5.4*2.75+2.9*1.05+3.75*0.9+1.2*0.9+1.6*2.25+2.5*2.75+2.75*3.9+2.3*1.2+2.45*1.2)+(2.9*1+2.32*1+2.9*1+0.75*5+0.75*2.8))*10.764</f>
        <v>680.50007999999991</v>
      </c>
      <c r="E173" s="22">
        <v>0</v>
      </c>
      <c r="F173" s="22">
        <f t="shared" ref="F173:F178" si="6">D173*1.5+E173</f>
        <v>1020.7501199999999</v>
      </c>
      <c r="G173" s="115"/>
      <c r="H173" s="116"/>
    </row>
    <row r="174" spans="1:9" s="2" customFormat="1" x14ac:dyDescent="0.35">
      <c r="A174" s="106">
        <v>809</v>
      </c>
      <c r="B174" s="106"/>
      <c r="C174" s="22" t="s">
        <v>205</v>
      </c>
      <c r="D174" s="22">
        <f>((2.75*3.3+2.4*0.9+1.2*0.9+1.2*1.35+2.25*1.5+3*2.4+0.9*1.2+1.2*2.1)+(2.975*1+2.4*1+3.225*1+0.75*8.6))*10.764</f>
        <v>464.57423999999992</v>
      </c>
      <c r="E174" s="22">
        <v>0</v>
      </c>
      <c r="F174" s="22">
        <f t="shared" si="6"/>
        <v>696.86135999999988</v>
      </c>
      <c r="G174" s="115"/>
      <c r="H174" s="116"/>
    </row>
    <row r="175" spans="1:9" s="2" customFormat="1" x14ac:dyDescent="0.35">
      <c r="A175" s="106">
        <v>810</v>
      </c>
      <c r="B175" s="106"/>
      <c r="C175" s="22" t="s">
        <v>205</v>
      </c>
      <c r="D175" s="22">
        <f>((2.75*4.3+1.2*0.9+2.4*0.9+2.25*1.5+3*2.4+1.2*2.1+0.9*1.2)+(0.75*2.82+2.47*1+3.22*1+0.75+5.7))*10.764</f>
        <v>468.18017999999989</v>
      </c>
      <c r="E175" s="22">
        <v>0</v>
      </c>
      <c r="F175" s="22">
        <f t="shared" si="6"/>
        <v>702.27026999999987</v>
      </c>
      <c r="G175" s="115"/>
      <c r="H175" s="116"/>
    </row>
    <row r="176" spans="1:9" s="2" customFormat="1" x14ac:dyDescent="0.35">
      <c r="A176" s="106">
        <v>811</v>
      </c>
      <c r="B176" s="106"/>
      <c r="C176" s="22" t="s">
        <v>205</v>
      </c>
      <c r="D176" s="22">
        <f>((2.75*4.3+1.2*0.9+2.4*0.9+2.25*1.5+2.75*2.4+1.2*2.1+0.9*1.2+1.45*0.82)+(0.75*2.82+2.47*1+2.97*1+0.75+5.5))*10.764</f>
        <v>469.67637599999995</v>
      </c>
      <c r="E176" s="22">
        <v>0</v>
      </c>
      <c r="F176" s="22">
        <f t="shared" si="6"/>
        <v>704.51456399999995</v>
      </c>
      <c r="G176" s="115"/>
      <c r="H176" s="116"/>
    </row>
    <row r="177" spans="1:9" s="2" customFormat="1" x14ac:dyDescent="0.35">
      <c r="A177" s="106">
        <v>812</v>
      </c>
      <c r="B177" s="106"/>
      <c r="C177" s="22" t="s">
        <v>205</v>
      </c>
      <c r="D177" s="22">
        <f>((2.75*3.3+1.2*0.9+2.4*0.9+2.25*1.5+2.75*2.4+1.2*1.5+0.9*1.2+1.45*0.82)+(0.75*8.2+2.82*1+2.4*1+2.975*1))*10.764</f>
        <v>438.137856</v>
      </c>
      <c r="E177" s="22">
        <v>0</v>
      </c>
      <c r="F177" s="22">
        <f t="shared" si="6"/>
        <v>657.20678399999997</v>
      </c>
      <c r="G177" s="115"/>
      <c r="H177" s="116"/>
    </row>
    <row r="178" spans="1:9" s="2" customFormat="1" x14ac:dyDescent="0.35">
      <c r="A178" s="106">
        <v>813</v>
      </c>
      <c r="B178" s="106"/>
      <c r="C178" s="22" t="s">
        <v>205</v>
      </c>
      <c r="D178" s="22">
        <f>((2.75*4.15+1.2*0.9+2.4*0.9+2.25*1.5+2.75*2.4+1.2*2.1+0.9*1.2)+(0.75*2.82+2.47*1+2.97*1))*10.764</f>
        <v>385.16283000000004</v>
      </c>
      <c r="E178" s="22">
        <v>0</v>
      </c>
      <c r="F178" s="22">
        <f t="shared" si="6"/>
        <v>577.74424500000009</v>
      </c>
      <c r="G178" s="117"/>
      <c r="H178" s="118"/>
    </row>
    <row r="179" spans="1:9" s="2" customFormat="1" ht="15.75" customHeight="1" x14ac:dyDescent="0.35">
      <c r="A179" s="120" t="s">
        <v>243</v>
      </c>
      <c r="B179" s="120"/>
      <c r="C179" s="120"/>
      <c r="D179" s="120"/>
      <c r="E179" s="120"/>
      <c r="F179" s="120"/>
      <c r="G179" s="120"/>
      <c r="H179" s="120"/>
    </row>
    <row r="180" spans="1:9" s="2" customFormat="1" x14ac:dyDescent="0.35">
      <c r="A180" s="120" t="s">
        <v>216</v>
      </c>
      <c r="B180" s="120"/>
      <c r="C180" s="120"/>
      <c r="D180" s="120"/>
      <c r="E180" s="120"/>
      <c r="F180" s="120"/>
      <c r="G180" s="120"/>
      <c r="H180" s="120"/>
    </row>
    <row r="181" spans="1:9" s="2" customFormat="1" x14ac:dyDescent="0.35">
      <c r="A181" s="120" t="s">
        <v>217</v>
      </c>
      <c r="B181" s="120"/>
      <c r="C181" s="120"/>
      <c r="D181" s="120"/>
      <c r="E181" s="120"/>
      <c r="F181" s="120"/>
      <c r="G181" s="120"/>
      <c r="H181" s="120"/>
    </row>
    <row r="182" spans="1:9" s="2" customFormat="1" x14ac:dyDescent="0.35">
      <c r="A182" s="110" t="s">
        <v>194</v>
      </c>
      <c r="B182" s="111"/>
      <c r="C182" s="111"/>
      <c r="D182" s="111"/>
      <c r="E182" s="111"/>
      <c r="F182" s="111"/>
      <c r="G182" s="111"/>
      <c r="H182" s="112"/>
    </row>
    <row r="183" spans="1:9" s="2" customFormat="1" x14ac:dyDescent="0.35">
      <c r="A183" s="106">
        <v>101</v>
      </c>
      <c r="B183" s="106"/>
      <c r="C183" s="22" t="s">
        <v>205</v>
      </c>
      <c r="D183" s="22">
        <f>((3.65*2.75+1.2*1.2+1.5*2.25+0.9*2.4+0.9*1.2+2.4*3+1.2*0.9+2.1*1.2)+(2.9*1+2.47*1+3.15*1))*10.764</f>
        <v>402.70814999999999</v>
      </c>
      <c r="E183" s="22">
        <v>0</v>
      </c>
      <c r="F183" s="22">
        <f t="shared" ref="F183:F210" si="7">D183*1.5+E183</f>
        <v>604.06222500000001</v>
      </c>
      <c r="G183" s="113" t="str">
        <f>A182</f>
        <v>1st Floor for Residential</v>
      </c>
      <c r="H183" s="114"/>
      <c r="I183" s="62">
        <f>2938410/F120</f>
        <v>3578.2533730865894</v>
      </c>
    </row>
    <row r="184" spans="1:9" s="2" customFormat="1" x14ac:dyDescent="0.35">
      <c r="A184" s="106">
        <v>102</v>
      </c>
      <c r="B184" s="106"/>
      <c r="C184" s="22" t="s">
        <v>204</v>
      </c>
      <c r="D184" s="22">
        <f>((3.35*3.85+1.2*1.35+2.55*2.75+2.55*0.9+2.4*3.65+2.4*3.4+1.2*1.05+1.2*2.35+1.2*2.1)+(3.425*1+3.875*1+3.55*1))*10.764</f>
        <v>626.41098</v>
      </c>
      <c r="E184" s="22">
        <v>0</v>
      </c>
      <c r="F184" s="22">
        <f t="shared" si="7"/>
        <v>939.61646999999994</v>
      </c>
      <c r="G184" s="115"/>
      <c r="H184" s="116"/>
      <c r="I184" s="62">
        <f>4876470/F184</f>
        <v>5189.8515571997159</v>
      </c>
    </row>
    <row r="185" spans="1:9" s="2" customFormat="1" x14ac:dyDescent="0.35">
      <c r="A185" s="106">
        <v>103</v>
      </c>
      <c r="B185" s="106"/>
      <c r="C185" s="22" t="s">
        <v>205</v>
      </c>
      <c r="D185" s="22">
        <f>((2.75*3.55+1.2*1.65+2.25*1.5+2.4*0.9+1.2*0.9+2.75*2.4+0.9*1.2+1.2*1.5)+(2.9*1+2.4*1+2.9*1))*10.764</f>
        <v>387.90764999999999</v>
      </c>
      <c r="E185" s="22">
        <v>0</v>
      </c>
      <c r="F185" s="22">
        <f t="shared" si="7"/>
        <v>581.86147499999993</v>
      </c>
      <c r="G185" s="115"/>
      <c r="H185" s="116"/>
      <c r="I185" s="62">
        <f>2834820/F185</f>
        <v>4871.9843498832779</v>
      </c>
    </row>
    <row r="186" spans="1:9" s="2" customFormat="1" x14ac:dyDescent="0.35">
      <c r="A186" s="106">
        <v>104</v>
      </c>
      <c r="B186" s="106"/>
      <c r="C186" s="22" t="s">
        <v>205</v>
      </c>
      <c r="D186" s="22">
        <f>((2.75*3.55+1.2*1.65+2.25*1.5+2.4*0.9+1.2*0.9+2.75*2.4+0.9*1.2+1.2*1.5)+(2.9*1+2.4*1+2.9*1))*10.764</f>
        <v>387.90764999999999</v>
      </c>
      <c r="E186" s="22">
        <v>0</v>
      </c>
      <c r="F186" s="22">
        <f t="shared" si="7"/>
        <v>581.86147499999993</v>
      </c>
      <c r="G186" s="115"/>
      <c r="H186" s="116"/>
      <c r="I186" s="62">
        <f>2666250/F186</f>
        <v>4582.2762196105186</v>
      </c>
    </row>
    <row r="187" spans="1:9" s="2" customFormat="1" x14ac:dyDescent="0.35">
      <c r="A187" s="106">
        <v>105</v>
      </c>
      <c r="B187" s="106"/>
      <c r="C187" s="22" t="s">
        <v>204</v>
      </c>
      <c r="D187" s="22">
        <f>((2.75*3.745+2.4*2.55+6.65*0.9+3*2.27+3.95*1.45+2.75*2.4+1.2*2.1+2.07*1.3+2.1*1.3)+(2.9*1+2.4*1+2.97*1))*10.764</f>
        <v>621.645219</v>
      </c>
      <c r="E187" s="22">
        <v>0</v>
      </c>
      <c r="F187" s="22">
        <f t="shared" si="7"/>
        <v>932.4678285</v>
      </c>
      <c r="G187" s="115"/>
      <c r="H187" s="116"/>
      <c r="I187" s="62">
        <f>5798070/F187</f>
        <v>6217.9839591109285</v>
      </c>
    </row>
    <row r="188" spans="1:9" s="2" customFormat="1" x14ac:dyDescent="0.35">
      <c r="A188" s="106">
        <v>106</v>
      </c>
      <c r="B188" s="106"/>
      <c r="C188" s="22" t="s">
        <v>204</v>
      </c>
      <c r="D188" s="22">
        <f>((2.75*3.745+2.4*2.55+6.65*0.9+3*2.27+3.95*1.45+2.75*2.4+1.2*2.1+2.07*1.3+2.1*1.3)+(2.9*1+2.4*1+2.97*1))*10.764</f>
        <v>621.645219</v>
      </c>
      <c r="E188" s="22">
        <v>0</v>
      </c>
      <c r="F188" s="22">
        <f t="shared" si="7"/>
        <v>932.4678285</v>
      </c>
      <c r="G188" s="115"/>
      <c r="H188" s="116"/>
      <c r="I188" s="62">
        <f>5798070/F188</f>
        <v>6217.9839591109285</v>
      </c>
    </row>
    <row r="189" spans="1:9" s="2" customFormat="1" x14ac:dyDescent="0.35">
      <c r="A189" s="106">
        <v>107</v>
      </c>
      <c r="B189" s="106"/>
      <c r="C189" s="22" t="s">
        <v>205</v>
      </c>
      <c r="D189" s="22">
        <f>((2.75*3.55+0.9*2.5+2.25*1.5+2.75*2.4+1.2*0.9+1.2*1.5)+(2.9*1+2.4*1+2.975*1))*10.764</f>
        <v>356.74586999999997</v>
      </c>
      <c r="E189" s="22">
        <v>0</v>
      </c>
      <c r="F189" s="22">
        <f t="shared" si="7"/>
        <v>535.11880499999995</v>
      </c>
      <c r="G189" s="115"/>
      <c r="H189" s="116"/>
      <c r="I189" s="62">
        <f>2662650/F189</f>
        <v>4975.8109323031549</v>
      </c>
    </row>
    <row r="190" spans="1:9" s="2" customFormat="1" x14ac:dyDescent="0.35">
      <c r="A190" s="106">
        <v>108</v>
      </c>
      <c r="B190" s="106"/>
      <c r="C190" s="22" t="s">
        <v>205</v>
      </c>
      <c r="D190" s="22">
        <f>((4.3*2.75+0.9*2.4+0.9*1.2+1.5*2.25+2.4*3+2.1*1.2+1.2*0.9)+(2.475*1+3.225*1))*10.764</f>
        <v>376.09415999999993</v>
      </c>
      <c r="E190" s="22">
        <v>0</v>
      </c>
      <c r="F190" s="22">
        <f t="shared" si="7"/>
        <v>564.14123999999993</v>
      </c>
      <c r="G190" s="115"/>
      <c r="H190" s="116"/>
      <c r="I190" s="62">
        <f>2981610/F190</f>
        <v>5285.2189994122755</v>
      </c>
    </row>
    <row r="191" spans="1:9" s="2" customFormat="1" x14ac:dyDescent="0.35">
      <c r="A191" s="106">
        <v>109</v>
      </c>
      <c r="B191" s="106"/>
      <c r="C191" s="22" t="s">
        <v>205</v>
      </c>
      <c r="D191" s="22">
        <f>((4.3*2.75+0.9*2.4+0.9*1.2+1.5*2.25+2.4*3+2.1*1.2+1.2*0.9)+(2.475*1+3.225*1))*10.764</f>
        <v>376.09415999999993</v>
      </c>
      <c r="E191" s="22">
        <v>0</v>
      </c>
      <c r="F191" s="22">
        <f t="shared" si="7"/>
        <v>564.14123999999993</v>
      </c>
      <c r="G191" s="115"/>
      <c r="H191" s="116"/>
      <c r="I191" s="62">
        <f>2981610/F191</f>
        <v>5285.2189994122755</v>
      </c>
    </row>
    <row r="192" spans="1:9" s="2" customFormat="1" x14ac:dyDescent="0.35">
      <c r="A192" s="106">
        <v>110</v>
      </c>
      <c r="B192" s="106"/>
      <c r="C192" s="22" t="s">
        <v>169</v>
      </c>
      <c r="D192" s="22">
        <f>((4.25*3.8+2.45*3.05+2.9*1.66+2.35*0.9+2.2*2.9+3.25*2.9+3.05*2.75+2.65*2.9+3.2*0.9+1.2*2.1+1.2*2.1+1.2*2.1)+(3.125*1+3.125*1+3.15*1))*10.764</f>
        <v>885.54351599999984</v>
      </c>
      <c r="E192" s="22">
        <v>0</v>
      </c>
      <c r="F192" s="22">
        <f t="shared" si="7"/>
        <v>1328.3152739999998</v>
      </c>
      <c r="G192" s="115"/>
      <c r="H192" s="116"/>
      <c r="I192" s="62">
        <f>7566570/F192</f>
        <v>5696.3660270310202</v>
      </c>
    </row>
    <row r="193" spans="1:9" s="2" customFormat="1" x14ac:dyDescent="0.35">
      <c r="A193" s="106">
        <v>111</v>
      </c>
      <c r="B193" s="106"/>
      <c r="C193" s="22" t="s">
        <v>205</v>
      </c>
      <c r="D193" s="22">
        <f>((4.3*2.75+1.5*2.25+0.9*2.4+0.9*1.2+2.4*3+1.2*0.9+2.1*1.2)+(2.475*1+3.15*1))*10.764</f>
        <v>375.28685999999993</v>
      </c>
      <c r="E193" s="22">
        <v>0</v>
      </c>
      <c r="F193" s="22">
        <f t="shared" si="7"/>
        <v>562.9302899999999</v>
      </c>
      <c r="G193" s="115"/>
      <c r="H193" s="116"/>
      <c r="I193" s="62">
        <f>2981610/F193</f>
        <v>5296.5883217973587</v>
      </c>
    </row>
    <row r="194" spans="1:9" s="2" customFormat="1" x14ac:dyDescent="0.35">
      <c r="A194" s="106">
        <v>112</v>
      </c>
      <c r="B194" s="106"/>
      <c r="C194" s="22" t="s">
        <v>205</v>
      </c>
      <c r="D194" s="22">
        <f>((4.3*2.75+1.5*2.25+0.9*2.4+0.9*1.2+2.4*3+1.2*0.9+2.1*1.2)+(2.475*1+3.15*1))*10.764</f>
        <v>375.28685999999993</v>
      </c>
      <c r="E194" s="22">
        <v>0</v>
      </c>
      <c r="F194" s="22">
        <f t="shared" si="7"/>
        <v>562.9302899999999</v>
      </c>
      <c r="G194" s="117"/>
      <c r="H194" s="118"/>
      <c r="I194" s="62">
        <f>2981610/F194</f>
        <v>5296.5883217973587</v>
      </c>
    </row>
    <row r="195" spans="1:9" s="2" customFormat="1" x14ac:dyDescent="0.35">
      <c r="A195" s="110" t="s">
        <v>218</v>
      </c>
      <c r="B195" s="111"/>
      <c r="C195" s="111"/>
      <c r="D195" s="111"/>
      <c r="E195" s="111"/>
      <c r="F195" s="111"/>
      <c r="G195" s="111"/>
      <c r="H195" s="112"/>
      <c r="I195" s="62"/>
    </row>
    <row r="196" spans="1:9" s="2" customFormat="1" x14ac:dyDescent="0.35">
      <c r="A196" s="106" t="s">
        <v>219</v>
      </c>
      <c r="B196" s="106"/>
      <c r="C196" s="22" t="s">
        <v>205</v>
      </c>
      <c r="D196" s="22">
        <f>((3.65*2.75+1.2*1.2+1.5*2.25+0.9*2.4+0.9*1.2+2.4*3+1.2*0.9+2.1*1.2)+(2.9*1+2.47*1+3.15*1))*10.764</f>
        <v>402.70814999999999</v>
      </c>
      <c r="E196" s="22">
        <v>0</v>
      </c>
      <c r="F196" s="22">
        <f t="shared" si="7"/>
        <v>604.06222500000001</v>
      </c>
      <c r="G196" s="113" t="str">
        <f>A195</f>
        <v xml:space="preserve">2nd to 7th, 9th to 12th Floor </v>
      </c>
      <c r="H196" s="114"/>
      <c r="I196" s="62"/>
    </row>
    <row r="197" spans="1:9" s="2" customFormat="1" x14ac:dyDescent="0.35">
      <c r="A197" s="106" t="s">
        <v>197</v>
      </c>
      <c r="B197" s="106"/>
      <c r="C197" s="22" t="s">
        <v>204</v>
      </c>
      <c r="D197" s="22">
        <f>((3.35*3.85+1.2*1.35+2.55*2.75+2.55*0.9+2.4*3.65+2.4*3.4+1.2*1.05+1.2*2.35+1.2*2.1)+(3.425*1+3.875*1+3.55*1))*10.764</f>
        <v>626.41098</v>
      </c>
      <c r="E197" s="22">
        <v>0</v>
      </c>
      <c r="F197" s="22">
        <f t="shared" si="7"/>
        <v>939.61646999999994</v>
      </c>
      <c r="G197" s="115"/>
      <c r="H197" s="116"/>
      <c r="I197" s="62"/>
    </row>
    <row r="198" spans="1:9" s="2" customFormat="1" x14ac:dyDescent="0.35">
      <c r="A198" s="106" t="s">
        <v>198</v>
      </c>
      <c r="B198" s="106"/>
      <c r="C198" s="22" t="s">
        <v>205</v>
      </c>
      <c r="D198" s="22">
        <f>((2.75*3.55+1.2*1.65+2.25*1.5+2.4*0.9+1.2*0.9+2.75*2.4+0.9*1.2+1.2*1.5)+(2.9*1+2.4*1+2.9*1))*10.764</f>
        <v>387.90764999999999</v>
      </c>
      <c r="E198" s="22">
        <v>0</v>
      </c>
      <c r="F198" s="22">
        <f t="shared" si="7"/>
        <v>581.86147499999993</v>
      </c>
      <c r="G198" s="115"/>
      <c r="H198" s="116"/>
      <c r="I198" s="62"/>
    </row>
    <row r="199" spans="1:9" s="2" customFormat="1" x14ac:dyDescent="0.35">
      <c r="A199" s="106" t="s">
        <v>199</v>
      </c>
      <c r="B199" s="106"/>
      <c r="C199" s="22" t="s">
        <v>205</v>
      </c>
      <c r="D199" s="22">
        <f>((2.75*3.55+1.2*1.65+2.25*1.5+2.4*0.9+1.2*0.9+2.75*2.4+0.9*1.2+1.2*1.5)+(2.9*1+2.4*1+2.9*1))*10.764</f>
        <v>387.90764999999999</v>
      </c>
      <c r="E199" s="22">
        <v>0</v>
      </c>
      <c r="F199" s="22">
        <f t="shared" si="7"/>
        <v>581.86147499999993</v>
      </c>
      <c r="G199" s="115"/>
      <c r="H199" s="116"/>
    </row>
    <row r="200" spans="1:9" s="2" customFormat="1" x14ac:dyDescent="0.35">
      <c r="A200" s="106" t="s">
        <v>202</v>
      </c>
      <c r="B200" s="106"/>
      <c r="C200" s="22" t="s">
        <v>204</v>
      </c>
      <c r="D200" s="22">
        <f>((2.75*3.745+2.4*2.55+6.65*0.9+3*2.27+3.95*1.45+2.75*2.4+1.2*2.1+2.07*1.3+2.1*1.3)+(2.9*1+2.4*1+2.97*1))*10.764</f>
        <v>621.645219</v>
      </c>
      <c r="E200" s="22">
        <v>0</v>
      </c>
      <c r="F200" s="22">
        <f t="shared" si="7"/>
        <v>932.4678285</v>
      </c>
      <c r="G200" s="115"/>
      <c r="H200" s="116"/>
    </row>
    <row r="201" spans="1:9" s="2" customFormat="1" x14ac:dyDescent="0.35">
      <c r="A201" s="106" t="s">
        <v>200</v>
      </c>
      <c r="B201" s="106"/>
      <c r="C201" s="22" t="s">
        <v>204</v>
      </c>
      <c r="D201" s="22">
        <f>((2.75*3.745+2.4*2.55+6.65*0.9+3*2.27+3.95*1.45+2.75*2.4+1.2*2.1+2.07*1.3+2.1*1.3)+(2.9*1+2.4*1+2.97*1))*10.764</f>
        <v>621.645219</v>
      </c>
      <c r="E201" s="22">
        <v>0</v>
      </c>
      <c r="F201" s="22">
        <f t="shared" si="7"/>
        <v>932.4678285</v>
      </c>
      <c r="G201" s="115"/>
      <c r="H201" s="116"/>
    </row>
    <row r="202" spans="1:9" s="2" customFormat="1" x14ac:dyDescent="0.35">
      <c r="A202" s="106" t="s">
        <v>201</v>
      </c>
      <c r="B202" s="106"/>
      <c r="C202" s="22" t="s">
        <v>205</v>
      </c>
      <c r="D202" s="22">
        <f>((2.75*3.55+0.9*2.5+2.25*1.5+2.75*2.4+1.2*0.9+1.2*1.5)+(2.9*1+2.4*1+2.975*1))*10.764</f>
        <v>356.74586999999997</v>
      </c>
      <c r="E202" s="22">
        <v>0</v>
      </c>
      <c r="F202" s="22">
        <f t="shared" si="7"/>
        <v>535.11880499999995</v>
      </c>
      <c r="G202" s="115"/>
      <c r="H202" s="116"/>
    </row>
    <row r="203" spans="1:9" s="2" customFormat="1" x14ac:dyDescent="0.35">
      <c r="A203" s="106" t="s">
        <v>209</v>
      </c>
      <c r="B203" s="106"/>
      <c r="C203" s="22" t="s">
        <v>205</v>
      </c>
      <c r="D203" s="22">
        <f>((4.3*2.75+0.9*2.4+0.9*1.2+1.5*2.25+2.4*3+2.1*1.2+1.2*0.9)+(2.475*1+3.225*1))*10.764</f>
        <v>376.09415999999993</v>
      </c>
      <c r="E203" s="22">
        <v>0</v>
      </c>
      <c r="F203" s="22">
        <f t="shared" si="7"/>
        <v>564.14123999999993</v>
      </c>
      <c r="G203" s="115"/>
      <c r="H203" s="116"/>
    </row>
    <row r="204" spans="1:9" s="2" customFormat="1" x14ac:dyDescent="0.35">
      <c r="A204" s="106" t="s">
        <v>210</v>
      </c>
      <c r="B204" s="106"/>
      <c r="C204" s="22" t="s">
        <v>205</v>
      </c>
      <c r="D204" s="22">
        <f>((4.3*2.75+0.9*2.4+0.9*1.2+1.5*2.25+2.4*3+2.1*1.2+1.2*0.9)+(2.475*1+3.225*1))*10.764</f>
        <v>376.09415999999993</v>
      </c>
      <c r="E204" s="22">
        <v>0</v>
      </c>
      <c r="F204" s="22">
        <f t="shared" si="7"/>
        <v>564.14123999999993</v>
      </c>
      <c r="G204" s="115"/>
      <c r="H204" s="116"/>
    </row>
    <row r="205" spans="1:9" s="2" customFormat="1" x14ac:dyDescent="0.35">
      <c r="A205" s="106" t="s">
        <v>211</v>
      </c>
      <c r="B205" s="106"/>
      <c r="C205" s="22" t="s">
        <v>169</v>
      </c>
      <c r="D205" s="22">
        <f>((4.25*3.8+2.45*3.05+2.9*1.66+2.35*0.9+2.2*2.9+3.25*2.9+3.05*2.75+2.65*2.9+3.2*0.9+1.2*2.1+1.2*2.1+1.2*2.1)+(3.125*1+3.125*1+3.15*1))*10.764</f>
        <v>885.54351599999984</v>
      </c>
      <c r="E205" s="22">
        <v>0</v>
      </c>
      <c r="F205" s="22">
        <f t="shared" si="7"/>
        <v>1328.3152739999998</v>
      </c>
      <c r="G205" s="115"/>
      <c r="H205" s="116"/>
    </row>
    <row r="206" spans="1:9" s="2" customFormat="1" x14ac:dyDescent="0.35">
      <c r="A206" s="106" t="s">
        <v>212</v>
      </c>
      <c r="B206" s="106"/>
      <c r="C206" s="22" t="s">
        <v>205</v>
      </c>
      <c r="D206" s="22">
        <f>((4.3*2.75+1.5*2.25+0.9*2.4+0.9*1.2+2.4*3+1.2*0.9+2.1*1.2)+(2.475*1+3.15*1))*10.764</f>
        <v>375.28685999999993</v>
      </c>
      <c r="E206" s="22">
        <v>0</v>
      </c>
      <c r="F206" s="22">
        <f t="shared" si="7"/>
        <v>562.9302899999999</v>
      </c>
      <c r="G206" s="115"/>
      <c r="H206" s="116"/>
    </row>
    <row r="207" spans="1:9" s="2" customFormat="1" x14ac:dyDescent="0.35">
      <c r="A207" s="106" t="s">
        <v>213</v>
      </c>
      <c r="B207" s="106"/>
      <c r="C207" s="22" t="s">
        <v>205</v>
      </c>
      <c r="D207" s="22">
        <f>((4.3*2.75+1.5*2.25+0.9*2.4+0.9*1.2+2.4*3+1.2*0.9+2.1*1.2)+(2.475*1+3.15*1))*10.764</f>
        <v>375.28685999999993</v>
      </c>
      <c r="E207" s="22">
        <v>0</v>
      </c>
      <c r="F207" s="22">
        <f t="shared" si="7"/>
        <v>562.9302899999999</v>
      </c>
      <c r="G207" s="117"/>
      <c r="H207" s="118"/>
    </row>
    <row r="208" spans="1:9" s="2" customFormat="1" x14ac:dyDescent="0.35">
      <c r="A208" s="110" t="s">
        <v>203</v>
      </c>
      <c r="B208" s="111"/>
      <c r="C208" s="111"/>
      <c r="D208" s="111"/>
      <c r="E208" s="111"/>
      <c r="F208" s="111"/>
      <c r="G208" s="111"/>
      <c r="H208" s="112"/>
    </row>
    <row r="209" spans="1:9" s="2" customFormat="1" x14ac:dyDescent="0.35">
      <c r="A209" s="106">
        <v>801</v>
      </c>
      <c r="B209" s="106"/>
      <c r="C209" s="22" t="s">
        <v>205</v>
      </c>
      <c r="D209" s="22">
        <f>((3.65*2.75+1.2*1.2+1.5*2.25+0.9*2.4+0.9*1.2+2.4*3+1.2*0.9+2.1*1.2)+(2.9*1+2.47*1+3.15*1))*10.764</f>
        <v>402.70814999999999</v>
      </c>
      <c r="E209" s="22">
        <v>0</v>
      </c>
      <c r="F209" s="22">
        <f t="shared" si="7"/>
        <v>604.06222500000001</v>
      </c>
      <c r="G209" s="113" t="str">
        <f>A208</f>
        <v xml:space="preserve">8th Floor </v>
      </c>
      <c r="H209" s="114"/>
    </row>
    <row r="210" spans="1:9" s="2" customFormat="1" x14ac:dyDescent="0.35">
      <c r="A210" s="119">
        <v>802</v>
      </c>
      <c r="B210" s="119"/>
      <c r="C210" s="53" t="s">
        <v>169</v>
      </c>
      <c r="D210" s="53">
        <f>((3.35*3.85+1.2*1.35+2.55*2.75+2.55*0.9+2.4*3.65+2.4*3.4+2.6*3.55+1.65*1.2+1.2*1.05+1.2*2.35+1.2*2.1)+(3.55*1+3.875*1+3.42*1+2.85+0.75*9))*10.764</f>
        <v>850.35599999999999</v>
      </c>
      <c r="E210" s="53">
        <v>0</v>
      </c>
      <c r="F210" s="22">
        <f t="shared" si="7"/>
        <v>1275.5340000000001</v>
      </c>
      <c r="G210" s="115"/>
      <c r="H210" s="116"/>
      <c r="I210" s="62">
        <f>6038010/F210</f>
        <v>4733.7115278777355</v>
      </c>
    </row>
    <row r="211" spans="1:9" s="2" customFormat="1" x14ac:dyDescent="0.35">
      <c r="A211" s="106">
        <v>803</v>
      </c>
      <c r="B211" s="106"/>
      <c r="C211" s="107" t="s">
        <v>215</v>
      </c>
      <c r="D211" s="108"/>
      <c r="E211" s="108"/>
      <c r="F211" s="109"/>
      <c r="G211" s="115"/>
      <c r="H211" s="116"/>
    </row>
    <row r="212" spans="1:9" s="2" customFormat="1" x14ac:dyDescent="0.35">
      <c r="A212" s="106">
        <v>804</v>
      </c>
      <c r="B212" s="106"/>
      <c r="C212" s="22" t="s">
        <v>205</v>
      </c>
      <c r="D212" s="22">
        <f>((2.75*3.55+1.2*1.65+2.25*1.5+2.4*0.9+1.2*0.9+2.75*2.4+0.9*1.2+1.2*1.5)+(2.9*1+2.4*1+2.9*1))*10.764</f>
        <v>387.90764999999999</v>
      </c>
      <c r="E212" s="22">
        <v>0</v>
      </c>
      <c r="F212" s="22">
        <f t="shared" ref="F212:F220" si="8">D212*1.5+E212</f>
        <v>581.86147499999993</v>
      </c>
      <c r="G212" s="115"/>
      <c r="H212" s="116"/>
    </row>
    <row r="213" spans="1:9" s="2" customFormat="1" x14ac:dyDescent="0.35">
      <c r="A213" s="106">
        <v>805</v>
      </c>
      <c r="B213" s="106"/>
      <c r="C213" s="22" t="s">
        <v>204</v>
      </c>
      <c r="D213" s="22">
        <f>((2.75*3.745+2.4*2.55+6.65*0.9+3*2.27+3.95*1.45+2.75*2.4+1.2*2.1+2.07*1.3+2.1*1.3)+(2.9*1+2.4*1+2.97*1))*10.764</f>
        <v>621.645219</v>
      </c>
      <c r="E213" s="22">
        <v>0</v>
      </c>
      <c r="F213" s="22">
        <f t="shared" si="8"/>
        <v>932.4678285</v>
      </c>
      <c r="G213" s="115"/>
      <c r="H213" s="116"/>
    </row>
    <row r="214" spans="1:9" s="2" customFormat="1" x14ac:dyDescent="0.35">
      <c r="A214" s="106">
        <v>806</v>
      </c>
      <c r="B214" s="106"/>
      <c r="C214" s="22" t="s">
        <v>204</v>
      </c>
      <c r="D214" s="22">
        <f>((2.75*3.745+2.4*2.55+6.65*0.9+3*2.27+3.95*1.45+2.75*2.4+1.2*2.1+2.07*1.3+2.1*1.3)+(2.9*1+2.4*1+2.97*1))*10.764</f>
        <v>621.645219</v>
      </c>
      <c r="E214" s="22">
        <v>0</v>
      </c>
      <c r="F214" s="22">
        <f t="shared" si="8"/>
        <v>932.4678285</v>
      </c>
      <c r="G214" s="115"/>
      <c r="H214" s="116"/>
    </row>
    <row r="215" spans="1:9" s="2" customFormat="1" x14ac:dyDescent="0.35">
      <c r="A215" s="106">
        <v>807</v>
      </c>
      <c r="B215" s="106"/>
      <c r="C215" s="22" t="s">
        <v>205</v>
      </c>
      <c r="D215" s="22">
        <f>((2.75*3.55+0.9*2.5+2.25*1.5+2.75*2.4+1.2*0.9+1.2*1.5)+(2.9*1+2.4*1+2.975*1))*10.764</f>
        <v>356.74586999999997</v>
      </c>
      <c r="E215" s="22">
        <v>0</v>
      </c>
      <c r="F215" s="22">
        <f t="shared" si="8"/>
        <v>535.11880499999995</v>
      </c>
      <c r="G215" s="115"/>
      <c r="H215" s="116"/>
    </row>
    <row r="216" spans="1:9" s="2" customFormat="1" x14ac:dyDescent="0.35">
      <c r="A216" s="106">
        <v>808</v>
      </c>
      <c r="B216" s="106"/>
      <c r="C216" s="22" t="s">
        <v>205</v>
      </c>
      <c r="D216" s="22">
        <f>((4.3*2.75+0.9*2.4+0.9*1.2+1.5*2.25+2.4*3+2.1*1.2+1.2*0.9)+(2.475*1+3.225*1))*10.764</f>
        <v>376.09415999999993</v>
      </c>
      <c r="E216" s="22">
        <v>0</v>
      </c>
      <c r="F216" s="22">
        <f t="shared" si="8"/>
        <v>564.14123999999993</v>
      </c>
      <c r="G216" s="115"/>
      <c r="H216" s="116"/>
    </row>
    <row r="217" spans="1:9" s="2" customFormat="1" x14ac:dyDescent="0.35">
      <c r="A217" s="106">
        <v>809</v>
      </c>
      <c r="B217" s="106"/>
      <c r="C217" s="22" t="s">
        <v>205</v>
      </c>
      <c r="D217" s="22">
        <f>((4.3*2.75+0.9*2.4+0.9*1.2+1.5*2.25+2.4*3+2.1*1.2+1.2*0.9)+(2.475*1+3.225*1))*10.764</f>
        <v>376.09415999999993</v>
      </c>
      <c r="E217" s="22">
        <v>0</v>
      </c>
      <c r="F217" s="22">
        <f t="shared" si="8"/>
        <v>564.14123999999993</v>
      </c>
      <c r="G217" s="115"/>
      <c r="H217" s="116"/>
    </row>
    <row r="218" spans="1:9" s="2" customFormat="1" x14ac:dyDescent="0.35">
      <c r="A218" s="106">
        <v>810</v>
      </c>
      <c r="B218" s="106"/>
      <c r="C218" s="22" t="s">
        <v>169</v>
      </c>
      <c r="D218" s="22">
        <f>((4.25*3.8+2.45*3.05+2.9*1.66+2.35*0.9+2.2*2.9+3.25*2.9+3.05*2.75+2.65*2.9+3.2*0.9+1.2*2.1+1.2*2.1+1.2*2.1)+(3.125*1+3.125*1+3.15*1))*10.764</f>
        <v>885.54351599999984</v>
      </c>
      <c r="E218" s="22">
        <v>0</v>
      </c>
      <c r="F218" s="22">
        <f t="shared" si="8"/>
        <v>1328.3152739999998</v>
      </c>
      <c r="G218" s="115"/>
      <c r="H218" s="116"/>
    </row>
    <row r="219" spans="1:9" s="2" customFormat="1" x14ac:dyDescent="0.35">
      <c r="A219" s="106">
        <v>811</v>
      </c>
      <c r="B219" s="106"/>
      <c r="C219" s="22" t="s">
        <v>205</v>
      </c>
      <c r="D219" s="22">
        <f>((4.3*2.75+1.5*2.25+0.9*2.4+0.9*1.2+2.4*3+1.2*0.9+2.1*1.2)+(2.475*1+3.15*1))*10.764</f>
        <v>375.28685999999993</v>
      </c>
      <c r="E219" s="22">
        <v>0</v>
      </c>
      <c r="F219" s="22">
        <f t="shared" si="8"/>
        <v>562.9302899999999</v>
      </c>
      <c r="G219" s="115"/>
      <c r="H219" s="116"/>
    </row>
    <row r="220" spans="1:9" s="2" customFormat="1" x14ac:dyDescent="0.35">
      <c r="A220" s="106">
        <v>812</v>
      </c>
      <c r="B220" s="106"/>
      <c r="C220" s="22" t="s">
        <v>205</v>
      </c>
      <c r="D220" s="22">
        <f>((4.3*2.75+1.5*2.25+0.9*2.4+0.9*1.2+2.4*3+1.2*0.9+2.1*1.2)+(2.475*1+3.15*1))*10.764</f>
        <v>375.28685999999993</v>
      </c>
      <c r="E220" s="22">
        <v>0</v>
      </c>
      <c r="F220" s="22">
        <f t="shared" si="8"/>
        <v>562.9302899999999</v>
      </c>
      <c r="G220" s="117"/>
      <c r="H220" s="118"/>
    </row>
    <row r="221" spans="1:9" s="2" customFormat="1" x14ac:dyDescent="0.35">
      <c r="A221" s="110" t="s">
        <v>220</v>
      </c>
      <c r="B221" s="111"/>
      <c r="C221" s="111"/>
      <c r="D221" s="111"/>
      <c r="E221" s="111"/>
      <c r="F221" s="111"/>
      <c r="G221" s="111"/>
      <c r="H221" s="112"/>
    </row>
    <row r="222" spans="1:9" s="2" customFormat="1" x14ac:dyDescent="0.35">
      <c r="A222" s="110" t="s">
        <v>217</v>
      </c>
      <c r="B222" s="111"/>
      <c r="C222" s="111"/>
      <c r="D222" s="111"/>
      <c r="E222" s="111"/>
      <c r="F222" s="111"/>
      <c r="G222" s="111"/>
      <c r="H222" s="112"/>
    </row>
    <row r="223" spans="1:9" s="2" customFormat="1" x14ac:dyDescent="0.35">
      <c r="A223" s="110" t="s">
        <v>194</v>
      </c>
      <c r="B223" s="111"/>
      <c r="C223" s="111"/>
      <c r="D223" s="111"/>
      <c r="E223" s="111"/>
      <c r="F223" s="111"/>
      <c r="G223" s="111"/>
      <c r="H223" s="112"/>
    </row>
    <row r="224" spans="1:9" s="2" customFormat="1" x14ac:dyDescent="0.35">
      <c r="A224" s="106">
        <v>1</v>
      </c>
      <c r="B224" s="106"/>
      <c r="C224" s="22" t="s">
        <v>205</v>
      </c>
      <c r="D224" s="22">
        <f>((2.75*3.55+0.9*2.5+2.25*1.5+2.75*2.4+1.2*0.9+1.2*1.5)+(2.9*1+2.4*1+2.975*1))*10.764</f>
        <v>356.74586999999997</v>
      </c>
      <c r="E224" s="22">
        <v>0</v>
      </c>
      <c r="F224" s="22">
        <f t="shared" ref="F224:F235" si="9">D224*1.5+E224</f>
        <v>535.11880499999995</v>
      </c>
      <c r="G224" s="113" t="s">
        <v>223</v>
      </c>
      <c r="H224" s="114"/>
    </row>
    <row r="225" spans="1:8" s="2" customFormat="1" x14ac:dyDescent="0.35">
      <c r="A225" s="106">
        <v>2</v>
      </c>
      <c r="B225" s="106"/>
      <c r="C225" s="22" t="s">
        <v>204</v>
      </c>
      <c r="D225" s="22">
        <f>((2.75*3.745+2.4*2.55+6.65*0.9+3*2.27+3.95*1.45+2.75*2.4+1.2*2.1+2.07*1.3+2.1*1.3)+(2.9*1+2.4*1+2.97*1))*10.764</f>
        <v>621.645219</v>
      </c>
      <c r="E225" s="22">
        <v>0</v>
      </c>
      <c r="F225" s="22">
        <f t="shared" si="9"/>
        <v>932.4678285</v>
      </c>
      <c r="G225" s="115"/>
      <c r="H225" s="116"/>
    </row>
    <row r="226" spans="1:8" s="2" customFormat="1" x14ac:dyDescent="0.35">
      <c r="A226" s="106">
        <v>3</v>
      </c>
      <c r="B226" s="106"/>
      <c r="C226" s="22" t="s">
        <v>204</v>
      </c>
      <c r="D226" s="22">
        <f>((2.75*3.745+2.4*2.55+6.65*0.9+3*2.27+3.95*1.45+2.75*2.4+1.2*2.1+2.07*1.3+2.1*1.3)+(2.9*1+2.4*1+2.97*1))*10.764</f>
        <v>621.645219</v>
      </c>
      <c r="E226" s="22">
        <v>0</v>
      </c>
      <c r="F226" s="22">
        <f t="shared" si="9"/>
        <v>932.4678285</v>
      </c>
      <c r="G226" s="115"/>
      <c r="H226" s="116"/>
    </row>
    <row r="227" spans="1:8" s="2" customFormat="1" x14ac:dyDescent="0.35">
      <c r="A227" s="106">
        <v>4</v>
      </c>
      <c r="B227" s="106"/>
      <c r="C227" s="22" t="s">
        <v>205</v>
      </c>
      <c r="D227" s="22">
        <f>((2.75*3.55+1.2*1.65+2.25*1.5+2.4*0.9+1.2*0.9+2.75*2.4+0.9*1.2+1.2*1.5)+(2.9*1+2.4*1+2.9*1))*10.764</f>
        <v>387.90764999999999</v>
      </c>
      <c r="E227" s="22">
        <v>0</v>
      </c>
      <c r="F227" s="22">
        <f t="shared" si="9"/>
        <v>581.86147499999993</v>
      </c>
      <c r="G227" s="115"/>
      <c r="H227" s="116"/>
    </row>
    <row r="228" spans="1:8" s="2" customFormat="1" x14ac:dyDescent="0.35">
      <c r="A228" s="106">
        <v>5</v>
      </c>
      <c r="B228" s="106"/>
      <c r="C228" s="22" t="s">
        <v>205</v>
      </c>
      <c r="D228" s="22">
        <f>((2.75*3.55+1.2*1.65+2.25*1.5+2.4*0.9+1.2*0.9+2.75*2.4+0.9*1.2+1.2*1.5)+(2.9*1+2.4*1+2.9*1))*10.764</f>
        <v>387.90764999999999</v>
      </c>
      <c r="E228" s="22">
        <v>0</v>
      </c>
      <c r="F228" s="22">
        <f t="shared" si="9"/>
        <v>581.86147499999993</v>
      </c>
      <c r="G228" s="115"/>
      <c r="H228" s="116"/>
    </row>
    <row r="229" spans="1:8" s="2" customFormat="1" x14ac:dyDescent="0.35">
      <c r="A229" s="106">
        <v>6</v>
      </c>
      <c r="B229" s="106"/>
      <c r="C229" s="22" t="s">
        <v>204</v>
      </c>
      <c r="D229" s="22">
        <f>((3.35*3.85+1.2*1.35+2.55*2.75+2.55*0.9+2.4*3.65+2.4*3.4+1.2*1.05+1.2*2.35+1.2*2.1)+(3.425*1+3.875*1+3.55*1))*10.764</f>
        <v>626.41098</v>
      </c>
      <c r="E229" s="22">
        <v>0</v>
      </c>
      <c r="F229" s="22">
        <f t="shared" si="9"/>
        <v>939.61646999999994</v>
      </c>
      <c r="G229" s="115"/>
      <c r="H229" s="116"/>
    </row>
    <row r="230" spans="1:8" s="2" customFormat="1" x14ac:dyDescent="0.35">
      <c r="A230" s="106">
        <v>7</v>
      </c>
      <c r="B230" s="106"/>
      <c r="C230" s="22" t="s">
        <v>205</v>
      </c>
      <c r="D230" s="22">
        <f>((3.65*2.75+1.2*1.2+1.5*2.25+0.9*2.4+0.9*1.2+2.4*3+1.2*0.9+2.1*1.2)+(2.9*1+2.47*1+3.15*1))*10.764</f>
        <v>402.70814999999999</v>
      </c>
      <c r="E230" s="22">
        <v>0</v>
      </c>
      <c r="F230" s="22">
        <f t="shared" si="9"/>
        <v>604.06222500000001</v>
      </c>
      <c r="G230" s="115"/>
      <c r="H230" s="116"/>
    </row>
    <row r="231" spans="1:8" s="2" customFormat="1" x14ac:dyDescent="0.35">
      <c r="A231" s="106">
        <v>8</v>
      </c>
      <c r="B231" s="106"/>
      <c r="C231" s="22" t="s">
        <v>205</v>
      </c>
      <c r="D231" s="22">
        <f>((4.3*2.75+0.9*2.4+0.9*1.2+1.5*2.25+2.4*3+2.1*1.2+1.2*0.9)+(2.475*1+3.225*1))*10.764</f>
        <v>376.09415999999993</v>
      </c>
      <c r="E231" s="22">
        <v>0</v>
      </c>
      <c r="F231" s="22">
        <f t="shared" si="9"/>
        <v>564.14123999999993</v>
      </c>
      <c r="G231" s="115"/>
      <c r="H231" s="116"/>
    </row>
    <row r="232" spans="1:8" s="2" customFormat="1" x14ac:dyDescent="0.35">
      <c r="A232" s="106">
        <v>9</v>
      </c>
      <c r="B232" s="106"/>
      <c r="C232" s="22" t="s">
        <v>205</v>
      </c>
      <c r="D232" s="22">
        <f>((4.3*2.75+0.9*2.4+0.9*1.2+1.5*2.25+2.4*3+2.1*1.2+1.2*0.9)+(2.475*1+3.225*1))*10.764</f>
        <v>376.09415999999993</v>
      </c>
      <c r="E232" s="22">
        <v>0</v>
      </c>
      <c r="F232" s="22">
        <f t="shared" si="9"/>
        <v>564.14123999999993</v>
      </c>
      <c r="G232" s="115"/>
      <c r="H232" s="116"/>
    </row>
    <row r="233" spans="1:8" s="2" customFormat="1" x14ac:dyDescent="0.35">
      <c r="A233" s="106">
        <v>10</v>
      </c>
      <c r="B233" s="106"/>
      <c r="C233" s="22" t="s">
        <v>169</v>
      </c>
      <c r="D233" s="22">
        <f>((4.25*3.8+2.45*3.05+2.9*1.66+2.35*0.9+2.2*2.9+3.25*2.9+3.05*2.75+2.65*2.9+3.2*0.9+1.2*2.1+1.2*2.1+1.2*2.1)+(3.125*1+3.125*1+3.15*1))*10.764</f>
        <v>885.54351599999984</v>
      </c>
      <c r="E233" s="22">
        <v>0</v>
      </c>
      <c r="F233" s="22">
        <f t="shared" si="9"/>
        <v>1328.3152739999998</v>
      </c>
      <c r="G233" s="115"/>
      <c r="H233" s="116"/>
    </row>
    <row r="234" spans="1:8" s="2" customFormat="1" x14ac:dyDescent="0.35">
      <c r="A234" s="106">
        <v>11</v>
      </c>
      <c r="B234" s="106"/>
      <c r="C234" s="22" t="s">
        <v>205</v>
      </c>
      <c r="D234" s="22">
        <f>((4.3*2.75+1.5*2.25+0.9*2.4+0.9*1.2+2.4*3+1.2*0.9+2.1*1.2)+(2.475*1+3.15*1))*10.764</f>
        <v>375.28685999999993</v>
      </c>
      <c r="E234" s="22">
        <v>0</v>
      </c>
      <c r="F234" s="22">
        <f t="shared" si="9"/>
        <v>562.9302899999999</v>
      </c>
      <c r="G234" s="115"/>
      <c r="H234" s="116"/>
    </row>
    <row r="235" spans="1:8" s="2" customFormat="1" x14ac:dyDescent="0.35">
      <c r="A235" s="106">
        <v>12</v>
      </c>
      <c r="B235" s="106"/>
      <c r="C235" s="22" t="s">
        <v>205</v>
      </c>
      <c r="D235" s="22">
        <f>((4.3*2.75+1.5*2.25+0.9*2.4+0.9*1.2+2.4*3+1.2*0.9+2.1*1.2)+(2.475*1+3.15*1))*10.764</f>
        <v>375.28685999999993</v>
      </c>
      <c r="E235" s="22">
        <v>0</v>
      </c>
      <c r="F235" s="22">
        <f t="shared" si="9"/>
        <v>562.9302899999999</v>
      </c>
      <c r="G235" s="117"/>
      <c r="H235" s="118"/>
    </row>
    <row r="236" spans="1:8" s="2" customFormat="1" x14ac:dyDescent="0.35">
      <c r="A236" s="106"/>
      <c r="B236" s="106"/>
      <c r="C236" s="22"/>
      <c r="D236" s="22"/>
      <c r="E236" s="22"/>
      <c r="F236" s="22"/>
      <c r="G236" s="106"/>
      <c r="H236" s="106"/>
    </row>
    <row r="237" spans="1:8" s="2" customFormat="1" x14ac:dyDescent="0.35">
      <c r="A237" s="110" t="s">
        <v>221</v>
      </c>
      <c r="B237" s="111"/>
      <c r="C237" s="111"/>
      <c r="D237" s="111"/>
      <c r="E237" s="111"/>
      <c r="F237" s="111"/>
      <c r="G237" s="111"/>
      <c r="H237" s="112"/>
    </row>
    <row r="238" spans="1:8" s="2" customFormat="1" ht="15.75" customHeight="1" x14ac:dyDescent="0.35">
      <c r="A238" s="106" t="s">
        <v>219</v>
      </c>
      <c r="B238" s="106"/>
      <c r="C238" s="22" t="s">
        <v>205</v>
      </c>
      <c r="D238" s="22">
        <f>((2.75*3.55+0.9*2.5+2.25*1.5+2.75*2.4+1.2*0.9+1.2*1.5)+(2.9*1+2.4*1+2.975*1))*10.764</f>
        <v>356.74586999999997</v>
      </c>
      <c r="E238" s="22">
        <v>0</v>
      </c>
      <c r="F238" s="22">
        <f t="shared" ref="F238:F262" si="10">D238*1.5+E238</f>
        <v>535.11880499999995</v>
      </c>
      <c r="G238" s="113" t="str">
        <f>A237</f>
        <v>2nd to 7th, 9th to 12th Floor</v>
      </c>
      <c r="H238" s="114"/>
    </row>
    <row r="239" spans="1:8" s="2" customFormat="1" ht="15.75" customHeight="1" x14ac:dyDescent="0.35">
      <c r="A239" s="106" t="s">
        <v>197</v>
      </c>
      <c r="B239" s="106"/>
      <c r="C239" s="22" t="s">
        <v>204</v>
      </c>
      <c r="D239" s="22">
        <f>((2.75*3.745+2.4*2.55+6.65*0.9+3*2.27+3.95*1.45+2.75*2.4+1.2*2.1+2.07*1.3+2.1*1.3)+(2.9*1+2.4*1+2.97*1))*10.764</f>
        <v>621.645219</v>
      </c>
      <c r="E239" s="22">
        <v>0</v>
      </c>
      <c r="F239" s="22">
        <f t="shared" si="10"/>
        <v>932.4678285</v>
      </c>
      <c r="G239" s="115"/>
      <c r="H239" s="116"/>
    </row>
    <row r="240" spans="1:8" s="2" customFormat="1" ht="15.75" customHeight="1" x14ac:dyDescent="0.35">
      <c r="A240" s="106" t="s">
        <v>198</v>
      </c>
      <c r="B240" s="106"/>
      <c r="C240" s="22" t="s">
        <v>204</v>
      </c>
      <c r="D240" s="22">
        <f>((2.75*3.745+2.4*2.55+6.65*0.9+3*2.27+3.95*1.45+2.75*2.4+1.2*2.1+2.07*1.3+2.1*1.3)+(2.9*1+2.4*1+2.97*1))*10.764</f>
        <v>621.645219</v>
      </c>
      <c r="E240" s="22">
        <v>0</v>
      </c>
      <c r="F240" s="22">
        <f t="shared" si="10"/>
        <v>932.4678285</v>
      </c>
      <c r="G240" s="115"/>
      <c r="H240" s="116"/>
    </row>
    <row r="241" spans="1:8" s="2" customFormat="1" ht="15.75" customHeight="1" x14ac:dyDescent="0.35">
      <c r="A241" s="106" t="s">
        <v>199</v>
      </c>
      <c r="B241" s="106"/>
      <c r="C241" s="22" t="s">
        <v>205</v>
      </c>
      <c r="D241" s="22">
        <f>((2.75*3.55+1.2*1.65+2.25*1.5+2.4*0.9+1.2*0.9+2.75*2.4+0.9*1.2+1.2*1.5)+(2.9*1+2.4*1+2.9*1))*10.764</f>
        <v>387.90764999999999</v>
      </c>
      <c r="E241" s="22">
        <v>0</v>
      </c>
      <c r="F241" s="22">
        <f t="shared" si="10"/>
        <v>581.86147499999993</v>
      </c>
      <c r="G241" s="115"/>
      <c r="H241" s="116"/>
    </row>
    <row r="242" spans="1:8" s="2" customFormat="1" ht="15.75" customHeight="1" x14ac:dyDescent="0.35">
      <c r="A242" s="106" t="s">
        <v>202</v>
      </c>
      <c r="B242" s="106"/>
      <c r="C242" s="22" t="s">
        <v>205</v>
      </c>
      <c r="D242" s="22">
        <f>((2.75*3.55+1.2*1.65+2.25*1.5+2.4*0.9+1.2*0.9+2.75*2.4+0.9*1.2+1.2*1.5)+(2.9*1+2.4*1+2.9*1))*10.764</f>
        <v>387.90764999999999</v>
      </c>
      <c r="E242" s="22">
        <v>0</v>
      </c>
      <c r="F242" s="22">
        <f t="shared" si="10"/>
        <v>581.86147499999993</v>
      </c>
      <c r="G242" s="115"/>
      <c r="H242" s="116"/>
    </row>
    <row r="243" spans="1:8" s="2" customFormat="1" ht="15.75" customHeight="1" x14ac:dyDescent="0.35">
      <c r="A243" s="106" t="s">
        <v>200</v>
      </c>
      <c r="B243" s="106"/>
      <c r="C243" s="22" t="s">
        <v>204</v>
      </c>
      <c r="D243" s="22">
        <f>((3.35*3.85+1.2*1.35+2.55*2.75+2.55*0.9+2.4*3.65+2.4*3.4+1.2*1.05+1.2*2.35+1.2*2.1)+(3.425*1+3.875*1+3.55*1))*10.764</f>
        <v>626.41098</v>
      </c>
      <c r="E243" s="22">
        <v>0</v>
      </c>
      <c r="F243" s="22">
        <f t="shared" si="10"/>
        <v>939.61646999999994</v>
      </c>
      <c r="G243" s="115"/>
      <c r="H243" s="116"/>
    </row>
    <row r="244" spans="1:8" s="2" customFormat="1" ht="15.75" customHeight="1" x14ac:dyDescent="0.35">
      <c r="A244" s="106" t="s">
        <v>201</v>
      </c>
      <c r="B244" s="106"/>
      <c r="C244" s="22" t="s">
        <v>205</v>
      </c>
      <c r="D244" s="22">
        <f>((3.65*2.75+1.2*1.2+1.5*2.25+0.9*2.4+0.9*1.2+2.4*3+1.2*0.9+2.1*1.2)+(2.9*1+2.47*1+3.15*1))*10.764</f>
        <v>402.70814999999999</v>
      </c>
      <c r="E244" s="22">
        <v>0</v>
      </c>
      <c r="F244" s="22">
        <f t="shared" si="10"/>
        <v>604.06222500000001</v>
      </c>
      <c r="G244" s="115"/>
      <c r="H244" s="116"/>
    </row>
    <row r="245" spans="1:8" s="2" customFormat="1" ht="15.75" customHeight="1" x14ac:dyDescent="0.35">
      <c r="A245" s="106" t="s">
        <v>209</v>
      </c>
      <c r="B245" s="106"/>
      <c r="C245" s="22" t="s">
        <v>205</v>
      </c>
      <c r="D245" s="22">
        <f>((4.3*2.75+0.9*2.4+0.9*1.2+1.5*2.25+2.4*3+2.1*1.2+1.2*0.9)+(2.475*1+3.225*1))*10.764</f>
        <v>376.09415999999993</v>
      </c>
      <c r="E245" s="22">
        <v>0</v>
      </c>
      <c r="F245" s="22">
        <f t="shared" si="10"/>
        <v>564.14123999999993</v>
      </c>
      <c r="G245" s="115"/>
      <c r="H245" s="116"/>
    </row>
    <row r="246" spans="1:8" s="2" customFormat="1" ht="15.75" customHeight="1" x14ac:dyDescent="0.35">
      <c r="A246" s="106" t="s">
        <v>210</v>
      </c>
      <c r="B246" s="106"/>
      <c r="C246" s="22" t="s">
        <v>205</v>
      </c>
      <c r="D246" s="22">
        <f>((4.3*2.75+0.9*2.4+0.9*1.2+1.5*2.25+2.4*3+2.1*1.2+1.2*0.9)+(2.475*1+3.225*1))*10.764</f>
        <v>376.09415999999993</v>
      </c>
      <c r="E246" s="22">
        <v>0</v>
      </c>
      <c r="F246" s="22">
        <f t="shared" si="10"/>
        <v>564.14123999999993</v>
      </c>
      <c r="G246" s="115"/>
      <c r="H246" s="116"/>
    </row>
    <row r="247" spans="1:8" s="2" customFormat="1" ht="15.75" customHeight="1" x14ac:dyDescent="0.35">
      <c r="A247" s="106" t="s">
        <v>211</v>
      </c>
      <c r="B247" s="106"/>
      <c r="C247" s="22" t="s">
        <v>169</v>
      </c>
      <c r="D247" s="22">
        <f>((4.25*3.8+2.45*3.05+2.9*1.66+2.35*0.9+2.2*2.9+3.25*2.9+3.05*2.75+2.65*2.9+3.2*0.9+1.2*2.1+1.2*2.1+1.2*2.1)+(3.125*1+3.125*1+3.15*1))*10.764</f>
        <v>885.54351599999984</v>
      </c>
      <c r="E247" s="22">
        <v>0</v>
      </c>
      <c r="F247" s="22">
        <f t="shared" si="10"/>
        <v>1328.3152739999998</v>
      </c>
      <c r="G247" s="115"/>
      <c r="H247" s="116"/>
    </row>
    <row r="248" spans="1:8" s="2" customFormat="1" ht="15.75" customHeight="1" x14ac:dyDescent="0.35">
      <c r="A248" s="106" t="s">
        <v>212</v>
      </c>
      <c r="B248" s="106"/>
      <c r="C248" s="22" t="s">
        <v>205</v>
      </c>
      <c r="D248" s="22">
        <f>((4.3*2.75+1.5*2.25+0.9*2.4+0.9*1.2+2.4*3+1.2*0.9+2.1*1.2)+(2.475*1+3.15*1))*10.764</f>
        <v>375.28685999999993</v>
      </c>
      <c r="E248" s="22">
        <v>0</v>
      </c>
      <c r="F248" s="22">
        <f t="shared" si="10"/>
        <v>562.9302899999999</v>
      </c>
      <c r="G248" s="115"/>
      <c r="H248" s="116"/>
    </row>
    <row r="249" spans="1:8" s="2" customFormat="1" ht="15.75" customHeight="1" x14ac:dyDescent="0.35">
      <c r="A249" s="106" t="s">
        <v>213</v>
      </c>
      <c r="B249" s="106"/>
      <c r="C249" s="22" t="s">
        <v>205</v>
      </c>
      <c r="D249" s="22">
        <f>((4.3*2.75+1.5*2.25+0.9*2.4+0.9*1.2+2.4*3+1.2*0.9+2.1*1.2)+(2.475*1+3.15*1))*10.764</f>
        <v>375.28685999999993</v>
      </c>
      <c r="E249" s="22">
        <v>0</v>
      </c>
      <c r="F249" s="22">
        <f t="shared" si="10"/>
        <v>562.9302899999999</v>
      </c>
      <c r="G249" s="117"/>
      <c r="H249" s="118"/>
    </row>
    <row r="250" spans="1:8" s="2" customFormat="1" x14ac:dyDescent="0.35">
      <c r="A250" s="110" t="s">
        <v>203</v>
      </c>
      <c r="B250" s="111"/>
      <c r="C250" s="111"/>
      <c r="D250" s="111"/>
      <c r="E250" s="111"/>
      <c r="F250" s="111"/>
      <c r="G250" s="111"/>
      <c r="H250" s="112"/>
    </row>
    <row r="251" spans="1:8" s="2" customFormat="1" x14ac:dyDescent="0.35">
      <c r="A251" s="106">
        <v>801</v>
      </c>
      <c r="B251" s="106"/>
      <c r="C251" s="22" t="s">
        <v>205</v>
      </c>
      <c r="D251" s="22">
        <f>((2.75*3.55+0.9*2.5+2.25*1.5+2.75*2.4+1.2*0.9+1.2*1.5)+(2.9*1+2.4*1+2.975*1))*10.764</f>
        <v>356.74586999999997</v>
      </c>
      <c r="E251" s="22">
        <v>0</v>
      </c>
      <c r="F251" s="22">
        <f t="shared" si="10"/>
        <v>535.11880499999995</v>
      </c>
      <c r="G251" s="113" t="str">
        <f>A250</f>
        <v xml:space="preserve">8th Floor </v>
      </c>
      <c r="H251" s="114"/>
    </row>
    <row r="252" spans="1:8" s="2" customFormat="1" x14ac:dyDescent="0.35">
      <c r="A252" s="106">
        <v>802</v>
      </c>
      <c r="B252" s="106"/>
      <c r="C252" s="22" t="s">
        <v>204</v>
      </c>
      <c r="D252" s="22">
        <f>((2.75*3.745+2.4*2.55+6.65*0.9+3*2.27+3.95*1.45+2.75*2.4+1.2*2.1+2.07*1.3+2.1*1.3)+(2.9*1+2.4*1+2.97*1))*10.764</f>
        <v>621.645219</v>
      </c>
      <c r="E252" s="22">
        <v>0</v>
      </c>
      <c r="F252" s="22">
        <f t="shared" si="10"/>
        <v>932.4678285</v>
      </c>
      <c r="G252" s="115"/>
      <c r="H252" s="116"/>
    </row>
    <row r="253" spans="1:8" s="2" customFormat="1" x14ac:dyDescent="0.35">
      <c r="A253" s="106">
        <v>803</v>
      </c>
      <c r="B253" s="106"/>
      <c r="C253" s="22" t="s">
        <v>204</v>
      </c>
      <c r="D253" s="22">
        <f>((2.75*3.745+2.4*2.55+6.65*0.9+3*2.27+3.95*1.45+2.75*2.4+1.2*2.1+2.07*1.3+2.1*1.3)+(2.9*1+2.4*1+2.97*1))*10.764</f>
        <v>621.645219</v>
      </c>
      <c r="E253" s="22">
        <v>0</v>
      </c>
      <c r="F253" s="22">
        <f t="shared" si="10"/>
        <v>932.4678285</v>
      </c>
      <c r="G253" s="115"/>
      <c r="H253" s="116"/>
    </row>
    <row r="254" spans="1:8" s="2" customFormat="1" x14ac:dyDescent="0.35">
      <c r="A254" s="106">
        <v>804</v>
      </c>
      <c r="B254" s="106"/>
      <c r="C254" s="22" t="s">
        <v>205</v>
      </c>
      <c r="D254" s="22">
        <f>((2.75*3.55+1.2*1.65+2.25*1.5+2.4*0.9+1.2*0.9+2.75*2.4+0.9*1.2+1.2*1.5)+(2.9*1+2.4*1+2.9*1))*10.764</f>
        <v>387.90764999999999</v>
      </c>
      <c r="E254" s="22">
        <v>0</v>
      </c>
      <c r="F254" s="22">
        <f t="shared" si="10"/>
        <v>581.86147499999993</v>
      </c>
      <c r="G254" s="115"/>
      <c r="H254" s="116"/>
    </row>
    <row r="255" spans="1:8" s="2" customFormat="1" x14ac:dyDescent="0.35">
      <c r="A255" s="106">
        <v>805</v>
      </c>
      <c r="B255" s="106"/>
      <c r="C255" s="107" t="s">
        <v>215</v>
      </c>
      <c r="D255" s="108"/>
      <c r="E255" s="108"/>
      <c r="F255" s="109"/>
      <c r="G255" s="115"/>
      <c r="H255" s="116"/>
    </row>
    <row r="256" spans="1:8" s="2" customFormat="1" x14ac:dyDescent="0.35">
      <c r="A256" s="106">
        <v>806</v>
      </c>
      <c r="B256" s="106"/>
      <c r="C256" s="22" t="s">
        <v>169</v>
      </c>
      <c r="D256" s="53">
        <f>((3.35*3.85+1.2*1.35+2.55*2.75+2.55*0.9+2.4*3.65+2.4*3.4+2.6*3.55+1.65*1.2+1.2*1.05+1.2*2.35+1.2*2.1)+(3.55*1+3.875*1+3.42*1+2.85+0.75*9))*10.764</f>
        <v>850.35599999999999</v>
      </c>
      <c r="E256" s="22">
        <v>0</v>
      </c>
      <c r="F256" s="22">
        <f t="shared" si="10"/>
        <v>1275.5340000000001</v>
      </c>
      <c r="G256" s="115"/>
      <c r="H256" s="116"/>
    </row>
    <row r="257" spans="1:8" s="2" customFormat="1" x14ac:dyDescent="0.35">
      <c r="A257" s="106">
        <v>807</v>
      </c>
      <c r="B257" s="106"/>
      <c r="C257" s="22" t="s">
        <v>205</v>
      </c>
      <c r="D257" s="22">
        <f>((3.65*2.75+1.2*1.2+1.5*2.25+0.9*2.4+0.9*1.2+2.4*3+1.2*0.9+2.1*1.2)+(2.9*1+2.47*1+3.15*1))*10.764</f>
        <v>402.70814999999999</v>
      </c>
      <c r="E257" s="22">
        <v>0</v>
      </c>
      <c r="F257" s="22">
        <f t="shared" si="10"/>
        <v>604.06222500000001</v>
      </c>
      <c r="G257" s="115"/>
      <c r="H257" s="116"/>
    </row>
    <row r="258" spans="1:8" s="2" customFormat="1" x14ac:dyDescent="0.35">
      <c r="A258" s="106">
        <v>808</v>
      </c>
      <c r="B258" s="106"/>
      <c r="C258" s="22" t="s">
        <v>205</v>
      </c>
      <c r="D258" s="22">
        <f>((4.3*2.75+0.9*2.4+0.9*1.2+1.5*2.25+2.4*3+2.1*1.2+1.2*0.9)+(2.475*1+3.225*1))*10.764</f>
        <v>376.09415999999993</v>
      </c>
      <c r="E258" s="22">
        <v>0</v>
      </c>
      <c r="F258" s="22">
        <f t="shared" si="10"/>
        <v>564.14123999999993</v>
      </c>
      <c r="G258" s="115"/>
      <c r="H258" s="116"/>
    </row>
    <row r="259" spans="1:8" s="2" customFormat="1" x14ac:dyDescent="0.35">
      <c r="A259" s="106">
        <v>809</v>
      </c>
      <c r="B259" s="106"/>
      <c r="C259" s="22" t="s">
        <v>205</v>
      </c>
      <c r="D259" s="22">
        <f>((4.3*2.75+0.9*2.4+0.9*1.2+1.5*2.25+2.4*3+2.1*1.2+1.2*0.9)+(2.475*1+3.225*1))*10.764</f>
        <v>376.09415999999993</v>
      </c>
      <c r="E259" s="22">
        <v>0</v>
      </c>
      <c r="F259" s="22">
        <f t="shared" si="10"/>
        <v>564.14123999999993</v>
      </c>
      <c r="G259" s="115"/>
      <c r="H259" s="116"/>
    </row>
    <row r="260" spans="1:8" s="2" customFormat="1" x14ac:dyDescent="0.35">
      <c r="A260" s="106">
        <v>810</v>
      </c>
      <c r="B260" s="106"/>
      <c r="C260" s="22" t="s">
        <v>169</v>
      </c>
      <c r="D260" s="22">
        <f>((4.25*3.8+2.45*3.05+2.9*1.66+2.35*0.9+2.2*2.9+3.25*2.9+3.05*2.75+2.65*2.9+3.2*0.9+1.2*2.1+1.2*2.1+1.2*2.1)+(3.125*1+3.125*1+3.15*1))*10.764</f>
        <v>885.54351599999984</v>
      </c>
      <c r="E260" s="22">
        <v>0</v>
      </c>
      <c r="F260" s="22">
        <f t="shared" si="10"/>
        <v>1328.3152739999998</v>
      </c>
      <c r="G260" s="115"/>
      <c r="H260" s="116"/>
    </row>
    <row r="261" spans="1:8" s="2" customFormat="1" x14ac:dyDescent="0.35">
      <c r="A261" s="106">
        <v>811</v>
      </c>
      <c r="B261" s="106"/>
      <c r="C261" s="22" t="s">
        <v>205</v>
      </c>
      <c r="D261" s="22">
        <f>((4.3*2.75+1.5*2.25+0.9*2.4+0.9*1.2+2.4*3+1.2*0.9+2.1*1.2)+(2.475*1+3.15*1))*10.764</f>
        <v>375.28685999999993</v>
      </c>
      <c r="E261" s="22">
        <v>0</v>
      </c>
      <c r="F261" s="22">
        <f t="shared" si="10"/>
        <v>562.9302899999999</v>
      </c>
      <c r="G261" s="115"/>
      <c r="H261" s="116"/>
    </row>
    <row r="262" spans="1:8" s="2" customFormat="1" x14ac:dyDescent="0.35">
      <c r="A262" s="106">
        <v>812</v>
      </c>
      <c r="B262" s="106"/>
      <c r="C262" s="22" t="s">
        <v>205</v>
      </c>
      <c r="D262" s="22">
        <f>((4.3*2.75+1.5*2.25+0.9*2.4+0.9*1.2+2.4*3+1.2*0.9+2.1*1.2)+(2.475*1+3.15*1))*10.764</f>
        <v>375.28685999999993</v>
      </c>
      <c r="E262" s="22">
        <v>0</v>
      </c>
      <c r="F262" s="22">
        <f t="shared" si="10"/>
        <v>562.9302899999999</v>
      </c>
      <c r="G262" s="117"/>
      <c r="H262" s="118"/>
    </row>
    <row r="263" spans="1:8" x14ac:dyDescent="0.35">
      <c r="A263" s="104" t="s">
        <v>88</v>
      </c>
      <c r="B263" s="104"/>
      <c r="C263" s="104"/>
      <c r="D263" s="104"/>
      <c r="E263" s="104"/>
      <c r="F263" s="104"/>
      <c r="G263" s="104"/>
      <c r="H263" s="104"/>
    </row>
    <row r="264" spans="1:8" ht="113.25" customHeight="1" x14ac:dyDescent="0.35">
      <c r="A264" s="105" t="s">
        <v>227</v>
      </c>
      <c r="B264" s="105"/>
      <c r="C264" s="105"/>
      <c r="D264" s="105"/>
      <c r="E264" s="105"/>
      <c r="F264" s="105"/>
      <c r="G264" s="105"/>
      <c r="H264" s="105"/>
    </row>
    <row r="265" spans="1:8" x14ac:dyDescent="0.35">
      <c r="A265" s="102" t="s">
        <v>79</v>
      </c>
      <c r="B265" s="102"/>
      <c r="C265" s="102"/>
      <c r="D265" s="102"/>
      <c r="E265" s="102"/>
      <c r="F265" s="102"/>
      <c r="G265" s="102"/>
      <c r="H265" s="102"/>
    </row>
    <row r="266" spans="1:8" x14ac:dyDescent="0.35">
      <c r="A266" s="101" t="s">
        <v>80</v>
      </c>
      <c r="B266" s="101"/>
      <c r="C266" s="101"/>
      <c r="D266" s="101"/>
      <c r="E266" s="101"/>
      <c r="F266" s="101"/>
      <c r="G266" s="101"/>
      <c r="H266" s="101"/>
    </row>
    <row r="267" spans="1:8" x14ac:dyDescent="0.35">
      <c r="A267" s="102" t="s">
        <v>81</v>
      </c>
      <c r="B267" s="102"/>
      <c r="C267" s="102"/>
      <c r="D267" s="102"/>
      <c r="E267" s="102"/>
      <c r="F267" s="102"/>
      <c r="G267" s="102"/>
      <c r="H267" s="102"/>
    </row>
    <row r="268" spans="1:8" ht="18.75" customHeight="1" x14ac:dyDescent="0.35">
      <c r="A268" s="101" t="s">
        <v>82</v>
      </c>
      <c r="B268" s="101"/>
      <c r="C268" s="101"/>
      <c r="D268" s="101"/>
      <c r="E268" s="101"/>
      <c r="F268" s="101"/>
      <c r="G268" s="101"/>
      <c r="H268" s="101"/>
    </row>
    <row r="269" spans="1:8" x14ac:dyDescent="0.35">
      <c r="A269" s="101" t="s">
        <v>83</v>
      </c>
      <c r="B269" s="101"/>
      <c r="C269" s="101"/>
      <c r="D269" s="101"/>
      <c r="E269" s="101"/>
      <c r="F269" s="101"/>
      <c r="G269" s="101"/>
      <c r="H269" s="101"/>
    </row>
    <row r="270" spans="1:8" x14ac:dyDescent="0.35">
      <c r="A270" s="101" t="s">
        <v>84</v>
      </c>
      <c r="B270" s="101"/>
      <c r="C270" s="101"/>
      <c r="D270" s="101"/>
      <c r="E270" s="101"/>
      <c r="F270" s="101"/>
      <c r="G270" s="101"/>
      <c r="H270" s="101"/>
    </row>
    <row r="271" spans="1:8" x14ac:dyDescent="0.35">
      <c r="A271" s="103" t="s">
        <v>85</v>
      </c>
      <c r="B271" s="103"/>
      <c r="C271" s="103"/>
      <c r="D271" s="103"/>
      <c r="E271" s="103"/>
      <c r="F271" s="103"/>
      <c r="G271" s="103"/>
      <c r="H271" s="103"/>
    </row>
    <row r="272" spans="1:8" x14ac:dyDescent="0.35">
      <c r="A272" s="91" t="s">
        <v>123</v>
      </c>
      <c r="B272" s="91"/>
      <c r="C272" s="91" t="s">
        <v>225</v>
      </c>
      <c r="D272" s="91"/>
      <c r="E272" s="91" t="s">
        <v>163</v>
      </c>
      <c r="F272" s="91"/>
      <c r="G272" s="91" t="s">
        <v>226</v>
      </c>
      <c r="H272" s="91"/>
    </row>
    <row r="273" spans="1:8" ht="15.75" customHeight="1" x14ac:dyDescent="0.35">
      <c r="A273" s="92" t="s">
        <v>126</v>
      </c>
      <c r="B273" s="93"/>
      <c r="C273" s="93"/>
      <c r="D273" s="93"/>
      <c r="E273" s="93"/>
      <c r="F273" s="93"/>
      <c r="G273" s="93"/>
      <c r="H273" s="94"/>
    </row>
    <row r="274" spans="1:8" x14ac:dyDescent="0.35">
      <c r="A274" s="95"/>
      <c r="B274" s="96"/>
      <c r="C274" s="96"/>
      <c r="D274" s="96"/>
      <c r="E274" s="96"/>
      <c r="F274" s="96"/>
      <c r="G274" s="96"/>
      <c r="H274" s="97"/>
    </row>
    <row r="275" spans="1:8" x14ac:dyDescent="0.35">
      <c r="A275" s="95"/>
      <c r="B275" s="96"/>
      <c r="C275" s="96"/>
      <c r="D275" s="96"/>
      <c r="E275" s="96"/>
      <c r="F275" s="96"/>
      <c r="G275" s="96"/>
      <c r="H275" s="97"/>
    </row>
    <row r="276" spans="1:8" x14ac:dyDescent="0.35">
      <c r="A276" s="98"/>
      <c r="B276" s="99"/>
      <c r="C276" s="99"/>
      <c r="D276" s="99"/>
      <c r="E276" s="99"/>
      <c r="F276" s="99"/>
      <c r="G276" s="99"/>
      <c r="H276" s="100"/>
    </row>
    <row r="277" spans="1:8" ht="15" customHeight="1" x14ac:dyDescent="0.35">
      <c r="A277" s="17" t="s">
        <v>86</v>
      </c>
      <c r="B277" s="18"/>
      <c r="C277" s="18"/>
      <c r="D277" s="17" t="str">
        <f>E8</f>
        <v>Vrindavan Flora Gulmohar &amp; Jasmine</v>
      </c>
      <c r="F277" s="18"/>
      <c r="G277" s="18"/>
      <c r="H277" s="18"/>
    </row>
    <row r="278" spans="1:8" x14ac:dyDescent="0.35">
      <c r="A278" s="18"/>
      <c r="B278" s="18"/>
      <c r="C278" s="18"/>
      <c r="D278" s="18"/>
      <c r="E278" s="18"/>
      <c r="F278" s="18"/>
      <c r="G278" s="18"/>
      <c r="H278" s="18"/>
    </row>
    <row r="279" spans="1:8" x14ac:dyDescent="0.35">
      <c r="A279" s="18"/>
      <c r="B279" s="18"/>
      <c r="C279" s="18"/>
      <c r="D279" s="18"/>
      <c r="E279" s="18"/>
      <c r="F279" s="18"/>
      <c r="G279" s="18"/>
      <c r="H279" s="18"/>
    </row>
    <row r="321" spans="1:1" x14ac:dyDescent="0.35">
      <c r="A321" s="20" t="s">
        <v>87</v>
      </c>
    </row>
  </sheetData>
  <mergeCells count="396">
    <mergeCell ref="A90:E90"/>
    <mergeCell ref="F90:H90"/>
    <mergeCell ref="A91:E91"/>
    <mergeCell ref="F91:H91"/>
    <mergeCell ref="A92:E92"/>
    <mergeCell ref="F92:H92"/>
    <mergeCell ref="A35:B35"/>
    <mergeCell ref="E35:F35"/>
    <mergeCell ref="C35:D35"/>
    <mergeCell ref="G35:H35"/>
    <mergeCell ref="A46:B47"/>
    <mergeCell ref="G46:H46"/>
    <mergeCell ref="D52:H52"/>
    <mergeCell ref="A52:C52"/>
    <mergeCell ref="A53:C53"/>
    <mergeCell ref="D53:H53"/>
    <mergeCell ref="A51:C51"/>
    <mergeCell ref="D51:H51"/>
    <mergeCell ref="D50:H50"/>
    <mergeCell ref="G62:H68"/>
    <mergeCell ref="A57:C57"/>
    <mergeCell ref="D57:H57"/>
    <mergeCell ref="A85:E85"/>
    <mergeCell ref="F85:H85"/>
    <mergeCell ref="A86:E86"/>
    <mergeCell ref="F86:H86"/>
    <mergeCell ref="A60:B60"/>
    <mergeCell ref="A69:H69"/>
    <mergeCell ref="A87:E87"/>
    <mergeCell ref="F87:H87"/>
    <mergeCell ref="A88:E88"/>
    <mergeCell ref="F88:H88"/>
    <mergeCell ref="A89:E89"/>
    <mergeCell ref="F89:H89"/>
    <mergeCell ref="A65:B65"/>
    <mergeCell ref="A66:B66"/>
    <mergeCell ref="A67:B67"/>
    <mergeCell ref="C60:H60"/>
    <mergeCell ref="A61:B61"/>
    <mergeCell ref="A62:B62"/>
    <mergeCell ref="A63:B63"/>
    <mergeCell ref="A64:B64"/>
    <mergeCell ref="A68:B68"/>
    <mergeCell ref="E61:F61"/>
    <mergeCell ref="G61:H61"/>
    <mergeCell ref="A80:H80"/>
    <mergeCell ref="A83:H83"/>
    <mergeCell ref="A84:E84"/>
    <mergeCell ref="F30:H30"/>
    <mergeCell ref="F31:H31"/>
    <mergeCell ref="C29:E29"/>
    <mergeCell ref="F32:H32"/>
    <mergeCell ref="F33:H33"/>
    <mergeCell ref="F29:H29"/>
    <mergeCell ref="A30:B30"/>
    <mergeCell ref="C30:E30"/>
    <mergeCell ref="A31:B31"/>
    <mergeCell ref="C31:E31"/>
    <mergeCell ref="A32:B32"/>
    <mergeCell ref="C32:E32"/>
    <mergeCell ref="C33:E33"/>
    <mergeCell ref="A29:B29"/>
    <mergeCell ref="A44:B44"/>
    <mergeCell ref="C44:E44"/>
    <mergeCell ref="A39:D39"/>
    <mergeCell ref="E39:H39"/>
    <mergeCell ref="A273:H276"/>
    <mergeCell ref="A272:B272"/>
    <mergeCell ref="E272:F272"/>
    <mergeCell ref="C272:D272"/>
    <mergeCell ref="G272:H272"/>
    <mergeCell ref="A95:H95"/>
    <mergeCell ref="A93:E93"/>
    <mergeCell ref="F93:H93"/>
    <mergeCell ref="A94:E94"/>
    <mergeCell ref="F94:H94"/>
    <mergeCell ref="D100:E100"/>
    <mergeCell ref="F100:H100"/>
    <mergeCell ref="A107:B107"/>
    <mergeCell ref="A108:H108"/>
    <mergeCell ref="A100:B100"/>
    <mergeCell ref="A128:B128"/>
    <mergeCell ref="A129:B129"/>
    <mergeCell ref="A133:B133"/>
    <mergeCell ref="A130:B130"/>
    <mergeCell ref="A131:B131"/>
    <mergeCell ref="A132:B132"/>
    <mergeCell ref="G128:H134"/>
    <mergeCell ref="A239:B239"/>
    <mergeCell ref="G236:H236"/>
    <mergeCell ref="A105:H105"/>
    <mergeCell ref="A99:B99"/>
    <mergeCell ref="D99:E99"/>
    <mergeCell ref="G107:H107"/>
    <mergeCell ref="A16:B16"/>
    <mergeCell ref="C16:D16"/>
    <mergeCell ref="E16:F16"/>
    <mergeCell ref="G16:H16"/>
    <mergeCell ref="A26:D26"/>
    <mergeCell ref="E26:H26"/>
    <mergeCell ref="A38:D38"/>
    <mergeCell ref="E38:H38"/>
    <mergeCell ref="A27:D27"/>
    <mergeCell ref="E27:H27"/>
    <mergeCell ref="A34:H34"/>
    <mergeCell ref="A33:B33"/>
    <mergeCell ref="A28:D28"/>
    <mergeCell ref="E28:H28"/>
    <mergeCell ref="A36:H36"/>
    <mergeCell ref="A37:D37"/>
    <mergeCell ref="E37:H37"/>
    <mergeCell ref="G44:H44"/>
    <mergeCell ref="G45:H45"/>
    <mergeCell ref="A45:B45"/>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E40:H40"/>
    <mergeCell ref="E41:H41"/>
    <mergeCell ref="E42:H42"/>
    <mergeCell ref="A40:D40"/>
    <mergeCell ref="A41:D41"/>
    <mergeCell ref="A42:D42"/>
    <mergeCell ref="A43:H43"/>
    <mergeCell ref="A82:B82"/>
    <mergeCell ref="C82:H82"/>
    <mergeCell ref="E62:F68"/>
    <mergeCell ref="A71:B71"/>
    <mergeCell ref="C71:H71"/>
    <mergeCell ref="A72:B72"/>
    <mergeCell ref="E72:F72"/>
    <mergeCell ref="G72:H72"/>
    <mergeCell ref="A73:B73"/>
    <mergeCell ref="E73:F79"/>
    <mergeCell ref="G73:H79"/>
    <mergeCell ref="A74:B74"/>
    <mergeCell ref="A75:B75"/>
    <mergeCell ref="A76:B76"/>
    <mergeCell ref="A77:B77"/>
    <mergeCell ref="A78:B78"/>
    <mergeCell ref="A79:B79"/>
    <mergeCell ref="C45:E45"/>
    <mergeCell ref="C46:E46"/>
    <mergeCell ref="G48:H48"/>
    <mergeCell ref="A48:B48"/>
    <mergeCell ref="C48:E48"/>
    <mergeCell ref="A54:C54"/>
    <mergeCell ref="A55:C55"/>
    <mergeCell ref="D54:H54"/>
    <mergeCell ref="D55:H55"/>
    <mergeCell ref="A267:H267"/>
    <mergeCell ref="A268:H268"/>
    <mergeCell ref="A269:H269"/>
    <mergeCell ref="A270:H270"/>
    <mergeCell ref="A271:H271"/>
    <mergeCell ref="A56:C56"/>
    <mergeCell ref="D56:H56"/>
    <mergeCell ref="A263:H263"/>
    <mergeCell ref="A264:H264"/>
    <mergeCell ref="A265:H265"/>
    <mergeCell ref="A266:H266"/>
    <mergeCell ref="A230:B230"/>
    <mergeCell ref="A231:B231"/>
    <mergeCell ref="A106:H106"/>
    <mergeCell ref="A248:B248"/>
    <mergeCell ref="A249:B249"/>
    <mergeCell ref="A251:B251"/>
    <mergeCell ref="A252:B252"/>
    <mergeCell ref="A243:B243"/>
    <mergeCell ref="A244:B244"/>
    <mergeCell ref="A245:B245"/>
    <mergeCell ref="D96:E96"/>
    <mergeCell ref="F96:H96"/>
    <mergeCell ref="A97:B97"/>
    <mergeCell ref="A153:B153"/>
    <mergeCell ref="A154:B154"/>
    <mergeCell ref="A240:B240"/>
    <mergeCell ref="A241:B241"/>
    <mergeCell ref="A242:B242"/>
    <mergeCell ref="A254:B254"/>
    <mergeCell ref="A255:B255"/>
    <mergeCell ref="A256:B256"/>
    <mergeCell ref="A253:B253"/>
    <mergeCell ref="A236:B236"/>
    <mergeCell ref="A246:B246"/>
    <mergeCell ref="A247:B247"/>
    <mergeCell ref="A225:B225"/>
    <mergeCell ref="A238:B238"/>
    <mergeCell ref="A232:B232"/>
    <mergeCell ref="A233:B233"/>
    <mergeCell ref="A234:B234"/>
    <mergeCell ref="A157:B157"/>
    <mergeCell ref="A158:B158"/>
    <mergeCell ref="A159:B159"/>
    <mergeCell ref="A224:B224"/>
    <mergeCell ref="A155:B155"/>
    <mergeCell ref="A170:B170"/>
    <mergeCell ref="A171:B171"/>
    <mergeCell ref="A172:B172"/>
    <mergeCell ref="A173:B173"/>
    <mergeCell ref="A174:B174"/>
    <mergeCell ref="A193:B193"/>
    <mergeCell ref="A194:B194"/>
    <mergeCell ref="A175:B175"/>
    <mergeCell ref="A176:B176"/>
    <mergeCell ref="A177:B177"/>
    <mergeCell ref="A178:B178"/>
    <mergeCell ref="A183:B183"/>
    <mergeCell ref="A184:B184"/>
    <mergeCell ref="A185:B185"/>
    <mergeCell ref="A179:H179"/>
    <mergeCell ref="A181:H181"/>
    <mergeCell ref="A180:H180"/>
    <mergeCell ref="A182:H182"/>
    <mergeCell ref="G183:H194"/>
    <mergeCell ref="A186:B186"/>
    <mergeCell ref="A187:B187"/>
    <mergeCell ref="A188:B188"/>
    <mergeCell ref="A189:B189"/>
    <mergeCell ref="A190:B190"/>
    <mergeCell ref="A191:B191"/>
    <mergeCell ref="A221:H221"/>
    <mergeCell ref="C47:H47"/>
    <mergeCell ref="A109:H109"/>
    <mergeCell ref="A119:H119"/>
    <mergeCell ref="A110:H110"/>
    <mergeCell ref="A111:H111"/>
    <mergeCell ref="A118:B118"/>
    <mergeCell ref="A127:H127"/>
    <mergeCell ref="G120:H126"/>
    <mergeCell ref="F99:H99"/>
    <mergeCell ref="A96:B96"/>
    <mergeCell ref="A49:H49"/>
    <mergeCell ref="A50:C50"/>
    <mergeCell ref="D97:E97"/>
    <mergeCell ref="F97:H97"/>
    <mergeCell ref="A98:H98"/>
    <mergeCell ref="A58:H58"/>
    <mergeCell ref="A120:B120"/>
    <mergeCell ref="A121:B121"/>
    <mergeCell ref="A122:B122"/>
    <mergeCell ref="A123:B123"/>
    <mergeCell ref="A124:B124"/>
    <mergeCell ref="A125:B125"/>
    <mergeCell ref="A126:B126"/>
    <mergeCell ref="F84:H84"/>
    <mergeCell ref="A81:H81"/>
    <mergeCell ref="A166:B166"/>
    <mergeCell ref="A167:B167"/>
    <mergeCell ref="A168:B168"/>
    <mergeCell ref="A169:B169"/>
    <mergeCell ref="G166:H178"/>
    <mergeCell ref="F104:H104"/>
    <mergeCell ref="A101:B101"/>
    <mergeCell ref="D101:E101"/>
    <mergeCell ref="F101:H101"/>
    <mergeCell ref="A102:B102"/>
    <mergeCell ref="D102:E102"/>
    <mergeCell ref="F102:H102"/>
    <mergeCell ref="A103:B103"/>
    <mergeCell ref="D103:E103"/>
    <mergeCell ref="F103:H103"/>
    <mergeCell ref="A143:B143"/>
    <mergeCell ref="A144:B144"/>
    <mergeCell ref="A160:B160"/>
    <mergeCell ref="A161:B161"/>
    <mergeCell ref="C172:F172"/>
    <mergeCell ref="A115:B115"/>
    <mergeCell ref="A116:B116"/>
    <mergeCell ref="A209:B209"/>
    <mergeCell ref="A210:B210"/>
    <mergeCell ref="A211:B211"/>
    <mergeCell ref="A212:B212"/>
    <mergeCell ref="A208:H208"/>
    <mergeCell ref="C211:F211"/>
    <mergeCell ref="G209:H220"/>
    <mergeCell ref="A213:B213"/>
    <mergeCell ref="A214:B214"/>
    <mergeCell ref="A215:B215"/>
    <mergeCell ref="A216:B216"/>
    <mergeCell ref="A217:B217"/>
    <mergeCell ref="A218:B218"/>
    <mergeCell ref="A219:B219"/>
    <mergeCell ref="A220:B220"/>
    <mergeCell ref="A104:B104"/>
    <mergeCell ref="D104:E104"/>
    <mergeCell ref="A135:H135"/>
    <mergeCell ref="A136:H136"/>
    <mergeCell ref="A137:H137"/>
    <mergeCell ref="A151:H151"/>
    <mergeCell ref="G152:H164"/>
    <mergeCell ref="A165:H165"/>
    <mergeCell ref="A138:B138"/>
    <mergeCell ref="A139:B139"/>
    <mergeCell ref="A140:B140"/>
    <mergeCell ref="A141:B141"/>
    <mergeCell ref="A142:B142"/>
    <mergeCell ref="A162:B162"/>
    <mergeCell ref="A163:B163"/>
    <mergeCell ref="A164:B164"/>
    <mergeCell ref="A156:B156"/>
    <mergeCell ref="A149:B149"/>
    <mergeCell ref="A150:B150"/>
    <mergeCell ref="G138:H150"/>
    <mergeCell ref="A112:B112"/>
    <mergeCell ref="A113:B113"/>
    <mergeCell ref="A114:B114"/>
    <mergeCell ref="A152:B152"/>
    <mergeCell ref="C255:F255"/>
    <mergeCell ref="G251:H262"/>
    <mergeCell ref="A260:B260"/>
    <mergeCell ref="A261:B261"/>
    <mergeCell ref="A262:B262"/>
    <mergeCell ref="A222:H222"/>
    <mergeCell ref="A223:H223"/>
    <mergeCell ref="A237:H237"/>
    <mergeCell ref="A250:H250"/>
    <mergeCell ref="A258:B258"/>
    <mergeCell ref="A259:B259"/>
    <mergeCell ref="A235:B235"/>
    <mergeCell ref="A227:B227"/>
    <mergeCell ref="A226:B226"/>
    <mergeCell ref="A228:B228"/>
    <mergeCell ref="A229:B229"/>
    <mergeCell ref="A257:B257"/>
    <mergeCell ref="A117:B117"/>
    <mergeCell ref="G112:H118"/>
    <mergeCell ref="A145:B145"/>
    <mergeCell ref="A146:B146"/>
    <mergeCell ref="A147:B147"/>
    <mergeCell ref="A148:B148"/>
    <mergeCell ref="A134:B134"/>
    <mergeCell ref="G224:H235"/>
    <mergeCell ref="G238:H249"/>
    <mergeCell ref="A192:B192"/>
    <mergeCell ref="A195:H195"/>
    <mergeCell ref="G196:H207"/>
    <mergeCell ref="A196:B196"/>
    <mergeCell ref="A197:B197"/>
    <mergeCell ref="A198:B198"/>
    <mergeCell ref="A199:B199"/>
    <mergeCell ref="A200:B200"/>
    <mergeCell ref="A201:B201"/>
    <mergeCell ref="A202:B202"/>
    <mergeCell ref="A203:B203"/>
    <mergeCell ref="A204:B204"/>
    <mergeCell ref="A205:B205"/>
    <mergeCell ref="A206:B206"/>
    <mergeCell ref="A207:B207"/>
  </mergeCells>
  <printOptions horizontalCentered="1"/>
  <pageMargins left="0.39370078740157483" right="0.39370078740157483" top="0.78740157480314965" bottom="0.78740157480314965" header="0.19685039370078741" footer="0.19685039370078741"/>
  <pageSetup orientation="portrait" r:id="rId1"/>
  <headerFooter>
    <oddHeader>&amp;C&amp;G</oddHeader>
    <oddFooter>&amp;L&amp;"Times New Roman,Bold"&amp;12Ref No: &amp;F&amp;R&amp;"Times New Roman,Bold"&amp;12&amp;G                                                              &amp;P</oddFooter>
  </headerFooter>
  <rowBreaks count="2" manualBreakCount="2">
    <brk id="276" max="7" man="1"/>
    <brk id="320"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E3" sqref="E3"/>
    </sheetView>
  </sheetViews>
  <sheetFormatPr defaultRowHeight="14.5" x14ac:dyDescent="0.35"/>
  <cols>
    <col min="2" max="2" width="12.26953125" customWidth="1"/>
  </cols>
  <sheetData>
    <row r="2" spans="1:12" x14ac:dyDescent="0.35">
      <c r="B2" s="3" t="s">
        <v>89</v>
      </c>
      <c r="C2" s="196"/>
      <c r="D2" s="196"/>
    </row>
    <row r="3" spans="1:12" x14ac:dyDescent="0.35">
      <c r="D3" s="4"/>
      <c r="E3" s="4"/>
      <c r="F3" s="4"/>
      <c r="G3" s="4"/>
      <c r="H3" s="4"/>
      <c r="I3" s="4"/>
    </row>
    <row r="4" spans="1:12" x14ac:dyDescent="0.35">
      <c r="A4" s="3" t="s">
        <v>90</v>
      </c>
      <c r="B4" s="5" t="s">
        <v>91</v>
      </c>
      <c r="C4" s="197" t="s">
        <v>92</v>
      </c>
      <c r="D4" s="197"/>
      <c r="E4" s="197"/>
      <c r="F4" s="6"/>
      <c r="G4" s="197" t="s">
        <v>93</v>
      </c>
      <c r="H4" s="197"/>
      <c r="I4" s="197"/>
      <c r="J4" s="197" t="s">
        <v>94</v>
      </c>
      <c r="K4" s="197"/>
      <c r="L4" s="197"/>
    </row>
    <row r="5" spans="1:12" x14ac:dyDescent="0.35">
      <c r="A5" s="3">
        <v>202</v>
      </c>
      <c r="B5" s="5"/>
      <c r="C5" s="5" t="s">
        <v>95</v>
      </c>
      <c r="D5" s="5" t="s">
        <v>96</v>
      </c>
      <c r="E5" s="5" t="s">
        <v>70</v>
      </c>
      <c r="F5" s="5"/>
      <c r="G5" s="5" t="s">
        <v>95</v>
      </c>
      <c r="H5" s="5" t="s">
        <v>96</v>
      </c>
      <c r="I5" s="5" t="s">
        <v>70</v>
      </c>
      <c r="J5" s="5" t="s">
        <v>95</v>
      </c>
      <c r="K5" s="5" t="s">
        <v>96</v>
      </c>
      <c r="L5" s="5" t="s">
        <v>70</v>
      </c>
    </row>
    <row r="6" spans="1:12" x14ac:dyDescent="0.35">
      <c r="B6" s="7" t="s">
        <v>97</v>
      </c>
      <c r="C6" s="7">
        <v>4.5</v>
      </c>
      <c r="D6" s="7">
        <v>2.9</v>
      </c>
      <c r="E6" s="7">
        <f>C6*D6</f>
        <v>13.049999999999999</v>
      </c>
      <c r="F6" s="7" t="s">
        <v>98</v>
      </c>
      <c r="G6" s="7"/>
      <c r="H6" s="7"/>
      <c r="I6" s="7">
        <f>G6*H6</f>
        <v>0</v>
      </c>
      <c r="J6" s="7"/>
      <c r="K6" s="7"/>
      <c r="L6" s="7">
        <f>J6*K6</f>
        <v>0</v>
      </c>
    </row>
    <row r="7" spans="1:12" x14ac:dyDescent="0.35">
      <c r="B7" s="7"/>
      <c r="C7" s="7"/>
      <c r="D7" s="7"/>
      <c r="E7" s="7">
        <f t="shared" ref="E7:E33" si="0">C7*D7</f>
        <v>0</v>
      </c>
      <c r="F7" s="7" t="s">
        <v>99</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100</v>
      </c>
      <c r="C9" s="7">
        <v>1.88</v>
      </c>
      <c r="D9" s="7">
        <v>2.13</v>
      </c>
      <c r="E9" s="7">
        <f t="shared" si="0"/>
        <v>4.0043999999999995</v>
      </c>
      <c r="F9" s="7" t="s">
        <v>98</v>
      </c>
      <c r="G9" s="7"/>
      <c r="H9" s="7"/>
      <c r="I9" s="7">
        <f t="shared" si="1"/>
        <v>0</v>
      </c>
      <c r="J9" s="7"/>
      <c r="K9" s="7"/>
      <c r="L9" s="7">
        <f t="shared" si="2"/>
        <v>0</v>
      </c>
    </row>
    <row r="10" spans="1:12" x14ac:dyDescent="0.35">
      <c r="B10" s="7"/>
      <c r="C10" s="7"/>
      <c r="D10" s="7"/>
      <c r="E10" s="7">
        <f t="shared" si="0"/>
        <v>0</v>
      </c>
      <c r="F10" s="7" t="s">
        <v>99</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101</v>
      </c>
      <c r="C13" s="7"/>
      <c r="D13" s="7"/>
      <c r="E13" s="7">
        <f t="shared" si="0"/>
        <v>0</v>
      </c>
      <c r="F13" s="7" t="s">
        <v>98</v>
      </c>
      <c r="G13" s="7"/>
      <c r="H13" s="7"/>
      <c r="I13" s="7">
        <f t="shared" si="1"/>
        <v>0</v>
      </c>
      <c r="J13" s="7"/>
      <c r="K13" s="7"/>
      <c r="L13" s="7">
        <f t="shared" si="2"/>
        <v>0</v>
      </c>
    </row>
    <row r="14" spans="1:12" x14ac:dyDescent="0.35">
      <c r="B14" s="7"/>
      <c r="C14" s="7"/>
      <c r="D14" s="7"/>
      <c r="E14" s="7">
        <f t="shared" si="0"/>
        <v>0</v>
      </c>
      <c r="F14" s="7" t="s">
        <v>99</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102</v>
      </c>
      <c r="C17" s="7"/>
      <c r="D17" s="7"/>
      <c r="E17" s="7">
        <f t="shared" si="0"/>
        <v>0</v>
      </c>
      <c r="F17" s="7" t="s">
        <v>98</v>
      </c>
      <c r="G17" s="7"/>
      <c r="H17" s="7"/>
      <c r="I17" s="7">
        <f t="shared" si="1"/>
        <v>0</v>
      </c>
      <c r="J17" s="7"/>
      <c r="K17" s="7"/>
      <c r="L17" s="7">
        <f t="shared" si="2"/>
        <v>0</v>
      </c>
    </row>
    <row r="18" spans="2:12" x14ac:dyDescent="0.35">
      <c r="B18" s="7"/>
      <c r="C18" s="7"/>
      <c r="D18" s="7"/>
      <c r="E18" s="7">
        <f t="shared" si="0"/>
        <v>0</v>
      </c>
      <c r="F18" s="7" t="s">
        <v>99</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102</v>
      </c>
      <c r="C20" s="7"/>
      <c r="D20" s="7"/>
      <c r="E20" s="7">
        <f t="shared" si="0"/>
        <v>0</v>
      </c>
      <c r="F20" s="7" t="s">
        <v>98</v>
      </c>
      <c r="G20" s="7"/>
      <c r="H20" s="7"/>
      <c r="I20" s="7">
        <f t="shared" si="1"/>
        <v>0</v>
      </c>
      <c r="J20" s="7"/>
      <c r="K20" s="7"/>
      <c r="L20" s="7">
        <f t="shared" si="2"/>
        <v>0</v>
      </c>
    </row>
    <row r="21" spans="2:12" x14ac:dyDescent="0.35">
      <c r="B21" s="7"/>
      <c r="C21" s="7"/>
      <c r="D21" s="7"/>
      <c r="E21" s="7">
        <f t="shared" si="0"/>
        <v>0</v>
      </c>
      <c r="F21" s="7" t="s">
        <v>99</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103</v>
      </c>
      <c r="C23" s="7">
        <v>1.9</v>
      </c>
      <c r="D23" s="7">
        <v>1.07</v>
      </c>
      <c r="E23" s="7">
        <f t="shared" si="0"/>
        <v>2.0329999999999999</v>
      </c>
      <c r="F23" s="7" t="s">
        <v>104</v>
      </c>
      <c r="G23" s="7"/>
      <c r="H23" s="7"/>
      <c r="I23" s="7">
        <f t="shared" si="1"/>
        <v>0</v>
      </c>
      <c r="J23" s="7"/>
      <c r="K23" s="7"/>
      <c r="L23" s="7">
        <f t="shared" si="2"/>
        <v>0</v>
      </c>
    </row>
    <row r="24" spans="2:12" x14ac:dyDescent="0.35">
      <c r="B24" s="7" t="s">
        <v>105</v>
      </c>
      <c r="C24" s="7"/>
      <c r="D24" s="7"/>
      <c r="E24" s="7">
        <f t="shared" si="0"/>
        <v>0</v>
      </c>
      <c r="F24" s="7" t="s">
        <v>104</v>
      </c>
      <c r="G24" s="7"/>
      <c r="H24" s="7"/>
      <c r="I24" s="7">
        <f t="shared" si="1"/>
        <v>0</v>
      </c>
      <c r="J24" s="7"/>
      <c r="K24" s="7"/>
      <c r="L24" s="7">
        <f t="shared" si="2"/>
        <v>0</v>
      </c>
    </row>
    <row r="25" spans="2:12" x14ac:dyDescent="0.35">
      <c r="B25" s="7" t="s">
        <v>106</v>
      </c>
      <c r="C25" s="7"/>
      <c r="D25" s="7"/>
      <c r="E25" s="7">
        <f t="shared" si="0"/>
        <v>0</v>
      </c>
      <c r="F25" s="7" t="s">
        <v>104</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107</v>
      </c>
      <c r="C27" s="7"/>
      <c r="D27" s="7"/>
      <c r="E27" s="7">
        <f t="shared" si="0"/>
        <v>0</v>
      </c>
      <c r="F27" s="7"/>
      <c r="G27" s="7"/>
      <c r="H27" s="7"/>
      <c r="I27" s="7">
        <f t="shared" si="1"/>
        <v>0</v>
      </c>
      <c r="J27" s="7"/>
      <c r="K27" s="7"/>
      <c r="L27" s="7">
        <f t="shared" si="2"/>
        <v>0</v>
      </c>
    </row>
    <row r="28" spans="2:12" x14ac:dyDescent="0.35">
      <c r="B28" s="7" t="s">
        <v>108</v>
      </c>
      <c r="C28" s="7"/>
      <c r="D28" s="7"/>
      <c r="E28" s="7">
        <f t="shared" si="0"/>
        <v>0</v>
      </c>
      <c r="F28" s="7"/>
      <c r="G28" s="7"/>
      <c r="H28" s="7"/>
      <c r="I28" s="7">
        <f t="shared" si="1"/>
        <v>0</v>
      </c>
      <c r="J28" s="7"/>
      <c r="K28" s="7"/>
      <c r="L28" s="7">
        <f t="shared" si="2"/>
        <v>0</v>
      </c>
    </row>
    <row r="29" spans="2:12" x14ac:dyDescent="0.35">
      <c r="B29" s="7" t="s">
        <v>109</v>
      </c>
      <c r="C29" s="7"/>
      <c r="D29" s="7"/>
      <c r="E29" s="7">
        <f t="shared" si="0"/>
        <v>0</v>
      </c>
      <c r="F29" s="7"/>
      <c r="G29" s="7"/>
      <c r="H29" s="7"/>
      <c r="I29" s="7">
        <f t="shared" si="1"/>
        <v>0</v>
      </c>
      <c r="J29" s="7"/>
      <c r="K29" s="7"/>
      <c r="L29" s="7">
        <f t="shared" si="2"/>
        <v>0</v>
      </c>
    </row>
    <row r="30" spans="2:12" x14ac:dyDescent="0.35">
      <c r="B30" s="7" t="s">
        <v>110</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71</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opLeftCell="A4" zoomScale="85" zoomScaleNormal="85" workbookViewId="0">
      <selection activeCell="L9" sqref="L9"/>
    </sheetView>
  </sheetViews>
  <sheetFormatPr defaultColWidth="8.7265625" defaultRowHeight="14.5" x14ac:dyDescent="0.35"/>
  <cols>
    <col min="1" max="1" width="8.7265625" style="41"/>
    <col min="2" max="2" width="22.1796875" style="41" customWidth="1"/>
    <col min="3" max="3" width="37" style="41" customWidth="1"/>
    <col min="4" max="5" width="11.453125" style="41" customWidth="1"/>
    <col min="6" max="6" width="14" style="41" customWidth="1"/>
    <col min="7" max="7" width="20" style="41" customWidth="1"/>
    <col min="8" max="8" width="16.453125" style="41" customWidth="1"/>
    <col min="9" max="16384" width="8.7265625" style="41"/>
  </cols>
  <sheetData>
    <row r="1" spans="1:9" ht="15" customHeight="1" x14ac:dyDescent="0.35"/>
    <row r="2" spans="1:9" ht="15" customHeight="1" x14ac:dyDescent="0.35">
      <c r="A2" s="42"/>
      <c r="B2" s="42"/>
      <c r="C2" s="42"/>
      <c r="D2" s="42"/>
      <c r="E2" s="42"/>
      <c r="F2" s="42"/>
      <c r="G2" s="42"/>
      <c r="H2" s="42"/>
    </row>
    <row r="3" spans="1:9" ht="15.75" customHeight="1" x14ac:dyDescent="0.35">
      <c r="A3" s="42"/>
      <c r="B3" s="198" t="s">
        <v>164</v>
      </c>
      <c r="C3" s="198"/>
      <c r="D3" s="198"/>
      <c r="E3" s="198"/>
      <c r="F3" s="198"/>
      <c r="G3" s="198"/>
      <c r="H3" s="198"/>
    </row>
    <row r="4" spans="1:9" x14ac:dyDescent="0.35">
      <c r="A4" s="42"/>
      <c r="B4" s="43" t="s">
        <v>165</v>
      </c>
      <c r="C4" s="43" t="s">
        <v>166</v>
      </c>
      <c r="D4" s="43" t="s">
        <v>90</v>
      </c>
      <c r="E4" s="43" t="s">
        <v>167</v>
      </c>
      <c r="F4" s="43" t="s">
        <v>172</v>
      </c>
      <c r="G4" s="43" t="s">
        <v>173</v>
      </c>
      <c r="H4" s="43" t="s">
        <v>168</v>
      </c>
    </row>
    <row r="5" spans="1:9" ht="15" customHeight="1" x14ac:dyDescent="0.35">
      <c r="A5" s="42"/>
      <c r="B5" s="66" t="s">
        <v>257</v>
      </c>
      <c r="C5" s="67" t="s">
        <v>258</v>
      </c>
      <c r="D5" s="66" t="s">
        <v>204</v>
      </c>
      <c r="E5" s="45">
        <v>624</v>
      </c>
      <c r="F5" s="46">
        <v>890</v>
      </c>
      <c r="G5" s="46">
        <f>H5/F5</f>
        <v>4719.1011235955057</v>
      </c>
      <c r="H5" s="68">
        <v>4200000</v>
      </c>
    </row>
    <row r="6" spans="1:9" x14ac:dyDescent="0.35">
      <c r="A6" s="42"/>
      <c r="B6" s="66" t="s">
        <v>257</v>
      </c>
      <c r="C6" s="67" t="s">
        <v>258</v>
      </c>
      <c r="D6" s="66" t="s">
        <v>205</v>
      </c>
      <c r="E6" s="45">
        <v>460</v>
      </c>
      <c r="F6" s="46">
        <v>650</v>
      </c>
      <c r="G6" s="46">
        <f t="shared" ref="G6:G8" si="0">H6/F6</f>
        <v>3846.1538461538462</v>
      </c>
      <c r="H6" s="68">
        <v>2500000</v>
      </c>
    </row>
    <row r="7" spans="1:9" ht="15" customHeight="1" x14ac:dyDescent="0.35">
      <c r="A7" s="42"/>
      <c r="B7" s="66" t="s">
        <v>257</v>
      </c>
      <c r="C7" s="67" t="s">
        <v>258</v>
      </c>
      <c r="D7" s="66" t="s">
        <v>204</v>
      </c>
      <c r="E7" s="45">
        <v>520</v>
      </c>
      <c r="F7" s="46">
        <v>900</v>
      </c>
      <c r="G7" s="46">
        <f t="shared" si="0"/>
        <v>3777.7777777777778</v>
      </c>
      <c r="H7" s="68">
        <v>3400000</v>
      </c>
    </row>
    <row r="8" spans="1:9" x14ac:dyDescent="0.35">
      <c r="A8" s="42"/>
      <c r="B8" s="66" t="s">
        <v>257</v>
      </c>
      <c r="C8" s="67" t="s">
        <v>258</v>
      </c>
      <c r="D8" s="66" t="s">
        <v>205</v>
      </c>
      <c r="E8" s="45">
        <v>450</v>
      </c>
      <c r="F8" s="46">
        <v>610</v>
      </c>
      <c r="G8" s="46">
        <f t="shared" si="0"/>
        <v>3688.5245901639346</v>
      </c>
      <c r="H8" s="68">
        <v>2250000</v>
      </c>
    </row>
    <row r="9" spans="1:9" ht="15" customHeight="1" x14ac:dyDescent="0.35">
      <c r="A9" s="42"/>
      <c r="B9" s="47" t="s">
        <v>170</v>
      </c>
      <c r="C9" s="45"/>
      <c r="D9" s="45"/>
      <c r="E9" s="45"/>
      <c r="F9" s="45"/>
      <c r="G9" s="48">
        <f>AVERAGE(G5:G8)</f>
        <v>4007.8893344227663</v>
      </c>
      <c r="H9" s="45"/>
    </row>
    <row r="10" spans="1:9" ht="15" customHeight="1" x14ac:dyDescent="0.35">
      <c r="B10" s="47" t="s">
        <v>171</v>
      </c>
      <c r="C10" s="66"/>
      <c r="D10" s="66"/>
      <c r="E10" s="66"/>
      <c r="F10" s="49"/>
      <c r="G10" s="47">
        <v>4000</v>
      </c>
      <c r="H10" s="47"/>
      <c r="I10" s="44"/>
    </row>
    <row r="11" spans="1:9" ht="15" customHeight="1" x14ac:dyDescent="0.35"/>
    <row r="12" spans="1:9" ht="15" customHeight="1" x14ac:dyDescent="0.35"/>
    <row r="13" spans="1:9" ht="15" customHeight="1" x14ac:dyDescent="0.3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Gulmohar</vt:lpstr>
      <vt:lpstr>Report J &amp; G</vt:lpstr>
      <vt:lpstr>Flat detail</vt:lpstr>
      <vt:lpstr>Note</vt:lpstr>
      <vt:lpstr>valuation</vt:lpstr>
      <vt:lpstr>Gulmohar!Print_Area</vt:lpstr>
      <vt:lpstr>'Report J &amp; 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2025-03-11T10:38:20Z</cp:lastPrinted>
  <dcterms:created xsi:type="dcterms:W3CDTF">2019-07-16T09:29:46Z</dcterms:created>
  <dcterms:modified xsi:type="dcterms:W3CDTF">2025-09-11T09:26:40Z</dcterms:modified>
</cp:coreProperties>
</file>