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1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1" l="1"/>
  <c r="J113" i="1" l="1"/>
  <c r="D180" i="1"/>
  <c r="D173" i="1"/>
  <c r="D183" i="1" l="1"/>
  <c r="F183" i="1" s="1"/>
  <c r="D182" i="1"/>
  <c r="D181" i="1"/>
  <c r="F181" i="1" s="1"/>
  <c r="F180" i="1"/>
  <c r="D179" i="1"/>
  <c r="F179" i="1" s="1"/>
  <c r="D176" i="1"/>
  <c r="D175" i="1"/>
  <c r="D174" i="1"/>
  <c r="D172" i="1"/>
  <c r="D171" i="1"/>
  <c r="I172" i="1"/>
  <c r="J176" i="1"/>
  <c r="F182" i="1"/>
  <c r="A179" i="1"/>
  <c r="A180" i="1" s="1"/>
  <c r="A181" i="1" s="1"/>
  <c r="A182" i="1" s="1"/>
  <c r="A183" i="1" s="1"/>
  <c r="G178" i="1"/>
  <c r="I174" i="1"/>
  <c r="I171" i="1"/>
  <c r="A172" i="1"/>
  <c r="A173" i="1" s="1"/>
  <c r="A174" i="1" s="1"/>
  <c r="A175" i="1" s="1"/>
  <c r="A176" i="1" s="1"/>
  <c r="D55" i="1"/>
  <c r="G51" i="1"/>
  <c r="E40" i="1"/>
  <c r="E112" i="1" l="1"/>
  <c r="C112" i="1"/>
  <c r="C66" i="1"/>
  <c r="D167" i="1" l="1"/>
  <c r="D166" i="1"/>
  <c r="D165" i="1"/>
  <c r="D164" i="1"/>
  <c r="D163" i="1"/>
  <c r="D162" i="1"/>
  <c r="D161" i="1"/>
  <c r="E165" i="1"/>
  <c r="E164" i="1"/>
  <c r="E163" i="1"/>
  <c r="E162" i="1"/>
  <c r="E161" i="1"/>
  <c r="D156" i="1"/>
  <c r="D158" i="1"/>
  <c r="D157" i="1"/>
  <c r="D159" i="1"/>
  <c r="E157" i="1"/>
  <c r="E156" i="1"/>
  <c r="E155" i="1"/>
  <c r="D155" i="1"/>
  <c r="E154" i="1"/>
  <c r="D154" i="1"/>
  <c r="E153" i="1"/>
  <c r="D153" i="1"/>
  <c r="E152" i="1"/>
  <c r="D152" i="1"/>
  <c r="D149" i="1"/>
  <c r="D148" i="1"/>
  <c r="D147" i="1"/>
  <c r="D143" i="1"/>
  <c r="E150" i="1"/>
  <c r="D150" i="1"/>
  <c r="E149" i="1"/>
  <c r="E148" i="1"/>
  <c r="E147" i="1"/>
  <c r="E146" i="1"/>
  <c r="D146" i="1"/>
  <c r="E145" i="1"/>
  <c r="D145" i="1"/>
  <c r="E144" i="1"/>
  <c r="D144" i="1"/>
  <c r="E143" i="1"/>
  <c r="E139" i="1"/>
  <c r="E138" i="1"/>
  <c r="E137" i="1"/>
  <c r="E136" i="1"/>
  <c r="E135" i="1"/>
  <c r="E134" i="1"/>
  <c r="D130" i="1"/>
  <c r="D141" i="1"/>
  <c r="D140" i="1"/>
  <c r="D139" i="1"/>
  <c r="D138" i="1"/>
  <c r="D137" i="1"/>
  <c r="D136" i="1"/>
  <c r="D135" i="1"/>
  <c r="D134" i="1"/>
  <c r="D132" i="1"/>
  <c r="D131" i="1"/>
  <c r="D129" i="1"/>
  <c r="D128" i="1"/>
  <c r="D127" i="1"/>
  <c r="D126" i="1"/>
  <c r="D125" i="1"/>
  <c r="E132" i="1"/>
  <c r="E131" i="1"/>
  <c r="E130" i="1"/>
  <c r="E129" i="1"/>
  <c r="E128" i="1"/>
  <c r="E127" i="1"/>
  <c r="E126" i="1"/>
  <c r="E125" i="1"/>
  <c r="D123" i="1"/>
  <c r="D122" i="1"/>
  <c r="D121" i="1"/>
  <c r="D120" i="1"/>
  <c r="D119" i="1"/>
  <c r="F119" i="1" s="1"/>
  <c r="F162" i="1" l="1"/>
  <c r="C111" i="1"/>
  <c r="F167" i="1"/>
  <c r="F166" i="1"/>
  <c r="F164" i="1"/>
  <c r="A162" i="1"/>
  <c r="A163" i="1" s="1"/>
  <c r="A164" i="1" s="1"/>
  <c r="A165" i="1" s="1"/>
  <c r="A166" i="1" s="1"/>
  <c r="A167" i="1" s="1"/>
  <c r="G161" i="1"/>
  <c r="F159" i="1"/>
  <c r="F158" i="1"/>
  <c r="F157" i="1"/>
  <c r="F155" i="1"/>
  <c r="G152" i="1"/>
  <c r="F149" i="1"/>
  <c r="F147" i="1"/>
  <c r="F145" i="1"/>
  <c r="G143" i="1"/>
  <c r="G144" i="1" s="1"/>
  <c r="G145" i="1" s="1"/>
  <c r="G146" i="1" s="1"/>
  <c r="G147" i="1" s="1"/>
  <c r="G148" i="1" s="1"/>
  <c r="G149" i="1" s="1"/>
  <c r="G150" i="1" s="1"/>
  <c r="F138" i="1"/>
  <c r="P141" i="1"/>
  <c r="P176" i="1"/>
  <c r="O176" i="1"/>
  <c r="F152" i="1" l="1"/>
  <c r="F156" i="1"/>
  <c r="F163" i="1"/>
  <c r="F161" i="1"/>
  <c r="F146" i="1"/>
  <c r="F148" i="1"/>
  <c r="F150" i="1"/>
  <c r="F165" i="1"/>
  <c r="P177" i="1"/>
  <c r="P178" i="1" s="1"/>
  <c r="P179" i="1" s="1"/>
  <c r="P180" i="1" s="1"/>
  <c r="P181" i="1" s="1"/>
  <c r="O177" i="1"/>
  <c r="N176" i="1"/>
  <c r="F143" i="1"/>
  <c r="F153" i="1"/>
  <c r="F144" i="1"/>
  <c r="F154" i="1"/>
  <c r="P142" i="1"/>
  <c r="P143" i="1" s="1"/>
  <c r="P144" i="1" s="1"/>
  <c r="P145" i="1" s="1"/>
  <c r="P146" i="1" s="1"/>
  <c r="P147" i="1" s="1"/>
  <c r="P148" i="1" s="1"/>
  <c r="N141" i="1"/>
  <c r="O142" i="1"/>
  <c r="F137" i="1"/>
  <c r="F141" i="1"/>
  <c r="F140" i="1"/>
  <c r="F139" i="1"/>
  <c r="G134" i="1"/>
  <c r="G135" i="1" s="1"/>
  <c r="G136" i="1" s="1"/>
  <c r="G137" i="1" s="1"/>
  <c r="G138" i="1" s="1"/>
  <c r="G139" i="1" s="1"/>
  <c r="G140" i="1" s="1"/>
  <c r="G141" i="1" s="1"/>
  <c r="E41" i="1"/>
  <c r="E42" i="1" s="1"/>
  <c r="O132" i="1"/>
  <c r="P132" i="1"/>
  <c r="C113" i="1" l="1"/>
  <c r="E111" i="1"/>
  <c r="E113" i="1" s="1"/>
  <c r="F132" i="1"/>
  <c r="I130" i="1" s="1"/>
  <c r="F131" i="1"/>
  <c r="I129" i="1" s="1"/>
  <c r="O178" i="1"/>
  <c r="N177" i="1"/>
  <c r="F134" i="1"/>
  <c r="F135" i="1"/>
  <c r="N142" i="1"/>
  <c r="O143" i="1"/>
  <c r="F136" i="1"/>
  <c r="O133" i="1"/>
  <c r="N132" i="1"/>
  <c r="P133" i="1"/>
  <c r="P134" i="1" s="1"/>
  <c r="P135" i="1" s="1"/>
  <c r="P136" i="1" s="1"/>
  <c r="P137" i="1" s="1"/>
  <c r="P138" i="1" s="1"/>
  <c r="P139" i="1" s="1"/>
  <c r="O179" i="1" l="1"/>
  <c r="N178" i="1"/>
  <c r="N143" i="1"/>
  <c r="O144" i="1"/>
  <c r="O134" i="1"/>
  <c r="N133" i="1"/>
  <c r="C80" i="1"/>
  <c r="C64" i="1"/>
  <c r="J89" i="1"/>
  <c r="J88" i="1"/>
  <c r="J75" i="1"/>
  <c r="J74" i="1"/>
  <c r="H81" i="1"/>
  <c r="H65" i="1"/>
  <c r="O180" i="1" l="1"/>
  <c r="N179" i="1"/>
  <c r="N144" i="1"/>
  <c r="O145" i="1"/>
  <c r="O135" i="1"/>
  <c r="N134" i="1"/>
  <c r="D86" i="1"/>
  <c r="J82" i="1"/>
  <c r="J84" i="1"/>
  <c r="J85" i="1" s="1"/>
  <c r="J90" i="1" s="1"/>
  <c r="D93" i="1"/>
  <c r="D89" i="1"/>
  <c r="J83" i="1"/>
  <c r="C84" i="1" s="1"/>
  <c r="J81" i="1"/>
  <c r="D91" i="1"/>
  <c r="D87" i="1"/>
  <c r="D90" i="1"/>
  <c r="D92" i="1"/>
  <c r="D88" i="1"/>
  <c r="D72" i="1"/>
  <c r="D78" i="1"/>
  <c r="J66" i="1"/>
  <c r="D79" i="1"/>
  <c r="D75" i="1"/>
  <c r="J69" i="1"/>
  <c r="C70" i="1" s="1"/>
  <c r="D70" i="1" s="1"/>
  <c r="J65" i="1"/>
  <c r="D74" i="1"/>
  <c r="D77" i="1"/>
  <c r="D73" i="1"/>
  <c r="J70" i="1"/>
  <c r="J71" i="1" s="1"/>
  <c r="J76" i="1" s="1"/>
  <c r="D76" i="1"/>
  <c r="G49" i="1"/>
  <c r="O169" i="1"/>
  <c r="O123" i="1"/>
  <c r="D84" i="1" l="1"/>
  <c r="N180" i="1"/>
  <c r="O181" i="1"/>
  <c r="N181" i="1" s="1"/>
  <c r="N145" i="1"/>
  <c r="O146" i="1"/>
  <c r="O136" i="1"/>
  <c r="N135" i="1"/>
  <c r="J86" i="1"/>
  <c r="J87" i="1" s="1"/>
  <c r="J72" i="1"/>
  <c r="J73" i="1" s="1"/>
  <c r="A187" i="1"/>
  <c r="A188" i="1" s="1"/>
  <c r="A189" i="1" s="1"/>
  <c r="A190" i="1" l="1"/>
  <c r="O147" i="1"/>
  <c r="N146" i="1"/>
  <c r="O137" i="1"/>
  <c r="N136" i="1"/>
  <c r="J91" i="1"/>
  <c r="C85" i="1" s="1"/>
  <c r="J77" i="1"/>
  <c r="C71" i="1" s="1"/>
  <c r="A120" i="1"/>
  <c r="A121" i="1" s="1"/>
  <c r="A122" i="1" s="1"/>
  <c r="A123" i="1" s="1"/>
  <c r="P169" i="1"/>
  <c r="P123" i="1"/>
  <c r="A191" i="1" l="1"/>
  <c r="A192" i="1" s="1"/>
  <c r="A193" i="1" s="1"/>
  <c r="A194" i="1" s="1"/>
  <c r="A195" i="1" s="1"/>
  <c r="O148" i="1"/>
  <c r="N148" i="1" s="1"/>
  <c r="N147" i="1"/>
  <c r="O138" i="1"/>
  <c r="N137" i="1"/>
  <c r="E84" i="1"/>
  <c r="D85" i="1"/>
  <c r="G84" i="1"/>
  <c r="D63" i="1" s="1"/>
  <c r="E70" i="1"/>
  <c r="I62" i="1" s="1"/>
  <c r="D71" i="1"/>
  <c r="G70" i="1"/>
  <c r="N169" i="1"/>
  <c r="N123" i="1"/>
  <c r="I78" i="1" l="1"/>
  <c r="C82" i="1" s="1"/>
  <c r="O139" i="1"/>
  <c r="N139" i="1" s="1"/>
  <c r="N138" i="1"/>
  <c r="F94" i="1" l="1"/>
  <c r="C14" i="1" l="1"/>
  <c r="F130" i="1" l="1"/>
  <c r="I128" i="1" s="1"/>
  <c r="F129" i="1"/>
  <c r="F128" i="1"/>
  <c r="F127" i="1"/>
  <c r="I125" i="1" s="1"/>
  <c r="F126" i="1"/>
  <c r="I124" i="1" s="1"/>
  <c r="G125" i="1"/>
  <c r="F125" i="1"/>
  <c r="I123" i="1" s="1"/>
  <c r="F176" i="1"/>
  <c r="F175" i="1"/>
  <c r="F174" i="1"/>
  <c r="F173" i="1"/>
  <c r="F172" i="1"/>
  <c r="F171" i="1"/>
  <c r="F120" i="1"/>
  <c r="F121" i="1"/>
  <c r="I119" i="1" s="1"/>
  <c r="F122" i="1"/>
  <c r="I120" i="1" s="1"/>
  <c r="F123" i="1"/>
  <c r="I121" i="1" s="1"/>
  <c r="E3" i="1"/>
  <c r="I118" i="1" l="1"/>
  <c r="G111" i="1"/>
  <c r="G112" i="1"/>
  <c r="O124" i="1"/>
  <c r="O170" i="1"/>
  <c r="G113" i="1" l="1"/>
  <c r="P170" i="1"/>
  <c r="P171" i="1" s="1"/>
  <c r="P172" i="1" s="1"/>
  <c r="P173" i="1" s="1"/>
  <c r="P174" i="1" s="1"/>
  <c r="P124" i="1"/>
  <c r="P125" i="1" s="1"/>
  <c r="P126" i="1" s="1"/>
  <c r="P127" i="1" s="1"/>
  <c r="P128" i="1" s="1"/>
  <c r="P129" i="1" s="1"/>
  <c r="P130" i="1" s="1"/>
  <c r="O125" i="1"/>
  <c r="O171" i="1"/>
  <c r="G171" i="1"/>
  <c r="G119" i="1"/>
  <c r="E25" i="1"/>
  <c r="E23" i="1"/>
  <c r="N125" i="1" l="1"/>
  <c r="N124" i="1"/>
  <c r="N170" i="1"/>
  <c r="N171" i="1"/>
  <c r="O126" i="1"/>
  <c r="N126" i="1" s="1"/>
  <c r="O172" i="1"/>
  <c r="N172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127" i="1" l="1"/>
  <c r="N127" i="1" s="1"/>
  <c r="O173" i="1"/>
  <c r="N173" i="1" s="1"/>
  <c r="G12" i="5"/>
  <c r="O128" i="1" l="1"/>
  <c r="O174" i="1"/>
  <c r="N174" i="1" s="1"/>
  <c r="N128" i="1" l="1"/>
  <c r="O129" i="1"/>
  <c r="N129" i="1" l="1"/>
  <c r="O130" i="1"/>
  <c r="N130" i="1" s="1"/>
  <c r="E7" i="1"/>
  <c r="D208" i="1" l="1"/>
  <c r="F108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<sst xmlns="http://schemas.openxmlformats.org/spreadsheetml/2006/main" count="402" uniqueCount="263">
  <si>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</si>
  <si>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</si>
  <si>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</si>
  <si>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</si>
  <si>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</si>
  <si>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</si>
  <si>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</si>
  <si>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</si>
  <si>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</si>
  <si>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</si>
  <si>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</si>
  <si>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</si>
  <si>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</si>
  <si>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</si>
  <si>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</si>
  <si>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</si>
  <si>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</si>
  <si>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</si>
  <si>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</si>
  <si>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</si>
  <si>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</si>
  <si>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</si>
  <si>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</si>
  <si>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</si>
  <si>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</si>
  <si>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</si>
  <si>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</si>
  <si>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</si>
  <si>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</si>
  <si>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</si>
  <si>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</si>
  <si>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</si>
  <si>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</si>
  <si>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</si>
  <si>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</si>
  <si>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</si>
  <si>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</si>
  <si>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</si>
  <si>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</si>
  <si>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</si>
  <si>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</si>
  <si>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</si>
  <si>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</si>
  <si>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</si>
  <si>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</si>
  <si>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</si>
  <si>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</si>
  <si>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</si>
  <si>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</si>
  <si>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</si>
  <si>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</si>
  <si>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</si>
  <si>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</si>
  <si>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</si>
  <si>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</si>
  <si>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</si>
  <si>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</si>
  <si>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</si>
  <si>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</si>
  <si>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</si>
  <si>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</si>
  <si>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</si>
  <si>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</si>
  <si>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</si>
  <si>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</si>
  <si>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</si>
  <si>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</si>
  <si>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</si>
  <si>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</si>
  <si>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</si>
  <si>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</si>
  <si>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</si>
  <si>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</si>
  <si>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</si>
  <si>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</si>
  <si>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</si>
  <si>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</si>
  <si>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</si>
  <si>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</si>
  <si>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</si>
  <si>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</si>
  <si>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</si>
  <si>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</si>
  <si>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</si>
  <si>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</si>
  <si>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</si>
  <si>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</si>
  <si>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</si>
  <si>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</si>
  <si>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</si>
  <si>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</si>
  <si>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</si>
  <si>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</si>
  <si>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</si>
  <si>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</si>
  <si>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</si>
  <si>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</si>
  <si>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</si>
  <si>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</si>
  <si>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</si>
  <si>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</si>
  <si>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</si>
  <si>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</si>
  <si>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</si>
  <si>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</si>
  <si>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</si>
  <si>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</si>
  <si>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</si>
  <si>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</si>
  <si>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</si>
  <si>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</si>
  <si>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</si>
  <si>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</si>
  <si>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</si>
  <si>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</si>
  <si>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</si>
  <si>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</si>
  <si>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</si>
  <si>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</si>
  <si>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</si>
  <si>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</si>
  <si>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</si>
  <si>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</si>
  <si>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</si>
  <si>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</si>
  <si>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</si>
  <si>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</si>
  <si>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</si>
  <si>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</si>
  <si>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</si>
  <si>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</si>
  <si>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</si>
  <si>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</si>
  <si>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</si>
  <si>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</si>
  <si>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</si>
  <si>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</si>
  <si>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</si>
  <si>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</si>
  <si>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</si>
  <si>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</si>
  <si>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</si>
  <si>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</si>
  <si>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</si>
  <si>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</si>
  <si>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</si>
  <si>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</si>
  <si>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</si>
  <si>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</si>
  <si>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</si>
  <si>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</si>
  <si>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</si>
  <si>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</si>
  <si>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</si>
  <si>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</si>
  <si>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</si>
  <si>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</si>
  <si>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</si>
  <si>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</si>
  <si>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</si>
  <si>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</si>
  <si>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</si>
  <si>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</si>
  <si>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</si>
  <si>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</si>
  <si>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</si>
  <si>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</si>
  <si>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</si>
  <si>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</si>
  <si>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</si>
  <si>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</si>
  <si>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</si>
  <si>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</si>
  <si>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</si>
  <si>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</si>
  <si>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</si>
  <si>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</si>
  <si>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</si>
  <si>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 xml:space="preserve">M/s.Varad Builders
</t>
  </si>
  <si>
    <t>9822557707/9270649848</t>
  </si>
  <si>
    <t>P51700027293</t>
  </si>
  <si>
    <t>Survey No</t>
  </si>
  <si>
    <t>Shirgaon</t>
  </si>
  <si>
    <t>Thane</t>
  </si>
  <si>
    <t>Ambarnath</t>
  </si>
  <si>
    <t>2 Km  from Badlapur Railway Station</t>
  </si>
  <si>
    <t>Vishwaraj Heights</t>
  </si>
  <si>
    <t>Building</t>
  </si>
  <si>
    <t>KBNP/NRV/BP/1973-131/19-20</t>
  </si>
  <si>
    <t>KBNP/NRV/BP/1973/2019-2020/UNIQUE NO -131</t>
  </si>
  <si>
    <t>Ground Floor for Residential &amp; Parking</t>
  </si>
  <si>
    <t>1 RK</t>
  </si>
  <si>
    <t>1 BHK</t>
  </si>
  <si>
    <t>1BHK</t>
  </si>
  <si>
    <t>2nd &amp; 4th Floor</t>
  </si>
  <si>
    <t>1st &amp; 3rd Floor</t>
  </si>
  <si>
    <t>2 BHK</t>
  </si>
  <si>
    <t>5th &amp; 7th Floor</t>
  </si>
  <si>
    <t>6th Floor</t>
  </si>
  <si>
    <t>2BHK</t>
  </si>
  <si>
    <t>8th Floor (Part Refuge Floor )</t>
  </si>
  <si>
    <t>We considered  Saleable area  as per our calculation.</t>
  </si>
  <si>
    <t>We considered Gross carpet area = Net carpet + Enclose balcony + C.B Area + F.B Area + A.P Area</t>
  </si>
  <si>
    <t>On Site, we meet Mr.Chetan (9822557707).</t>
  </si>
  <si>
    <t>Residential</t>
  </si>
  <si>
    <t>44/1/A/2, S No.46/6/A/8, Plot no.22, S No.46/6/A/9, Plot No.23, S No.46/6/A/10, Plot No 24</t>
  </si>
  <si>
    <t xml:space="preserve">Approved Floor plan No.(A Wing) </t>
  </si>
  <si>
    <t>Approved Floor plan No.(B Wing)</t>
  </si>
  <si>
    <t>Wing A - G/st +1st to 8th Floor</t>
  </si>
  <si>
    <t>2,00,000/-</t>
  </si>
  <si>
    <t>A Wing</t>
  </si>
  <si>
    <t>B Wing</t>
  </si>
  <si>
    <t>Approved Plans, CC, Sale Plans, Cost Sheet</t>
  </si>
  <si>
    <t xml:space="preserve">3600 to 4000 </t>
  </si>
  <si>
    <t>Abhishek</t>
  </si>
  <si>
    <t>Cost sheet</t>
  </si>
  <si>
    <t>As per RERA - 30/06/2025</t>
  </si>
  <si>
    <t>Amit Park CHS</t>
  </si>
  <si>
    <t>2 Wings</t>
  </si>
  <si>
    <t>Latitude, Longitude</t>
  </si>
  <si>
    <t>Location Link</t>
  </si>
  <si>
    <t>https://goo.gl/maps/ydeoMvSURmYq152H7</t>
  </si>
  <si>
    <t>Wing A</t>
  </si>
  <si>
    <t>Wing B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</si>
  <si>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</si>
  <si>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KBNP/NRV/2261/2023-2024
Gr + 1st to 8th Floor</t>
  </si>
  <si>
    <t xml:space="preserve">Commencement Certificate No.
Valid Up to: </t>
  </si>
  <si>
    <t xml:space="preserve">Wing A = All work Completed. OC Received.
Wing B = Construction work is in process at the time of Visit.
</t>
  </si>
  <si>
    <t>O. Certificate No.: 
Approved upto :
(Wing A)</t>
  </si>
  <si>
    <t>We have updated approved OC of Wing A on 09/11/2023.</t>
  </si>
  <si>
    <t>Site Person - Contact Details (Name &amp; Contact No.)</t>
  </si>
  <si>
    <t>KBNP/NRV/BD/2829-237</t>
  </si>
  <si>
    <t>As per Layout</t>
  </si>
  <si>
    <t>19.155700,73.231804</t>
  </si>
  <si>
    <t>Layout:</t>
  </si>
  <si>
    <t>Amenity Space, Wing C &amp; D</t>
  </si>
  <si>
    <t>Adj. S. No.45</t>
  </si>
  <si>
    <t>Existing Building</t>
  </si>
  <si>
    <t>Open Plot</t>
  </si>
  <si>
    <t>KBNP/NRV/BP/2829/2021-2022 Unique No.237</t>
  </si>
  <si>
    <t>Approved Builtup Area of Wing A &amp; B (Sq.Mt)</t>
  </si>
  <si>
    <t>`</t>
  </si>
  <si>
    <t>Ground Floor For Parking</t>
  </si>
  <si>
    <t>Wing A - Gr/St +1st to 8th Floor
Wing B - Gr/St +1st to 11th Floor</t>
  </si>
  <si>
    <t>Wing A - Gr/St +1st to 8th Floor</t>
  </si>
  <si>
    <t>Wing B - Gr/St +1st to 11th Floor</t>
  </si>
  <si>
    <t xml:space="preserve">1st to 7th, 9th to 11th Floor For Residential </t>
  </si>
  <si>
    <t>8th Floor (Part Refuge Area)</t>
  </si>
  <si>
    <t>Refuge Area</t>
  </si>
  <si>
    <t>Flats - 133</t>
  </si>
  <si>
    <t>Sudhir Bhosale</t>
  </si>
  <si>
    <t>Badlapur West</t>
  </si>
  <si>
    <t>Kilbil School Road</t>
  </si>
  <si>
    <t>Wing A - G/st +1st to 8th Floor
Wing B = St +1st to 11th Floor</t>
  </si>
  <si>
    <t>We have updated approved plan &amp; CC for Wing B on 10/04/2024.</t>
  </si>
  <si>
    <t>Parijatak Phase I (Wing A &amp; B)</t>
  </si>
  <si>
    <t>(Wing A &amp; B)</t>
  </si>
  <si>
    <t>2,30,000/-</t>
  </si>
  <si>
    <t>A902 area changes to full terrace consideration by rushikesh 26/10/2024</t>
  </si>
  <si>
    <t>Recommended Rates / Other charges of the Property have been revised on 26/03/2022 &amp; 26/10/2024.</t>
  </si>
  <si>
    <t>Pooja</t>
  </si>
  <si>
    <t>60 Years After Completion</t>
  </si>
  <si>
    <t>As per RERA, completion period of project Parijatak Phase I (Wing B) is expired on 30/06/2025 but still project is under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</si>
</sst>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1"/>
      <color rgb="FFFFFF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9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6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9" xfId="0" applyFont="1" applyFill="1" applyBorder="1" applyProtection="1">
      <protection hidden="1"/>
    </xf>
    <xf numFmtId="0" fontId="7" fillId="0" borderId="15" xfId="1" applyFont="1" applyFill="1" applyBorder="1" applyProtection="1">
      <protection hidden="1"/>
    </xf>
    <xf numFmtId="0" fontId="17" fillId="0" borderId="5" xfId="0" applyFont="1" applyFill="1" applyBorder="1" applyProtection="1">
      <protection hidden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8" xfId="1" applyFont="1" applyFill="1" applyBorder="1" applyProtection="1">
      <protection hidden="1"/>
    </xf>
    <xf numFmtId="0" fontId="7" fillId="0" borderId="8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8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8" xfId="0" applyNumberFormat="1" applyFill="1" applyBorder="1"/>
    <xf numFmtId="1" fontId="0" fillId="0" borderId="8" xfId="0" applyNumberFormat="1" applyFill="1" applyBorder="1" applyAlignment="1">
      <alignment horizontal="right"/>
    </xf>
    <xf numFmtId="0" fontId="12" fillId="0" borderId="3" xfId="1" applyFont="1" applyFill="1" applyBorder="1" applyAlignment="1" applyProtection="1">
      <alignment horizontal="center" wrapText="1"/>
      <protection locked="0"/>
    </xf>
    <xf numFmtId="9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" xfId="0" applyNumberFormat="1" applyFill="1" applyBorder="1"/>
    <xf numFmtId="0" fontId="7" fillId="0" borderId="1" xfId="1" applyFont="1" applyFill="1" applyBorder="1"/>
    <xf numFmtId="0" fontId="7" fillId="0" borderId="11" xfId="1" applyFont="1" applyFill="1" applyBorder="1" applyProtection="1">
      <protection hidden="1"/>
    </xf>
    <xf numFmtId="0" fontId="7" fillId="0" borderId="11" xfId="1" applyFont="1" applyFill="1" applyBorder="1"/>
    <xf numFmtId="1" fontId="0" fillId="0" borderId="10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readingOrder="1"/>
    </xf>
    <xf numFmtId="1" fontId="7" fillId="0" borderId="1" xfId="1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Fill="1" applyAlignment="1">
      <alignment horizontal="center" vertical="center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0" applyNumberFormat="1" applyFont="1" applyFill="1" applyBorder="1" applyAlignment="1" applyProtection="1">
      <alignment vertical="top" wrapText="1"/>
      <protection locked="0"/>
    </xf>
    <xf numFmtId="1" fontId="8" fillId="0" borderId="16" xfId="0" applyNumberFormat="1" applyFont="1" applyFill="1" applyBorder="1" applyAlignment="1" applyProtection="1">
      <alignment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4" xfId="0" applyNumberFormat="1" applyFont="1" applyFill="1" applyBorder="1" applyAlignment="1" applyProtection="1">
      <alignment vertical="top" wrapText="1"/>
      <protection locked="0"/>
    </xf>
    <xf numFmtId="1" fontId="13" fillId="0" borderId="16" xfId="0" applyNumberFormat="1" applyFont="1" applyFill="1" applyBorder="1" applyAlignment="1" applyProtection="1">
      <alignment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4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2" xfId="1" applyFont="1" applyFill="1" applyBorder="1" applyAlignment="1" applyProtection="1">
      <alignment horizontal="center" vertical="center"/>
      <protection locked="0"/>
    </xf>
    <xf numFmtId="0" fontId="13" fillId="0" borderId="13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  <protection locked="0"/>
    </xf>
    <xf numFmtId="0" fontId="13" fillId="0" borderId="15" xfId="1" applyFont="1" applyFill="1" applyBorder="1" applyAlignment="1" applyProtection="1">
      <alignment horizontal="center" vertical="center"/>
      <protection locked="0"/>
    </xf>
    <xf numFmtId="9" fontId="1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1" applyFont="1" applyFill="1" applyBorder="1" applyAlignment="1" applyProtection="1">
      <alignment horizontal="center" vertical="center" wrapText="1"/>
      <protection locked="0"/>
    </xf>
    <xf numFmtId="0" fontId="13" fillId="0" borderId="14" xfId="1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15" fillId="0" borderId="18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Alignment="1">
      <alignment horizontal="center" vertical="center"/>
    </xf>
    <xf numFmtId="1" fontId="8" fillId="3" borderId="4" xfId="0" applyNumberFormat="1" applyFont="1" applyFill="1" applyBorder="1" applyAlignment="1" applyProtection="1">
      <alignment vertical="top" wrapText="1"/>
      <protection locked="0"/>
    </xf>
    <xf numFmtId="1" fontId="8" fillId="3" borderId="16" xfId="0" applyNumberFormat="1" applyFont="1" applyFill="1" applyBorder="1" applyAlignment="1" applyProtection="1">
      <alignment vertical="top" wrapText="1"/>
      <protection locked="0"/>
    </xf>
    <xf numFmtId="1" fontId="8" fillId="3" borderId="5" xfId="0" applyNumberFormat="1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7" fillId="0" borderId="1" xfId="1" applyFont="1" applyFill="1" applyBorder="1" applyAlignment="1" applyProtection="1">
      <alignment horizontal="left"/>
      <protection locked="0"/>
    </xf>
    <xf numFmtId="0" fontId="23" fillId="0" borderId="1" xfId="9" applyFill="1" applyBorder="1" applyAlignment="1" applyProtection="1">
      <alignment horizontal="left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25" fillId="0" borderId="1" xfId="0" applyNumberFormat="1" applyFont="1" applyFill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D20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microsoft.com/office/2007/relationships/hdphoto" Target="../media/hdphoto1.wdp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microsoft.com/office/2007/relationships/hdphoto" Target="../media/hdphoto2.wdp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401407</xdr:colOff>
      <xdr:row>298</xdr:row>
      <xdr:rowOff>16094</xdr:rowOff>
    </xdr:from>
    <xdr:to>
      <xdr:col>6</xdr:col>
      <xdr:colOff>403412</xdr:colOff>
      <xdr:row>313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3407" y="59037476"/>
          <a:ext cx="4159387" cy="3104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11</xdr:col>
      <xdr:colOff>571500</xdr:colOff>
      <xdr:row>208</xdr:row>
      <xdr:rowOff>138546</xdr:rowOff>
    </xdr:from>
    <xdr:ext cx="607089" cy="264560"/>
    <xdr:sp macro="" textlink="">
      <xdr:nvSpPr>
        <xdr:cNvPr id="4" name="TextBox 3"/>
        <xdr:cNvSpPr txBox="1"/>
      </xdr:nvSpPr>
      <xdr:spPr>
        <a:xfrm>
          <a:off x="9715500" y="42879819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10</xdr:col>
      <xdr:colOff>70227</xdr:colOff>
      <xdr:row>205</xdr:row>
      <xdr:rowOff>0</xdr:rowOff>
    </xdr:from>
    <xdr:ext cx="607089" cy="264560"/>
    <xdr:sp macro="" textlink="">
      <xdr:nvSpPr>
        <xdr:cNvPr id="18" name="TextBox 17"/>
        <xdr:cNvSpPr txBox="1"/>
      </xdr:nvSpPr>
      <xdr:spPr>
        <a:xfrm>
          <a:off x="8512841" y="42143795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12</xdr:col>
      <xdr:colOff>586110</xdr:colOff>
      <xdr:row>205</xdr:row>
      <xdr:rowOff>0</xdr:rowOff>
    </xdr:from>
    <xdr:ext cx="607089" cy="264560"/>
    <xdr:sp macro="" textlink="">
      <xdr:nvSpPr>
        <xdr:cNvPr id="19" name="TextBox 18"/>
        <xdr:cNvSpPr txBox="1"/>
      </xdr:nvSpPr>
      <xdr:spPr>
        <a:xfrm>
          <a:off x="10518087" y="42143795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8</xdr:col>
      <xdr:colOff>583665</xdr:colOff>
      <xdr:row>212</xdr:row>
      <xdr:rowOff>36037</xdr:rowOff>
    </xdr:from>
    <xdr:ext cx="607089" cy="264560"/>
    <xdr:sp macro="" textlink="">
      <xdr:nvSpPr>
        <xdr:cNvPr id="20" name="TextBox 19"/>
        <xdr:cNvSpPr txBox="1"/>
      </xdr:nvSpPr>
      <xdr:spPr>
        <a:xfrm>
          <a:off x="7562892" y="43565287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9</xdr:col>
      <xdr:colOff>0</xdr:colOff>
      <xdr:row>238</xdr:row>
      <xdr:rowOff>0</xdr:rowOff>
    </xdr:from>
    <xdr:ext cx="607089" cy="264560"/>
    <xdr:sp macro="" textlink="">
      <xdr:nvSpPr>
        <xdr:cNvPr id="39" name="TextBox 38"/>
        <xdr:cNvSpPr txBox="1"/>
      </xdr:nvSpPr>
      <xdr:spPr>
        <a:xfrm>
          <a:off x="8157882" y="47725853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twoCellAnchor>
    <xdr:from>
      <xdr:col>3</xdr:col>
      <xdr:colOff>123824</xdr:colOff>
      <xdr:row>324</xdr:row>
      <xdr:rowOff>142873</xdr:rowOff>
    </xdr:from>
    <xdr:to>
      <xdr:col>4</xdr:col>
      <xdr:colOff>714374</xdr:colOff>
      <xdr:row>327</xdr:row>
      <xdr:rowOff>114298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 rot="2343329">
          <a:off x="2533649" y="65798698"/>
          <a:ext cx="1533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IN" sz="1100" b="1" i="0" u="none" strike="noStrike" baseline="0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158463</xdr:colOff>
      <xdr:row>254</xdr:row>
      <xdr:rowOff>122239</xdr:rowOff>
    </xdr:from>
    <xdr:to>
      <xdr:col>5</xdr:col>
      <xdr:colOff>685800</xdr:colOff>
      <xdr:row>270</xdr:row>
      <xdr:rowOff>178411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0563" y="51776314"/>
          <a:ext cx="3099087" cy="3256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429863</xdr:colOff>
      <xdr:row>271</xdr:row>
      <xdr:rowOff>142405</xdr:rowOff>
    </xdr:from>
    <xdr:to>
      <xdr:col>7</xdr:col>
      <xdr:colOff>729344</xdr:colOff>
      <xdr:row>294</xdr:row>
      <xdr:rowOff>69394</xdr:rowOff>
    </xdr:to>
    <xdr:grpSp>
      <xdr:nvGrpSpPr>
        <xdr:cNvPr id="14" name="Group 13"/>
        <xdr:cNvGrpSpPr/>
      </xdr:nvGrpSpPr>
      <xdr:grpSpPr>
        <a:xfrm>
          <a:off x="429863" y="53749105"/>
          <a:ext cx="6274831" cy="4454539"/>
          <a:chOff x="544163" y="52987105"/>
          <a:chExt cx="5995431" cy="4527564"/>
        </a:xfrm>
      </xdr:grpSpPr>
      <xdr:pic>
        <xdr:nvPicPr>
          <xdr:cNvPr id="30" name="Picture 29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artisticPhotocopy/>
                    </a14:imgEffect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4163" y="52987105"/>
            <a:ext cx="5995431" cy="452756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Rectangle 6"/>
          <xdr:cNvSpPr/>
        </xdr:nvSpPr>
        <xdr:spPr>
          <a:xfrm>
            <a:off x="2647950" y="55058896"/>
            <a:ext cx="2097698" cy="1036760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9" name="Freeform 8"/>
          <xdr:cNvSpPr/>
        </xdr:nvSpPr>
        <xdr:spPr>
          <a:xfrm>
            <a:off x="930519" y="54451495"/>
            <a:ext cx="1699113" cy="1570891"/>
          </a:xfrm>
          <a:custGeom>
            <a:avLst/>
            <a:gdLst>
              <a:gd name="connsiteX0" fmla="*/ 351693 w 1626577"/>
              <a:gd name="connsiteY0" fmla="*/ 0 h 1589942"/>
              <a:gd name="connsiteX1" fmla="*/ 1179635 w 1626577"/>
              <a:gd name="connsiteY1" fmla="*/ 51288 h 1589942"/>
              <a:gd name="connsiteX2" fmla="*/ 1047750 w 1626577"/>
              <a:gd name="connsiteY2" fmla="*/ 747346 h 1589942"/>
              <a:gd name="connsiteX3" fmla="*/ 1626577 w 1626577"/>
              <a:gd name="connsiteY3" fmla="*/ 754673 h 1589942"/>
              <a:gd name="connsiteX4" fmla="*/ 1589943 w 1626577"/>
              <a:gd name="connsiteY4" fmla="*/ 1589942 h 1589942"/>
              <a:gd name="connsiteX5" fmla="*/ 0 w 1626577"/>
              <a:gd name="connsiteY5" fmla="*/ 1487365 h 1589942"/>
              <a:gd name="connsiteX6" fmla="*/ 351693 w 1626577"/>
              <a:gd name="connsiteY6" fmla="*/ 0 h 1589942"/>
              <a:gd name="connsiteX0" fmla="*/ 351693 w 1626577"/>
              <a:gd name="connsiteY0" fmla="*/ 0 h 1589942"/>
              <a:gd name="connsiteX1" fmla="*/ 1153609 w 1626577"/>
              <a:gd name="connsiteY1" fmla="*/ 43788 h 1589942"/>
              <a:gd name="connsiteX2" fmla="*/ 1047750 w 1626577"/>
              <a:gd name="connsiteY2" fmla="*/ 747346 h 1589942"/>
              <a:gd name="connsiteX3" fmla="*/ 1626577 w 1626577"/>
              <a:gd name="connsiteY3" fmla="*/ 754673 h 1589942"/>
              <a:gd name="connsiteX4" fmla="*/ 1589943 w 1626577"/>
              <a:gd name="connsiteY4" fmla="*/ 1589942 h 1589942"/>
              <a:gd name="connsiteX5" fmla="*/ 0 w 1626577"/>
              <a:gd name="connsiteY5" fmla="*/ 1487365 h 1589942"/>
              <a:gd name="connsiteX6" fmla="*/ 351693 w 1626577"/>
              <a:gd name="connsiteY6" fmla="*/ 0 h 1589942"/>
              <a:gd name="connsiteX0" fmla="*/ 351693 w 1626577"/>
              <a:gd name="connsiteY0" fmla="*/ 0 h 1589942"/>
              <a:gd name="connsiteX1" fmla="*/ 1153609 w 1626577"/>
              <a:gd name="connsiteY1" fmla="*/ 43788 h 1589942"/>
              <a:gd name="connsiteX2" fmla="*/ 1047750 w 1626577"/>
              <a:gd name="connsiteY2" fmla="*/ 747346 h 1589942"/>
              <a:gd name="connsiteX3" fmla="*/ 1626577 w 1626577"/>
              <a:gd name="connsiteY3" fmla="*/ 634677 h 1589942"/>
              <a:gd name="connsiteX4" fmla="*/ 1589943 w 1626577"/>
              <a:gd name="connsiteY4" fmla="*/ 1589942 h 1589942"/>
              <a:gd name="connsiteX5" fmla="*/ 0 w 1626577"/>
              <a:gd name="connsiteY5" fmla="*/ 1487365 h 1589942"/>
              <a:gd name="connsiteX6" fmla="*/ 351693 w 1626577"/>
              <a:gd name="connsiteY6" fmla="*/ 0 h 1589942"/>
              <a:gd name="connsiteX0" fmla="*/ 351693 w 1626577"/>
              <a:gd name="connsiteY0" fmla="*/ 0 h 1589942"/>
              <a:gd name="connsiteX1" fmla="*/ 1153609 w 1626577"/>
              <a:gd name="connsiteY1" fmla="*/ 43788 h 1589942"/>
              <a:gd name="connsiteX2" fmla="*/ 1047750 w 1626577"/>
              <a:gd name="connsiteY2" fmla="*/ 604851 h 1589942"/>
              <a:gd name="connsiteX3" fmla="*/ 1626577 w 1626577"/>
              <a:gd name="connsiteY3" fmla="*/ 634677 h 1589942"/>
              <a:gd name="connsiteX4" fmla="*/ 1589943 w 1626577"/>
              <a:gd name="connsiteY4" fmla="*/ 1589942 h 1589942"/>
              <a:gd name="connsiteX5" fmla="*/ 0 w 1626577"/>
              <a:gd name="connsiteY5" fmla="*/ 1487365 h 1589942"/>
              <a:gd name="connsiteX6" fmla="*/ 351693 w 1626577"/>
              <a:gd name="connsiteY6" fmla="*/ 0 h 1589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626577" h="1589942">
                <a:moveTo>
                  <a:pt x="351693" y="0"/>
                </a:moveTo>
                <a:lnTo>
                  <a:pt x="1153609" y="43788"/>
                </a:lnTo>
                <a:lnTo>
                  <a:pt x="1047750" y="604851"/>
                </a:lnTo>
                <a:lnTo>
                  <a:pt x="1626577" y="634677"/>
                </a:lnTo>
                <a:lnTo>
                  <a:pt x="1589943" y="1589942"/>
                </a:lnTo>
                <a:lnTo>
                  <a:pt x="0" y="1487365"/>
                </a:lnTo>
                <a:lnTo>
                  <a:pt x="351693" y="0"/>
                </a:lnTo>
                <a:close/>
              </a:path>
            </a:pathLst>
          </a:custGeom>
          <a:noFill/>
          <a:ln w="28575">
            <a:solidFill>
              <a:srgbClr val="D20CA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56111775"/>
            <a:ext cx="74295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C00000"/>
                </a:solidFill>
              </a:rPr>
              <a:t>Wing A</a:t>
            </a:r>
          </a:p>
        </xdr:txBody>
      </xdr:sp>
      <xdr:sp macro="" textlink="">
        <xdr:nvSpPr>
          <xdr:cNvPr id="31" name="TextBox 30"/>
          <xdr:cNvSpPr txBox="1"/>
        </xdr:nvSpPr>
        <xdr:spPr>
          <a:xfrm>
            <a:off x="1276350" y="55987950"/>
            <a:ext cx="74295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D20CAC"/>
                </a:solidFill>
              </a:rPr>
              <a:t>Wing B</a:t>
            </a:r>
          </a:p>
        </xdr:txBody>
      </xdr:sp>
    </xdr:grpSp>
    <xdr:clientData/>
  </xdr:twoCellAnchor>
  <xdr:twoCellAnchor>
    <xdr:from>
      <xdr:col>1</xdr:col>
      <xdr:colOff>142874</xdr:colOff>
      <xdr:row>314</xdr:row>
      <xdr:rowOff>0</xdr:rowOff>
    </xdr:from>
    <xdr:to>
      <xdr:col>6</xdr:col>
      <xdr:colOff>600075</xdr:colOff>
      <xdr:row>330</xdr:row>
      <xdr:rowOff>165546</xdr:rowOff>
    </xdr:to>
    <xdr:grpSp>
      <xdr:nvGrpSpPr>
        <xdr:cNvPr id="13" name="Group 12"/>
        <xdr:cNvGrpSpPr/>
      </xdr:nvGrpSpPr>
      <xdr:grpSpPr>
        <a:xfrm>
          <a:off x="942974" y="62071250"/>
          <a:ext cx="4813301" cy="3315146"/>
          <a:chOff x="885824" y="63665100"/>
          <a:chExt cx="4610101" cy="3365946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85824" y="63665100"/>
            <a:ext cx="4610101" cy="3365946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2" name="L-Shape 11"/>
          <xdr:cNvSpPr/>
        </xdr:nvSpPr>
        <xdr:spPr>
          <a:xfrm rot="632773">
            <a:off x="2736685" y="65364481"/>
            <a:ext cx="777588" cy="429780"/>
          </a:xfrm>
          <a:prstGeom prst="corner">
            <a:avLst>
              <a:gd name="adj1" fmla="val 60894"/>
              <a:gd name="adj2" fmla="val 63208"/>
            </a:avLst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3" name="TextBox 32"/>
          <xdr:cNvSpPr txBox="1"/>
        </xdr:nvSpPr>
        <xdr:spPr>
          <a:xfrm rot="562844">
            <a:off x="2295525" y="65789175"/>
            <a:ext cx="21336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en-IN" sz="1200" b="1" i="0" baseline="0">
                <a:solidFill>
                  <a:srgbClr val="FFFF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Parijatak Phase I</a:t>
            </a:r>
            <a:endParaRPr lang="en-IN" sz="1600">
              <a:solidFill>
                <a:srgbClr val="FFFF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19</xdr:col>
      <xdr:colOff>216273</xdr:colOff>
      <xdr:row>222</xdr:row>
      <xdr:rowOff>144892</xdr:rowOff>
    </xdr:from>
    <xdr:ext cx="607089" cy="264560"/>
    <xdr:sp macro="" textlink="">
      <xdr:nvSpPr>
        <xdr:cNvPr id="32" name="TextBox 31"/>
        <xdr:cNvSpPr txBox="1"/>
      </xdr:nvSpPr>
      <xdr:spPr>
        <a:xfrm>
          <a:off x="13279130" y="45062071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twoCellAnchor editAs="oneCell">
    <xdr:from>
      <xdr:col>3</xdr:col>
      <xdr:colOff>793871</xdr:colOff>
      <xdr:row>244</xdr:row>
      <xdr:rowOff>14048</xdr:rowOff>
    </xdr:from>
    <xdr:to>
      <xdr:col>6</xdr:col>
      <xdr:colOff>552796</xdr:colOff>
      <xdr:row>253</xdr:row>
      <xdr:rowOff>42398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1171" y="48305798"/>
          <a:ext cx="2387825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455784</xdr:colOff>
      <xdr:row>222</xdr:row>
      <xdr:rowOff>182716</xdr:rowOff>
    </xdr:from>
    <xdr:to>
      <xdr:col>3</xdr:col>
      <xdr:colOff>793871</xdr:colOff>
      <xdr:row>233</xdr:row>
      <xdr:rowOff>177366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784" y="44143766"/>
          <a:ext cx="286538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94290</xdr:colOff>
      <xdr:row>222</xdr:row>
      <xdr:rowOff>182716</xdr:rowOff>
    </xdr:from>
    <xdr:to>
      <xdr:col>7</xdr:col>
      <xdr:colOff>897569</xdr:colOff>
      <xdr:row>233</xdr:row>
      <xdr:rowOff>177366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0490" y="44143766"/>
          <a:ext cx="1622429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607778</xdr:colOff>
      <xdr:row>234</xdr:row>
      <xdr:rowOff>81532</xdr:rowOff>
    </xdr:from>
    <xdr:to>
      <xdr:col>4</xdr:col>
      <xdr:colOff>81945</xdr:colOff>
      <xdr:row>243</xdr:row>
      <xdr:rowOff>109882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078" y="46404782"/>
          <a:ext cx="1353767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795020</xdr:colOff>
      <xdr:row>234</xdr:row>
      <xdr:rowOff>81532</xdr:rowOff>
    </xdr:from>
    <xdr:to>
      <xdr:col>2</xdr:col>
      <xdr:colOff>510487</xdr:colOff>
      <xdr:row>243</xdr:row>
      <xdr:rowOff>109882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020" y="46404782"/>
          <a:ext cx="1353767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179236</xdr:colOff>
      <xdr:row>234</xdr:row>
      <xdr:rowOff>81532</xdr:rowOff>
    </xdr:from>
    <xdr:to>
      <xdr:col>5</xdr:col>
      <xdr:colOff>713853</xdr:colOff>
      <xdr:row>243</xdr:row>
      <xdr:rowOff>109882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7136" y="46404782"/>
          <a:ext cx="1353767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528039</xdr:colOff>
      <xdr:row>208</xdr:row>
      <xdr:rowOff>95250</xdr:rowOff>
    </xdr:from>
    <xdr:to>
      <xdr:col>7</xdr:col>
      <xdr:colOff>947463</xdr:colOff>
      <xdr:row>222</xdr:row>
      <xdr:rowOff>81700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5089" y="41306750"/>
          <a:ext cx="2057724" cy="273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231813</xdr:colOff>
      <xdr:row>244</xdr:row>
      <xdr:rowOff>14048</xdr:rowOff>
    </xdr:from>
    <xdr:to>
      <xdr:col>3</xdr:col>
      <xdr:colOff>690938</xdr:colOff>
      <xdr:row>253</xdr:row>
      <xdr:rowOff>42398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113" y="48305798"/>
          <a:ext cx="1348125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444500</xdr:colOff>
      <xdr:row>208</xdr:row>
      <xdr:rowOff>95250</xdr:rowOff>
    </xdr:from>
    <xdr:to>
      <xdr:col>2</xdr:col>
      <xdr:colOff>863924</xdr:colOff>
      <xdr:row>222</xdr:row>
      <xdr:rowOff>81700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41306750"/>
          <a:ext cx="2057724" cy="273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946271</xdr:colOff>
      <xdr:row>222</xdr:row>
      <xdr:rowOff>182716</xdr:rowOff>
    </xdr:from>
    <xdr:to>
      <xdr:col>5</xdr:col>
      <xdr:colOff>761040</xdr:colOff>
      <xdr:row>233</xdr:row>
      <xdr:rowOff>177366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3571" y="44143766"/>
          <a:ext cx="1624519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811144</xdr:colOff>
      <xdr:row>234</xdr:row>
      <xdr:rowOff>81532</xdr:rowOff>
    </xdr:from>
    <xdr:to>
      <xdr:col>7</xdr:col>
      <xdr:colOff>526611</xdr:colOff>
      <xdr:row>243</xdr:row>
      <xdr:rowOff>109882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8194" y="46404782"/>
          <a:ext cx="1353767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127665</xdr:colOff>
      <xdr:row>208</xdr:row>
      <xdr:rowOff>95250</xdr:rowOff>
    </xdr:from>
    <xdr:to>
      <xdr:col>5</xdr:col>
      <xdr:colOff>375639</xdr:colOff>
      <xdr:row>222</xdr:row>
      <xdr:rowOff>81700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4965" y="41306750"/>
          <a:ext cx="2057724" cy="273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deoMvSURmYq152H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22"/>
  <sheetViews>
    <sheetView tabSelected="1" view="pageBreakPreview" zoomScaleNormal="100" zoomScaleSheetLayoutView="100" zoomScalePageLayoutView="70" workbookViewId="0">
      <selection activeCell="E9" sqref="E9:H9"/>
    </sheetView>
  </sheetViews>
  <sheetFormatPr defaultColWidth="9.1796875" defaultRowHeight="15.5" x14ac:dyDescent="0.35"/>
  <cols>
    <col min="1" max="1" width="11.453125" style="67" customWidth="1"/>
    <col min="2" max="2" width="12" style="67" customWidth="1"/>
    <col min="3" max="3" width="12.7265625" style="67" customWidth="1"/>
    <col min="4" max="4" width="14.1796875" style="67" customWidth="1"/>
    <col min="5" max="7" width="11.7265625" style="67" customWidth="1"/>
    <col min="8" max="8" width="19.26953125" style="67" customWidth="1"/>
    <col min="9" max="9" width="17.453125" style="35" customWidth="1"/>
    <col min="10" max="10" width="11.453125" style="35" customWidth="1"/>
    <col min="11" max="11" width="10.54296875" style="35" bestFit="1" customWidth="1"/>
    <col min="12" max="12" width="11.81640625" style="35" bestFit="1" customWidth="1"/>
    <col min="13" max="13" width="11.81640625" style="35" customWidth="1"/>
    <col min="14" max="14" width="12.54296875" style="35" hidden="1" customWidth="1"/>
    <col min="15" max="15" width="0.26953125" style="35" customWidth="1"/>
    <col min="16" max="16" width="0.54296875" style="35" customWidth="1"/>
    <col min="17" max="247" width="9.1796875" style="35"/>
    <col min="248" max="248" width="8.7265625" style="35" customWidth="1"/>
    <col min="249" max="249" width="9.81640625" style="35" customWidth="1"/>
    <col min="250" max="250" width="14.453125" style="35" customWidth="1"/>
    <col min="251" max="251" width="7.26953125" style="35" customWidth="1"/>
    <col min="252" max="252" width="5.54296875" style="35" customWidth="1"/>
    <col min="253" max="253" width="9" style="35" customWidth="1"/>
    <col min="254" max="255" width="9.81640625" style="35" customWidth="1"/>
    <col min="256" max="256" width="11.1796875" style="35" customWidth="1"/>
    <col min="257" max="257" width="2.81640625" style="35" customWidth="1"/>
    <col min="258" max="258" width="3.54296875" style="35" customWidth="1"/>
    <col min="259" max="503" width="9.1796875" style="35"/>
    <col min="504" max="504" width="8.7265625" style="35" customWidth="1"/>
    <col min="505" max="505" width="9.81640625" style="35" customWidth="1"/>
    <col min="506" max="506" width="14.453125" style="35" customWidth="1"/>
    <col min="507" max="507" width="7.26953125" style="35" customWidth="1"/>
    <col min="508" max="508" width="5.54296875" style="35" customWidth="1"/>
    <col min="509" max="509" width="9" style="35" customWidth="1"/>
    <col min="510" max="511" width="9.81640625" style="35" customWidth="1"/>
    <col min="512" max="512" width="11.1796875" style="35" customWidth="1"/>
    <col min="513" max="513" width="2.81640625" style="35" customWidth="1"/>
    <col min="514" max="514" width="3.54296875" style="35" customWidth="1"/>
    <col min="515" max="759" width="9.1796875" style="35"/>
    <col min="760" max="760" width="8.7265625" style="35" customWidth="1"/>
    <col min="761" max="761" width="9.81640625" style="35" customWidth="1"/>
    <col min="762" max="762" width="14.453125" style="35" customWidth="1"/>
    <col min="763" max="763" width="7.26953125" style="35" customWidth="1"/>
    <col min="764" max="764" width="5.54296875" style="35" customWidth="1"/>
    <col min="765" max="765" width="9" style="35" customWidth="1"/>
    <col min="766" max="767" width="9.81640625" style="35" customWidth="1"/>
    <col min="768" max="768" width="11.1796875" style="35" customWidth="1"/>
    <col min="769" max="769" width="2.81640625" style="35" customWidth="1"/>
    <col min="770" max="770" width="3.54296875" style="35" customWidth="1"/>
    <col min="771" max="1015" width="9.1796875" style="35"/>
    <col min="1016" max="1016" width="8.7265625" style="35" customWidth="1"/>
    <col min="1017" max="1017" width="9.81640625" style="35" customWidth="1"/>
    <col min="1018" max="1018" width="14.453125" style="35" customWidth="1"/>
    <col min="1019" max="1019" width="7.26953125" style="35" customWidth="1"/>
    <col min="1020" max="1020" width="5.54296875" style="35" customWidth="1"/>
    <col min="1021" max="1021" width="9" style="35" customWidth="1"/>
    <col min="1022" max="1023" width="9.81640625" style="35" customWidth="1"/>
    <col min="1024" max="1024" width="11.1796875" style="35" customWidth="1"/>
    <col min="1025" max="1025" width="2.81640625" style="35" customWidth="1"/>
    <col min="1026" max="1026" width="3.54296875" style="35" customWidth="1"/>
    <col min="1027" max="1271" width="9.1796875" style="35"/>
    <col min="1272" max="1272" width="8.7265625" style="35" customWidth="1"/>
    <col min="1273" max="1273" width="9.81640625" style="35" customWidth="1"/>
    <col min="1274" max="1274" width="14.453125" style="35" customWidth="1"/>
    <col min="1275" max="1275" width="7.26953125" style="35" customWidth="1"/>
    <col min="1276" max="1276" width="5.54296875" style="35" customWidth="1"/>
    <col min="1277" max="1277" width="9" style="35" customWidth="1"/>
    <col min="1278" max="1279" width="9.81640625" style="35" customWidth="1"/>
    <col min="1280" max="1280" width="11.1796875" style="35" customWidth="1"/>
    <col min="1281" max="1281" width="2.81640625" style="35" customWidth="1"/>
    <col min="1282" max="1282" width="3.54296875" style="35" customWidth="1"/>
    <col min="1283" max="1527" width="9.1796875" style="35"/>
    <col min="1528" max="1528" width="8.7265625" style="35" customWidth="1"/>
    <col min="1529" max="1529" width="9.81640625" style="35" customWidth="1"/>
    <col min="1530" max="1530" width="14.453125" style="35" customWidth="1"/>
    <col min="1531" max="1531" width="7.26953125" style="35" customWidth="1"/>
    <col min="1532" max="1532" width="5.54296875" style="35" customWidth="1"/>
    <col min="1533" max="1533" width="9" style="35" customWidth="1"/>
    <col min="1534" max="1535" width="9.81640625" style="35" customWidth="1"/>
    <col min="1536" max="1536" width="11.1796875" style="35" customWidth="1"/>
    <col min="1537" max="1537" width="2.81640625" style="35" customWidth="1"/>
    <col min="1538" max="1538" width="3.54296875" style="35" customWidth="1"/>
    <col min="1539" max="1783" width="9.1796875" style="35"/>
    <col min="1784" max="1784" width="8.7265625" style="35" customWidth="1"/>
    <col min="1785" max="1785" width="9.81640625" style="35" customWidth="1"/>
    <col min="1786" max="1786" width="14.453125" style="35" customWidth="1"/>
    <col min="1787" max="1787" width="7.26953125" style="35" customWidth="1"/>
    <col min="1788" max="1788" width="5.54296875" style="35" customWidth="1"/>
    <col min="1789" max="1789" width="9" style="35" customWidth="1"/>
    <col min="1790" max="1791" width="9.81640625" style="35" customWidth="1"/>
    <col min="1792" max="1792" width="11.1796875" style="35" customWidth="1"/>
    <col min="1793" max="1793" width="2.81640625" style="35" customWidth="1"/>
    <col min="1794" max="1794" width="3.54296875" style="35" customWidth="1"/>
    <col min="1795" max="2039" width="9.1796875" style="35"/>
    <col min="2040" max="2040" width="8.7265625" style="35" customWidth="1"/>
    <col min="2041" max="2041" width="9.81640625" style="35" customWidth="1"/>
    <col min="2042" max="2042" width="14.453125" style="35" customWidth="1"/>
    <col min="2043" max="2043" width="7.26953125" style="35" customWidth="1"/>
    <col min="2044" max="2044" width="5.54296875" style="35" customWidth="1"/>
    <col min="2045" max="2045" width="9" style="35" customWidth="1"/>
    <col min="2046" max="2047" width="9.81640625" style="35" customWidth="1"/>
    <col min="2048" max="2048" width="11.1796875" style="35" customWidth="1"/>
    <col min="2049" max="2049" width="2.81640625" style="35" customWidth="1"/>
    <col min="2050" max="2050" width="3.54296875" style="35" customWidth="1"/>
    <col min="2051" max="2295" width="9.1796875" style="35"/>
    <col min="2296" max="2296" width="8.7265625" style="35" customWidth="1"/>
    <col min="2297" max="2297" width="9.81640625" style="35" customWidth="1"/>
    <col min="2298" max="2298" width="14.453125" style="35" customWidth="1"/>
    <col min="2299" max="2299" width="7.26953125" style="35" customWidth="1"/>
    <col min="2300" max="2300" width="5.54296875" style="35" customWidth="1"/>
    <col min="2301" max="2301" width="9" style="35" customWidth="1"/>
    <col min="2302" max="2303" width="9.81640625" style="35" customWidth="1"/>
    <col min="2304" max="2304" width="11.1796875" style="35" customWidth="1"/>
    <col min="2305" max="2305" width="2.81640625" style="35" customWidth="1"/>
    <col min="2306" max="2306" width="3.54296875" style="35" customWidth="1"/>
    <col min="2307" max="2551" width="9.1796875" style="35"/>
    <col min="2552" max="2552" width="8.7265625" style="35" customWidth="1"/>
    <col min="2553" max="2553" width="9.81640625" style="35" customWidth="1"/>
    <col min="2554" max="2554" width="14.453125" style="35" customWidth="1"/>
    <col min="2555" max="2555" width="7.26953125" style="35" customWidth="1"/>
    <col min="2556" max="2556" width="5.54296875" style="35" customWidth="1"/>
    <col min="2557" max="2557" width="9" style="35" customWidth="1"/>
    <col min="2558" max="2559" width="9.81640625" style="35" customWidth="1"/>
    <col min="2560" max="2560" width="11.1796875" style="35" customWidth="1"/>
    <col min="2561" max="2561" width="2.81640625" style="35" customWidth="1"/>
    <col min="2562" max="2562" width="3.54296875" style="35" customWidth="1"/>
    <col min="2563" max="2807" width="9.1796875" style="35"/>
    <col min="2808" max="2808" width="8.7265625" style="35" customWidth="1"/>
    <col min="2809" max="2809" width="9.81640625" style="35" customWidth="1"/>
    <col min="2810" max="2810" width="14.453125" style="35" customWidth="1"/>
    <col min="2811" max="2811" width="7.26953125" style="35" customWidth="1"/>
    <col min="2812" max="2812" width="5.54296875" style="35" customWidth="1"/>
    <col min="2813" max="2813" width="9" style="35" customWidth="1"/>
    <col min="2814" max="2815" width="9.81640625" style="35" customWidth="1"/>
    <col min="2816" max="2816" width="11.1796875" style="35" customWidth="1"/>
    <col min="2817" max="2817" width="2.81640625" style="35" customWidth="1"/>
    <col min="2818" max="2818" width="3.54296875" style="35" customWidth="1"/>
    <col min="2819" max="3063" width="9.1796875" style="35"/>
    <col min="3064" max="3064" width="8.7265625" style="35" customWidth="1"/>
    <col min="3065" max="3065" width="9.81640625" style="35" customWidth="1"/>
    <col min="3066" max="3066" width="14.453125" style="35" customWidth="1"/>
    <col min="3067" max="3067" width="7.26953125" style="35" customWidth="1"/>
    <col min="3068" max="3068" width="5.54296875" style="35" customWidth="1"/>
    <col min="3069" max="3069" width="9" style="35" customWidth="1"/>
    <col min="3070" max="3071" width="9.81640625" style="35" customWidth="1"/>
    <col min="3072" max="3072" width="11.1796875" style="35" customWidth="1"/>
    <col min="3073" max="3073" width="2.81640625" style="35" customWidth="1"/>
    <col min="3074" max="3074" width="3.54296875" style="35" customWidth="1"/>
    <col min="3075" max="3319" width="9.1796875" style="35"/>
    <col min="3320" max="3320" width="8.7265625" style="35" customWidth="1"/>
    <col min="3321" max="3321" width="9.81640625" style="35" customWidth="1"/>
    <col min="3322" max="3322" width="14.453125" style="35" customWidth="1"/>
    <col min="3323" max="3323" width="7.26953125" style="35" customWidth="1"/>
    <col min="3324" max="3324" width="5.54296875" style="35" customWidth="1"/>
    <col min="3325" max="3325" width="9" style="35" customWidth="1"/>
    <col min="3326" max="3327" width="9.81640625" style="35" customWidth="1"/>
    <col min="3328" max="3328" width="11.1796875" style="35" customWidth="1"/>
    <col min="3329" max="3329" width="2.81640625" style="35" customWidth="1"/>
    <col min="3330" max="3330" width="3.54296875" style="35" customWidth="1"/>
    <col min="3331" max="3575" width="9.1796875" style="35"/>
    <col min="3576" max="3576" width="8.7265625" style="35" customWidth="1"/>
    <col min="3577" max="3577" width="9.81640625" style="35" customWidth="1"/>
    <col min="3578" max="3578" width="14.453125" style="35" customWidth="1"/>
    <col min="3579" max="3579" width="7.26953125" style="35" customWidth="1"/>
    <col min="3580" max="3580" width="5.54296875" style="35" customWidth="1"/>
    <col min="3581" max="3581" width="9" style="35" customWidth="1"/>
    <col min="3582" max="3583" width="9.81640625" style="35" customWidth="1"/>
    <col min="3584" max="3584" width="11.1796875" style="35" customWidth="1"/>
    <col min="3585" max="3585" width="2.81640625" style="35" customWidth="1"/>
    <col min="3586" max="3586" width="3.54296875" style="35" customWidth="1"/>
    <col min="3587" max="3831" width="9.1796875" style="35"/>
    <col min="3832" max="3832" width="8.7265625" style="35" customWidth="1"/>
    <col min="3833" max="3833" width="9.81640625" style="35" customWidth="1"/>
    <col min="3834" max="3834" width="14.453125" style="35" customWidth="1"/>
    <col min="3835" max="3835" width="7.26953125" style="35" customWidth="1"/>
    <col min="3836" max="3836" width="5.54296875" style="35" customWidth="1"/>
    <col min="3837" max="3837" width="9" style="35" customWidth="1"/>
    <col min="3838" max="3839" width="9.81640625" style="35" customWidth="1"/>
    <col min="3840" max="3840" width="11.1796875" style="35" customWidth="1"/>
    <col min="3841" max="3841" width="2.81640625" style="35" customWidth="1"/>
    <col min="3842" max="3842" width="3.54296875" style="35" customWidth="1"/>
    <col min="3843" max="4087" width="9.1796875" style="35"/>
    <col min="4088" max="4088" width="8.7265625" style="35" customWidth="1"/>
    <col min="4089" max="4089" width="9.81640625" style="35" customWidth="1"/>
    <col min="4090" max="4090" width="14.453125" style="35" customWidth="1"/>
    <col min="4091" max="4091" width="7.26953125" style="35" customWidth="1"/>
    <col min="4092" max="4092" width="5.54296875" style="35" customWidth="1"/>
    <col min="4093" max="4093" width="9" style="35" customWidth="1"/>
    <col min="4094" max="4095" width="9.81640625" style="35" customWidth="1"/>
    <col min="4096" max="4096" width="11.1796875" style="35" customWidth="1"/>
    <col min="4097" max="4097" width="2.81640625" style="35" customWidth="1"/>
    <col min="4098" max="4098" width="3.54296875" style="35" customWidth="1"/>
    <col min="4099" max="4343" width="9.1796875" style="35"/>
    <col min="4344" max="4344" width="8.7265625" style="35" customWidth="1"/>
    <col min="4345" max="4345" width="9.81640625" style="35" customWidth="1"/>
    <col min="4346" max="4346" width="14.453125" style="35" customWidth="1"/>
    <col min="4347" max="4347" width="7.26953125" style="35" customWidth="1"/>
    <col min="4348" max="4348" width="5.54296875" style="35" customWidth="1"/>
    <col min="4349" max="4349" width="9" style="35" customWidth="1"/>
    <col min="4350" max="4351" width="9.81640625" style="35" customWidth="1"/>
    <col min="4352" max="4352" width="11.1796875" style="35" customWidth="1"/>
    <col min="4353" max="4353" width="2.81640625" style="35" customWidth="1"/>
    <col min="4354" max="4354" width="3.54296875" style="35" customWidth="1"/>
    <col min="4355" max="4599" width="9.1796875" style="35"/>
    <col min="4600" max="4600" width="8.7265625" style="35" customWidth="1"/>
    <col min="4601" max="4601" width="9.81640625" style="35" customWidth="1"/>
    <col min="4602" max="4602" width="14.453125" style="35" customWidth="1"/>
    <col min="4603" max="4603" width="7.26953125" style="35" customWidth="1"/>
    <col min="4604" max="4604" width="5.54296875" style="35" customWidth="1"/>
    <col min="4605" max="4605" width="9" style="35" customWidth="1"/>
    <col min="4606" max="4607" width="9.81640625" style="35" customWidth="1"/>
    <col min="4608" max="4608" width="11.1796875" style="35" customWidth="1"/>
    <col min="4609" max="4609" width="2.81640625" style="35" customWidth="1"/>
    <col min="4610" max="4610" width="3.54296875" style="35" customWidth="1"/>
    <col min="4611" max="4855" width="9.1796875" style="35"/>
    <col min="4856" max="4856" width="8.7265625" style="35" customWidth="1"/>
    <col min="4857" max="4857" width="9.81640625" style="35" customWidth="1"/>
    <col min="4858" max="4858" width="14.453125" style="35" customWidth="1"/>
    <col min="4859" max="4859" width="7.26953125" style="35" customWidth="1"/>
    <col min="4860" max="4860" width="5.54296875" style="35" customWidth="1"/>
    <col min="4861" max="4861" width="9" style="35" customWidth="1"/>
    <col min="4862" max="4863" width="9.81640625" style="35" customWidth="1"/>
    <col min="4864" max="4864" width="11.1796875" style="35" customWidth="1"/>
    <col min="4865" max="4865" width="2.81640625" style="35" customWidth="1"/>
    <col min="4866" max="4866" width="3.54296875" style="35" customWidth="1"/>
    <col min="4867" max="5111" width="9.1796875" style="35"/>
    <col min="5112" max="5112" width="8.7265625" style="35" customWidth="1"/>
    <col min="5113" max="5113" width="9.81640625" style="35" customWidth="1"/>
    <col min="5114" max="5114" width="14.453125" style="35" customWidth="1"/>
    <col min="5115" max="5115" width="7.26953125" style="35" customWidth="1"/>
    <col min="5116" max="5116" width="5.54296875" style="35" customWidth="1"/>
    <col min="5117" max="5117" width="9" style="35" customWidth="1"/>
    <col min="5118" max="5119" width="9.81640625" style="35" customWidth="1"/>
    <col min="5120" max="5120" width="11.1796875" style="35" customWidth="1"/>
    <col min="5121" max="5121" width="2.81640625" style="35" customWidth="1"/>
    <col min="5122" max="5122" width="3.54296875" style="35" customWidth="1"/>
    <col min="5123" max="5367" width="9.1796875" style="35"/>
    <col min="5368" max="5368" width="8.7265625" style="35" customWidth="1"/>
    <col min="5369" max="5369" width="9.81640625" style="35" customWidth="1"/>
    <col min="5370" max="5370" width="14.453125" style="35" customWidth="1"/>
    <col min="5371" max="5371" width="7.26953125" style="35" customWidth="1"/>
    <col min="5372" max="5372" width="5.54296875" style="35" customWidth="1"/>
    <col min="5373" max="5373" width="9" style="35" customWidth="1"/>
    <col min="5374" max="5375" width="9.81640625" style="35" customWidth="1"/>
    <col min="5376" max="5376" width="11.1796875" style="35" customWidth="1"/>
    <col min="5377" max="5377" width="2.81640625" style="35" customWidth="1"/>
    <col min="5378" max="5378" width="3.54296875" style="35" customWidth="1"/>
    <col min="5379" max="5623" width="9.1796875" style="35"/>
    <col min="5624" max="5624" width="8.7265625" style="35" customWidth="1"/>
    <col min="5625" max="5625" width="9.81640625" style="35" customWidth="1"/>
    <col min="5626" max="5626" width="14.453125" style="35" customWidth="1"/>
    <col min="5627" max="5627" width="7.26953125" style="35" customWidth="1"/>
    <col min="5628" max="5628" width="5.54296875" style="35" customWidth="1"/>
    <col min="5629" max="5629" width="9" style="35" customWidth="1"/>
    <col min="5630" max="5631" width="9.81640625" style="35" customWidth="1"/>
    <col min="5632" max="5632" width="11.1796875" style="35" customWidth="1"/>
    <col min="5633" max="5633" width="2.81640625" style="35" customWidth="1"/>
    <col min="5634" max="5634" width="3.54296875" style="35" customWidth="1"/>
    <col min="5635" max="5879" width="9.1796875" style="35"/>
    <col min="5880" max="5880" width="8.7265625" style="35" customWidth="1"/>
    <col min="5881" max="5881" width="9.81640625" style="35" customWidth="1"/>
    <col min="5882" max="5882" width="14.453125" style="35" customWidth="1"/>
    <col min="5883" max="5883" width="7.26953125" style="35" customWidth="1"/>
    <col min="5884" max="5884" width="5.54296875" style="35" customWidth="1"/>
    <col min="5885" max="5885" width="9" style="35" customWidth="1"/>
    <col min="5886" max="5887" width="9.81640625" style="35" customWidth="1"/>
    <col min="5888" max="5888" width="11.1796875" style="35" customWidth="1"/>
    <col min="5889" max="5889" width="2.81640625" style="35" customWidth="1"/>
    <col min="5890" max="5890" width="3.54296875" style="35" customWidth="1"/>
    <col min="5891" max="6135" width="9.1796875" style="35"/>
    <col min="6136" max="6136" width="8.7265625" style="35" customWidth="1"/>
    <col min="6137" max="6137" width="9.81640625" style="35" customWidth="1"/>
    <col min="6138" max="6138" width="14.453125" style="35" customWidth="1"/>
    <col min="6139" max="6139" width="7.26953125" style="35" customWidth="1"/>
    <col min="6140" max="6140" width="5.54296875" style="35" customWidth="1"/>
    <col min="6141" max="6141" width="9" style="35" customWidth="1"/>
    <col min="6142" max="6143" width="9.81640625" style="35" customWidth="1"/>
    <col min="6144" max="6144" width="11.1796875" style="35" customWidth="1"/>
    <col min="6145" max="6145" width="2.81640625" style="35" customWidth="1"/>
    <col min="6146" max="6146" width="3.54296875" style="35" customWidth="1"/>
    <col min="6147" max="6391" width="9.1796875" style="35"/>
    <col min="6392" max="6392" width="8.7265625" style="35" customWidth="1"/>
    <col min="6393" max="6393" width="9.81640625" style="35" customWidth="1"/>
    <col min="6394" max="6394" width="14.453125" style="35" customWidth="1"/>
    <col min="6395" max="6395" width="7.26953125" style="35" customWidth="1"/>
    <col min="6396" max="6396" width="5.54296875" style="35" customWidth="1"/>
    <col min="6397" max="6397" width="9" style="35" customWidth="1"/>
    <col min="6398" max="6399" width="9.81640625" style="35" customWidth="1"/>
    <col min="6400" max="6400" width="11.1796875" style="35" customWidth="1"/>
    <col min="6401" max="6401" width="2.81640625" style="35" customWidth="1"/>
    <col min="6402" max="6402" width="3.54296875" style="35" customWidth="1"/>
    <col min="6403" max="6647" width="9.1796875" style="35"/>
    <col min="6648" max="6648" width="8.7265625" style="35" customWidth="1"/>
    <col min="6649" max="6649" width="9.81640625" style="35" customWidth="1"/>
    <col min="6650" max="6650" width="14.453125" style="35" customWidth="1"/>
    <col min="6651" max="6651" width="7.26953125" style="35" customWidth="1"/>
    <col min="6652" max="6652" width="5.54296875" style="35" customWidth="1"/>
    <col min="6653" max="6653" width="9" style="35" customWidth="1"/>
    <col min="6654" max="6655" width="9.81640625" style="35" customWidth="1"/>
    <col min="6656" max="6656" width="11.1796875" style="35" customWidth="1"/>
    <col min="6657" max="6657" width="2.81640625" style="35" customWidth="1"/>
    <col min="6658" max="6658" width="3.54296875" style="35" customWidth="1"/>
    <col min="6659" max="6903" width="9.1796875" style="35"/>
    <col min="6904" max="6904" width="8.7265625" style="35" customWidth="1"/>
    <col min="6905" max="6905" width="9.81640625" style="35" customWidth="1"/>
    <col min="6906" max="6906" width="14.453125" style="35" customWidth="1"/>
    <col min="6907" max="6907" width="7.26953125" style="35" customWidth="1"/>
    <col min="6908" max="6908" width="5.54296875" style="35" customWidth="1"/>
    <col min="6909" max="6909" width="9" style="35" customWidth="1"/>
    <col min="6910" max="6911" width="9.81640625" style="35" customWidth="1"/>
    <col min="6912" max="6912" width="11.1796875" style="35" customWidth="1"/>
    <col min="6913" max="6913" width="2.81640625" style="35" customWidth="1"/>
    <col min="6914" max="6914" width="3.54296875" style="35" customWidth="1"/>
    <col min="6915" max="7159" width="9.1796875" style="35"/>
    <col min="7160" max="7160" width="8.7265625" style="35" customWidth="1"/>
    <col min="7161" max="7161" width="9.81640625" style="35" customWidth="1"/>
    <col min="7162" max="7162" width="14.453125" style="35" customWidth="1"/>
    <col min="7163" max="7163" width="7.26953125" style="35" customWidth="1"/>
    <col min="7164" max="7164" width="5.54296875" style="35" customWidth="1"/>
    <col min="7165" max="7165" width="9" style="35" customWidth="1"/>
    <col min="7166" max="7167" width="9.81640625" style="35" customWidth="1"/>
    <col min="7168" max="7168" width="11.1796875" style="35" customWidth="1"/>
    <col min="7169" max="7169" width="2.81640625" style="35" customWidth="1"/>
    <col min="7170" max="7170" width="3.54296875" style="35" customWidth="1"/>
    <col min="7171" max="7415" width="9.1796875" style="35"/>
    <col min="7416" max="7416" width="8.7265625" style="35" customWidth="1"/>
    <col min="7417" max="7417" width="9.81640625" style="35" customWidth="1"/>
    <col min="7418" max="7418" width="14.453125" style="35" customWidth="1"/>
    <col min="7419" max="7419" width="7.26953125" style="35" customWidth="1"/>
    <col min="7420" max="7420" width="5.54296875" style="35" customWidth="1"/>
    <col min="7421" max="7421" width="9" style="35" customWidth="1"/>
    <col min="7422" max="7423" width="9.81640625" style="35" customWidth="1"/>
    <col min="7424" max="7424" width="11.1796875" style="35" customWidth="1"/>
    <col min="7425" max="7425" width="2.81640625" style="35" customWidth="1"/>
    <col min="7426" max="7426" width="3.54296875" style="35" customWidth="1"/>
    <col min="7427" max="7671" width="9.1796875" style="35"/>
    <col min="7672" max="7672" width="8.7265625" style="35" customWidth="1"/>
    <col min="7673" max="7673" width="9.81640625" style="35" customWidth="1"/>
    <col min="7674" max="7674" width="14.453125" style="35" customWidth="1"/>
    <col min="7675" max="7675" width="7.26953125" style="35" customWidth="1"/>
    <col min="7676" max="7676" width="5.54296875" style="35" customWidth="1"/>
    <col min="7677" max="7677" width="9" style="35" customWidth="1"/>
    <col min="7678" max="7679" width="9.81640625" style="35" customWidth="1"/>
    <col min="7680" max="7680" width="11.1796875" style="35" customWidth="1"/>
    <col min="7681" max="7681" width="2.81640625" style="35" customWidth="1"/>
    <col min="7682" max="7682" width="3.54296875" style="35" customWidth="1"/>
    <col min="7683" max="7927" width="9.1796875" style="35"/>
    <col min="7928" max="7928" width="8.7265625" style="35" customWidth="1"/>
    <col min="7929" max="7929" width="9.81640625" style="35" customWidth="1"/>
    <col min="7930" max="7930" width="14.453125" style="35" customWidth="1"/>
    <col min="7931" max="7931" width="7.26953125" style="35" customWidth="1"/>
    <col min="7932" max="7932" width="5.54296875" style="35" customWidth="1"/>
    <col min="7933" max="7933" width="9" style="35" customWidth="1"/>
    <col min="7934" max="7935" width="9.81640625" style="35" customWidth="1"/>
    <col min="7936" max="7936" width="11.1796875" style="35" customWidth="1"/>
    <col min="7937" max="7937" width="2.81640625" style="35" customWidth="1"/>
    <col min="7938" max="7938" width="3.54296875" style="35" customWidth="1"/>
    <col min="7939" max="8183" width="9.1796875" style="35"/>
    <col min="8184" max="8184" width="8.7265625" style="35" customWidth="1"/>
    <col min="8185" max="8185" width="9.81640625" style="35" customWidth="1"/>
    <col min="8186" max="8186" width="14.453125" style="35" customWidth="1"/>
    <col min="8187" max="8187" width="7.26953125" style="35" customWidth="1"/>
    <col min="8188" max="8188" width="5.54296875" style="35" customWidth="1"/>
    <col min="8189" max="8189" width="9" style="35" customWidth="1"/>
    <col min="8190" max="8191" width="9.81640625" style="35" customWidth="1"/>
    <col min="8192" max="8192" width="11.1796875" style="35" customWidth="1"/>
    <col min="8193" max="8193" width="2.81640625" style="35" customWidth="1"/>
    <col min="8194" max="8194" width="3.54296875" style="35" customWidth="1"/>
    <col min="8195" max="8439" width="9.1796875" style="35"/>
    <col min="8440" max="8440" width="8.7265625" style="35" customWidth="1"/>
    <col min="8441" max="8441" width="9.81640625" style="35" customWidth="1"/>
    <col min="8442" max="8442" width="14.453125" style="35" customWidth="1"/>
    <col min="8443" max="8443" width="7.26953125" style="35" customWidth="1"/>
    <col min="8444" max="8444" width="5.54296875" style="35" customWidth="1"/>
    <col min="8445" max="8445" width="9" style="35" customWidth="1"/>
    <col min="8446" max="8447" width="9.81640625" style="35" customWidth="1"/>
    <col min="8448" max="8448" width="11.1796875" style="35" customWidth="1"/>
    <col min="8449" max="8449" width="2.81640625" style="35" customWidth="1"/>
    <col min="8450" max="8450" width="3.54296875" style="35" customWidth="1"/>
    <col min="8451" max="8695" width="9.1796875" style="35"/>
    <col min="8696" max="8696" width="8.7265625" style="35" customWidth="1"/>
    <col min="8697" max="8697" width="9.81640625" style="35" customWidth="1"/>
    <col min="8698" max="8698" width="14.453125" style="35" customWidth="1"/>
    <col min="8699" max="8699" width="7.26953125" style="35" customWidth="1"/>
    <col min="8700" max="8700" width="5.54296875" style="35" customWidth="1"/>
    <col min="8701" max="8701" width="9" style="35" customWidth="1"/>
    <col min="8702" max="8703" width="9.81640625" style="35" customWidth="1"/>
    <col min="8704" max="8704" width="11.1796875" style="35" customWidth="1"/>
    <col min="8705" max="8705" width="2.81640625" style="35" customWidth="1"/>
    <col min="8706" max="8706" width="3.54296875" style="35" customWidth="1"/>
    <col min="8707" max="8951" width="9.1796875" style="35"/>
    <col min="8952" max="8952" width="8.7265625" style="35" customWidth="1"/>
    <col min="8953" max="8953" width="9.81640625" style="35" customWidth="1"/>
    <col min="8954" max="8954" width="14.453125" style="35" customWidth="1"/>
    <col min="8955" max="8955" width="7.26953125" style="35" customWidth="1"/>
    <col min="8956" max="8956" width="5.54296875" style="35" customWidth="1"/>
    <col min="8957" max="8957" width="9" style="35" customWidth="1"/>
    <col min="8958" max="8959" width="9.81640625" style="35" customWidth="1"/>
    <col min="8960" max="8960" width="11.1796875" style="35" customWidth="1"/>
    <col min="8961" max="8961" width="2.81640625" style="35" customWidth="1"/>
    <col min="8962" max="8962" width="3.54296875" style="35" customWidth="1"/>
    <col min="8963" max="9207" width="9.1796875" style="35"/>
    <col min="9208" max="9208" width="8.7265625" style="35" customWidth="1"/>
    <col min="9209" max="9209" width="9.81640625" style="35" customWidth="1"/>
    <col min="9210" max="9210" width="14.453125" style="35" customWidth="1"/>
    <col min="9211" max="9211" width="7.26953125" style="35" customWidth="1"/>
    <col min="9212" max="9212" width="5.54296875" style="35" customWidth="1"/>
    <col min="9213" max="9213" width="9" style="35" customWidth="1"/>
    <col min="9214" max="9215" width="9.81640625" style="35" customWidth="1"/>
    <col min="9216" max="9216" width="11.1796875" style="35" customWidth="1"/>
    <col min="9217" max="9217" width="2.81640625" style="35" customWidth="1"/>
    <col min="9218" max="9218" width="3.54296875" style="35" customWidth="1"/>
    <col min="9219" max="9463" width="9.1796875" style="35"/>
    <col min="9464" max="9464" width="8.7265625" style="35" customWidth="1"/>
    <col min="9465" max="9465" width="9.81640625" style="35" customWidth="1"/>
    <col min="9466" max="9466" width="14.453125" style="35" customWidth="1"/>
    <col min="9467" max="9467" width="7.26953125" style="35" customWidth="1"/>
    <col min="9468" max="9468" width="5.54296875" style="35" customWidth="1"/>
    <col min="9469" max="9469" width="9" style="35" customWidth="1"/>
    <col min="9470" max="9471" width="9.81640625" style="35" customWidth="1"/>
    <col min="9472" max="9472" width="11.1796875" style="35" customWidth="1"/>
    <col min="9473" max="9473" width="2.81640625" style="35" customWidth="1"/>
    <col min="9474" max="9474" width="3.54296875" style="35" customWidth="1"/>
    <col min="9475" max="9719" width="9.1796875" style="35"/>
    <col min="9720" max="9720" width="8.7265625" style="35" customWidth="1"/>
    <col min="9721" max="9721" width="9.81640625" style="35" customWidth="1"/>
    <col min="9722" max="9722" width="14.453125" style="35" customWidth="1"/>
    <col min="9723" max="9723" width="7.26953125" style="35" customWidth="1"/>
    <col min="9724" max="9724" width="5.54296875" style="35" customWidth="1"/>
    <col min="9725" max="9725" width="9" style="35" customWidth="1"/>
    <col min="9726" max="9727" width="9.81640625" style="35" customWidth="1"/>
    <col min="9728" max="9728" width="11.1796875" style="35" customWidth="1"/>
    <col min="9729" max="9729" width="2.81640625" style="35" customWidth="1"/>
    <col min="9730" max="9730" width="3.54296875" style="35" customWidth="1"/>
    <col min="9731" max="9975" width="9.1796875" style="35"/>
    <col min="9976" max="9976" width="8.7265625" style="35" customWidth="1"/>
    <col min="9977" max="9977" width="9.81640625" style="35" customWidth="1"/>
    <col min="9978" max="9978" width="14.453125" style="35" customWidth="1"/>
    <col min="9979" max="9979" width="7.26953125" style="35" customWidth="1"/>
    <col min="9980" max="9980" width="5.54296875" style="35" customWidth="1"/>
    <col min="9981" max="9981" width="9" style="35" customWidth="1"/>
    <col min="9982" max="9983" width="9.81640625" style="35" customWidth="1"/>
    <col min="9984" max="9984" width="11.1796875" style="35" customWidth="1"/>
    <col min="9985" max="9985" width="2.81640625" style="35" customWidth="1"/>
    <col min="9986" max="9986" width="3.54296875" style="35" customWidth="1"/>
    <col min="9987" max="10231" width="9.1796875" style="35"/>
    <col min="10232" max="10232" width="8.7265625" style="35" customWidth="1"/>
    <col min="10233" max="10233" width="9.81640625" style="35" customWidth="1"/>
    <col min="10234" max="10234" width="14.453125" style="35" customWidth="1"/>
    <col min="10235" max="10235" width="7.26953125" style="35" customWidth="1"/>
    <col min="10236" max="10236" width="5.54296875" style="35" customWidth="1"/>
    <col min="10237" max="10237" width="9" style="35" customWidth="1"/>
    <col min="10238" max="10239" width="9.81640625" style="35" customWidth="1"/>
    <col min="10240" max="10240" width="11.1796875" style="35" customWidth="1"/>
    <col min="10241" max="10241" width="2.81640625" style="35" customWidth="1"/>
    <col min="10242" max="10242" width="3.54296875" style="35" customWidth="1"/>
    <col min="10243" max="10487" width="9.1796875" style="35"/>
    <col min="10488" max="10488" width="8.7265625" style="35" customWidth="1"/>
    <col min="10489" max="10489" width="9.81640625" style="35" customWidth="1"/>
    <col min="10490" max="10490" width="14.453125" style="35" customWidth="1"/>
    <col min="10491" max="10491" width="7.26953125" style="35" customWidth="1"/>
    <col min="10492" max="10492" width="5.54296875" style="35" customWidth="1"/>
    <col min="10493" max="10493" width="9" style="35" customWidth="1"/>
    <col min="10494" max="10495" width="9.81640625" style="35" customWidth="1"/>
    <col min="10496" max="10496" width="11.1796875" style="35" customWidth="1"/>
    <col min="10497" max="10497" width="2.81640625" style="35" customWidth="1"/>
    <col min="10498" max="10498" width="3.54296875" style="35" customWidth="1"/>
    <col min="10499" max="10743" width="9.1796875" style="35"/>
    <col min="10744" max="10744" width="8.7265625" style="35" customWidth="1"/>
    <col min="10745" max="10745" width="9.81640625" style="35" customWidth="1"/>
    <col min="10746" max="10746" width="14.453125" style="35" customWidth="1"/>
    <col min="10747" max="10747" width="7.26953125" style="35" customWidth="1"/>
    <col min="10748" max="10748" width="5.54296875" style="35" customWidth="1"/>
    <col min="10749" max="10749" width="9" style="35" customWidth="1"/>
    <col min="10750" max="10751" width="9.81640625" style="35" customWidth="1"/>
    <col min="10752" max="10752" width="11.1796875" style="35" customWidth="1"/>
    <col min="10753" max="10753" width="2.81640625" style="35" customWidth="1"/>
    <col min="10754" max="10754" width="3.54296875" style="35" customWidth="1"/>
    <col min="10755" max="10999" width="9.1796875" style="35"/>
    <col min="11000" max="11000" width="8.7265625" style="35" customWidth="1"/>
    <col min="11001" max="11001" width="9.81640625" style="35" customWidth="1"/>
    <col min="11002" max="11002" width="14.453125" style="35" customWidth="1"/>
    <col min="11003" max="11003" width="7.26953125" style="35" customWidth="1"/>
    <col min="11004" max="11004" width="5.54296875" style="35" customWidth="1"/>
    <col min="11005" max="11005" width="9" style="35" customWidth="1"/>
    <col min="11006" max="11007" width="9.81640625" style="35" customWidth="1"/>
    <col min="11008" max="11008" width="11.1796875" style="35" customWidth="1"/>
    <col min="11009" max="11009" width="2.81640625" style="35" customWidth="1"/>
    <col min="11010" max="11010" width="3.54296875" style="35" customWidth="1"/>
    <col min="11011" max="11255" width="9.1796875" style="35"/>
    <col min="11256" max="11256" width="8.7265625" style="35" customWidth="1"/>
    <col min="11257" max="11257" width="9.81640625" style="35" customWidth="1"/>
    <col min="11258" max="11258" width="14.453125" style="35" customWidth="1"/>
    <col min="11259" max="11259" width="7.26953125" style="35" customWidth="1"/>
    <col min="11260" max="11260" width="5.54296875" style="35" customWidth="1"/>
    <col min="11261" max="11261" width="9" style="35" customWidth="1"/>
    <col min="11262" max="11263" width="9.81640625" style="35" customWidth="1"/>
    <col min="11264" max="11264" width="11.1796875" style="35" customWidth="1"/>
    <col min="11265" max="11265" width="2.81640625" style="35" customWidth="1"/>
    <col min="11266" max="11266" width="3.54296875" style="35" customWidth="1"/>
    <col min="11267" max="11511" width="9.1796875" style="35"/>
    <col min="11512" max="11512" width="8.7265625" style="35" customWidth="1"/>
    <col min="11513" max="11513" width="9.81640625" style="35" customWidth="1"/>
    <col min="11514" max="11514" width="14.453125" style="35" customWidth="1"/>
    <col min="11515" max="11515" width="7.26953125" style="35" customWidth="1"/>
    <col min="11516" max="11516" width="5.54296875" style="35" customWidth="1"/>
    <col min="11517" max="11517" width="9" style="35" customWidth="1"/>
    <col min="11518" max="11519" width="9.81640625" style="35" customWidth="1"/>
    <col min="11520" max="11520" width="11.1796875" style="35" customWidth="1"/>
    <col min="11521" max="11521" width="2.81640625" style="35" customWidth="1"/>
    <col min="11522" max="11522" width="3.54296875" style="35" customWidth="1"/>
    <col min="11523" max="11767" width="9.1796875" style="35"/>
    <col min="11768" max="11768" width="8.7265625" style="35" customWidth="1"/>
    <col min="11769" max="11769" width="9.81640625" style="35" customWidth="1"/>
    <col min="11770" max="11770" width="14.453125" style="35" customWidth="1"/>
    <col min="11771" max="11771" width="7.26953125" style="35" customWidth="1"/>
    <col min="11772" max="11772" width="5.54296875" style="35" customWidth="1"/>
    <col min="11773" max="11773" width="9" style="35" customWidth="1"/>
    <col min="11774" max="11775" width="9.81640625" style="35" customWidth="1"/>
    <col min="11776" max="11776" width="11.1796875" style="35" customWidth="1"/>
    <col min="11777" max="11777" width="2.81640625" style="35" customWidth="1"/>
    <col min="11778" max="11778" width="3.54296875" style="35" customWidth="1"/>
    <col min="11779" max="12023" width="9.1796875" style="35"/>
    <col min="12024" max="12024" width="8.7265625" style="35" customWidth="1"/>
    <col min="12025" max="12025" width="9.81640625" style="35" customWidth="1"/>
    <col min="12026" max="12026" width="14.453125" style="35" customWidth="1"/>
    <col min="12027" max="12027" width="7.26953125" style="35" customWidth="1"/>
    <col min="12028" max="12028" width="5.54296875" style="35" customWidth="1"/>
    <col min="12029" max="12029" width="9" style="35" customWidth="1"/>
    <col min="12030" max="12031" width="9.81640625" style="35" customWidth="1"/>
    <col min="12032" max="12032" width="11.1796875" style="35" customWidth="1"/>
    <col min="12033" max="12033" width="2.81640625" style="35" customWidth="1"/>
    <col min="12034" max="12034" width="3.54296875" style="35" customWidth="1"/>
    <col min="12035" max="12279" width="9.1796875" style="35"/>
    <col min="12280" max="12280" width="8.7265625" style="35" customWidth="1"/>
    <col min="12281" max="12281" width="9.81640625" style="35" customWidth="1"/>
    <col min="12282" max="12282" width="14.453125" style="35" customWidth="1"/>
    <col min="12283" max="12283" width="7.26953125" style="35" customWidth="1"/>
    <col min="12284" max="12284" width="5.54296875" style="35" customWidth="1"/>
    <col min="12285" max="12285" width="9" style="35" customWidth="1"/>
    <col min="12286" max="12287" width="9.81640625" style="35" customWidth="1"/>
    <col min="12288" max="12288" width="11.1796875" style="35" customWidth="1"/>
    <col min="12289" max="12289" width="2.81640625" style="35" customWidth="1"/>
    <col min="12290" max="12290" width="3.54296875" style="35" customWidth="1"/>
    <col min="12291" max="12535" width="9.1796875" style="35"/>
    <col min="12536" max="12536" width="8.7265625" style="35" customWidth="1"/>
    <col min="12537" max="12537" width="9.81640625" style="35" customWidth="1"/>
    <col min="12538" max="12538" width="14.453125" style="35" customWidth="1"/>
    <col min="12539" max="12539" width="7.26953125" style="35" customWidth="1"/>
    <col min="12540" max="12540" width="5.54296875" style="35" customWidth="1"/>
    <col min="12541" max="12541" width="9" style="35" customWidth="1"/>
    <col min="12542" max="12543" width="9.81640625" style="35" customWidth="1"/>
    <col min="12544" max="12544" width="11.1796875" style="35" customWidth="1"/>
    <col min="12545" max="12545" width="2.81640625" style="35" customWidth="1"/>
    <col min="12546" max="12546" width="3.54296875" style="35" customWidth="1"/>
    <col min="12547" max="12791" width="9.1796875" style="35"/>
    <col min="12792" max="12792" width="8.7265625" style="35" customWidth="1"/>
    <col min="12793" max="12793" width="9.81640625" style="35" customWidth="1"/>
    <col min="12794" max="12794" width="14.453125" style="35" customWidth="1"/>
    <col min="12795" max="12795" width="7.26953125" style="35" customWidth="1"/>
    <col min="12796" max="12796" width="5.54296875" style="35" customWidth="1"/>
    <col min="12797" max="12797" width="9" style="35" customWidth="1"/>
    <col min="12798" max="12799" width="9.81640625" style="35" customWidth="1"/>
    <col min="12800" max="12800" width="11.1796875" style="35" customWidth="1"/>
    <col min="12801" max="12801" width="2.81640625" style="35" customWidth="1"/>
    <col min="12802" max="12802" width="3.54296875" style="35" customWidth="1"/>
    <col min="12803" max="13047" width="9.1796875" style="35"/>
    <col min="13048" max="13048" width="8.7265625" style="35" customWidth="1"/>
    <col min="13049" max="13049" width="9.81640625" style="35" customWidth="1"/>
    <col min="13050" max="13050" width="14.453125" style="35" customWidth="1"/>
    <col min="13051" max="13051" width="7.26953125" style="35" customWidth="1"/>
    <col min="13052" max="13052" width="5.54296875" style="35" customWidth="1"/>
    <col min="13053" max="13053" width="9" style="35" customWidth="1"/>
    <col min="13054" max="13055" width="9.81640625" style="35" customWidth="1"/>
    <col min="13056" max="13056" width="11.1796875" style="35" customWidth="1"/>
    <col min="13057" max="13057" width="2.81640625" style="35" customWidth="1"/>
    <col min="13058" max="13058" width="3.54296875" style="35" customWidth="1"/>
    <col min="13059" max="13303" width="9.1796875" style="35"/>
    <col min="13304" max="13304" width="8.7265625" style="35" customWidth="1"/>
    <col min="13305" max="13305" width="9.81640625" style="35" customWidth="1"/>
    <col min="13306" max="13306" width="14.453125" style="35" customWidth="1"/>
    <col min="13307" max="13307" width="7.26953125" style="35" customWidth="1"/>
    <col min="13308" max="13308" width="5.54296875" style="35" customWidth="1"/>
    <col min="13309" max="13309" width="9" style="35" customWidth="1"/>
    <col min="13310" max="13311" width="9.81640625" style="35" customWidth="1"/>
    <col min="13312" max="13312" width="11.1796875" style="35" customWidth="1"/>
    <col min="13313" max="13313" width="2.81640625" style="35" customWidth="1"/>
    <col min="13314" max="13314" width="3.54296875" style="35" customWidth="1"/>
    <col min="13315" max="13559" width="9.1796875" style="35"/>
    <col min="13560" max="13560" width="8.7265625" style="35" customWidth="1"/>
    <col min="13561" max="13561" width="9.81640625" style="35" customWidth="1"/>
    <col min="13562" max="13562" width="14.453125" style="35" customWidth="1"/>
    <col min="13563" max="13563" width="7.26953125" style="35" customWidth="1"/>
    <col min="13564" max="13564" width="5.54296875" style="35" customWidth="1"/>
    <col min="13565" max="13565" width="9" style="35" customWidth="1"/>
    <col min="13566" max="13567" width="9.81640625" style="35" customWidth="1"/>
    <col min="13568" max="13568" width="11.1796875" style="35" customWidth="1"/>
    <col min="13569" max="13569" width="2.81640625" style="35" customWidth="1"/>
    <col min="13570" max="13570" width="3.54296875" style="35" customWidth="1"/>
    <col min="13571" max="13815" width="9.1796875" style="35"/>
    <col min="13816" max="13816" width="8.7265625" style="35" customWidth="1"/>
    <col min="13817" max="13817" width="9.81640625" style="35" customWidth="1"/>
    <col min="13818" max="13818" width="14.453125" style="35" customWidth="1"/>
    <col min="13819" max="13819" width="7.26953125" style="35" customWidth="1"/>
    <col min="13820" max="13820" width="5.54296875" style="35" customWidth="1"/>
    <col min="13821" max="13821" width="9" style="35" customWidth="1"/>
    <col min="13822" max="13823" width="9.81640625" style="35" customWidth="1"/>
    <col min="13824" max="13824" width="11.1796875" style="35" customWidth="1"/>
    <col min="13825" max="13825" width="2.81640625" style="35" customWidth="1"/>
    <col min="13826" max="13826" width="3.54296875" style="35" customWidth="1"/>
    <col min="13827" max="14071" width="9.1796875" style="35"/>
    <col min="14072" max="14072" width="8.7265625" style="35" customWidth="1"/>
    <col min="14073" max="14073" width="9.81640625" style="35" customWidth="1"/>
    <col min="14074" max="14074" width="14.453125" style="35" customWidth="1"/>
    <col min="14075" max="14075" width="7.26953125" style="35" customWidth="1"/>
    <col min="14076" max="14076" width="5.54296875" style="35" customWidth="1"/>
    <col min="14077" max="14077" width="9" style="35" customWidth="1"/>
    <col min="14078" max="14079" width="9.81640625" style="35" customWidth="1"/>
    <col min="14080" max="14080" width="11.1796875" style="35" customWidth="1"/>
    <col min="14081" max="14081" width="2.81640625" style="35" customWidth="1"/>
    <col min="14082" max="14082" width="3.54296875" style="35" customWidth="1"/>
    <col min="14083" max="14327" width="9.1796875" style="35"/>
    <col min="14328" max="14328" width="8.7265625" style="35" customWidth="1"/>
    <col min="14329" max="14329" width="9.81640625" style="35" customWidth="1"/>
    <col min="14330" max="14330" width="14.453125" style="35" customWidth="1"/>
    <col min="14331" max="14331" width="7.26953125" style="35" customWidth="1"/>
    <col min="14332" max="14332" width="5.54296875" style="35" customWidth="1"/>
    <col min="14333" max="14333" width="9" style="35" customWidth="1"/>
    <col min="14334" max="14335" width="9.81640625" style="35" customWidth="1"/>
    <col min="14336" max="14336" width="11.1796875" style="35" customWidth="1"/>
    <col min="14337" max="14337" width="2.81640625" style="35" customWidth="1"/>
    <col min="14338" max="14338" width="3.54296875" style="35" customWidth="1"/>
    <col min="14339" max="14583" width="9.1796875" style="35"/>
    <col min="14584" max="14584" width="8.7265625" style="35" customWidth="1"/>
    <col min="14585" max="14585" width="9.81640625" style="35" customWidth="1"/>
    <col min="14586" max="14586" width="14.453125" style="35" customWidth="1"/>
    <col min="14587" max="14587" width="7.26953125" style="35" customWidth="1"/>
    <col min="14588" max="14588" width="5.54296875" style="35" customWidth="1"/>
    <col min="14589" max="14589" width="9" style="35" customWidth="1"/>
    <col min="14590" max="14591" width="9.81640625" style="35" customWidth="1"/>
    <col min="14592" max="14592" width="11.1796875" style="35" customWidth="1"/>
    <col min="14593" max="14593" width="2.81640625" style="35" customWidth="1"/>
    <col min="14594" max="14594" width="3.54296875" style="35" customWidth="1"/>
    <col min="14595" max="14839" width="9.1796875" style="35"/>
    <col min="14840" max="14840" width="8.7265625" style="35" customWidth="1"/>
    <col min="14841" max="14841" width="9.81640625" style="35" customWidth="1"/>
    <col min="14842" max="14842" width="14.453125" style="35" customWidth="1"/>
    <col min="14843" max="14843" width="7.26953125" style="35" customWidth="1"/>
    <col min="14844" max="14844" width="5.54296875" style="35" customWidth="1"/>
    <col min="14845" max="14845" width="9" style="35" customWidth="1"/>
    <col min="14846" max="14847" width="9.81640625" style="35" customWidth="1"/>
    <col min="14848" max="14848" width="11.1796875" style="35" customWidth="1"/>
    <col min="14849" max="14849" width="2.81640625" style="35" customWidth="1"/>
    <col min="14850" max="14850" width="3.54296875" style="35" customWidth="1"/>
    <col min="14851" max="15095" width="9.1796875" style="35"/>
    <col min="15096" max="15096" width="8.7265625" style="35" customWidth="1"/>
    <col min="15097" max="15097" width="9.81640625" style="35" customWidth="1"/>
    <col min="15098" max="15098" width="14.453125" style="35" customWidth="1"/>
    <col min="15099" max="15099" width="7.26953125" style="35" customWidth="1"/>
    <col min="15100" max="15100" width="5.54296875" style="35" customWidth="1"/>
    <col min="15101" max="15101" width="9" style="35" customWidth="1"/>
    <col min="15102" max="15103" width="9.81640625" style="35" customWidth="1"/>
    <col min="15104" max="15104" width="11.1796875" style="35" customWidth="1"/>
    <col min="15105" max="15105" width="2.81640625" style="35" customWidth="1"/>
    <col min="15106" max="15106" width="3.54296875" style="35" customWidth="1"/>
    <col min="15107" max="15351" width="9.1796875" style="35"/>
    <col min="15352" max="15352" width="8.7265625" style="35" customWidth="1"/>
    <col min="15353" max="15353" width="9.81640625" style="35" customWidth="1"/>
    <col min="15354" max="15354" width="14.453125" style="35" customWidth="1"/>
    <col min="15355" max="15355" width="7.26953125" style="35" customWidth="1"/>
    <col min="15356" max="15356" width="5.54296875" style="35" customWidth="1"/>
    <col min="15357" max="15357" width="9" style="35" customWidth="1"/>
    <col min="15358" max="15359" width="9.81640625" style="35" customWidth="1"/>
    <col min="15360" max="15360" width="11.1796875" style="35" customWidth="1"/>
    <col min="15361" max="15361" width="2.81640625" style="35" customWidth="1"/>
    <col min="15362" max="15362" width="3.54296875" style="35" customWidth="1"/>
    <col min="15363" max="15607" width="9.1796875" style="35"/>
    <col min="15608" max="15608" width="8.7265625" style="35" customWidth="1"/>
    <col min="15609" max="15609" width="9.81640625" style="35" customWidth="1"/>
    <col min="15610" max="15610" width="14.453125" style="35" customWidth="1"/>
    <col min="15611" max="15611" width="7.26953125" style="35" customWidth="1"/>
    <col min="15612" max="15612" width="5.54296875" style="35" customWidth="1"/>
    <col min="15613" max="15613" width="9" style="35" customWidth="1"/>
    <col min="15614" max="15615" width="9.81640625" style="35" customWidth="1"/>
    <col min="15616" max="15616" width="11.1796875" style="35" customWidth="1"/>
    <col min="15617" max="15617" width="2.81640625" style="35" customWidth="1"/>
    <col min="15618" max="15618" width="3.54296875" style="35" customWidth="1"/>
    <col min="15619" max="15863" width="9.1796875" style="35"/>
    <col min="15864" max="15864" width="8.7265625" style="35" customWidth="1"/>
    <col min="15865" max="15865" width="9.81640625" style="35" customWidth="1"/>
    <col min="15866" max="15866" width="14.453125" style="35" customWidth="1"/>
    <col min="15867" max="15867" width="7.26953125" style="35" customWidth="1"/>
    <col min="15868" max="15868" width="5.54296875" style="35" customWidth="1"/>
    <col min="15869" max="15869" width="9" style="35" customWidth="1"/>
    <col min="15870" max="15871" width="9.81640625" style="35" customWidth="1"/>
    <col min="15872" max="15872" width="11.1796875" style="35" customWidth="1"/>
    <col min="15873" max="15873" width="2.81640625" style="35" customWidth="1"/>
    <col min="15874" max="15874" width="3.54296875" style="35" customWidth="1"/>
    <col min="15875" max="16119" width="9.1796875" style="35"/>
    <col min="16120" max="16120" width="8.7265625" style="35" customWidth="1"/>
    <col min="16121" max="16121" width="9.81640625" style="35" customWidth="1"/>
    <col min="16122" max="16122" width="14.453125" style="35" customWidth="1"/>
    <col min="16123" max="16123" width="7.26953125" style="35" customWidth="1"/>
    <col min="16124" max="16124" width="5.54296875" style="35" customWidth="1"/>
    <col min="16125" max="16125" width="9" style="35" customWidth="1"/>
    <col min="16126" max="16127" width="9.81640625" style="35" customWidth="1"/>
    <col min="16128" max="16128" width="11.1796875" style="35" customWidth="1"/>
    <col min="16129" max="16129" width="2.81640625" style="35" customWidth="1"/>
    <col min="16130" max="16130" width="3.54296875" style="35" customWidth="1"/>
    <col min="16131" max="16384" width="9.1796875" style="35"/>
  </cols>
  <sheetData>
    <row r="1" spans="1:8" ht="46.5" customHeight="1" x14ac:dyDescent="0.35">
      <c r="A1" s="135" t="s">
        <v>224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35">
      <c r="A2" s="87" t="s">
        <v>0</v>
      </c>
      <c r="B2" s="87"/>
      <c r="C2" s="87"/>
      <c r="D2" s="87"/>
      <c r="E2" s="87"/>
      <c r="F2" s="87"/>
      <c r="G2" s="87"/>
      <c r="H2" s="87"/>
    </row>
    <row r="3" spans="1:8" x14ac:dyDescent="0.35">
      <c r="A3" s="104" t="s">
        <v>1</v>
      </c>
      <c r="B3" s="104"/>
      <c r="C3" s="104"/>
      <c r="D3" s="104"/>
      <c r="E3" s="134" t="str">
        <f ca="1">TEXT(TODAY(),"DD/MM/YYYY")</f>
        <v>11/09/2025</v>
      </c>
      <c r="F3" s="134"/>
      <c r="G3" s="134"/>
      <c r="H3" s="134"/>
    </row>
    <row r="4" spans="1:8" ht="15" customHeight="1" x14ac:dyDescent="0.35">
      <c r="A4" s="104" t="s">
        <v>2</v>
      </c>
      <c r="B4" s="104"/>
      <c r="C4" s="104"/>
      <c r="D4" s="104"/>
      <c r="E4" s="130" t="s">
        <v>177</v>
      </c>
      <c r="F4" s="130"/>
      <c r="G4" s="130"/>
      <c r="H4" s="130"/>
    </row>
    <row r="5" spans="1:8" x14ac:dyDescent="0.35">
      <c r="A5" s="104" t="s">
        <v>3</v>
      </c>
      <c r="B5" s="104"/>
      <c r="C5" s="104"/>
      <c r="D5" s="104"/>
      <c r="E5" s="134">
        <v>45911</v>
      </c>
      <c r="F5" s="134"/>
      <c r="G5" s="134"/>
      <c r="H5" s="134"/>
    </row>
    <row r="6" spans="1:8" ht="16.5" customHeight="1" x14ac:dyDescent="0.35">
      <c r="A6" s="104" t="s">
        <v>4</v>
      </c>
      <c r="B6" s="104"/>
      <c r="C6" s="104"/>
      <c r="D6" s="104"/>
      <c r="E6" s="128" t="s">
        <v>178</v>
      </c>
      <c r="F6" s="128"/>
      <c r="G6" s="128"/>
      <c r="H6" s="128"/>
    </row>
    <row r="7" spans="1:8" ht="15" customHeight="1" x14ac:dyDescent="0.35">
      <c r="A7" s="104" t="s">
        <v>5</v>
      </c>
      <c r="B7" s="104"/>
      <c r="C7" s="104"/>
      <c r="D7" s="104"/>
      <c r="E7" s="128" t="str">
        <f>E6</f>
        <v xml:space="preserve">M/s.Varad Builders
</v>
      </c>
      <c r="F7" s="128"/>
      <c r="G7" s="128"/>
      <c r="H7" s="128"/>
    </row>
    <row r="8" spans="1:8" x14ac:dyDescent="0.35">
      <c r="A8" s="104" t="s">
        <v>6</v>
      </c>
      <c r="B8" s="104"/>
      <c r="C8" s="104"/>
      <c r="D8" s="104"/>
      <c r="E8" s="136" t="s">
        <v>255</v>
      </c>
      <c r="F8" s="115"/>
      <c r="G8" s="115"/>
      <c r="H8" s="115"/>
    </row>
    <row r="9" spans="1:8" x14ac:dyDescent="0.35">
      <c r="A9" s="104" t="s">
        <v>150</v>
      </c>
      <c r="B9" s="104"/>
      <c r="C9" s="104"/>
      <c r="D9" s="104"/>
      <c r="E9" s="104" t="s">
        <v>179</v>
      </c>
      <c r="F9" s="104"/>
      <c r="G9" s="104"/>
      <c r="H9" s="104"/>
    </row>
    <row r="10" spans="1:8" x14ac:dyDescent="0.35">
      <c r="A10" s="104" t="s">
        <v>230</v>
      </c>
      <c r="B10" s="104"/>
      <c r="C10" s="104"/>
      <c r="D10" s="104"/>
      <c r="E10" s="104" t="s">
        <v>29</v>
      </c>
      <c r="F10" s="104"/>
      <c r="G10" s="104"/>
      <c r="H10" s="104"/>
    </row>
    <row r="11" spans="1:8" x14ac:dyDescent="0.35">
      <c r="A11" s="103" t="s">
        <v>7</v>
      </c>
      <c r="B11" s="103"/>
      <c r="C11" s="103"/>
      <c r="D11" s="103"/>
      <c r="E11" s="103" t="s">
        <v>256</v>
      </c>
      <c r="F11" s="103"/>
      <c r="G11" s="103"/>
      <c r="H11" s="103"/>
    </row>
    <row r="12" spans="1:8" x14ac:dyDescent="0.35">
      <c r="A12" s="104" t="s">
        <v>8</v>
      </c>
      <c r="B12" s="104"/>
      <c r="C12" s="104"/>
      <c r="D12" s="104"/>
      <c r="E12" s="129" t="s">
        <v>212</v>
      </c>
      <c r="F12" s="129"/>
      <c r="G12" s="129"/>
      <c r="H12" s="129"/>
    </row>
    <row r="13" spans="1:8" x14ac:dyDescent="0.35">
      <c r="A13" s="104" t="s">
        <v>9</v>
      </c>
      <c r="B13" s="104"/>
      <c r="C13" s="104"/>
      <c r="D13" s="104"/>
      <c r="E13" s="129" t="s">
        <v>180</v>
      </c>
      <c r="F13" s="103"/>
      <c r="G13" s="103"/>
      <c r="H13" s="103"/>
    </row>
    <row r="14" spans="1:8" ht="48.75" customHeight="1" x14ac:dyDescent="0.35">
      <c r="A14" s="128" t="s">
        <v>10</v>
      </c>
      <c r="B14" s="128"/>
      <c r="C14" s="12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Parijatak Phase I (Wing A &amp; B), Survey No.44/1/A/2, S No.46/6/A/8, Plot no.22, S No.46/6/A/9, Plot No.23, S No.46/6/A/10, Plot No 24, near Vishwaraj Heights, Kilbil School Road, Shirgaon, Badlapur West, Ambarnath, Thane.</v>
      </c>
      <c r="D14" s="128"/>
      <c r="E14" s="128"/>
      <c r="F14" s="128"/>
      <c r="G14" s="128"/>
      <c r="H14" s="128"/>
    </row>
    <row r="15" spans="1:8" ht="33" customHeight="1" x14ac:dyDescent="0.35">
      <c r="A15" s="128" t="s">
        <v>181</v>
      </c>
      <c r="B15" s="128"/>
      <c r="C15" s="129" t="s">
        <v>205</v>
      </c>
      <c r="D15" s="129"/>
      <c r="E15" s="129"/>
      <c r="F15" s="129"/>
      <c r="G15" s="129"/>
      <c r="H15" s="129"/>
    </row>
    <row r="16" spans="1:8" ht="15.75" customHeight="1" x14ac:dyDescent="0.35">
      <c r="A16" s="128" t="s">
        <v>11</v>
      </c>
      <c r="B16" s="128"/>
      <c r="C16" s="103" t="s">
        <v>252</v>
      </c>
      <c r="D16" s="103"/>
      <c r="E16" s="128" t="s">
        <v>96</v>
      </c>
      <c r="F16" s="128"/>
      <c r="G16" s="129" t="s">
        <v>182</v>
      </c>
      <c r="H16" s="129"/>
    </row>
    <row r="17" spans="1:8" x14ac:dyDescent="0.35">
      <c r="A17" s="104" t="s">
        <v>13</v>
      </c>
      <c r="B17" s="104"/>
      <c r="C17" s="129" t="s">
        <v>251</v>
      </c>
      <c r="D17" s="129"/>
      <c r="E17" s="128" t="s">
        <v>12</v>
      </c>
      <c r="F17" s="128"/>
      <c r="G17" s="133" t="s">
        <v>183</v>
      </c>
      <c r="H17" s="133"/>
    </row>
    <row r="18" spans="1:8" x14ac:dyDescent="0.35">
      <c r="A18" s="104" t="s">
        <v>97</v>
      </c>
      <c r="B18" s="104"/>
      <c r="C18" s="129" t="s">
        <v>184</v>
      </c>
      <c r="D18" s="129"/>
      <c r="E18" s="128" t="s">
        <v>14</v>
      </c>
      <c r="F18" s="128"/>
      <c r="G18" s="129">
        <v>421503</v>
      </c>
      <c r="H18" s="129"/>
    </row>
    <row r="19" spans="1:8" ht="32.25" customHeight="1" x14ac:dyDescent="0.35">
      <c r="A19" s="104" t="s">
        <v>151</v>
      </c>
      <c r="B19" s="104"/>
      <c r="C19" s="128" t="s">
        <v>186</v>
      </c>
      <c r="D19" s="128"/>
      <c r="E19" s="128" t="s">
        <v>15</v>
      </c>
      <c r="F19" s="128"/>
      <c r="G19" s="129" t="s">
        <v>185</v>
      </c>
      <c r="H19" s="129"/>
    </row>
    <row r="20" spans="1:8" ht="15" customHeight="1" x14ac:dyDescent="0.35">
      <c r="A20" s="128" t="s">
        <v>101</v>
      </c>
      <c r="B20" s="128"/>
      <c r="C20" s="128"/>
      <c r="D20" s="128"/>
      <c r="E20" s="103" t="s">
        <v>16</v>
      </c>
      <c r="F20" s="103"/>
      <c r="G20" s="103"/>
      <c r="H20" s="103"/>
    </row>
    <row r="21" spans="1:8" ht="18.75" customHeight="1" x14ac:dyDescent="0.35">
      <c r="A21" s="128"/>
      <c r="B21" s="128"/>
      <c r="C21" s="128"/>
      <c r="D21" s="128"/>
      <c r="E21" s="103"/>
      <c r="F21" s="103"/>
      <c r="G21" s="103"/>
      <c r="H21" s="103"/>
    </row>
    <row r="22" spans="1:8" ht="15" customHeight="1" x14ac:dyDescent="0.35">
      <c r="A22" s="128" t="s">
        <v>17</v>
      </c>
      <c r="B22" s="128"/>
      <c r="C22" s="128"/>
      <c r="D22" s="128"/>
      <c r="E22" s="129" t="s">
        <v>18</v>
      </c>
      <c r="F22" s="129"/>
      <c r="G22" s="129"/>
      <c r="H22" s="129"/>
    </row>
    <row r="23" spans="1:8" ht="15" customHeight="1" x14ac:dyDescent="0.35">
      <c r="A23" s="104" t="s">
        <v>19</v>
      </c>
      <c r="B23" s="104"/>
      <c r="C23" s="104"/>
      <c r="D23" s="104"/>
      <c r="E23" s="129" t="str">
        <f>IF(AND(G17="Mumbai"),"Upper Class","Middle Class")</f>
        <v>Middle Class</v>
      </c>
      <c r="F23" s="129"/>
      <c r="G23" s="129"/>
      <c r="H23" s="129"/>
    </row>
    <row r="24" spans="1:8" x14ac:dyDescent="0.35">
      <c r="A24" s="104" t="s">
        <v>20</v>
      </c>
      <c r="B24" s="104"/>
      <c r="C24" s="104"/>
      <c r="D24" s="104"/>
      <c r="E24" s="129" t="s">
        <v>21</v>
      </c>
      <c r="F24" s="129"/>
      <c r="G24" s="129"/>
      <c r="H24" s="129"/>
    </row>
    <row r="25" spans="1:8" ht="15.75" customHeight="1" x14ac:dyDescent="0.35">
      <c r="A25" s="104" t="s">
        <v>22</v>
      </c>
      <c r="B25" s="104"/>
      <c r="C25" s="104"/>
      <c r="D25" s="104"/>
      <c r="E25" s="129" t="str">
        <f>IF(AND(G17="Mumbai"),"Developed","Developing")</f>
        <v>Developing</v>
      </c>
      <c r="F25" s="129"/>
      <c r="G25" s="129"/>
      <c r="H25" s="129"/>
    </row>
    <row r="26" spans="1:8" x14ac:dyDescent="0.35">
      <c r="A26" s="104" t="s">
        <v>23</v>
      </c>
      <c r="B26" s="104"/>
      <c r="C26" s="104"/>
      <c r="D26" s="104"/>
      <c r="E26" s="129" t="s">
        <v>24</v>
      </c>
      <c r="F26" s="129"/>
      <c r="G26" s="129"/>
      <c r="H26" s="129"/>
    </row>
    <row r="27" spans="1:8" x14ac:dyDescent="0.35">
      <c r="A27" s="104" t="s">
        <v>106</v>
      </c>
      <c r="B27" s="104"/>
      <c r="C27" s="104"/>
      <c r="D27" s="104"/>
      <c r="E27" s="129" t="s">
        <v>107</v>
      </c>
      <c r="F27" s="129"/>
      <c r="G27" s="129"/>
      <c r="H27" s="129"/>
    </row>
    <row r="28" spans="1:8" ht="15" customHeight="1" x14ac:dyDescent="0.35">
      <c r="A28" s="128" t="s">
        <v>32</v>
      </c>
      <c r="B28" s="128"/>
      <c r="C28" s="128"/>
      <c r="D28" s="128"/>
      <c r="E28" s="130" t="s">
        <v>204</v>
      </c>
      <c r="F28" s="130"/>
      <c r="G28" s="130"/>
      <c r="H28" s="130"/>
    </row>
    <row r="29" spans="1:8" x14ac:dyDescent="0.35">
      <c r="A29" s="128" t="s">
        <v>117</v>
      </c>
      <c r="B29" s="128"/>
      <c r="C29" s="128"/>
      <c r="D29" s="128"/>
      <c r="E29" s="128" t="s">
        <v>33</v>
      </c>
      <c r="F29" s="128"/>
      <c r="G29" s="128"/>
      <c r="H29" s="128"/>
    </row>
    <row r="30" spans="1:8" s="36" customFormat="1" x14ac:dyDescent="0.35">
      <c r="A30" s="132" t="s">
        <v>118</v>
      </c>
      <c r="B30" s="132"/>
      <c r="C30" s="131" t="s">
        <v>232</v>
      </c>
      <c r="D30" s="131"/>
      <c r="E30" s="131"/>
      <c r="F30" s="131" t="s">
        <v>30</v>
      </c>
      <c r="G30" s="131"/>
      <c r="H30" s="131"/>
    </row>
    <row r="31" spans="1:8" s="36" customFormat="1" x14ac:dyDescent="0.35">
      <c r="A31" s="119" t="s">
        <v>25</v>
      </c>
      <c r="B31" s="119" t="s">
        <v>29</v>
      </c>
      <c r="C31" s="120" t="s">
        <v>237</v>
      </c>
      <c r="D31" s="120"/>
      <c r="E31" s="120"/>
      <c r="F31" s="120" t="s">
        <v>187</v>
      </c>
      <c r="G31" s="120"/>
      <c r="H31" s="120"/>
    </row>
    <row r="32" spans="1:8" x14ac:dyDescent="0.35">
      <c r="A32" s="119" t="s">
        <v>26</v>
      </c>
      <c r="B32" s="119" t="s">
        <v>29</v>
      </c>
      <c r="C32" s="120" t="s">
        <v>236</v>
      </c>
      <c r="D32" s="120"/>
      <c r="E32" s="120"/>
      <c r="F32" s="120" t="s">
        <v>217</v>
      </c>
      <c r="G32" s="120"/>
      <c r="H32" s="120"/>
    </row>
    <row r="33" spans="1:8" s="36" customFormat="1" x14ac:dyDescent="0.35">
      <c r="A33" s="119" t="s">
        <v>28</v>
      </c>
      <c r="B33" s="119" t="s">
        <v>29</v>
      </c>
      <c r="C33" s="120" t="s">
        <v>235</v>
      </c>
      <c r="D33" s="120"/>
      <c r="E33" s="120"/>
      <c r="F33" s="120" t="s">
        <v>238</v>
      </c>
      <c r="G33" s="120"/>
      <c r="H33" s="120"/>
    </row>
    <row r="34" spans="1:8" x14ac:dyDescent="0.35">
      <c r="A34" s="119" t="s">
        <v>27</v>
      </c>
      <c r="B34" s="119" t="s">
        <v>29</v>
      </c>
      <c r="C34" s="120" t="s">
        <v>236</v>
      </c>
      <c r="D34" s="120"/>
      <c r="E34" s="120"/>
      <c r="F34" s="120" t="s">
        <v>186</v>
      </c>
      <c r="G34" s="120"/>
      <c r="H34" s="120"/>
    </row>
    <row r="35" spans="1:8" x14ac:dyDescent="0.35">
      <c r="A35" s="104" t="s">
        <v>31</v>
      </c>
      <c r="B35" s="104"/>
      <c r="C35" s="104"/>
      <c r="D35" s="104"/>
      <c r="E35" s="104"/>
      <c r="F35" s="104"/>
      <c r="G35" s="104"/>
      <c r="H35" s="104"/>
    </row>
    <row r="36" spans="1:8" ht="15.75" customHeight="1" x14ac:dyDescent="0.35">
      <c r="A36" s="104" t="s">
        <v>219</v>
      </c>
      <c r="B36" s="104"/>
      <c r="C36" s="184" t="s">
        <v>233</v>
      </c>
      <c r="D36" s="184"/>
      <c r="E36" s="184"/>
      <c r="F36" s="184"/>
      <c r="G36" s="184"/>
      <c r="H36" s="184"/>
    </row>
    <row r="37" spans="1:8" ht="15.75" customHeight="1" x14ac:dyDescent="0.35">
      <c r="A37" s="104" t="s">
        <v>220</v>
      </c>
      <c r="B37" s="104"/>
      <c r="C37" s="185" t="s">
        <v>221</v>
      </c>
      <c r="D37" s="184"/>
      <c r="E37" s="184"/>
      <c r="F37" s="184"/>
      <c r="G37" s="184"/>
      <c r="H37" s="184"/>
    </row>
    <row r="38" spans="1:8" x14ac:dyDescent="0.35">
      <c r="A38" s="115" t="s">
        <v>34</v>
      </c>
      <c r="B38" s="115"/>
      <c r="C38" s="115"/>
      <c r="D38" s="115"/>
      <c r="E38" s="115"/>
      <c r="F38" s="115"/>
      <c r="G38" s="115"/>
      <c r="H38" s="115"/>
    </row>
    <row r="39" spans="1:8" x14ac:dyDescent="0.35">
      <c r="A39" s="104" t="s">
        <v>35</v>
      </c>
      <c r="B39" s="104"/>
      <c r="C39" s="104"/>
      <c r="D39" s="104"/>
      <c r="E39" s="121">
        <v>5299.36</v>
      </c>
      <c r="F39" s="121"/>
      <c r="G39" s="121"/>
      <c r="H39" s="121"/>
    </row>
    <row r="40" spans="1:8" x14ac:dyDescent="0.35">
      <c r="A40" s="104" t="s">
        <v>36</v>
      </c>
      <c r="B40" s="104"/>
      <c r="C40" s="104"/>
      <c r="D40" s="104"/>
      <c r="E40" s="126">
        <f>5739.06/E39</f>
        <v>1.0829722834455482</v>
      </c>
      <c r="F40" s="126"/>
      <c r="G40" s="126"/>
      <c r="H40" s="126"/>
    </row>
    <row r="41" spans="1:8" x14ac:dyDescent="0.35">
      <c r="A41" s="104" t="s">
        <v>37</v>
      </c>
      <c r="B41" s="104"/>
      <c r="C41" s="104"/>
      <c r="D41" s="104"/>
      <c r="E41" s="126">
        <f>E43/E39-E40</f>
        <v>1.8508329307689988</v>
      </c>
      <c r="F41" s="126"/>
      <c r="G41" s="126"/>
      <c r="H41" s="126"/>
    </row>
    <row r="42" spans="1:8" x14ac:dyDescent="0.35">
      <c r="A42" s="104" t="s">
        <v>38</v>
      </c>
      <c r="B42" s="104"/>
      <c r="C42" s="104"/>
      <c r="D42" s="104"/>
      <c r="E42" s="126">
        <f>E40+E41</f>
        <v>2.933805214214547</v>
      </c>
      <c r="F42" s="126"/>
      <c r="G42" s="126"/>
      <c r="H42" s="126"/>
    </row>
    <row r="43" spans="1:8" x14ac:dyDescent="0.35">
      <c r="A43" s="104" t="s">
        <v>116</v>
      </c>
      <c r="B43" s="104"/>
      <c r="C43" s="104"/>
      <c r="D43" s="104"/>
      <c r="E43" s="127">
        <v>15547.29</v>
      </c>
      <c r="F43" s="127"/>
      <c r="G43" s="127"/>
      <c r="H43" s="127"/>
    </row>
    <row r="44" spans="1:8" x14ac:dyDescent="0.35">
      <c r="A44" s="103" t="s">
        <v>39</v>
      </c>
      <c r="B44" s="103"/>
      <c r="C44" s="103"/>
      <c r="D44" s="103"/>
      <c r="E44" s="103" t="s">
        <v>218</v>
      </c>
      <c r="F44" s="103"/>
      <c r="G44" s="103"/>
      <c r="H44" s="103"/>
    </row>
    <row r="45" spans="1:8" x14ac:dyDescent="0.35">
      <c r="A45" s="115" t="s">
        <v>40</v>
      </c>
      <c r="B45" s="115"/>
      <c r="C45" s="115"/>
      <c r="D45" s="115"/>
      <c r="E45" s="115"/>
      <c r="F45" s="115"/>
      <c r="G45" s="115"/>
      <c r="H45" s="115"/>
    </row>
    <row r="46" spans="1:8" x14ac:dyDescent="0.35">
      <c r="A46" s="128" t="s">
        <v>41</v>
      </c>
      <c r="B46" s="128"/>
      <c r="C46" s="129" t="s">
        <v>231</v>
      </c>
      <c r="D46" s="129"/>
      <c r="E46" s="129"/>
      <c r="F46" s="32" t="s">
        <v>42</v>
      </c>
      <c r="G46" s="125">
        <v>44651</v>
      </c>
      <c r="H46" s="125"/>
    </row>
    <row r="47" spans="1:8" ht="33.75" customHeight="1" x14ac:dyDescent="0.35">
      <c r="A47" s="128" t="s">
        <v>206</v>
      </c>
      <c r="B47" s="104"/>
      <c r="C47" s="129" t="s">
        <v>188</v>
      </c>
      <c r="D47" s="129"/>
      <c r="E47" s="129"/>
      <c r="F47" s="32" t="s">
        <v>42</v>
      </c>
      <c r="G47" s="125">
        <v>43894</v>
      </c>
      <c r="H47" s="125"/>
    </row>
    <row r="48" spans="1:8" ht="33.75" customHeight="1" x14ac:dyDescent="0.35">
      <c r="A48" s="128" t="s">
        <v>207</v>
      </c>
      <c r="B48" s="128"/>
      <c r="C48" s="129" t="s">
        <v>231</v>
      </c>
      <c r="D48" s="129"/>
      <c r="E48" s="129"/>
      <c r="F48" s="32" t="s">
        <v>42</v>
      </c>
      <c r="G48" s="125">
        <v>44651</v>
      </c>
      <c r="H48" s="125"/>
    </row>
    <row r="49" spans="1:14" s="38" customFormat="1" ht="34.5" hidden="1" customHeight="1" x14ac:dyDescent="0.35">
      <c r="A49" s="129" t="s">
        <v>226</v>
      </c>
      <c r="B49" s="129"/>
      <c r="C49" s="129" t="s">
        <v>189</v>
      </c>
      <c r="D49" s="103"/>
      <c r="E49" s="103"/>
      <c r="F49" s="37" t="s">
        <v>42</v>
      </c>
      <c r="G49" s="125">
        <f>G47</f>
        <v>43894</v>
      </c>
      <c r="H49" s="125"/>
    </row>
    <row r="50" spans="1:14" s="38" customFormat="1" ht="15.75" hidden="1" customHeight="1" x14ac:dyDescent="0.35">
      <c r="A50" s="129"/>
      <c r="B50" s="129"/>
      <c r="C50" s="147" t="s">
        <v>208</v>
      </c>
      <c r="D50" s="148"/>
      <c r="E50" s="148"/>
      <c r="F50" s="148"/>
      <c r="G50" s="148"/>
      <c r="H50" s="149"/>
    </row>
    <row r="51" spans="1:14" ht="36" customHeight="1" x14ac:dyDescent="0.35">
      <c r="A51" s="129" t="s">
        <v>226</v>
      </c>
      <c r="B51" s="129"/>
      <c r="C51" s="129" t="s">
        <v>239</v>
      </c>
      <c r="D51" s="103"/>
      <c r="E51" s="103"/>
      <c r="F51" s="37" t="s">
        <v>42</v>
      </c>
      <c r="G51" s="125">
        <f>G48</f>
        <v>44651</v>
      </c>
      <c r="H51" s="125"/>
    </row>
    <row r="52" spans="1:14" ht="33.75" customHeight="1" x14ac:dyDescent="0.35">
      <c r="A52" s="129"/>
      <c r="B52" s="129"/>
      <c r="C52" s="147" t="s">
        <v>253</v>
      </c>
      <c r="D52" s="148"/>
      <c r="E52" s="148"/>
      <c r="F52" s="148"/>
      <c r="G52" s="148"/>
      <c r="H52" s="149"/>
    </row>
    <row r="53" spans="1:14" ht="49.5" customHeight="1" x14ac:dyDescent="0.35">
      <c r="A53" s="136" t="s">
        <v>228</v>
      </c>
      <c r="B53" s="136"/>
      <c r="C53" s="106" t="s">
        <v>225</v>
      </c>
      <c r="D53" s="113"/>
      <c r="E53" s="113" t="s">
        <v>43</v>
      </c>
      <c r="F53" s="31" t="s">
        <v>42</v>
      </c>
      <c r="G53" s="158">
        <v>45184</v>
      </c>
      <c r="H53" s="158"/>
    </row>
    <row r="54" spans="1:14" x14ac:dyDescent="0.35">
      <c r="A54" s="144" t="s">
        <v>45</v>
      </c>
      <c r="B54" s="144"/>
      <c r="C54" s="144"/>
      <c r="D54" s="144"/>
      <c r="E54" s="144"/>
      <c r="F54" s="144"/>
      <c r="G54" s="144"/>
      <c r="H54" s="144"/>
      <c r="I54" s="39"/>
    </row>
    <row r="55" spans="1:14" ht="34.5" customHeight="1" x14ac:dyDescent="0.35">
      <c r="A55" s="128" t="s">
        <v>240</v>
      </c>
      <c r="B55" s="128"/>
      <c r="C55" s="128"/>
      <c r="D55" s="104">
        <f>3379.34+3400.67</f>
        <v>6780.01</v>
      </c>
      <c r="E55" s="104"/>
      <c r="F55" s="104"/>
      <c r="G55" s="104"/>
      <c r="H55" s="104"/>
      <c r="I55" s="40"/>
    </row>
    <row r="56" spans="1:14" ht="15.75" customHeight="1" x14ac:dyDescent="0.35">
      <c r="A56" s="129" t="s">
        <v>46</v>
      </c>
      <c r="B56" s="103"/>
      <c r="C56" s="103"/>
      <c r="D56" s="157" t="s">
        <v>249</v>
      </c>
      <c r="E56" s="157"/>
      <c r="F56" s="157"/>
      <c r="G56" s="157"/>
      <c r="H56" s="157"/>
      <c r="I56" s="40"/>
    </row>
    <row r="57" spans="1:14" ht="30" customHeight="1" x14ac:dyDescent="0.35">
      <c r="A57" s="122" t="s">
        <v>47</v>
      </c>
      <c r="B57" s="123"/>
      <c r="C57" s="124"/>
      <c r="D57" s="117" t="s">
        <v>243</v>
      </c>
      <c r="E57" s="118"/>
      <c r="F57" s="118"/>
      <c r="G57" s="118"/>
      <c r="H57" s="118"/>
      <c r="I57" s="40"/>
      <c r="J57" s="35" t="s">
        <v>241</v>
      </c>
    </row>
    <row r="58" spans="1:14" ht="15.75" customHeight="1" x14ac:dyDescent="0.35">
      <c r="A58" s="122" t="s">
        <v>114</v>
      </c>
      <c r="B58" s="123"/>
      <c r="C58" s="123"/>
      <c r="D58" s="103" t="s">
        <v>244</v>
      </c>
      <c r="E58" s="103"/>
      <c r="F58" s="103"/>
      <c r="G58" s="103"/>
      <c r="H58" s="103"/>
      <c r="J58" s="41"/>
      <c r="K58" s="39"/>
      <c r="N58" s="39"/>
    </row>
    <row r="59" spans="1:14" ht="15.75" customHeight="1" x14ac:dyDescent="0.35">
      <c r="A59" s="155"/>
      <c r="B59" s="156"/>
      <c r="C59" s="156"/>
      <c r="D59" s="103" t="s">
        <v>245</v>
      </c>
      <c r="E59" s="103"/>
      <c r="F59" s="103"/>
      <c r="G59" s="103"/>
      <c r="H59" s="103"/>
      <c r="N59" s="39"/>
    </row>
    <row r="60" spans="1:14" ht="15.75" customHeight="1" x14ac:dyDescent="0.35">
      <c r="A60" s="104" t="s">
        <v>44</v>
      </c>
      <c r="B60" s="104"/>
      <c r="C60" s="104"/>
      <c r="D60" s="137" t="s">
        <v>216</v>
      </c>
      <c r="E60" s="137"/>
      <c r="F60" s="137"/>
      <c r="G60" s="137"/>
      <c r="H60" s="137"/>
      <c r="J60" s="42"/>
      <c r="K60" s="42"/>
    </row>
    <row r="61" spans="1:14" ht="15.75" customHeight="1" thickBot="1" x14ac:dyDescent="0.4">
      <c r="A61" s="104" t="s">
        <v>112</v>
      </c>
      <c r="B61" s="104"/>
      <c r="C61" s="104"/>
      <c r="D61" s="138" t="s">
        <v>261</v>
      </c>
      <c r="E61" s="138"/>
      <c r="F61" s="138"/>
      <c r="G61" s="138"/>
      <c r="H61" s="138"/>
      <c r="I61" s="138" t="str">
        <f>(IF(L53="NA","60 Years After Completion",IF(L53&lt;&gt;"NA",""&amp;60-ROUNDDOWN((J3-L53)/360,0)&amp;" Years"," ")))</f>
        <v>60 Years</v>
      </c>
      <c r="J61" s="138"/>
      <c r="K61" s="138"/>
      <c r="L61" s="138"/>
      <c r="M61" s="138"/>
    </row>
    <row r="62" spans="1:14" ht="15.75" customHeight="1" x14ac:dyDescent="0.35">
      <c r="A62" s="104" t="s">
        <v>113</v>
      </c>
      <c r="B62" s="104"/>
      <c r="C62" s="104"/>
      <c r="D62" s="128" t="s">
        <v>24</v>
      </c>
      <c r="E62" s="128"/>
      <c r="F62" s="128"/>
      <c r="G62" s="128"/>
      <c r="H62" s="128"/>
      <c r="I62" s="22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","0")))&amp;(IF(C71=0%,"",IF(C71=J70,"Footing work is process",IF(C71=J71,"Footing work Completed",IF(C71=J72,"1st Basement Completed",IF(C71=J73,"1st &amp; 2nd Basement Completed",IF(C71=J74,"1st to 3rd Basement Completed",IF(C71=J75,"1st to 4th Basement Completed",IF(C71=J76,"Plinth work is process",IF(C71=J77,"Plinth work completed","0")))))))))))&amp;(IF(C72=(D65+F65+H65),", RCC Slab",IF(C72&gt;0,", RCC upto "&amp;C72&amp;" Slab",""))&amp;(IF(C73=H65,", Brickwork",IF(C73&gt;0,", Brickwork upto "&amp;C73&amp;" Floor",""))&amp;(IF(C74=H65,", Internal Plaster",IF(C74&gt;0,", Internal Plaster upto "&amp;C74&amp;" Floor",""))&amp;(IF(C75=H65,", External Plaster",IF(C75&gt;0,", External Plaster upto "&amp;C75&amp;" Floor",""))&amp;(IF(C76=H65,", Flooring",IF(C76&gt;0,", Flooring upto "&amp;C76&amp;" Floor",""))&amp;(IF(C77=H65,", Painting",IF(C77&gt;0,", Painting upto "&amp;C77&amp;" Floor",""))&amp;(IF(C78&gt;0,", Finishing upto "&amp;C78&amp;" Floor","")&amp;(IF(C72&gt;0.5," Completed",""))))))))))))))</f>
        <v>All work completed. Please provide OC.</v>
      </c>
      <c r="J62" s="43"/>
    </row>
    <row r="63" spans="1:14" x14ac:dyDescent="0.35">
      <c r="A63" s="139" t="s">
        <v>111</v>
      </c>
      <c r="B63" s="139"/>
      <c r="C63" s="139"/>
      <c r="D63" s="140" t="str">
        <f ca="1">(IF(G84&gt;95%,"Nothing",IF(G84&gt;0%,"Cement, Aggregate, Steel, etc",IF(G84=0%,"Work not yet Started"))))</f>
        <v>Cement, Aggregate, Steel, etc</v>
      </c>
      <c r="E63" s="140"/>
      <c r="F63" s="140"/>
      <c r="G63" s="140"/>
      <c r="H63" s="140"/>
      <c r="I63" s="23"/>
      <c r="J63" s="44"/>
    </row>
    <row r="64" spans="1:14" x14ac:dyDescent="0.35">
      <c r="A64" s="141" t="s">
        <v>169</v>
      </c>
      <c r="B64" s="142"/>
      <c r="C64" s="141" t="str">
        <f>D58</f>
        <v>Wing A - Gr/St +1st to 8th Floor</v>
      </c>
      <c r="D64" s="143"/>
      <c r="E64" s="143"/>
      <c r="F64" s="143"/>
      <c r="G64" s="143"/>
      <c r="H64" s="142"/>
      <c r="I64" s="23" t="s">
        <v>132</v>
      </c>
      <c r="J64" s="44"/>
    </row>
    <row r="65" spans="1:10" ht="15.75" customHeight="1" x14ac:dyDescent="0.35">
      <c r="A65" s="33" t="s">
        <v>171</v>
      </c>
      <c r="B65" s="33">
        <v>0</v>
      </c>
      <c r="C65" s="33" t="s">
        <v>95</v>
      </c>
      <c r="D65" s="33">
        <v>1</v>
      </c>
      <c r="E65" s="33" t="s">
        <v>94</v>
      </c>
      <c r="F65" s="33">
        <v>0</v>
      </c>
      <c r="G65" s="34" t="s">
        <v>105</v>
      </c>
      <c r="H65" s="33">
        <f ca="1">--TRIM(RIGHT(SUBSTITUTE(LEFT(C64,_xlfn.AGGREGATE(16,6,FIND({0,1,2,3,4,5,6,7,8,9},C64,ROW(INDIRECT("1:"&amp;LEN(C64)))),1))," ",REPT(" ",LEN(C64))),LEN(C64)))</f>
        <v>8</v>
      </c>
      <c r="I65" s="21" t="s">
        <v>170</v>
      </c>
      <c r="J65" s="45">
        <f ca="1">H65*25%</f>
        <v>2</v>
      </c>
    </row>
    <row r="66" spans="1:10" ht="18" customHeight="1" x14ac:dyDescent="0.35">
      <c r="A66" s="113" t="s">
        <v>115</v>
      </c>
      <c r="B66" s="113"/>
      <c r="C66" s="106" t="str">
        <f>I64</f>
        <v>All work Completed. OC Received.</v>
      </c>
      <c r="D66" s="106"/>
      <c r="E66" s="106"/>
      <c r="F66" s="106"/>
      <c r="G66" s="106"/>
      <c r="H66" s="106"/>
      <c r="I66" s="21" t="s">
        <v>127</v>
      </c>
      <c r="J66" s="48">
        <f ca="1">H65*50%</f>
        <v>4</v>
      </c>
    </row>
    <row r="67" spans="1:10" x14ac:dyDescent="0.35">
      <c r="A67" s="166" t="s">
        <v>110</v>
      </c>
      <c r="B67" s="167"/>
      <c r="C67" s="170">
        <v>1</v>
      </c>
      <c r="D67" s="171"/>
      <c r="E67" s="174" t="s">
        <v>109</v>
      </c>
      <c r="F67" s="171"/>
      <c r="G67" s="170">
        <v>1</v>
      </c>
      <c r="H67" s="171"/>
      <c r="I67" s="21"/>
      <c r="J67" s="48"/>
    </row>
    <row r="68" spans="1:10" x14ac:dyDescent="0.35">
      <c r="A68" s="168"/>
      <c r="B68" s="169"/>
      <c r="C68" s="172"/>
      <c r="D68" s="173"/>
      <c r="E68" s="172"/>
      <c r="F68" s="173"/>
      <c r="G68" s="172"/>
      <c r="H68" s="173"/>
      <c r="I68" s="21"/>
      <c r="J68" s="48"/>
    </row>
    <row r="69" spans="1:10" hidden="1" x14ac:dyDescent="0.35">
      <c r="A69" s="100" t="s">
        <v>48</v>
      </c>
      <c r="B69" s="100"/>
      <c r="C69" s="30" t="s">
        <v>168</v>
      </c>
      <c r="D69" s="30" t="s">
        <v>108</v>
      </c>
      <c r="E69" s="100" t="s">
        <v>110</v>
      </c>
      <c r="F69" s="100"/>
      <c r="G69" s="100" t="s">
        <v>109</v>
      </c>
      <c r="H69" s="100"/>
      <c r="I69" s="21" t="s">
        <v>128</v>
      </c>
      <c r="J69" s="48">
        <f ca="1">H65</f>
        <v>8</v>
      </c>
    </row>
    <row r="70" spans="1:10" ht="15.75" hidden="1" customHeight="1" x14ac:dyDescent="0.35">
      <c r="A70" s="100" t="s">
        <v>157</v>
      </c>
      <c r="B70" s="100"/>
      <c r="C70" s="46">
        <f ca="1">J69</f>
        <v>8</v>
      </c>
      <c r="D70" s="47">
        <f ca="1">((100/H65)*C70)/100</f>
        <v>1</v>
      </c>
      <c r="E70" s="105">
        <f ca="1">(((C71/H65*10)+(40/(D65+F65+H65)*C72)+(7.5/(H65)*C73)+(7.5/(H65)*C74)+(10/H65*C75)+(10/H65*C76)+(5/H65*C77)+(5/H65*C78)+(5/H65*C79))/100)</f>
        <v>1</v>
      </c>
      <c r="F70" s="105"/>
      <c r="G70" s="105">
        <f ca="1">((((C70/H65)*20)+((C71/H65)*25)+(30/(H65+F65+D65)*C72)+(5/H65*C73)+(5/H65*C74)+(5/H65*C75)+(5/H65*C76)+(0/H65*C77)+(0/H65*C78)+(5/H65*C79))/100)</f>
        <v>1</v>
      </c>
      <c r="H70" s="105"/>
      <c r="I70" s="21" t="s">
        <v>129</v>
      </c>
      <c r="J70" s="50">
        <f ca="1">(IF(B65&gt;1,(H65/(B65+2)),H65/4))</f>
        <v>2</v>
      </c>
    </row>
    <row r="71" spans="1:10" ht="15.75" hidden="1" customHeight="1" x14ac:dyDescent="0.35">
      <c r="A71" s="100" t="s">
        <v>49</v>
      </c>
      <c r="B71" s="100"/>
      <c r="C71" s="49">
        <f ca="1">J77</f>
        <v>8</v>
      </c>
      <c r="D71" s="47">
        <f ca="1">((100/H65)*C71)/100</f>
        <v>1</v>
      </c>
      <c r="E71" s="105"/>
      <c r="F71" s="105"/>
      <c r="G71" s="105"/>
      <c r="H71" s="105"/>
      <c r="I71" s="21" t="s">
        <v>130</v>
      </c>
      <c r="J71" s="50">
        <f ca="1">(IF(B65&gt;1,(H65/(B65+2)+J70),H65/4+J70))</f>
        <v>4</v>
      </c>
    </row>
    <row r="72" spans="1:10" ht="15.75" hidden="1" customHeight="1" x14ac:dyDescent="0.35">
      <c r="A72" s="100" t="s">
        <v>158</v>
      </c>
      <c r="B72" s="100"/>
      <c r="C72" s="49">
        <v>9</v>
      </c>
      <c r="D72" s="47">
        <f ca="1">((100/(D65+F65+H65))*C72)/100</f>
        <v>1</v>
      </c>
      <c r="E72" s="105"/>
      <c r="F72" s="105"/>
      <c r="G72" s="105"/>
      <c r="H72" s="105"/>
      <c r="I72" s="21" t="s">
        <v>175</v>
      </c>
      <c r="J72" s="50">
        <f>(IF(B65&gt;1,(H65/(B65+2)+J71),0))</f>
        <v>0</v>
      </c>
    </row>
    <row r="73" spans="1:10" ht="15" hidden="1" customHeight="1" x14ac:dyDescent="0.35">
      <c r="A73" s="100" t="s">
        <v>165</v>
      </c>
      <c r="B73" s="100" t="s">
        <v>159</v>
      </c>
      <c r="C73" s="46">
        <v>8</v>
      </c>
      <c r="D73" s="47">
        <f ca="1">((100/H65)*C73)/100</f>
        <v>1</v>
      </c>
      <c r="E73" s="105"/>
      <c r="F73" s="105"/>
      <c r="G73" s="105"/>
      <c r="H73" s="105"/>
      <c r="I73" s="21" t="s">
        <v>172</v>
      </c>
      <c r="J73" s="50">
        <f>(IF(B65&gt;2,(H65/(B65+2)+J72),0))</f>
        <v>0</v>
      </c>
    </row>
    <row r="74" spans="1:10" ht="15.75" hidden="1" customHeight="1" x14ac:dyDescent="0.35">
      <c r="A74" s="100" t="s">
        <v>166</v>
      </c>
      <c r="B74" s="100" t="s">
        <v>159</v>
      </c>
      <c r="C74" s="46">
        <v>8</v>
      </c>
      <c r="D74" s="47">
        <f ca="1">((100/H65)*C74)/100</f>
        <v>1</v>
      </c>
      <c r="E74" s="105"/>
      <c r="F74" s="105"/>
      <c r="G74" s="105"/>
      <c r="H74" s="105"/>
      <c r="I74" s="21" t="s">
        <v>173</v>
      </c>
      <c r="J74" s="51">
        <f>(IF(B65&gt;3,(H65/(B65+2)+J73),0))</f>
        <v>0</v>
      </c>
    </row>
    <row r="75" spans="1:10" ht="15.75" hidden="1" customHeight="1" x14ac:dyDescent="0.35">
      <c r="A75" s="100" t="s">
        <v>164</v>
      </c>
      <c r="B75" s="100" t="s">
        <v>161</v>
      </c>
      <c r="C75" s="46">
        <v>8</v>
      </c>
      <c r="D75" s="47">
        <f ca="1">((100/(H65))*C75)/100</f>
        <v>1</v>
      </c>
      <c r="E75" s="105"/>
      <c r="F75" s="105"/>
      <c r="G75" s="105"/>
      <c r="H75" s="105"/>
      <c r="I75" s="21" t="s">
        <v>174</v>
      </c>
      <c r="J75" s="50">
        <f>(IF(B65&gt;4,(H65/(B65+2)+J74),0))</f>
        <v>0</v>
      </c>
    </row>
    <row r="76" spans="1:10" ht="15.75" hidden="1" customHeight="1" x14ac:dyDescent="0.35">
      <c r="A76" s="100" t="s">
        <v>160</v>
      </c>
      <c r="B76" s="100" t="s">
        <v>160</v>
      </c>
      <c r="C76" s="46">
        <v>8</v>
      </c>
      <c r="D76" s="47">
        <f ca="1">((100/H65)*C76)/100</f>
        <v>1</v>
      </c>
      <c r="E76" s="105"/>
      <c r="F76" s="105"/>
      <c r="G76" s="105"/>
      <c r="H76" s="105"/>
      <c r="I76" s="21" t="s">
        <v>176</v>
      </c>
      <c r="J76" s="50">
        <f ca="1">(IF(B65=1,(H65/(B65+3)+J71),IF(B65=0,(H65/4+J71),IF(B65&gt;1,0))))</f>
        <v>6</v>
      </c>
    </row>
    <row r="77" spans="1:10" s="55" customFormat="1" hidden="1" x14ac:dyDescent="0.35">
      <c r="A77" s="100" t="s">
        <v>167</v>
      </c>
      <c r="B77" s="100"/>
      <c r="C77" s="46">
        <v>8</v>
      </c>
      <c r="D77" s="47">
        <f ca="1">((100/H65)*C77)/100</f>
        <v>1</v>
      </c>
      <c r="E77" s="105"/>
      <c r="F77" s="105"/>
      <c r="G77" s="105"/>
      <c r="H77" s="105"/>
      <c r="I77" s="26" t="s">
        <v>131</v>
      </c>
      <c r="J77" s="54">
        <f ca="1">(IF(B65&gt;1.5,(H65/(B65+2)+J71+MAX(0,J72-J71)+MAX(0,J73-J72)+MAX(0,J74-J73)+MAX(0,J75-J74)+MAX(0,J76-J75)),IF(B65=1,(H65/(B65+3)+J76),IF(B65=0,H65/4+J76))))</f>
        <v>8</v>
      </c>
    </row>
    <row r="78" spans="1:10" s="57" customFormat="1" ht="15.75" hidden="1" customHeight="1" x14ac:dyDescent="0.35">
      <c r="A78" s="114" t="s">
        <v>162</v>
      </c>
      <c r="B78" s="114" t="s">
        <v>162</v>
      </c>
      <c r="C78" s="52">
        <v>8</v>
      </c>
      <c r="D78" s="53">
        <f ca="1">((100/(H65))*C78)/100</f>
        <v>1</v>
      </c>
      <c r="E78" s="105"/>
      <c r="F78" s="105"/>
      <c r="G78" s="105"/>
      <c r="H78" s="105"/>
      <c r="I78" s="25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","0")))&amp;(IF(C85=0%,"",IF(C85=J84,"Footing work is process",IF(C85=J85,"Footing work Completed",IF(C85=J86,"1st Basement Completed",IF(C85=J87,"1st &amp; 2nd Basement Completed",IF(C85=J88,"1st to 3rd Basement Completed",IF(C85=J89,"1st to 4th Basement Completed",IF(C85=J90,"Plinth work is process",IF(C85=J91,"Plinth work completed","0")))))))))))&amp;(IF(C86=(D81+F81+H81),", RCC Slab",IF(C86&gt;0,", RCC upto "&amp;C86&amp;" Slab",""))&amp;(IF(C87=H81,", Brickwork",IF(C87&gt;0,", Brickwork upto "&amp;C87&amp;" Floor",""))&amp;(IF(C88=H81,", Internal Plaster",IF(C88&gt;0,", Internal Plaster upto "&amp;C88&amp;" Floor",""))&amp;(IF(C89=H81,", External Plaster",IF(C89&gt;0,", External Plaster upto "&amp;C89&amp;" Floor",""))&amp;(IF(C90=H81,", Flooring",IF(C90&gt;0,", Flooring upto "&amp;C90&amp;" Floor",""))&amp;(IF(C91=H81,", Painting",IF(C91&gt;0,", Painting upto "&amp;C91&amp;" Floor",""))&amp;(IF(C92&gt;0,", Finishing upto "&amp;C92&amp;" Floor","")&amp;(IF(C86&gt;0.5," Completed",""))))))))))))))</f>
        <v>Excavation work Completed. Plinth work completed, RCC Slab, Brickwork, Internal Plaster, External Plaster upto 7 Floor, Flooring upto 3 Floor Completed</v>
      </c>
      <c r="J78" s="56"/>
    </row>
    <row r="79" spans="1:10" hidden="1" x14ac:dyDescent="0.35">
      <c r="A79" s="100" t="s">
        <v>163</v>
      </c>
      <c r="B79" s="100"/>
      <c r="C79" s="46">
        <v>8</v>
      </c>
      <c r="D79" s="47">
        <f ca="1">((100/(H65))*C79)/100</f>
        <v>1</v>
      </c>
      <c r="E79" s="105"/>
      <c r="F79" s="105"/>
      <c r="G79" s="105"/>
      <c r="H79" s="105"/>
      <c r="I79" s="23"/>
      <c r="J79" s="44"/>
    </row>
    <row r="80" spans="1:10" x14ac:dyDescent="0.35">
      <c r="A80" s="136" t="s">
        <v>169</v>
      </c>
      <c r="B80" s="136"/>
      <c r="C80" s="136" t="str">
        <f>D59</f>
        <v>Wing B - Gr/St +1st to 11th Floor</v>
      </c>
      <c r="D80" s="136"/>
      <c r="E80" s="136"/>
      <c r="F80" s="136"/>
      <c r="G80" s="136"/>
      <c r="H80" s="136"/>
      <c r="I80" s="23" t="s">
        <v>132</v>
      </c>
      <c r="J80" s="44"/>
    </row>
    <row r="81" spans="1:10" ht="15.75" customHeight="1" x14ac:dyDescent="0.35">
      <c r="A81" s="33" t="s">
        <v>171</v>
      </c>
      <c r="B81" s="33">
        <v>0</v>
      </c>
      <c r="C81" s="33" t="s">
        <v>95</v>
      </c>
      <c r="D81" s="33">
        <v>1</v>
      </c>
      <c r="E81" s="33" t="s">
        <v>94</v>
      </c>
      <c r="F81" s="33">
        <v>0</v>
      </c>
      <c r="G81" s="34" t="s">
        <v>105</v>
      </c>
      <c r="H81" s="33">
        <f ca="1">--TRIM(RIGHT(SUBSTITUTE(LEFT(C80,_xlfn.AGGREGATE(16,6,FIND({0,1,2,3,4,5,6,7,8,9},C80,ROW(INDIRECT("1:"&amp;LEN(C80)))),1))," ",REPT(" ",LEN(C80))),LEN(C80)))</f>
        <v>11</v>
      </c>
      <c r="I81" s="21" t="s">
        <v>170</v>
      </c>
      <c r="J81" s="45">
        <f ca="1">H81*25%</f>
        <v>2.75</v>
      </c>
    </row>
    <row r="82" spans="1:10" ht="31.5" customHeight="1" x14ac:dyDescent="0.35">
      <c r="A82" s="113" t="s">
        <v>115</v>
      </c>
      <c r="B82" s="113"/>
      <c r="C82" s="106" t="str">
        <f ca="1">I78</f>
        <v>Excavation work Completed. Plinth work completed, RCC Slab, Brickwork, Internal Plaster, External Plaster upto 7 Floor, Flooring upto 3 Floor Completed</v>
      </c>
      <c r="D82" s="106"/>
      <c r="E82" s="106"/>
      <c r="F82" s="106"/>
      <c r="G82" s="106"/>
      <c r="H82" s="106"/>
      <c r="I82" s="21" t="s">
        <v>127</v>
      </c>
      <c r="J82" s="48">
        <f ca="1">H81*50%</f>
        <v>5.5</v>
      </c>
    </row>
    <row r="83" spans="1:10" x14ac:dyDescent="0.35">
      <c r="A83" s="100" t="s">
        <v>48</v>
      </c>
      <c r="B83" s="100"/>
      <c r="C83" s="76" t="s">
        <v>168</v>
      </c>
      <c r="D83" s="76" t="s">
        <v>108</v>
      </c>
      <c r="E83" s="100" t="s">
        <v>110</v>
      </c>
      <c r="F83" s="100"/>
      <c r="G83" s="100" t="s">
        <v>109</v>
      </c>
      <c r="H83" s="100"/>
      <c r="I83" s="21" t="s">
        <v>128</v>
      </c>
      <c r="J83" s="48">
        <f ca="1">H81</f>
        <v>11</v>
      </c>
    </row>
    <row r="84" spans="1:10" ht="15.75" customHeight="1" x14ac:dyDescent="0.35">
      <c r="A84" s="100" t="s">
        <v>157</v>
      </c>
      <c r="B84" s="100"/>
      <c r="C84" s="46">
        <f ca="1">J83</f>
        <v>11</v>
      </c>
      <c r="D84" s="78">
        <f ca="1">((100/H81)*C84)/100</f>
        <v>1.0000000000000002</v>
      </c>
      <c r="E84" s="105">
        <f ca="1">(((C85/H81*10)+(40/(D81+F81+H81)*C86)+(7.5/(H81)*C87)+(7.5/(H81)*C88)+(10/H81*C89)+(10/H81*C90)+(5/H81*C91)+(5/H81*C92)+(5/H81*C93))/100)</f>
        <v>0.74090909090909096</v>
      </c>
      <c r="F84" s="105"/>
      <c r="G84" s="105">
        <f ca="1">((((C84/H81)*20)+((C85/H81)*25)+(30/(H81+F81+D81)*C86)+(5/H81*C87)+(5/H81*C88)+(5/H81*C89)+(5/H81*C90)+(0/H81*C91)+(0/H81*C92)+(5/H81*C93))/100)</f>
        <v>0.8954545454545455</v>
      </c>
      <c r="H84" s="105"/>
      <c r="I84" s="21" t="s">
        <v>129</v>
      </c>
      <c r="J84" s="50">
        <f ca="1">(IF(B81&gt;1,(H81/(B81+2)),H81/4))</f>
        <v>2.75</v>
      </c>
    </row>
    <row r="85" spans="1:10" ht="15.75" customHeight="1" x14ac:dyDescent="0.35">
      <c r="A85" s="100" t="s">
        <v>49</v>
      </c>
      <c r="B85" s="100"/>
      <c r="C85" s="49">
        <f ca="1">J91</f>
        <v>11</v>
      </c>
      <c r="D85" s="78">
        <f ca="1">((100/H81)*C85)/100</f>
        <v>1.0000000000000002</v>
      </c>
      <c r="E85" s="105"/>
      <c r="F85" s="105"/>
      <c r="G85" s="105"/>
      <c r="H85" s="105"/>
      <c r="I85" s="21" t="s">
        <v>130</v>
      </c>
      <c r="J85" s="50">
        <f ca="1">(IF(B81&gt;1,(H81/(B81+2)+J84),H81/4+J84))</f>
        <v>5.5</v>
      </c>
    </row>
    <row r="86" spans="1:10" ht="15.75" customHeight="1" x14ac:dyDescent="0.35">
      <c r="A86" s="100" t="s">
        <v>158</v>
      </c>
      <c r="B86" s="100"/>
      <c r="C86" s="49">
        <v>12</v>
      </c>
      <c r="D86" s="78">
        <f ca="1">((100/(D81+F81+H81))*C86)/100</f>
        <v>1</v>
      </c>
      <c r="E86" s="105"/>
      <c r="F86" s="105"/>
      <c r="G86" s="105"/>
      <c r="H86" s="105"/>
      <c r="I86" s="21" t="s">
        <v>175</v>
      </c>
      <c r="J86" s="50">
        <f>(IF(B81&gt;1,(H81/(B81+2)+J85),0))</f>
        <v>0</v>
      </c>
    </row>
    <row r="87" spans="1:10" ht="15" customHeight="1" x14ac:dyDescent="0.35">
      <c r="A87" s="100" t="s">
        <v>165</v>
      </c>
      <c r="B87" s="100" t="s">
        <v>159</v>
      </c>
      <c r="C87" s="46">
        <v>11</v>
      </c>
      <c r="D87" s="78">
        <f ca="1">((100/H81)*C87)/100</f>
        <v>1.0000000000000002</v>
      </c>
      <c r="E87" s="105"/>
      <c r="F87" s="105"/>
      <c r="G87" s="105"/>
      <c r="H87" s="105"/>
      <c r="I87" s="21" t="s">
        <v>172</v>
      </c>
      <c r="J87" s="50">
        <f>(IF(B81&gt;2,(H81/(B81+2)+J86),0))</f>
        <v>0</v>
      </c>
    </row>
    <row r="88" spans="1:10" ht="15.75" customHeight="1" x14ac:dyDescent="0.35">
      <c r="A88" s="100" t="s">
        <v>166</v>
      </c>
      <c r="B88" s="100" t="s">
        <v>159</v>
      </c>
      <c r="C88" s="46">
        <v>11</v>
      </c>
      <c r="D88" s="78">
        <f ca="1">((100/H81)*C88)/100</f>
        <v>1.0000000000000002</v>
      </c>
      <c r="E88" s="105"/>
      <c r="F88" s="105"/>
      <c r="G88" s="105"/>
      <c r="H88" s="105"/>
      <c r="I88" s="21" t="s">
        <v>173</v>
      </c>
      <c r="J88" s="51">
        <f>(IF(B81&gt;3,(H81/(B81+2)+J87),0))</f>
        <v>0</v>
      </c>
    </row>
    <row r="89" spans="1:10" ht="15.75" customHeight="1" x14ac:dyDescent="0.35">
      <c r="A89" s="100" t="s">
        <v>164</v>
      </c>
      <c r="B89" s="100" t="s">
        <v>161</v>
      </c>
      <c r="C89" s="46">
        <v>7</v>
      </c>
      <c r="D89" s="78">
        <f ca="1">((100/(H81))*C89)/100</f>
        <v>0.63636363636363635</v>
      </c>
      <c r="E89" s="105"/>
      <c r="F89" s="105"/>
      <c r="G89" s="105"/>
      <c r="H89" s="105"/>
      <c r="I89" s="21" t="s">
        <v>174</v>
      </c>
      <c r="J89" s="50">
        <f>(IF(B81&gt;4,(H81/(B81+2)+J88),0))</f>
        <v>0</v>
      </c>
    </row>
    <row r="90" spans="1:10" ht="15.75" customHeight="1" x14ac:dyDescent="0.35">
      <c r="A90" s="100" t="s">
        <v>160</v>
      </c>
      <c r="B90" s="100" t="s">
        <v>160</v>
      </c>
      <c r="C90" s="46">
        <v>3</v>
      </c>
      <c r="D90" s="78">
        <f ca="1">((100/H81)*C90)/100</f>
        <v>0.27272727272727271</v>
      </c>
      <c r="E90" s="105"/>
      <c r="F90" s="105"/>
      <c r="G90" s="105"/>
      <c r="H90" s="105"/>
      <c r="I90" s="21" t="s">
        <v>176</v>
      </c>
      <c r="J90" s="50">
        <f ca="1">(IF(B81=1,(H81/(B81+3)+J85),IF(B81=0,(H81/4+J85),IF(B81&gt;1,0))))</f>
        <v>8.25</v>
      </c>
    </row>
    <row r="91" spans="1:10" ht="16" thickBot="1" x14ac:dyDescent="0.4">
      <c r="A91" s="100" t="s">
        <v>167</v>
      </c>
      <c r="B91" s="100"/>
      <c r="C91" s="46">
        <v>0</v>
      </c>
      <c r="D91" s="78">
        <f ca="1">((100/H81)*C91)/100</f>
        <v>0</v>
      </c>
      <c r="E91" s="105"/>
      <c r="F91" s="105"/>
      <c r="G91" s="105"/>
      <c r="H91" s="105"/>
      <c r="I91" s="24" t="s">
        <v>131</v>
      </c>
      <c r="J91" s="58">
        <f ca="1">(IF(B81&gt;1.5,(H81/(B81+2)+J85+MAX(0,J86-J85)+MAX(0,J87-J86)+MAX(0,J88-J87)+MAX(0,J89-J88)+MAX(0,J90-J89)),IF(B81=1,(H81/(B81+3)+J90),IF(B81=0,H81/4+J90))))</f>
        <v>11</v>
      </c>
    </row>
    <row r="92" spans="1:10" x14ac:dyDescent="0.35">
      <c r="A92" s="100" t="s">
        <v>162</v>
      </c>
      <c r="B92" s="100" t="s">
        <v>162</v>
      </c>
      <c r="C92" s="46">
        <v>0</v>
      </c>
      <c r="D92" s="78">
        <f ca="1">((100/(H81))*C92)/100</f>
        <v>0</v>
      </c>
      <c r="E92" s="105"/>
      <c r="F92" s="105"/>
      <c r="G92" s="105"/>
      <c r="H92" s="105"/>
    </row>
    <row r="93" spans="1:10" x14ac:dyDescent="0.35">
      <c r="A93" s="100" t="s">
        <v>163</v>
      </c>
      <c r="B93" s="100"/>
      <c r="C93" s="46">
        <v>0</v>
      </c>
      <c r="D93" s="78">
        <f ca="1">((100/(H81))*C93)/100</f>
        <v>0</v>
      </c>
      <c r="E93" s="105"/>
      <c r="F93" s="105"/>
      <c r="G93" s="105"/>
      <c r="H93" s="105"/>
    </row>
    <row r="94" spans="1:10" ht="15" customHeight="1" x14ac:dyDescent="0.35">
      <c r="A94" s="109" t="s">
        <v>146</v>
      </c>
      <c r="B94" s="110"/>
      <c r="C94" s="110"/>
      <c r="D94" s="110"/>
      <c r="E94" s="111"/>
      <c r="F94" s="109" t="str">
        <f ca="1">(IF(D63="Nothing","Yes",IF(D63="Cement, Aggregate, Steel, etc","Under Construction",IF(D63="Work not yet Started","Work not yet Started"))))</f>
        <v>Under Construction</v>
      </c>
      <c r="G94" s="110"/>
      <c r="H94" s="111"/>
    </row>
    <row r="95" spans="1:10" x14ac:dyDescent="0.35">
      <c r="A95" s="104" t="s">
        <v>50</v>
      </c>
      <c r="B95" s="104"/>
      <c r="C95" s="104"/>
      <c r="D95" s="104"/>
      <c r="E95" s="104"/>
      <c r="F95" s="104"/>
      <c r="G95" s="104"/>
      <c r="H95" s="104"/>
    </row>
    <row r="96" spans="1:10" x14ac:dyDescent="0.35">
      <c r="A96" s="113" t="s">
        <v>98</v>
      </c>
      <c r="B96" s="113"/>
      <c r="C96" s="106" t="s">
        <v>99</v>
      </c>
      <c r="D96" s="106"/>
      <c r="E96" s="106"/>
      <c r="F96" s="106"/>
      <c r="G96" s="106"/>
      <c r="H96" s="106"/>
    </row>
    <row r="97" spans="1:17" s="59" customFormat="1" ht="15" x14ac:dyDescent="0.3">
      <c r="A97" s="115" t="s">
        <v>51</v>
      </c>
      <c r="B97" s="115"/>
      <c r="C97" s="115"/>
      <c r="D97" s="115"/>
      <c r="E97" s="115"/>
      <c r="F97" s="115"/>
      <c r="G97" s="115"/>
      <c r="H97" s="115"/>
    </row>
    <row r="98" spans="1:17" s="59" customFormat="1" x14ac:dyDescent="0.35">
      <c r="A98" s="104" t="s">
        <v>100</v>
      </c>
      <c r="B98" s="104"/>
      <c r="C98" s="104"/>
      <c r="D98" s="104"/>
      <c r="E98" s="104"/>
      <c r="F98" s="103">
        <v>4000</v>
      </c>
      <c r="G98" s="103"/>
      <c r="H98" s="103"/>
      <c r="I98" s="35" t="s">
        <v>213</v>
      </c>
      <c r="J98" s="35" t="s">
        <v>214</v>
      </c>
      <c r="K98" s="35" t="s">
        <v>215</v>
      </c>
      <c r="L98" s="41">
        <v>44646</v>
      </c>
    </row>
    <row r="99" spans="1:17" s="59" customFormat="1" hidden="1" x14ac:dyDescent="0.3">
      <c r="A99" s="104" t="s">
        <v>119</v>
      </c>
      <c r="B99" s="104"/>
      <c r="C99" s="104"/>
      <c r="D99" s="104"/>
      <c r="E99" s="104"/>
      <c r="F99" s="103" t="s">
        <v>29</v>
      </c>
      <c r="G99" s="103"/>
      <c r="H99" s="103"/>
    </row>
    <row r="100" spans="1:17" s="59" customFormat="1" x14ac:dyDescent="0.3">
      <c r="A100" s="104" t="s">
        <v>120</v>
      </c>
      <c r="B100" s="104"/>
      <c r="C100" s="104"/>
      <c r="D100" s="104"/>
      <c r="E100" s="104"/>
      <c r="F100" s="103" t="s">
        <v>257</v>
      </c>
      <c r="G100" s="103"/>
      <c r="H100" s="103"/>
      <c r="I100" s="176" t="s">
        <v>258</v>
      </c>
      <c r="J100" s="177"/>
      <c r="K100" s="177"/>
      <c r="L100" s="177"/>
      <c r="M100" s="177"/>
      <c r="N100" s="177"/>
      <c r="O100" s="177"/>
      <c r="P100" s="177"/>
      <c r="Q100" s="177"/>
    </row>
    <row r="101" spans="1:17" s="59" customFormat="1" hidden="1" x14ac:dyDescent="0.3">
      <c r="A101" s="104" t="s">
        <v>121</v>
      </c>
      <c r="B101" s="104"/>
      <c r="C101" s="104"/>
      <c r="D101" s="104"/>
      <c r="E101" s="104"/>
      <c r="F101" s="103" t="s">
        <v>29</v>
      </c>
      <c r="G101" s="103"/>
      <c r="H101" s="103"/>
    </row>
    <row r="102" spans="1:17" s="59" customFormat="1" hidden="1" x14ac:dyDescent="0.3">
      <c r="A102" s="104" t="s">
        <v>122</v>
      </c>
      <c r="B102" s="104"/>
      <c r="C102" s="104"/>
      <c r="D102" s="104"/>
      <c r="E102" s="104"/>
      <c r="F102" s="103" t="s">
        <v>29</v>
      </c>
      <c r="G102" s="103"/>
      <c r="H102" s="103"/>
    </row>
    <row r="103" spans="1:17" s="59" customFormat="1" hidden="1" x14ac:dyDescent="0.3">
      <c r="A103" s="104" t="s">
        <v>123</v>
      </c>
      <c r="B103" s="104"/>
      <c r="C103" s="104"/>
      <c r="D103" s="104"/>
      <c r="E103" s="104"/>
      <c r="F103" s="103" t="s">
        <v>29</v>
      </c>
      <c r="G103" s="103"/>
      <c r="H103" s="103"/>
    </row>
    <row r="104" spans="1:17" s="59" customFormat="1" hidden="1" x14ac:dyDescent="0.3">
      <c r="A104" s="104" t="s">
        <v>124</v>
      </c>
      <c r="B104" s="104"/>
      <c r="C104" s="104"/>
      <c r="D104" s="104"/>
      <c r="E104" s="104"/>
      <c r="F104" s="103" t="s">
        <v>29</v>
      </c>
      <c r="G104" s="103"/>
      <c r="H104" s="103"/>
    </row>
    <row r="105" spans="1:17" hidden="1" x14ac:dyDescent="0.35">
      <c r="A105" s="104" t="s">
        <v>125</v>
      </c>
      <c r="B105" s="104"/>
      <c r="C105" s="104"/>
      <c r="D105" s="104"/>
      <c r="E105" s="104"/>
      <c r="F105" s="103" t="s">
        <v>29</v>
      </c>
      <c r="G105" s="103"/>
      <c r="H105" s="103"/>
    </row>
    <row r="106" spans="1:17" s="60" customFormat="1" hidden="1" x14ac:dyDescent="0.35">
      <c r="A106" s="104" t="s">
        <v>126</v>
      </c>
      <c r="B106" s="104"/>
      <c r="C106" s="104"/>
      <c r="D106" s="104"/>
      <c r="E106" s="104"/>
      <c r="F106" s="103" t="s">
        <v>29</v>
      </c>
      <c r="G106" s="103"/>
      <c r="H106" s="103"/>
    </row>
    <row r="107" spans="1:17" s="61" customFormat="1" x14ac:dyDescent="0.35">
      <c r="A107" s="104" t="s">
        <v>52</v>
      </c>
      <c r="B107" s="104"/>
      <c r="C107" s="104"/>
      <c r="D107" s="104"/>
      <c r="E107" s="104"/>
      <c r="F107" s="103" t="s">
        <v>209</v>
      </c>
      <c r="G107" s="103"/>
      <c r="H107" s="103"/>
    </row>
    <row r="108" spans="1:17" s="61" customFormat="1" ht="15.75" customHeight="1" x14ac:dyDescent="0.35">
      <c r="A108" s="115" t="s">
        <v>53</v>
      </c>
      <c r="B108" s="115"/>
      <c r="C108" s="115"/>
      <c r="D108" s="115"/>
      <c r="E108" s="115"/>
      <c r="F108" s="103">
        <f>F98*0.8</f>
        <v>3200</v>
      </c>
      <c r="G108" s="103"/>
      <c r="H108" s="103"/>
    </row>
    <row r="109" spans="1:17" s="61" customFormat="1" x14ac:dyDescent="0.35">
      <c r="A109" s="145" t="s">
        <v>93</v>
      </c>
      <c r="B109" s="145"/>
      <c r="C109" s="145"/>
      <c r="D109" s="145"/>
      <c r="E109" s="145"/>
      <c r="F109" s="145"/>
      <c r="G109" s="145"/>
      <c r="H109" s="145"/>
    </row>
    <row r="110" spans="1:17" s="61" customFormat="1" x14ac:dyDescent="0.35">
      <c r="A110" s="108" t="s">
        <v>54</v>
      </c>
      <c r="B110" s="108"/>
      <c r="C110" s="107" t="s">
        <v>103</v>
      </c>
      <c r="D110" s="107"/>
      <c r="E110" s="116" t="s">
        <v>55</v>
      </c>
      <c r="F110" s="116"/>
      <c r="G110" s="108" t="s">
        <v>56</v>
      </c>
      <c r="H110" s="108"/>
    </row>
    <row r="111" spans="1:17" s="61" customFormat="1" x14ac:dyDescent="0.35">
      <c r="A111" s="112" t="s">
        <v>222</v>
      </c>
      <c r="B111" s="112"/>
      <c r="C111" s="101">
        <f>COUNT(D119:D123)+COUNT(D125:D132)*2+COUNT(D134:D141)*2+COUNT(D143:D150)*2+COUNT(D152:D159)+COUNT(D161:D167)</f>
        <v>68</v>
      </c>
      <c r="D111" s="101"/>
      <c r="E111" s="102">
        <f>SUM(D119:D123)+SUM(D125:D132)*2+SUM(D134:D141)*2+SUM(D143:D150)*2+SUM(D152:D159)+SUM(D161:D167)</f>
        <v>29967.298919999997</v>
      </c>
      <c r="F111" s="102"/>
      <c r="G111" s="102">
        <f>SUM(F119:F123)+SUM(F125:F132)*2+SUM(F134:F141)*2+SUM(F143:F150)*2+SUM(F152:F159)+SUM(F161:F167)</f>
        <v>47729.567340000001</v>
      </c>
      <c r="H111" s="102"/>
    </row>
    <row r="112" spans="1:17" s="63" customFormat="1" x14ac:dyDescent="0.35">
      <c r="A112" s="112" t="s">
        <v>223</v>
      </c>
      <c r="B112" s="112"/>
      <c r="C112" s="101">
        <f>COUNT(D171:D176)*10+COUNT(D179:D183)</f>
        <v>65</v>
      </c>
      <c r="D112" s="101"/>
      <c r="E112" s="102">
        <f>SUM(D171:D176)*10+SUM(D179:D183)</f>
        <v>28550.729610000002</v>
      </c>
      <c r="F112" s="102"/>
      <c r="G112" s="102">
        <f>SUM(F171:F176)*10+SUM(F179:F183)</f>
        <v>42826.094415</v>
      </c>
      <c r="H112" s="102"/>
      <c r="I112" s="62"/>
      <c r="N112" s="62"/>
    </row>
    <row r="113" spans="1:16" x14ac:dyDescent="0.35">
      <c r="A113" s="145" t="s">
        <v>58</v>
      </c>
      <c r="B113" s="145"/>
      <c r="C113" s="107">
        <f>SUM(C111:D112)</f>
        <v>133</v>
      </c>
      <c r="D113" s="107"/>
      <c r="E113" s="146">
        <f>SUM(E111:F112)</f>
        <v>58518.028529999996</v>
      </c>
      <c r="F113" s="116"/>
      <c r="G113" s="108">
        <f>SUM(G111:H112)</f>
        <v>90555.661755000008</v>
      </c>
      <c r="H113" s="108"/>
      <c r="I113" s="62"/>
      <c r="J113" s="35">
        <f>6*11-1</f>
        <v>65</v>
      </c>
    </row>
    <row r="114" spans="1:16" s="63" customFormat="1" x14ac:dyDescent="0.35">
      <c r="A114" s="83"/>
      <c r="B114" s="175"/>
      <c r="C114" s="175"/>
      <c r="D114" s="175"/>
      <c r="E114" s="175"/>
      <c r="F114" s="175"/>
      <c r="G114" s="175"/>
      <c r="H114" s="84"/>
      <c r="I114" s="62"/>
    </row>
    <row r="115" spans="1:16" s="60" customFormat="1" ht="45" x14ac:dyDescent="0.35">
      <c r="A115" s="153" t="s">
        <v>148</v>
      </c>
      <c r="B115" s="153" t="s">
        <v>149</v>
      </c>
      <c r="C115" s="160" t="s">
        <v>59</v>
      </c>
      <c r="D115" s="160" t="s">
        <v>60</v>
      </c>
      <c r="E115" s="162" t="s">
        <v>61</v>
      </c>
      <c r="F115" s="29" t="s">
        <v>147</v>
      </c>
      <c r="G115" s="153" t="s">
        <v>62</v>
      </c>
      <c r="H115" s="164"/>
    </row>
    <row r="116" spans="1:16" s="63" customFormat="1" x14ac:dyDescent="0.35">
      <c r="A116" s="154"/>
      <c r="B116" s="154"/>
      <c r="C116" s="161"/>
      <c r="D116" s="161"/>
      <c r="E116" s="163"/>
      <c r="F116" s="20">
        <v>0.5</v>
      </c>
      <c r="G116" s="154"/>
      <c r="H116" s="165"/>
      <c r="I116" s="62"/>
      <c r="L116" s="79"/>
      <c r="M116" s="79"/>
    </row>
    <row r="117" spans="1:16" s="63" customFormat="1" x14ac:dyDescent="0.35">
      <c r="A117" s="87" t="s">
        <v>210</v>
      </c>
      <c r="B117" s="87"/>
      <c r="C117" s="87"/>
      <c r="D117" s="87"/>
      <c r="E117" s="87"/>
      <c r="F117" s="87"/>
      <c r="G117" s="87"/>
      <c r="H117" s="87"/>
      <c r="I117" s="62"/>
      <c r="N117" s="62"/>
    </row>
    <row r="118" spans="1:16" s="63" customFormat="1" x14ac:dyDescent="0.35">
      <c r="A118" s="85" t="s">
        <v>190</v>
      </c>
      <c r="B118" s="85"/>
      <c r="C118" s="85"/>
      <c r="D118" s="85"/>
      <c r="E118" s="85"/>
      <c r="F118" s="85"/>
      <c r="G118" s="85"/>
      <c r="H118" s="85"/>
      <c r="I118" s="62">
        <f>2205000/F120</f>
        <v>3444.2958945398768</v>
      </c>
      <c r="N118" s="62"/>
    </row>
    <row r="119" spans="1:16" s="63" customFormat="1" ht="15.75" customHeight="1" x14ac:dyDescent="0.35">
      <c r="A119" s="86">
        <v>1</v>
      </c>
      <c r="B119" s="86"/>
      <c r="C119" s="28" t="s">
        <v>191</v>
      </c>
      <c r="D119" s="28">
        <f>(21.19+4.42+0.74)*10.764</f>
        <v>283.63139999999999</v>
      </c>
      <c r="E119" s="28">
        <v>0</v>
      </c>
      <c r="F119" s="28">
        <f>D119*(($F$116)+1)+E119</f>
        <v>425.44709999999998</v>
      </c>
      <c r="G119" s="88" t="str">
        <f>A118</f>
        <v>Ground Floor for Residential &amp; Parking</v>
      </c>
      <c r="H119" s="89"/>
      <c r="I119" s="62">
        <f>2205000/F121</f>
        <v>4253.0779264561243</v>
      </c>
      <c r="N119" s="62"/>
    </row>
    <row r="120" spans="1:16" s="63" customFormat="1" ht="15.75" customHeight="1" x14ac:dyDescent="0.35">
      <c r="A120" s="86">
        <f>A119+1</f>
        <v>2</v>
      </c>
      <c r="B120" s="86"/>
      <c r="C120" s="28" t="s">
        <v>192</v>
      </c>
      <c r="D120" s="28">
        <f>(35.07+2.42+2.16)*10.764</f>
        <v>426.79260000000005</v>
      </c>
      <c r="E120" s="28">
        <v>0</v>
      </c>
      <c r="F120" s="28">
        <f>D120*(($F$116)+1)+E120</f>
        <v>640.1889000000001</v>
      </c>
      <c r="G120" s="90"/>
      <c r="H120" s="91"/>
      <c r="I120" s="62">
        <f>2205000/F122</f>
        <v>4274.3765952584081</v>
      </c>
      <c r="N120" s="62"/>
    </row>
    <row r="121" spans="1:16" s="63" customFormat="1" ht="15.75" customHeight="1" x14ac:dyDescent="0.35">
      <c r="A121" s="86">
        <f>A120+1</f>
        <v>3</v>
      </c>
      <c r="B121" s="86"/>
      <c r="C121" s="28" t="s">
        <v>192</v>
      </c>
      <c r="D121" s="28">
        <f>(28.73+2.3+1.08)*10.764</f>
        <v>345.63203999999996</v>
      </c>
      <c r="E121" s="28">
        <v>0</v>
      </c>
      <c r="F121" s="28">
        <f>D121*(($F$116)+1)+E121</f>
        <v>518.44805999999994</v>
      </c>
      <c r="G121" s="90"/>
      <c r="H121" s="91"/>
      <c r="I121" s="62">
        <f>2205000/F123</f>
        <v>3836.1329274861273</v>
      </c>
      <c r="N121" s="62"/>
    </row>
    <row r="122" spans="1:16" s="63" customFormat="1" ht="15.75" customHeight="1" x14ac:dyDescent="0.35">
      <c r="A122" s="86">
        <f t="shared" ref="A122:A123" si="0">A121+1</f>
        <v>4</v>
      </c>
      <c r="B122" s="86"/>
      <c r="C122" s="28" t="s">
        <v>193</v>
      </c>
      <c r="D122" s="28">
        <f>(26.21+5.04+0.7)*10.764</f>
        <v>343.90979999999996</v>
      </c>
      <c r="E122" s="28">
        <v>0</v>
      </c>
      <c r="F122" s="28">
        <f>D122*(($F$116)+1)+E122</f>
        <v>515.86469999999997</v>
      </c>
      <c r="G122" s="90"/>
      <c r="H122" s="91"/>
      <c r="I122" s="62"/>
      <c r="P122" s="64"/>
    </row>
    <row r="123" spans="1:16" s="63" customFormat="1" ht="15.75" customHeight="1" x14ac:dyDescent="0.35">
      <c r="A123" s="86">
        <f t="shared" si="0"/>
        <v>5</v>
      </c>
      <c r="B123" s="86"/>
      <c r="C123" s="28" t="s">
        <v>193</v>
      </c>
      <c r="D123" s="28">
        <f>(26.41+8.45+0.74)*10.764</f>
        <v>383.19839999999999</v>
      </c>
      <c r="E123" s="28">
        <v>0</v>
      </c>
      <c r="F123" s="28">
        <f>D123*(($F$116)+1)+E123</f>
        <v>574.79759999999999</v>
      </c>
      <c r="G123" s="92"/>
      <c r="H123" s="93"/>
      <c r="I123" s="62">
        <f>2205000/F125</f>
        <v>3271.5722802484902</v>
      </c>
      <c r="N123" s="63" t="str">
        <f t="shared" ref="N123:N128" ca="1" si="1">O123&amp;""&amp;" &amp; "&amp;""&amp;P123</f>
        <v>101 &amp; 301</v>
      </c>
      <c r="O123" s="63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10^ROW(INDIRECT("1:"&amp;LEN((LEFT(A124,SUM(LEN(A124)-LEN(SUBSTITUTE(A124,{"0","1","2"},""))))))))/10))*100+1</f>
        <v>101</v>
      </c>
      <c r="P123" s="63">
        <f ca="1">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",LEN(A124))),LEN(A124)))))))/10))*100+1</f>
        <v>301</v>
      </c>
    </row>
    <row r="124" spans="1:16" s="63" customFormat="1" x14ac:dyDescent="0.35">
      <c r="A124" s="80" t="s">
        <v>195</v>
      </c>
      <c r="B124" s="81"/>
      <c r="C124" s="81"/>
      <c r="D124" s="81"/>
      <c r="E124" s="81"/>
      <c r="F124" s="81"/>
      <c r="G124" s="81"/>
      <c r="H124" s="82"/>
      <c r="I124" s="62">
        <f>2205000/F126</f>
        <v>3059.7385859262013</v>
      </c>
      <c r="N124" s="63" t="str">
        <f t="shared" ca="1" si="1"/>
        <v>102 &amp; 302</v>
      </c>
      <c r="O124" s="63">
        <f t="shared" ref="O124:P124" ca="1" si="2">O123+1</f>
        <v>102</v>
      </c>
      <c r="P124" s="63">
        <f t="shared" ca="1" si="2"/>
        <v>302</v>
      </c>
    </row>
    <row r="125" spans="1:16" s="63" customFormat="1" ht="15.75" customHeight="1" x14ac:dyDescent="0.35">
      <c r="A125" s="86">
        <v>1</v>
      </c>
      <c r="B125" s="86"/>
      <c r="C125" s="28" t="s">
        <v>193</v>
      </c>
      <c r="D125" s="28">
        <f>(30.64+4.42+1.87+1.82)*10.764</f>
        <v>417.10499999999996</v>
      </c>
      <c r="E125" s="28">
        <f>(4.49)*10.764</f>
        <v>48.330359999999999</v>
      </c>
      <c r="F125" s="28">
        <f t="shared" ref="F125:F132" si="3">D125*(($F$116)+1)+E125</f>
        <v>673.98785999999996</v>
      </c>
      <c r="G125" s="88" t="str">
        <f>A124</f>
        <v>1st &amp; 3rd Floor</v>
      </c>
      <c r="H125" s="89"/>
      <c r="I125" s="62">
        <f>2205000/F127</f>
        <v>3221.4105728535815</v>
      </c>
      <c r="N125" s="63" t="str">
        <f t="shared" ca="1" si="1"/>
        <v>103 &amp; 303</v>
      </c>
      <c r="O125" s="63">
        <f t="shared" ref="O125:P125" ca="1" si="4">O124+1</f>
        <v>103</v>
      </c>
      <c r="P125" s="63">
        <f t="shared" ca="1" si="4"/>
        <v>303</v>
      </c>
    </row>
    <row r="126" spans="1:16" s="63" customFormat="1" ht="15.75" customHeight="1" x14ac:dyDescent="0.35">
      <c r="A126" s="86">
        <v>2</v>
      </c>
      <c r="B126" s="86"/>
      <c r="C126" s="28" t="s">
        <v>192</v>
      </c>
      <c r="D126" s="28">
        <f>(31.21+4.53+1.82+4.08)*10.764</f>
        <v>448.21295999999995</v>
      </c>
      <c r="E126" s="28">
        <f>(4.49)*10.764</f>
        <v>48.330359999999999</v>
      </c>
      <c r="F126" s="28">
        <f t="shared" si="3"/>
        <v>720.64980000000003</v>
      </c>
      <c r="G126" s="90"/>
      <c r="H126" s="91"/>
      <c r="I126" s="62"/>
      <c r="N126" s="63" t="str">
        <f t="shared" ca="1" si="1"/>
        <v>104 &amp; 304</v>
      </c>
      <c r="O126" s="63">
        <f t="shared" ref="O126:P126" ca="1" si="5">O125+1</f>
        <v>104</v>
      </c>
      <c r="P126" s="63">
        <f t="shared" ca="1" si="5"/>
        <v>304</v>
      </c>
    </row>
    <row r="127" spans="1:16" s="63" customFormat="1" ht="15.75" customHeight="1" x14ac:dyDescent="0.35">
      <c r="A127" s="86">
        <v>3</v>
      </c>
      <c r="B127" s="86"/>
      <c r="C127" s="28" t="s">
        <v>192</v>
      </c>
      <c r="D127" s="28">
        <f>(31.21+4.53+1.82+2.16)*10.764</f>
        <v>427.54607999999996</v>
      </c>
      <c r="E127" s="28">
        <f>(4.01)*10.764</f>
        <v>43.163639999999994</v>
      </c>
      <c r="F127" s="28">
        <f t="shared" si="3"/>
        <v>684.48275999999987</v>
      </c>
      <c r="G127" s="90"/>
      <c r="H127" s="91"/>
      <c r="I127" s="62"/>
      <c r="N127" s="63" t="str">
        <f t="shared" ca="1" si="1"/>
        <v>105 &amp; 305</v>
      </c>
      <c r="O127" s="63">
        <f t="shared" ref="O127:P127" ca="1" si="6">O126+1</f>
        <v>105</v>
      </c>
      <c r="P127" s="63">
        <f t="shared" ca="1" si="6"/>
        <v>305</v>
      </c>
    </row>
    <row r="128" spans="1:16" s="63" customFormat="1" ht="15.75" customHeight="1" x14ac:dyDescent="0.35">
      <c r="A128" s="86">
        <v>4</v>
      </c>
      <c r="B128" s="86"/>
      <c r="C128" s="28" t="s">
        <v>196</v>
      </c>
      <c r="D128" s="28">
        <f>(40.88+6.72+4.35+1.48)*10.764</f>
        <v>575.12051999999994</v>
      </c>
      <c r="E128" s="28">
        <f>(4.6)*10.764</f>
        <v>49.514399999999995</v>
      </c>
      <c r="F128" s="28">
        <f t="shared" si="3"/>
        <v>912.19517999999994</v>
      </c>
      <c r="G128" s="90"/>
      <c r="H128" s="91"/>
      <c r="I128" s="62">
        <f>2205000/F130</f>
        <v>3543.1894547740067</v>
      </c>
      <c r="N128" s="63" t="str">
        <f t="shared" ca="1" si="1"/>
        <v>106 &amp; 306</v>
      </c>
      <c r="O128" s="63">
        <f t="shared" ref="O128:P128" ca="1" si="7">O127+1</f>
        <v>106</v>
      </c>
      <c r="P128" s="63">
        <f t="shared" ca="1" si="7"/>
        <v>306</v>
      </c>
    </row>
    <row r="129" spans="1:16" s="63" customFormat="1" ht="15.75" customHeight="1" x14ac:dyDescent="0.35">
      <c r="A129" s="86">
        <v>5</v>
      </c>
      <c r="B129" s="86"/>
      <c r="C129" s="28" t="s">
        <v>196</v>
      </c>
      <c r="D129" s="28">
        <f>(41.18+7.7+4.2+0.74)*10.764</f>
        <v>579.31848000000002</v>
      </c>
      <c r="E129" s="28">
        <f t="shared" ref="E129:E131" si="8">(4.49)*10.764</f>
        <v>48.330359999999999</v>
      </c>
      <c r="F129" s="28">
        <f t="shared" si="3"/>
        <v>917.30808000000013</v>
      </c>
      <c r="G129" s="90"/>
      <c r="H129" s="91"/>
      <c r="I129" s="62">
        <f>2205000/F131</f>
        <v>3798.4331230810162</v>
      </c>
      <c r="N129" s="63" t="str">
        <f t="shared" ref="N129:N130" ca="1" si="9">O129&amp;""&amp;" &amp; "&amp;""&amp;P129</f>
        <v>107 &amp; 307</v>
      </c>
      <c r="O129" s="63">
        <f t="shared" ref="O129:P129" ca="1" si="10">O128+1</f>
        <v>107</v>
      </c>
      <c r="P129" s="63">
        <f t="shared" ca="1" si="10"/>
        <v>307</v>
      </c>
    </row>
    <row r="130" spans="1:16" s="63" customFormat="1" ht="15.75" customHeight="1" x14ac:dyDescent="0.35">
      <c r="A130" s="86">
        <v>6</v>
      </c>
      <c r="B130" s="86"/>
      <c r="C130" s="28" t="s">
        <v>192</v>
      </c>
      <c r="D130" s="28">
        <f>(29.79+2.3+2.02+1.44)*10.764</f>
        <v>382.66019999999992</v>
      </c>
      <c r="E130" s="28">
        <f t="shared" si="8"/>
        <v>48.330359999999999</v>
      </c>
      <c r="F130" s="28">
        <f t="shared" si="3"/>
        <v>622.32065999999998</v>
      </c>
      <c r="G130" s="90"/>
      <c r="H130" s="91"/>
      <c r="I130" s="62">
        <f>2205000/F132</f>
        <v>3372.5633573881992</v>
      </c>
      <c r="N130" s="63" t="str">
        <f t="shared" ca="1" si="9"/>
        <v>108 &amp; 308</v>
      </c>
      <c r="O130" s="63">
        <f t="shared" ref="O130:P130" ca="1" si="11">O129+1</f>
        <v>108</v>
      </c>
      <c r="P130" s="63">
        <f t="shared" ca="1" si="11"/>
        <v>308</v>
      </c>
    </row>
    <row r="131" spans="1:16" s="63" customFormat="1" ht="15.75" customHeight="1" x14ac:dyDescent="0.35">
      <c r="A131" s="86">
        <v>7</v>
      </c>
      <c r="B131" s="86"/>
      <c r="C131" s="28" t="s">
        <v>192</v>
      </c>
      <c r="D131" s="28">
        <f>(26.84+5.04+1.08)*10.764</f>
        <v>354.78143999999998</v>
      </c>
      <c r="E131" s="28">
        <f t="shared" si="8"/>
        <v>48.330359999999999</v>
      </c>
      <c r="F131" s="28">
        <f t="shared" si="3"/>
        <v>580.50252</v>
      </c>
      <c r="G131" s="90"/>
      <c r="H131" s="91"/>
      <c r="I131" s="62"/>
      <c r="P131" s="64"/>
    </row>
    <row r="132" spans="1:16" s="63" customFormat="1" ht="15.75" customHeight="1" x14ac:dyDescent="0.35">
      <c r="A132" s="86">
        <v>8</v>
      </c>
      <c r="B132" s="86"/>
      <c r="C132" s="28" t="s">
        <v>193</v>
      </c>
      <c r="D132" s="28">
        <f>(26.81+8.45+2.16)*10.764</f>
        <v>402.78888000000001</v>
      </c>
      <c r="E132" s="28">
        <f>(4.61)*10.764</f>
        <v>49.622039999999998</v>
      </c>
      <c r="F132" s="28">
        <f t="shared" si="3"/>
        <v>653.80535999999995</v>
      </c>
      <c r="G132" s="92"/>
      <c r="H132" s="93"/>
      <c r="I132" s="62"/>
      <c r="N132" s="63" t="str">
        <f t="shared" ref="N132:N139" ca="1" si="12">O132&amp;""&amp;" &amp; "&amp;""&amp;P132</f>
        <v>201 &amp; 401</v>
      </c>
      <c r="O132" s="63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10^ROW(INDIRECT("1:"&amp;LEN((LEFT(A133,SUM(LEN(A133)-LEN(SUBSTITUTE(A133,{"0","1","2"},""))))))))/10))*100+1</f>
        <v>201</v>
      </c>
      <c r="P132" s="63">
        <f ca="1">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",LEN(A133))),LEN(A133)))))))/10))*100+1</f>
        <v>401</v>
      </c>
    </row>
    <row r="133" spans="1:16" s="63" customFormat="1" x14ac:dyDescent="0.35">
      <c r="A133" s="85" t="s">
        <v>194</v>
      </c>
      <c r="B133" s="85"/>
      <c r="C133" s="85"/>
      <c r="D133" s="85"/>
      <c r="E133" s="85"/>
      <c r="F133" s="85"/>
      <c r="G133" s="85"/>
      <c r="H133" s="85"/>
      <c r="I133" s="62"/>
      <c r="N133" s="63" t="str">
        <f t="shared" ca="1" si="12"/>
        <v>202 &amp; 402</v>
      </c>
      <c r="O133" s="63">
        <f t="shared" ref="O133:P133" ca="1" si="13">O132+1</f>
        <v>202</v>
      </c>
      <c r="P133" s="63">
        <f t="shared" ca="1" si="13"/>
        <v>402</v>
      </c>
    </row>
    <row r="134" spans="1:16" s="63" customFormat="1" ht="15.75" customHeight="1" x14ac:dyDescent="0.35">
      <c r="A134" s="86">
        <v>1</v>
      </c>
      <c r="B134" s="86"/>
      <c r="C134" s="75" t="s">
        <v>193</v>
      </c>
      <c r="D134" s="75">
        <f>(30.64+4.42+1.92+1.82)*10.764</f>
        <v>417.64320000000004</v>
      </c>
      <c r="E134" s="75">
        <f>(4.37)*10.764</f>
        <v>47.038679999999999</v>
      </c>
      <c r="F134" s="75">
        <f>D134*(($F$116)+1)+E134</f>
        <v>673.50348000000008</v>
      </c>
      <c r="G134" s="86" t="str">
        <f>A133</f>
        <v>2nd &amp; 4th Floor</v>
      </c>
      <c r="H134" s="86"/>
      <c r="I134" s="62"/>
      <c r="N134" s="63" t="str">
        <f t="shared" ca="1" si="12"/>
        <v>203 &amp; 403</v>
      </c>
      <c r="O134" s="63">
        <f t="shared" ref="O134:P134" ca="1" si="14">O133+1</f>
        <v>203</v>
      </c>
      <c r="P134" s="63">
        <f t="shared" ca="1" si="14"/>
        <v>403</v>
      </c>
    </row>
    <row r="135" spans="1:16" s="63" customFormat="1" ht="15.75" customHeight="1" x14ac:dyDescent="0.35">
      <c r="A135" s="86">
        <v>2</v>
      </c>
      <c r="B135" s="86"/>
      <c r="C135" s="75" t="s">
        <v>192</v>
      </c>
      <c r="D135" s="75">
        <f>(31.21+4.53+1.92+4.08)*10.764</f>
        <v>449.28935999999999</v>
      </c>
      <c r="E135" s="75">
        <f>(4.25)*10.764</f>
        <v>45.747</v>
      </c>
      <c r="F135" s="75">
        <f>D135*(($F$116)+1)+E135</f>
        <v>719.68103999999994</v>
      </c>
      <c r="G135" s="86" t="str">
        <f t="shared" ref="G135:G141" si="15">G134</f>
        <v>2nd &amp; 4th Floor</v>
      </c>
      <c r="H135" s="86"/>
      <c r="I135" s="62"/>
      <c r="N135" s="63" t="str">
        <f t="shared" ca="1" si="12"/>
        <v>204 &amp; 404</v>
      </c>
      <c r="O135" s="63">
        <f t="shared" ref="O135:P135" ca="1" si="16">O134+1</f>
        <v>204</v>
      </c>
      <c r="P135" s="63">
        <f t="shared" ca="1" si="16"/>
        <v>404</v>
      </c>
    </row>
    <row r="136" spans="1:16" s="63" customFormat="1" ht="15.75" customHeight="1" x14ac:dyDescent="0.35">
      <c r="A136" s="86">
        <v>3</v>
      </c>
      <c r="B136" s="86"/>
      <c r="C136" s="75" t="s">
        <v>192</v>
      </c>
      <c r="D136" s="75">
        <f>(31.21+4.53+1.72+2.16)*10.764</f>
        <v>426.46968000000004</v>
      </c>
      <c r="E136" s="75">
        <f>(4.25)*10.764</f>
        <v>45.747</v>
      </c>
      <c r="F136" s="75">
        <f>D136*(($F$116)+1)+E136</f>
        <v>685.45151999999996</v>
      </c>
      <c r="G136" s="86" t="str">
        <f t="shared" si="15"/>
        <v>2nd &amp; 4th Floor</v>
      </c>
      <c r="H136" s="86"/>
      <c r="I136" s="62"/>
      <c r="N136" s="63" t="str">
        <f t="shared" ca="1" si="12"/>
        <v>205 &amp; 405</v>
      </c>
      <c r="O136" s="63">
        <f t="shared" ref="O136:P136" ca="1" si="17">O135+1</f>
        <v>205</v>
      </c>
      <c r="P136" s="63">
        <f t="shared" ca="1" si="17"/>
        <v>405</v>
      </c>
    </row>
    <row r="137" spans="1:16" s="63" customFormat="1" ht="15.75" customHeight="1" x14ac:dyDescent="0.35">
      <c r="A137" s="86">
        <v>4</v>
      </c>
      <c r="B137" s="86"/>
      <c r="C137" s="75" t="s">
        <v>196</v>
      </c>
      <c r="D137" s="75">
        <f>(40.88+6.72+1.97+1.48)*10.764</f>
        <v>549.5021999999999</v>
      </c>
      <c r="E137" s="75">
        <f>(7.25)*10.764</f>
        <v>78.039000000000001</v>
      </c>
      <c r="F137" s="75">
        <f>D137*(($F$116)+1)+E137/2</f>
        <v>863.27279999999985</v>
      </c>
      <c r="G137" s="86" t="str">
        <f t="shared" si="15"/>
        <v>2nd &amp; 4th Floor</v>
      </c>
      <c r="H137" s="86"/>
      <c r="I137" s="62"/>
      <c r="N137" s="63" t="str">
        <f t="shared" ca="1" si="12"/>
        <v>206 &amp; 406</v>
      </c>
      <c r="O137" s="63">
        <f t="shared" ref="O137:P137" ca="1" si="18">O136+1</f>
        <v>206</v>
      </c>
      <c r="P137" s="63">
        <f t="shared" ca="1" si="18"/>
        <v>406</v>
      </c>
    </row>
    <row r="138" spans="1:16" s="63" customFormat="1" ht="15.75" customHeight="1" x14ac:dyDescent="0.35">
      <c r="A138" s="86">
        <v>5</v>
      </c>
      <c r="B138" s="86"/>
      <c r="C138" s="75" t="s">
        <v>196</v>
      </c>
      <c r="D138" s="75">
        <f>(41.18+7.7+1.92+0.74)*10.764</f>
        <v>554.77656000000002</v>
      </c>
      <c r="E138" s="75">
        <f>(9.8)*10.764</f>
        <v>105.4872</v>
      </c>
      <c r="F138" s="75">
        <f>D138*(($F$116)+1)+E138/2</f>
        <v>884.90844000000004</v>
      </c>
      <c r="G138" s="86" t="str">
        <f t="shared" si="15"/>
        <v>2nd &amp; 4th Floor</v>
      </c>
      <c r="H138" s="86"/>
      <c r="I138" s="62"/>
      <c r="N138" s="63" t="str">
        <f t="shared" ca="1" si="12"/>
        <v>207 &amp; 407</v>
      </c>
      <c r="O138" s="63">
        <f t="shared" ref="O138:P138" ca="1" si="19">O137+1</f>
        <v>207</v>
      </c>
      <c r="P138" s="63">
        <f t="shared" ca="1" si="19"/>
        <v>407</v>
      </c>
    </row>
    <row r="139" spans="1:16" s="63" customFormat="1" ht="15.75" customHeight="1" x14ac:dyDescent="0.35">
      <c r="A139" s="86">
        <v>6</v>
      </c>
      <c r="B139" s="86"/>
      <c r="C139" s="75" t="s">
        <v>192</v>
      </c>
      <c r="D139" s="75">
        <f>(29.79+2.3+1.92+1.44)*10.764</f>
        <v>381.58379999999994</v>
      </c>
      <c r="E139" s="75">
        <f>(4.25)*10.764</f>
        <v>45.747</v>
      </c>
      <c r="F139" s="75">
        <f>D139*(($F$116)+1)+E139</f>
        <v>618.1226999999999</v>
      </c>
      <c r="G139" s="86" t="str">
        <f t="shared" si="15"/>
        <v>2nd &amp; 4th Floor</v>
      </c>
      <c r="H139" s="86"/>
      <c r="I139" s="62"/>
      <c r="N139" s="63" t="str">
        <f t="shared" ca="1" si="12"/>
        <v>208 &amp; 408</v>
      </c>
      <c r="O139" s="63">
        <f t="shared" ref="O139:P139" ca="1" si="20">O138+1</f>
        <v>208</v>
      </c>
      <c r="P139" s="63">
        <f t="shared" ca="1" si="20"/>
        <v>408</v>
      </c>
    </row>
    <row r="140" spans="1:16" s="63" customFormat="1" ht="15.75" customHeight="1" x14ac:dyDescent="0.35">
      <c r="A140" s="86">
        <v>7</v>
      </c>
      <c r="B140" s="86"/>
      <c r="C140" s="75" t="s">
        <v>192</v>
      </c>
      <c r="D140" s="75">
        <f>(26.84+5.04+1.92+1.08)*10.764</f>
        <v>375.44831999999991</v>
      </c>
      <c r="E140" s="75">
        <v>0</v>
      </c>
      <c r="F140" s="75">
        <f>D140*(($F$116)+1)+E140</f>
        <v>563.17247999999984</v>
      </c>
      <c r="G140" s="86" t="str">
        <f t="shared" si="15"/>
        <v>2nd &amp; 4th Floor</v>
      </c>
      <c r="H140" s="86"/>
      <c r="I140" s="62"/>
      <c r="P140" s="64"/>
    </row>
    <row r="141" spans="1:16" s="63" customFormat="1" x14ac:dyDescent="0.35">
      <c r="A141" s="86">
        <v>8</v>
      </c>
      <c r="B141" s="86"/>
      <c r="C141" s="75" t="s">
        <v>193</v>
      </c>
      <c r="D141" s="75">
        <f>(26.81+8.45+1.97+2.16)*10.764</f>
        <v>423.99395999999996</v>
      </c>
      <c r="E141" s="75">
        <v>0</v>
      </c>
      <c r="F141" s="75">
        <f>D141*(($F$116)+1)+E141</f>
        <v>635.99093999999991</v>
      </c>
      <c r="G141" s="86" t="str">
        <f t="shared" si="15"/>
        <v>2nd &amp; 4th Floor</v>
      </c>
      <c r="H141" s="86"/>
      <c r="I141" s="62"/>
      <c r="N141" s="63" t="str">
        <f t="shared" ref="N141:N148" ca="1" si="21">O141&amp;""&amp;" &amp; "&amp;""&amp;P141</f>
        <v>501 &amp; 701</v>
      </c>
      <c r="O141" s="63">
        <v>501</v>
      </c>
      <c r="P141" s="63">
        <f ca="1">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701</v>
      </c>
    </row>
    <row r="142" spans="1:16" s="63" customFormat="1" x14ac:dyDescent="0.35">
      <c r="A142" s="85" t="s">
        <v>197</v>
      </c>
      <c r="B142" s="85"/>
      <c r="C142" s="85"/>
      <c r="D142" s="85"/>
      <c r="E142" s="85"/>
      <c r="F142" s="85"/>
      <c r="G142" s="85"/>
      <c r="H142" s="85"/>
      <c r="I142" s="62"/>
      <c r="N142" s="63" t="str">
        <f t="shared" ca="1" si="21"/>
        <v>502 &amp; 702</v>
      </c>
      <c r="O142" s="63">
        <f t="shared" ref="O142:P142" si="22">O141+1</f>
        <v>502</v>
      </c>
      <c r="P142" s="63">
        <f t="shared" ca="1" si="22"/>
        <v>702</v>
      </c>
    </row>
    <row r="143" spans="1:16" s="63" customFormat="1" ht="15.75" customHeight="1" x14ac:dyDescent="0.35">
      <c r="A143" s="86">
        <v>1</v>
      </c>
      <c r="B143" s="86"/>
      <c r="C143" s="75" t="s">
        <v>193</v>
      </c>
      <c r="D143" s="75">
        <f>(30.64+4.42+1.87+1.82)*10.764</f>
        <v>417.10499999999996</v>
      </c>
      <c r="E143" s="75">
        <f>(4.49)*10.764</f>
        <v>48.330359999999999</v>
      </c>
      <c r="F143" s="75">
        <f>D143*(($F$116)+1)+E143</f>
        <v>673.98785999999996</v>
      </c>
      <c r="G143" s="86" t="str">
        <f>A142</f>
        <v>5th &amp; 7th Floor</v>
      </c>
      <c r="H143" s="86"/>
      <c r="I143" s="62"/>
      <c r="N143" s="63" t="str">
        <f t="shared" ca="1" si="21"/>
        <v>503 &amp; 703</v>
      </c>
      <c r="O143" s="63">
        <f t="shared" ref="O143:P143" si="23">O142+1</f>
        <v>503</v>
      </c>
      <c r="P143" s="63">
        <f t="shared" ca="1" si="23"/>
        <v>703</v>
      </c>
    </row>
    <row r="144" spans="1:16" s="63" customFormat="1" ht="15.75" customHeight="1" x14ac:dyDescent="0.35">
      <c r="A144" s="86">
        <v>2</v>
      </c>
      <c r="B144" s="86"/>
      <c r="C144" s="75" t="s">
        <v>192</v>
      </c>
      <c r="D144" s="75">
        <f>(31.21+4.53+1.82+4.08)*10.764</f>
        <v>448.21295999999995</v>
      </c>
      <c r="E144" s="75">
        <f>(4.49)*10.764</f>
        <v>48.330359999999999</v>
      </c>
      <c r="F144" s="75">
        <f>D144*(($F$116)+1)+E144</f>
        <v>720.64980000000003</v>
      </c>
      <c r="G144" s="86" t="str">
        <f t="shared" ref="G144:G150" si="24">G143</f>
        <v>5th &amp; 7th Floor</v>
      </c>
      <c r="H144" s="86"/>
      <c r="I144" s="62"/>
      <c r="N144" s="63" t="str">
        <f t="shared" ca="1" si="21"/>
        <v>504 &amp; 704</v>
      </c>
      <c r="O144" s="63">
        <f t="shared" ref="O144:P144" si="25">O143+1</f>
        <v>504</v>
      </c>
      <c r="P144" s="63">
        <f t="shared" ca="1" si="25"/>
        <v>704</v>
      </c>
    </row>
    <row r="145" spans="1:16" s="63" customFormat="1" ht="15.75" customHeight="1" x14ac:dyDescent="0.35">
      <c r="A145" s="86">
        <v>3</v>
      </c>
      <c r="B145" s="86"/>
      <c r="C145" s="75" t="s">
        <v>192</v>
      </c>
      <c r="D145" s="75">
        <f>(31.21+4.53+1.82+2.16)*10.764</f>
        <v>427.54607999999996</v>
      </c>
      <c r="E145" s="75">
        <f>(4.01)*10.764</f>
        <v>43.163639999999994</v>
      </c>
      <c r="F145" s="75">
        <f>D145*(($F$116)+1)+E145</f>
        <v>684.48275999999987</v>
      </c>
      <c r="G145" s="86" t="str">
        <f t="shared" si="24"/>
        <v>5th &amp; 7th Floor</v>
      </c>
      <c r="H145" s="86"/>
      <c r="I145" s="62"/>
      <c r="N145" s="63" t="str">
        <f t="shared" ca="1" si="21"/>
        <v>505 &amp; 705</v>
      </c>
      <c r="O145" s="63">
        <f t="shared" ref="O145:P145" si="26">O144+1</f>
        <v>505</v>
      </c>
      <c r="P145" s="63">
        <f t="shared" ca="1" si="26"/>
        <v>705</v>
      </c>
    </row>
    <row r="146" spans="1:16" s="63" customFormat="1" ht="15.75" customHeight="1" x14ac:dyDescent="0.35">
      <c r="A146" s="86">
        <v>4</v>
      </c>
      <c r="B146" s="86"/>
      <c r="C146" s="75" t="s">
        <v>196</v>
      </c>
      <c r="D146" s="75">
        <f>(40.88+6.72+4.35+1.48)*10.764</f>
        <v>575.12051999999994</v>
      </c>
      <c r="E146" s="75">
        <f>(4.6)*10.764</f>
        <v>49.514399999999995</v>
      </c>
      <c r="F146" s="75">
        <f>D146*(($F$116)+1)+E146/2</f>
        <v>887.43797999999992</v>
      </c>
      <c r="G146" s="86" t="str">
        <f t="shared" si="24"/>
        <v>5th &amp; 7th Floor</v>
      </c>
      <c r="H146" s="86"/>
      <c r="I146" s="62"/>
      <c r="N146" s="63" t="str">
        <f t="shared" ca="1" si="21"/>
        <v>506 &amp; 706</v>
      </c>
      <c r="O146" s="63">
        <f t="shared" ref="O146:P146" si="27">O145+1</f>
        <v>506</v>
      </c>
      <c r="P146" s="63">
        <f t="shared" ca="1" si="27"/>
        <v>706</v>
      </c>
    </row>
    <row r="147" spans="1:16" s="63" customFormat="1" ht="15.75" customHeight="1" x14ac:dyDescent="0.35">
      <c r="A147" s="86">
        <v>5</v>
      </c>
      <c r="B147" s="86"/>
      <c r="C147" s="75" t="s">
        <v>196</v>
      </c>
      <c r="D147" s="75">
        <f>(40.91+7.7+1.87+0.74)*10.764</f>
        <v>551.33207999999991</v>
      </c>
      <c r="E147" s="75">
        <f t="shared" ref="E147:E149" si="28">(4.49)*10.764</f>
        <v>48.330359999999999</v>
      </c>
      <c r="F147" s="75">
        <f>D147*(($F$116)+1)+E147/2</f>
        <v>851.16329999999982</v>
      </c>
      <c r="G147" s="86" t="str">
        <f t="shared" si="24"/>
        <v>5th &amp; 7th Floor</v>
      </c>
      <c r="H147" s="86"/>
      <c r="I147" s="62"/>
      <c r="N147" s="63" t="str">
        <f t="shared" ca="1" si="21"/>
        <v>507 &amp; 707</v>
      </c>
      <c r="O147" s="63">
        <f t="shared" ref="O147:P147" si="29">O146+1</f>
        <v>507</v>
      </c>
      <c r="P147" s="63">
        <f t="shared" ca="1" si="29"/>
        <v>707</v>
      </c>
    </row>
    <row r="148" spans="1:16" s="63" customFormat="1" ht="15.75" customHeight="1" x14ac:dyDescent="0.35">
      <c r="A148" s="86">
        <v>6</v>
      </c>
      <c r="B148" s="86"/>
      <c r="C148" s="75" t="s">
        <v>192</v>
      </c>
      <c r="D148" s="75">
        <f>(32.35+2.28+1.82+1.44)*10.764</f>
        <v>407.84796</v>
      </c>
      <c r="E148" s="75">
        <f t="shared" si="28"/>
        <v>48.330359999999999</v>
      </c>
      <c r="F148" s="75">
        <f>D148*(($F$116)+1)+E148</f>
        <v>660.10230000000001</v>
      </c>
      <c r="G148" s="86" t="str">
        <f t="shared" si="24"/>
        <v>5th &amp; 7th Floor</v>
      </c>
      <c r="H148" s="86"/>
      <c r="I148" s="62"/>
      <c r="N148" s="63" t="str">
        <f t="shared" ca="1" si="21"/>
        <v>508 &amp; 708</v>
      </c>
      <c r="O148" s="63">
        <f t="shared" ref="O148:P148" si="30">O147+1</f>
        <v>508</v>
      </c>
      <c r="P148" s="63">
        <f t="shared" ca="1" si="30"/>
        <v>708</v>
      </c>
    </row>
    <row r="149" spans="1:16" s="63" customFormat="1" ht="15.75" customHeight="1" x14ac:dyDescent="0.35">
      <c r="A149" s="86">
        <v>7</v>
      </c>
      <c r="B149" s="86"/>
      <c r="C149" s="75" t="s">
        <v>192</v>
      </c>
      <c r="D149" s="75">
        <f>(28.59+5.88+1.08)*10.764</f>
        <v>382.66019999999992</v>
      </c>
      <c r="E149" s="75">
        <f t="shared" si="28"/>
        <v>48.330359999999999</v>
      </c>
      <c r="F149" s="75">
        <f>D149*(($F$116)+1)+E149</f>
        <v>622.32065999999998</v>
      </c>
      <c r="G149" s="86" t="str">
        <f t="shared" si="24"/>
        <v>5th &amp; 7th Floor</v>
      </c>
      <c r="H149" s="86"/>
      <c r="I149" s="62"/>
      <c r="L149" s="79"/>
      <c r="M149" s="79"/>
    </row>
    <row r="150" spans="1:16" s="63" customFormat="1" ht="15.75" customHeight="1" x14ac:dyDescent="0.35">
      <c r="A150" s="86">
        <v>8</v>
      </c>
      <c r="B150" s="86"/>
      <c r="C150" s="75" t="s">
        <v>193</v>
      </c>
      <c r="D150" s="75">
        <f>(26.81+8.45+2.16)*10.764</f>
        <v>402.78888000000001</v>
      </c>
      <c r="E150" s="75">
        <f>(4.61)*10.764</f>
        <v>49.622039999999998</v>
      </c>
      <c r="F150" s="75">
        <f>D150*(($F$116)+1)+E150</f>
        <v>653.80535999999995</v>
      </c>
      <c r="G150" s="86" t="str">
        <f t="shared" si="24"/>
        <v>5th &amp; 7th Floor</v>
      </c>
      <c r="H150" s="86"/>
      <c r="I150" s="62"/>
      <c r="N150" s="62"/>
    </row>
    <row r="151" spans="1:16" s="63" customFormat="1" x14ac:dyDescent="0.35">
      <c r="A151" s="85" t="s">
        <v>198</v>
      </c>
      <c r="B151" s="85"/>
      <c r="C151" s="85"/>
      <c r="D151" s="85"/>
      <c r="E151" s="85"/>
      <c r="F151" s="85"/>
      <c r="G151" s="85"/>
      <c r="H151" s="85"/>
      <c r="I151" s="62"/>
      <c r="N151" s="62"/>
    </row>
    <row r="152" spans="1:16" s="63" customFormat="1" x14ac:dyDescent="0.35">
      <c r="A152" s="86">
        <v>1</v>
      </c>
      <c r="B152" s="86"/>
      <c r="C152" s="28" t="s">
        <v>193</v>
      </c>
      <c r="D152" s="28">
        <f>(30.64+4.42+1.92+1.82)*10.764</f>
        <v>417.64320000000004</v>
      </c>
      <c r="E152" s="28">
        <f>(4.37)*10.764</f>
        <v>47.038679999999999</v>
      </c>
      <c r="F152" s="28">
        <f t="shared" ref="F152:F159" si="31">D152*(($F$116)+1)+E152</f>
        <v>673.50348000000008</v>
      </c>
      <c r="G152" s="88" t="str">
        <f>A151</f>
        <v>6th Floor</v>
      </c>
      <c r="H152" s="89"/>
      <c r="I152" s="62"/>
      <c r="N152" s="62"/>
    </row>
    <row r="153" spans="1:16" s="63" customFormat="1" x14ac:dyDescent="0.35">
      <c r="A153" s="86">
        <v>2</v>
      </c>
      <c r="B153" s="86"/>
      <c r="C153" s="28" t="s">
        <v>193</v>
      </c>
      <c r="D153" s="28">
        <f>(31.21+4.53+1.92+4.08)*10.764</f>
        <v>449.28935999999999</v>
      </c>
      <c r="E153" s="28">
        <f>(4.25)*10.764</f>
        <v>45.747</v>
      </c>
      <c r="F153" s="28">
        <f t="shared" si="31"/>
        <v>719.68103999999994</v>
      </c>
      <c r="G153" s="90"/>
      <c r="H153" s="91"/>
      <c r="I153" s="62"/>
      <c r="N153" s="62"/>
    </row>
    <row r="154" spans="1:16" s="63" customFormat="1" x14ac:dyDescent="0.35">
      <c r="A154" s="86">
        <v>3</v>
      </c>
      <c r="B154" s="86"/>
      <c r="C154" s="28" t="s">
        <v>193</v>
      </c>
      <c r="D154" s="28">
        <f>(31.21+4.53+1.72+2.16)*10.764</f>
        <v>426.46968000000004</v>
      </c>
      <c r="E154" s="28">
        <f>(4.25)*10.764</f>
        <v>45.747</v>
      </c>
      <c r="F154" s="28">
        <f t="shared" si="31"/>
        <v>685.45151999999996</v>
      </c>
      <c r="G154" s="90"/>
      <c r="H154" s="91"/>
      <c r="I154" s="62"/>
      <c r="N154" s="62"/>
    </row>
    <row r="155" spans="1:16" s="63" customFormat="1" x14ac:dyDescent="0.35">
      <c r="A155" s="86">
        <v>4</v>
      </c>
      <c r="B155" s="86"/>
      <c r="C155" s="28" t="s">
        <v>196</v>
      </c>
      <c r="D155" s="28">
        <f>(40.88+6.72+1.97+1.48)*10.764</f>
        <v>549.5021999999999</v>
      </c>
      <c r="E155" s="28">
        <f>(7.25)*10.764</f>
        <v>78.039000000000001</v>
      </c>
      <c r="F155" s="28">
        <f t="shared" si="31"/>
        <v>902.29229999999984</v>
      </c>
      <c r="G155" s="90"/>
      <c r="H155" s="91"/>
      <c r="I155" s="62"/>
      <c r="N155" s="62"/>
    </row>
    <row r="156" spans="1:16" s="63" customFormat="1" x14ac:dyDescent="0.35">
      <c r="A156" s="86">
        <v>5</v>
      </c>
      <c r="B156" s="86"/>
      <c r="C156" s="28" t="s">
        <v>199</v>
      </c>
      <c r="D156" s="28">
        <f>(41.1+7.7+1.92+0.74)*10.764</f>
        <v>553.9154400000001</v>
      </c>
      <c r="E156" s="28">
        <f>(9.8)*10.764</f>
        <v>105.4872</v>
      </c>
      <c r="F156" s="28">
        <f t="shared" si="31"/>
        <v>936.36036000000013</v>
      </c>
      <c r="G156" s="90"/>
      <c r="H156" s="91"/>
      <c r="I156" s="62"/>
      <c r="N156" s="62"/>
    </row>
    <row r="157" spans="1:16" s="63" customFormat="1" x14ac:dyDescent="0.35">
      <c r="A157" s="86">
        <v>6</v>
      </c>
      <c r="B157" s="86"/>
      <c r="C157" s="28" t="s">
        <v>192</v>
      </c>
      <c r="D157" s="28">
        <f>(32.35+2.3+1.92+1.44)*10.764</f>
        <v>409.13963999999993</v>
      </c>
      <c r="E157" s="28">
        <f>(4.25)*10.764</f>
        <v>45.747</v>
      </c>
      <c r="F157" s="28">
        <f t="shared" si="31"/>
        <v>659.45645999999988</v>
      </c>
      <c r="G157" s="90"/>
      <c r="H157" s="91"/>
      <c r="I157" s="62"/>
      <c r="N157" s="62"/>
    </row>
    <row r="158" spans="1:16" s="63" customFormat="1" x14ac:dyDescent="0.35">
      <c r="A158" s="86">
        <v>7</v>
      </c>
      <c r="B158" s="86"/>
      <c r="C158" s="28" t="s">
        <v>192</v>
      </c>
      <c r="D158" s="28">
        <f>(28.59+5.88+1.92+1.08)*10.764</f>
        <v>403.32707999999997</v>
      </c>
      <c r="E158" s="28">
        <v>0</v>
      </c>
      <c r="F158" s="28">
        <f t="shared" si="31"/>
        <v>604.99061999999992</v>
      </c>
      <c r="G158" s="90"/>
      <c r="H158" s="91"/>
      <c r="I158" s="62"/>
      <c r="L158" s="79"/>
      <c r="M158" s="79"/>
    </row>
    <row r="159" spans="1:16" s="63" customFormat="1" x14ac:dyDescent="0.35">
      <c r="A159" s="86">
        <v>8</v>
      </c>
      <c r="B159" s="86"/>
      <c r="C159" s="28" t="s">
        <v>192</v>
      </c>
      <c r="D159" s="28">
        <f>(26.81+8.45+1.97+2.16)*10.764</f>
        <v>423.99395999999996</v>
      </c>
      <c r="E159" s="28">
        <v>0</v>
      </c>
      <c r="F159" s="28">
        <f t="shared" si="31"/>
        <v>635.99093999999991</v>
      </c>
      <c r="G159" s="92"/>
      <c r="H159" s="93"/>
      <c r="I159" s="62"/>
      <c r="N159" s="62"/>
    </row>
    <row r="160" spans="1:16" s="63" customFormat="1" x14ac:dyDescent="0.35">
      <c r="A160" s="85" t="s">
        <v>200</v>
      </c>
      <c r="B160" s="85"/>
      <c r="C160" s="85"/>
      <c r="D160" s="85"/>
      <c r="E160" s="85"/>
      <c r="F160" s="85"/>
      <c r="G160" s="85"/>
      <c r="H160" s="85"/>
      <c r="I160" s="62"/>
      <c r="N160" s="62"/>
    </row>
    <row r="161" spans="1:17" s="63" customFormat="1" ht="15.75" customHeight="1" x14ac:dyDescent="0.35">
      <c r="A161" s="86">
        <v>1</v>
      </c>
      <c r="B161" s="86"/>
      <c r="C161" s="28" t="s">
        <v>192</v>
      </c>
      <c r="D161" s="28">
        <f>(30.64+4.42+1.97+1.82)*10.764</f>
        <v>418.1814</v>
      </c>
      <c r="E161" s="28">
        <f>(4.37)*10.764</f>
        <v>47.038679999999999</v>
      </c>
      <c r="F161" s="28">
        <f>D161*(($F$116)+1)+E161</f>
        <v>674.31078000000002</v>
      </c>
      <c r="G161" s="88" t="str">
        <f>A160</f>
        <v>8th Floor (Part Refuge Floor )</v>
      </c>
      <c r="H161" s="89"/>
      <c r="I161" s="62"/>
      <c r="N161" s="62"/>
    </row>
    <row r="162" spans="1:17" s="63" customFormat="1" ht="15.75" customHeight="1" x14ac:dyDescent="0.35">
      <c r="A162" s="86">
        <f>A161+1</f>
        <v>2</v>
      </c>
      <c r="B162" s="86"/>
      <c r="C162" s="28" t="s">
        <v>192</v>
      </c>
      <c r="D162" s="28">
        <f>(31.49+4.53+1.72+2.16)*10.764</f>
        <v>429.48359999999991</v>
      </c>
      <c r="E162" s="28">
        <f>(15.71)*10.764</f>
        <v>169.10244</v>
      </c>
      <c r="F162" s="28">
        <f>D162*(($F$116)+1)+E162</f>
        <v>813.32783999999981</v>
      </c>
      <c r="G162" s="90"/>
      <c r="H162" s="91"/>
      <c r="I162" s="176" t="s">
        <v>258</v>
      </c>
      <c r="J162" s="177"/>
      <c r="K162" s="177"/>
      <c r="L162" s="177"/>
      <c r="M162" s="177"/>
      <c r="N162" s="177"/>
      <c r="O162" s="177"/>
      <c r="P162" s="177"/>
      <c r="Q162" s="177"/>
    </row>
    <row r="163" spans="1:17" s="63" customFormat="1" ht="15.75" customHeight="1" x14ac:dyDescent="0.35">
      <c r="A163" s="86">
        <f>A162+1</f>
        <v>3</v>
      </c>
      <c r="B163" s="86"/>
      <c r="C163" s="28" t="s">
        <v>192</v>
      </c>
      <c r="D163" s="28">
        <f>(33.01+6.72+1.97+0.67)*10.764</f>
        <v>456.07067999999992</v>
      </c>
      <c r="E163" s="28">
        <f>(12.71)*10.764</f>
        <v>136.81044</v>
      </c>
      <c r="F163" s="28">
        <f>D163*(($F$116)+1)+E163/2</f>
        <v>752.51123999999993</v>
      </c>
      <c r="G163" s="90"/>
      <c r="H163" s="91"/>
      <c r="I163" s="62"/>
      <c r="N163" s="62"/>
    </row>
    <row r="164" spans="1:17" s="63" customFormat="1" ht="15.75" customHeight="1" x14ac:dyDescent="0.35">
      <c r="A164" s="86">
        <f t="shared" ref="A164:A167" si="32">A163+1</f>
        <v>4</v>
      </c>
      <c r="B164" s="86"/>
      <c r="C164" s="28" t="s">
        <v>192</v>
      </c>
      <c r="D164" s="28">
        <f>(31.79+7.7+1.92+0.67)*10.764</f>
        <v>452.94912000000005</v>
      </c>
      <c r="E164" s="28">
        <f>(16.57)*10.764</f>
        <v>178.35947999999999</v>
      </c>
      <c r="F164" s="28">
        <f>D164*(($F$116)+1)+E164/2</f>
        <v>768.60342000000014</v>
      </c>
      <c r="G164" s="90"/>
      <c r="H164" s="91"/>
      <c r="I164" s="62"/>
      <c r="N164" s="62"/>
    </row>
    <row r="165" spans="1:17" s="63" customFormat="1" ht="15.75" customHeight="1" x14ac:dyDescent="0.35">
      <c r="A165" s="86">
        <f t="shared" si="32"/>
        <v>5</v>
      </c>
      <c r="B165" s="86"/>
      <c r="C165" s="28" t="s">
        <v>192</v>
      </c>
      <c r="D165" s="28">
        <f>(32.35+2.3+1.92+1.44)*10.764</f>
        <v>409.13963999999993</v>
      </c>
      <c r="E165" s="28">
        <f>(4.37)*10.764</f>
        <v>47.038679999999999</v>
      </c>
      <c r="F165" s="28">
        <f>D165*(($F$116)+1)+E165</f>
        <v>660.74813999999992</v>
      </c>
      <c r="G165" s="90"/>
      <c r="H165" s="91"/>
      <c r="I165" s="62"/>
      <c r="N165" s="62"/>
    </row>
    <row r="166" spans="1:17" s="60" customFormat="1" ht="15.75" customHeight="1" x14ac:dyDescent="0.35">
      <c r="A166" s="86">
        <f>A165+1</f>
        <v>6</v>
      </c>
      <c r="B166" s="86"/>
      <c r="C166" s="28" t="s">
        <v>192</v>
      </c>
      <c r="D166" s="28">
        <f>(28.59+5.88+1.92+1.08)*10.764</f>
        <v>403.32707999999997</v>
      </c>
      <c r="E166" s="28">
        <v>0</v>
      </c>
      <c r="F166" s="28">
        <f>D166*(($F$116)+1)+E166</f>
        <v>604.99061999999992</v>
      </c>
      <c r="G166" s="90"/>
      <c r="H166" s="91"/>
    </row>
    <row r="167" spans="1:17" s="63" customFormat="1" ht="15.75" customHeight="1" x14ac:dyDescent="0.35">
      <c r="A167" s="86">
        <f t="shared" si="32"/>
        <v>7</v>
      </c>
      <c r="B167" s="86"/>
      <c r="C167" s="28" t="s">
        <v>192</v>
      </c>
      <c r="D167" s="28">
        <f>(26.81+8.45+1.97+2.16)*10.764</f>
        <v>423.99395999999996</v>
      </c>
      <c r="E167" s="28">
        <v>0</v>
      </c>
      <c r="F167" s="28">
        <f>D167*(($F$116)+1)+E167</f>
        <v>635.99093999999991</v>
      </c>
      <c r="G167" s="92"/>
      <c r="H167" s="93"/>
      <c r="I167" s="62"/>
      <c r="L167" s="79"/>
      <c r="M167" s="79"/>
    </row>
    <row r="168" spans="1:17" s="63" customFormat="1" ht="15.75" customHeight="1" x14ac:dyDescent="0.35">
      <c r="A168" s="87" t="s">
        <v>211</v>
      </c>
      <c r="B168" s="87"/>
      <c r="C168" s="87"/>
      <c r="D168" s="87"/>
      <c r="E168" s="87"/>
      <c r="F168" s="87"/>
      <c r="G168" s="87"/>
      <c r="H168" s="87"/>
      <c r="I168" s="62"/>
      <c r="P168" s="64"/>
    </row>
    <row r="169" spans="1:17" s="63" customFormat="1" x14ac:dyDescent="0.35">
      <c r="A169" s="85" t="s">
        <v>242</v>
      </c>
      <c r="B169" s="85"/>
      <c r="C169" s="85"/>
      <c r="D169" s="85"/>
      <c r="E169" s="85"/>
      <c r="F169" s="85"/>
      <c r="G169" s="85"/>
      <c r="H169" s="85"/>
      <c r="I169" s="62"/>
      <c r="N169" s="63" t="str">
        <f t="shared" ref="N169:N174" ca="1" si="33">O169&amp;""&amp;",..,"&amp;""&amp;P169</f>
        <v>101,..,1101</v>
      </c>
      <c r="O169" s="63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</f>
        <v>101</v>
      </c>
      <c r="P169" s="63">
        <f ca="1">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1101</v>
      </c>
    </row>
    <row r="170" spans="1:17" s="63" customFormat="1" x14ac:dyDescent="0.35">
      <c r="A170" s="80" t="s">
        <v>246</v>
      </c>
      <c r="B170" s="81"/>
      <c r="C170" s="81"/>
      <c r="D170" s="81"/>
      <c r="E170" s="81"/>
      <c r="F170" s="81"/>
      <c r="G170" s="81"/>
      <c r="H170" s="82"/>
      <c r="I170" s="73">
        <v>10.763999999999999</v>
      </c>
      <c r="N170" s="63" t="str">
        <f t="shared" ca="1" si="33"/>
        <v>102,..,1102</v>
      </c>
      <c r="O170" s="63">
        <f t="shared" ref="O170:P173" ca="1" si="34">O169+1</f>
        <v>102</v>
      </c>
      <c r="P170" s="63">
        <f t="shared" ca="1" si="34"/>
        <v>1102</v>
      </c>
    </row>
    <row r="171" spans="1:17" s="63" customFormat="1" ht="15.75" customHeight="1" x14ac:dyDescent="0.35">
      <c r="A171" s="83">
        <v>1</v>
      </c>
      <c r="B171" s="84"/>
      <c r="C171" s="70" t="s">
        <v>193</v>
      </c>
      <c r="D171" s="73">
        <f>(35.78)*10.764</f>
        <v>385.13592</v>
      </c>
      <c r="E171" s="28">
        <v>0</v>
      </c>
      <c r="F171" s="28">
        <f t="shared" ref="F171:F176" si="35">D171*(($F$116)+1)+E171</f>
        <v>577.70388000000003</v>
      </c>
      <c r="G171" s="88" t="str">
        <f>A170</f>
        <v xml:space="preserve">1st to 7th, 9th to 11th Floor For Residential </v>
      </c>
      <c r="H171" s="89"/>
      <c r="I171" s="62">
        <f>2.85*4.2+1.4*1.2+2.25*2.55+2.7*3.3+1.2*1.5+0.9*1.2+2.6*0.9</f>
        <v>33.517500000000005</v>
      </c>
      <c r="N171" s="63" t="str">
        <f t="shared" ca="1" si="33"/>
        <v>103,..,1103</v>
      </c>
      <c r="O171" s="63">
        <f t="shared" ca="1" si="34"/>
        <v>103</v>
      </c>
      <c r="P171" s="63">
        <f t="shared" ca="1" si="34"/>
        <v>1103</v>
      </c>
    </row>
    <row r="172" spans="1:17" s="63" customFormat="1" ht="15.75" customHeight="1" x14ac:dyDescent="0.35">
      <c r="A172" s="83">
        <f>1+A171</f>
        <v>2</v>
      </c>
      <c r="B172" s="84"/>
      <c r="C172" s="70" t="s">
        <v>193</v>
      </c>
      <c r="D172" s="73">
        <f>(35.5+0.75*(2.85+2.7))*10.764</f>
        <v>426.92714999999998</v>
      </c>
      <c r="E172" s="28">
        <v>0</v>
      </c>
      <c r="F172" s="28">
        <f t="shared" si="35"/>
        <v>640.39072499999997</v>
      </c>
      <c r="G172" s="90"/>
      <c r="H172" s="91"/>
      <c r="I172" s="62">
        <f>2.85*4.2+2.55*2.25+2.7*3.3+1.2*0.9+1.2*1.5+2.8*0.9+1.2*0.6</f>
        <v>32.737499999999997</v>
      </c>
      <c r="N172" s="63" t="str">
        <f t="shared" ca="1" si="33"/>
        <v>104,..,1104</v>
      </c>
      <c r="O172" s="63">
        <f t="shared" ca="1" si="34"/>
        <v>104</v>
      </c>
      <c r="P172" s="63">
        <f t="shared" ca="1" si="34"/>
        <v>1104</v>
      </c>
    </row>
    <row r="173" spans="1:17" s="63" customFormat="1" ht="15.75" customHeight="1" x14ac:dyDescent="0.35">
      <c r="A173" s="83">
        <f>1+A172</f>
        <v>3</v>
      </c>
      <c r="B173" s="84"/>
      <c r="C173" s="28" t="s">
        <v>193</v>
      </c>
      <c r="D173" s="73">
        <f>(31.8+2.57+0.75*(2.85))*10.764</f>
        <v>392.96672999999998</v>
      </c>
      <c r="E173" s="28">
        <v>0</v>
      </c>
      <c r="F173" s="28">
        <f t="shared" si="35"/>
        <v>589.45009499999992</v>
      </c>
      <c r="G173" s="90"/>
      <c r="H173" s="91"/>
      <c r="I173" s="62"/>
      <c r="N173" s="63" t="str">
        <f t="shared" ca="1" si="33"/>
        <v>105,..,1105</v>
      </c>
      <c r="O173" s="63">
        <f t="shared" ca="1" si="34"/>
        <v>105</v>
      </c>
      <c r="P173" s="63">
        <f t="shared" ca="1" si="34"/>
        <v>1105</v>
      </c>
    </row>
    <row r="174" spans="1:17" s="63" customFormat="1" ht="15.75" customHeight="1" x14ac:dyDescent="0.35">
      <c r="A174" s="83">
        <f>1+A173</f>
        <v>4</v>
      </c>
      <c r="B174" s="84"/>
      <c r="C174" s="70" t="s">
        <v>199</v>
      </c>
      <c r="D174" s="73">
        <f>(43.15+7.72+0.75*(2.85+3.6))*10.764</f>
        <v>599.6355299999999</v>
      </c>
      <c r="E174" s="28">
        <v>0</v>
      </c>
      <c r="F174" s="28">
        <f t="shared" si="35"/>
        <v>899.4532949999998</v>
      </c>
      <c r="G174" s="90"/>
      <c r="H174" s="91"/>
      <c r="I174" s="62">
        <f>4.2*2.85+2.7*2.1+3*2.85+3.6*2.85+1.2*0.9+1.2*0.95+2*1.2+6.5</f>
        <v>47.57</v>
      </c>
      <c r="N174" s="63" t="str">
        <f t="shared" ca="1" si="33"/>
        <v>106,..,1106</v>
      </c>
      <c r="O174" s="63">
        <f t="shared" ref="O174:P174" ca="1" si="36">O173+1</f>
        <v>106</v>
      </c>
      <c r="P174" s="63">
        <f t="shared" ca="1" si="36"/>
        <v>1106</v>
      </c>
    </row>
    <row r="175" spans="1:17" s="63" customFormat="1" ht="15.75" customHeight="1" x14ac:dyDescent="0.35">
      <c r="A175" s="83">
        <f>1+A174</f>
        <v>5</v>
      </c>
      <c r="B175" s="84"/>
      <c r="C175" s="28" t="s">
        <v>193</v>
      </c>
      <c r="D175" s="73">
        <f>(34.2+0.75*(2.85+2.7))*10.764</f>
        <v>412.93395000000004</v>
      </c>
      <c r="E175" s="28">
        <v>0</v>
      </c>
      <c r="F175" s="28">
        <f t="shared" si="35"/>
        <v>619.40092500000003</v>
      </c>
      <c r="G175" s="90"/>
      <c r="H175" s="91"/>
      <c r="I175" s="62"/>
      <c r="P175" s="64"/>
    </row>
    <row r="176" spans="1:17" s="63" customFormat="1" ht="15.75" customHeight="1" x14ac:dyDescent="0.35">
      <c r="A176" s="83">
        <f>1+A175</f>
        <v>6</v>
      </c>
      <c r="B176" s="84"/>
      <c r="C176" s="70" t="s">
        <v>193</v>
      </c>
      <c r="D176" s="73">
        <f>(31.84+2.36+0.75*(2.85+2.7))*10.764</f>
        <v>412.93395000000004</v>
      </c>
      <c r="E176" s="28">
        <v>0</v>
      </c>
      <c r="F176" s="28">
        <f t="shared" si="35"/>
        <v>619.40092500000003</v>
      </c>
      <c r="G176" s="92"/>
      <c r="H176" s="93"/>
      <c r="I176" s="62"/>
      <c r="J176" s="63">
        <f>2.25*1.2</f>
        <v>2.6999999999999997</v>
      </c>
      <c r="N176" s="63" t="e">
        <f t="shared" ref="N176:N181" ca="1" si="37">O176&amp;""&amp;",..,"&amp;""&amp;P176</f>
        <v>#REF!</v>
      </c>
      <c r="O176" s="63" t="e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10^ROW(INDIRECT("1:"&amp;LEN((LEFT(A177,SUM(LEN(A177)-LEN(SUBSTITUTE(A177,{"0","1","2"},""))))))))/10))*100+1</f>
        <v>#REF!</v>
      </c>
      <c r="P176" s="63">
        <f ca="1">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",LEN(A177))),LEN(A177)))))))/10))*100+1</f>
        <v>801</v>
      </c>
    </row>
    <row r="177" spans="1:16" s="63" customFormat="1" x14ac:dyDescent="0.35">
      <c r="A177" s="80" t="s">
        <v>247</v>
      </c>
      <c r="B177" s="81"/>
      <c r="C177" s="81"/>
      <c r="D177" s="81"/>
      <c r="E177" s="81"/>
      <c r="F177" s="81"/>
      <c r="G177" s="81"/>
      <c r="H177" s="82"/>
      <c r="I177" s="62"/>
      <c r="N177" s="63" t="e">
        <f t="shared" ca="1" si="37"/>
        <v>#REF!</v>
      </c>
      <c r="O177" s="63" t="e">
        <f t="shared" ref="O177:P177" ca="1" si="38">O176+1</f>
        <v>#REF!</v>
      </c>
      <c r="P177" s="63">
        <f t="shared" ca="1" si="38"/>
        <v>802</v>
      </c>
    </row>
    <row r="178" spans="1:16" s="63" customFormat="1" ht="15.75" customHeight="1" x14ac:dyDescent="0.35">
      <c r="A178" s="86">
        <v>1</v>
      </c>
      <c r="B178" s="86"/>
      <c r="C178" s="86" t="s">
        <v>248</v>
      </c>
      <c r="D178" s="86"/>
      <c r="E178" s="86"/>
      <c r="F178" s="86"/>
      <c r="G178" s="86" t="str">
        <f>A177</f>
        <v>8th Floor (Part Refuge Area)</v>
      </c>
      <c r="H178" s="86"/>
      <c r="I178" s="62"/>
      <c r="N178" s="63" t="e">
        <f t="shared" ca="1" si="37"/>
        <v>#REF!</v>
      </c>
      <c r="O178" s="63" t="e">
        <f t="shared" ref="O178:P178" ca="1" si="39">O177+1</f>
        <v>#REF!</v>
      </c>
      <c r="P178" s="63">
        <f t="shared" ca="1" si="39"/>
        <v>803</v>
      </c>
    </row>
    <row r="179" spans="1:16" s="63" customFormat="1" ht="15.75" customHeight="1" x14ac:dyDescent="0.35">
      <c r="A179" s="86">
        <f>1+A178</f>
        <v>2</v>
      </c>
      <c r="B179" s="86"/>
      <c r="C179" s="75" t="s">
        <v>193</v>
      </c>
      <c r="D179" s="73">
        <f>(35.5+0.75*(2.85+2.7))*10.764</f>
        <v>426.92714999999998</v>
      </c>
      <c r="E179" s="75">
        <v>0</v>
      </c>
      <c r="F179" s="75">
        <f>D179*(($F$116)+1)+E179</f>
        <v>640.39072499999997</v>
      </c>
      <c r="G179" s="86"/>
      <c r="H179" s="86"/>
      <c r="I179" s="62"/>
      <c r="N179" s="63" t="e">
        <f t="shared" ca="1" si="37"/>
        <v>#REF!</v>
      </c>
      <c r="O179" s="63" t="e">
        <f t="shared" ref="O179:P179" ca="1" si="40">O178+1</f>
        <v>#REF!</v>
      </c>
      <c r="P179" s="63">
        <f t="shared" ca="1" si="40"/>
        <v>804</v>
      </c>
    </row>
    <row r="180" spans="1:16" s="63" customFormat="1" ht="15.75" customHeight="1" x14ac:dyDescent="0.35">
      <c r="A180" s="86">
        <f>1+A179</f>
        <v>3</v>
      </c>
      <c r="B180" s="86"/>
      <c r="C180" s="75" t="s">
        <v>193</v>
      </c>
      <c r="D180" s="73">
        <f>(31.8+2.57+0.75*(2.85))*10.764</f>
        <v>392.96672999999998</v>
      </c>
      <c r="E180" s="75">
        <v>0</v>
      </c>
      <c r="F180" s="75">
        <f>D180*(($F$116)+1)+E180</f>
        <v>589.45009499999992</v>
      </c>
      <c r="G180" s="86"/>
      <c r="H180" s="86"/>
      <c r="I180" s="62"/>
      <c r="N180" s="63" t="e">
        <f t="shared" ca="1" si="37"/>
        <v>#REF!</v>
      </c>
      <c r="O180" s="63" t="e">
        <f t="shared" ref="O180:P180" ca="1" si="41">O179+1</f>
        <v>#REF!</v>
      </c>
      <c r="P180" s="63">
        <f t="shared" ca="1" si="41"/>
        <v>805</v>
      </c>
    </row>
    <row r="181" spans="1:16" s="63" customFormat="1" ht="15.75" customHeight="1" x14ac:dyDescent="0.35">
      <c r="A181" s="86">
        <f>1+A180</f>
        <v>4</v>
      </c>
      <c r="B181" s="86"/>
      <c r="C181" s="75" t="s">
        <v>199</v>
      </c>
      <c r="D181" s="73">
        <f>(43.15+7.72+0.75*(2.85+3.6))*10.764</f>
        <v>599.6355299999999</v>
      </c>
      <c r="E181" s="75">
        <v>0</v>
      </c>
      <c r="F181" s="75">
        <f>D181*(($F$116)+1)+E181</f>
        <v>899.4532949999998</v>
      </c>
      <c r="G181" s="86"/>
      <c r="H181" s="86"/>
      <c r="I181" s="62"/>
      <c r="N181" s="63" t="e">
        <f t="shared" ca="1" si="37"/>
        <v>#REF!</v>
      </c>
      <c r="O181" s="63" t="e">
        <f t="shared" ref="O181:P181" ca="1" si="42">O180+1</f>
        <v>#REF!</v>
      </c>
      <c r="P181" s="63">
        <f t="shared" ca="1" si="42"/>
        <v>806</v>
      </c>
    </row>
    <row r="182" spans="1:16" s="63" customFormat="1" ht="15.75" customHeight="1" x14ac:dyDescent="0.35">
      <c r="A182" s="86">
        <f>1+A181</f>
        <v>5</v>
      </c>
      <c r="B182" s="86"/>
      <c r="C182" s="75" t="s">
        <v>193</v>
      </c>
      <c r="D182" s="73">
        <f>(34.2+0.75*(2.85+2.7))*10.764</f>
        <v>412.93395000000004</v>
      </c>
      <c r="E182" s="75">
        <v>0</v>
      </c>
      <c r="F182" s="75">
        <f>D182*(($F$116)+1)+E182</f>
        <v>619.40092500000003</v>
      </c>
      <c r="G182" s="86"/>
      <c r="H182" s="86"/>
      <c r="I182" s="62"/>
      <c r="L182" s="79"/>
      <c r="M182" s="79"/>
    </row>
    <row r="183" spans="1:16" s="63" customFormat="1" ht="15.75" customHeight="1" x14ac:dyDescent="0.35">
      <c r="A183" s="86">
        <f>1+A182</f>
        <v>6</v>
      </c>
      <c r="B183" s="86"/>
      <c r="C183" s="75" t="s">
        <v>193</v>
      </c>
      <c r="D183" s="73">
        <f>(31.84+2.36+0.75*(2.85+2.7))*10.764</f>
        <v>412.93395000000004</v>
      </c>
      <c r="E183" s="75">
        <v>0</v>
      </c>
      <c r="F183" s="75">
        <f>D183*(($F$116)+1)+E183</f>
        <v>619.40092500000003</v>
      </c>
      <c r="G183" s="86"/>
      <c r="H183" s="86"/>
      <c r="I183" s="62"/>
      <c r="N183" s="62"/>
    </row>
    <row r="184" spans="1:16" s="63" customFormat="1" x14ac:dyDescent="0.35">
      <c r="A184" s="85"/>
      <c r="B184" s="85"/>
      <c r="C184" s="85"/>
      <c r="D184" s="85"/>
      <c r="E184" s="85"/>
      <c r="F184" s="85"/>
      <c r="G184" s="85"/>
      <c r="H184" s="85"/>
      <c r="I184" s="62"/>
      <c r="N184" s="62"/>
    </row>
    <row r="185" spans="1:16" s="61" customFormat="1" x14ac:dyDescent="0.35">
      <c r="A185" s="152" t="s">
        <v>70</v>
      </c>
      <c r="B185" s="152"/>
      <c r="C185" s="152"/>
      <c r="D185" s="152"/>
      <c r="E185" s="152"/>
      <c r="F185" s="152"/>
      <c r="G185" s="152"/>
      <c r="H185" s="152"/>
    </row>
    <row r="186" spans="1:16" s="61" customFormat="1" ht="33" customHeight="1" x14ac:dyDescent="0.35">
      <c r="A186" s="77">
        <v>1</v>
      </c>
      <c r="B186" s="186" t="s">
        <v>227</v>
      </c>
      <c r="C186" s="186"/>
      <c r="D186" s="186"/>
      <c r="E186" s="186"/>
      <c r="F186" s="186"/>
      <c r="G186" s="186"/>
      <c r="H186" s="186"/>
    </row>
    <row r="187" spans="1:16" s="61" customFormat="1" x14ac:dyDescent="0.35">
      <c r="A187" s="77">
        <f>A186+1</f>
        <v>2</v>
      </c>
      <c r="B187" s="186" t="s">
        <v>201</v>
      </c>
      <c r="C187" s="186"/>
      <c r="D187" s="186"/>
      <c r="E187" s="186"/>
      <c r="F187" s="186"/>
      <c r="G187" s="186"/>
      <c r="H187" s="186"/>
    </row>
    <row r="188" spans="1:16" s="61" customFormat="1" x14ac:dyDescent="0.35">
      <c r="A188" s="77">
        <f t="shared" ref="A188:A195" si="43">A187+1</f>
        <v>3</v>
      </c>
      <c r="B188" s="187" t="s">
        <v>152</v>
      </c>
      <c r="C188" s="187"/>
      <c r="D188" s="187"/>
      <c r="E188" s="187"/>
      <c r="F188" s="187"/>
      <c r="G188" s="187"/>
      <c r="H188" s="187"/>
    </row>
    <row r="189" spans="1:16" s="61" customFormat="1" ht="33.75" customHeight="1" x14ac:dyDescent="0.35">
      <c r="A189" s="77">
        <f t="shared" si="43"/>
        <v>4</v>
      </c>
      <c r="B189" s="187" t="s">
        <v>202</v>
      </c>
      <c r="C189" s="187"/>
      <c r="D189" s="187"/>
      <c r="E189" s="187"/>
      <c r="F189" s="187"/>
      <c r="G189" s="187"/>
      <c r="H189" s="187"/>
    </row>
    <row r="190" spans="1:16" s="61" customFormat="1" x14ac:dyDescent="0.35">
      <c r="A190" s="27">
        <f t="shared" si="43"/>
        <v>5</v>
      </c>
      <c r="B190" s="94" t="s">
        <v>153</v>
      </c>
      <c r="C190" s="95"/>
      <c r="D190" s="95"/>
      <c r="E190" s="95"/>
      <c r="F190" s="95"/>
      <c r="G190" s="95"/>
      <c r="H190" s="96"/>
    </row>
    <row r="191" spans="1:16" s="61" customFormat="1" x14ac:dyDescent="0.35">
      <c r="A191" s="69">
        <f t="shared" si="43"/>
        <v>6</v>
      </c>
      <c r="B191" s="94" t="s">
        <v>154</v>
      </c>
      <c r="C191" s="95"/>
      <c r="D191" s="95"/>
      <c r="E191" s="95"/>
      <c r="F191" s="95"/>
      <c r="G191" s="95"/>
      <c r="H191" s="96"/>
    </row>
    <row r="192" spans="1:16" x14ac:dyDescent="0.35">
      <c r="A192" s="69">
        <f t="shared" si="43"/>
        <v>7</v>
      </c>
      <c r="B192" s="94" t="s">
        <v>229</v>
      </c>
      <c r="C192" s="95"/>
      <c r="D192" s="95"/>
      <c r="E192" s="95"/>
      <c r="F192" s="95"/>
      <c r="G192" s="95"/>
      <c r="H192" s="96"/>
    </row>
    <row r="193" spans="1:18" x14ac:dyDescent="0.35">
      <c r="A193" s="71">
        <f t="shared" si="43"/>
        <v>8</v>
      </c>
      <c r="B193" s="94" t="s">
        <v>254</v>
      </c>
      <c r="C193" s="95"/>
      <c r="D193" s="95"/>
      <c r="E193" s="95"/>
      <c r="F193" s="95"/>
      <c r="G193" s="95"/>
      <c r="H193" s="96"/>
    </row>
    <row r="194" spans="1:18" ht="35.25" customHeight="1" x14ac:dyDescent="0.35">
      <c r="A194" s="74">
        <f t="shared" si="43"/>
        <v>9</v>
      </c>
      <c r="B194" s="178" t="s">
        <v>259</v>
      </c>
      <c r="C194" s="179"/>
      <c r="D194" s="179"/>
      <c r="E194" s="179"/>
      <c r="F194" s="179"/>
      <c r="G194" s="179"/>
      <c r="H194" s="180"/>
    </row>
    <row r="195" spans="1:18" s="61" customFormat="1" ht="33.75" customHeight="1" x14ac:dyDescent="0.35">
      <c r="A195" s="77">
        <f t="shared" si="43"/>
        <v>10</v>
      </c>
      <c r="B195" s="188" t="s">
        <v>262</v>
      </c>
      <c r="C195" s="188"/>
      <c r="D195" s="188"/>
      <c r="E195" s="188"/>
      <c r="F195" s="188"/>
      <c r="G195" s="188"/>
      <c r="H195" s="188"/>
    </row>
    <row r="196" spans="1:18" ht="15.75" customHeight="1" x14ac:dyDescent="0.35">
      <c r="A196" s="144" t="s">
        <v>63</v>
      </c>
      <c r="B196" s="144"/>
      <c r="C196" s="144"/>
      <c r="D196" s="144"/>
      <c r="E196" s="144"/>
      <c r="F196" s="144"/>
      <c r="G196" s="144"/>
      <c r="H196" s="144"/>
    </row>
    <row r="197" spans="1:18" x14ac:dyDescent="0.35">
      <c r="A197" s="104" t="s">
        <v>64</v>
      </c>
      <c r="B197" s="104"/>
      <c r="C197" s="104"/>
      <c r="D197" s="104"/>
      <c r="E197" s="104"/>
      <c r="F197" s="104"/>
      <c r="G197" s="104"/>
      <c r="H197" s="104"/>
    </row>
    <row r="198" spans="1:18" x14ac:dyDescent="0.35">
      <c r="A198" s="159" t="s">
        <v>65</v>
      </c>
      <c r="B198" s="159"/>
      <c r="C198" s="159"/>
      <c r="D198" s="159"/>
      <c r="E198" s="159"/>
      <c r="F198" s="159"/>
      <c r="G198" s="159"/>
      <c r="H198" s="159"/>
      <c r="L198" s="97" t="s">
        <v>203</v>
      </c>
      <c r="M198" s="98"/>
      <c r="N198" s="98"/>
      <c r="O198" s="98"/>
      <c r="P198" s="98"/>
      <c r="Q198" s="98"/>
      <c r="R198" s="99"/>
    </row>
    <row r="199" spans="1:18" hidden="1" x14ac:dyDescent="0.35">
      <c r="A199" s="104" t="s">
        <v>66</v>
      </c>
      <c r="B199" s="104"/>
      <c r="C199" s="104"/>
      <c r="D199" s="104"/>
      <c r="E199" s="104"/>
      <c r="F199" s="104"/>
      <c r="G199" s="104"/>
      <c r="H199" s="104"/>
    </row>
    <row r="200" spans="1:18" ht="35.25" hidden="1" customHeight="1" x14ac:dyDescent="0.35">
      <c r="A200" s="104" t="s">
        <v>67</v>
      </c>
      <c r="B200" s="104"/>
      <c r="C200" s="104"/>
      <c r="D200" s="104"/>
      <c r="E200" s="104"/>
      <c r="F200" s="104"/>
      <c r="G200" s="104"/>
      <c r="H200" s="104"/>
    </row>
    <row r="201" spans="1:18" x14ac:dyDescent="0.35">
      <c r="A201" s="104" t="s">
        <v>155</v>
      </c>
      <c r="B201" s="104"/>
      <c r="C201" s="104"/>
      <c r="D201" s="104"/>
      <c r="E201" s="104"/>
      <c r="F201" s="104"/>
      <c r="G201" s="104"/>
      <c r="H201" s="104"/>
    </row>
    <row r="202" spans="1:18" x14ac:dyDescent="0.35">
      <c r="A202" s="128" t="s">
        <v>156</v>
      </c>
      <c r="B202" s="128"/>
      <c r="C202" s="128"/>
      <c r="D202" s="128"/>
      <c r="E202" s="128"/>
      <c r="F202" s="128"/>
      <c r="G202" s="128"/>
      <c r="H202" s="128"/>
    </row>
    <row r="203" spans="1:18" x14ac:dyDescent="0.35">
      <c r="A203" s="151" t="s">
        <v>102</v>
      </c>
      <c r="B203" s="151"/>
      <c r="C203" s="151" t="s">
        <v>250</v>
      </c>
      <c r="D203" s="151"/>
      <c r="E203" s="151" t="s">
        <v>133</v>
      </c>
      <c r="F203" s="151"/>
      <c r="G203" s="151" t="s">
        <v>260</v>
      </c>
      <c r="H203" s="151"/>
    </row>
    <row r="204" spans="1:18" x14ac:dyDescent="0.35">
      <c r="A204" s="150" t="s">
        <v>104</v>
      </c>
      <c r="B204" s="150"/>
      <c r="C204" s="150"/>
      <c r="D204" s="150"/>
      <c r="E204" s="150"/>
      <c r="F204" s="150"/>
      <c r="G204" s="150"/>
      <c r="H204" s="150"/>
    </row>
    <row r="205" spans="1:18" x14ac:dyDescent="0.35">
      <c r="A205" s="150"/>
      <c r="B205" s="150"/>
      <c r="C205" s="150"/>
      <c r="D205" s="150"/>
      <c r="E205" s="150"/>
      <c r="F205" s="150"/>
      <c r="G205" s="150"/>
      <c r="H205" s="150"/>
    </row>
    <row r="206" spans="1:18" x14ac:dyDescent="0.35">
      <c r="A206" s="150"/>
      <c r="B206" s="150"/>
      <c r="C206" s="150"/>
      <c r="D206" s="150"/>
      <c r="E206" s="150"/>
      <c r="F206" s="150"/>
      <c r="G206" s="150"/>
      <c r="H206" s="150"/>
    </row>
    <row r="207" spans="1:18" x14ac:dyDescent="0.35">
      <c r="A207" s="150"/>
      <c r="B207" s="150"/>
      <c r="C207" s="150"/>
      <c r="D207" s="150"/>
      <c r="E207" s="150"/>
      <c r="F207" s="150"/>
      <c r="G207" s="150"/>
      <c r="H207" s="150"/>
    </row>
    <row r="208" spans="1:18" x14ac:dyDescent="0.35">
      <c r="A208" s="65" t="s">
        <v>68</v>
      </c>
      <c r="B208" s="66"/>
      <c r="C208" s="66"/>
      <c r="D208" s="65" t="str">
        <f>E8</f>
        <v>Parijatak Phase I (Wing A &amp; B)</v>
      </c>
      <c r="F208" s="66"/>
      <c r="G208" s="66"/>
      <c r="H208" s="66"/>
    </row>
    <row r="209" spans="1:8" ht="15" customHeight="1" x14ac:dyDescent="0.35">
      <c r="A209" s="66"/>
      <c r="B209" s="66"/>
      <c r="C209" s="66"/>
      <c r="D209" s="66"/>
      <c r="E209" s="66"/>
      <c r="F209" s="66"/>
      <c r="G209" s="66"/>
      <c r="H209" s="66"/>
    </row>
    <row r="210" spans="1:8" x14ac:dyDescent="0.35">
      <c r="A210" s="66"/>
      <c r="B210" s="66"/>
      <c r="C210" s="66"/>
      <c r="D210" s="66"/>
      <c r="E210" s="66"/>
      <c r="F210" s="66"/>
      <c r="G210" s="66"/>
      <c r="H210" s="66"/>
    </row>
    <row r="255" spans="1:8" x14ac:dyDescent="0.35">
      <c r="A255" s="65" t="s">
        <v>234</v>
      </c>
      <c r="B255" s="66"/>
      <c r="C255" s="66"/>
      <c r="D255" s="65"/>
      <c r="F255" s="66"/>
      <c r="G255" s="66"/>
      <c r="H255" s="66"/>
    </row>
    <row r="256" spans="1:8" x14ac:dyDescent="0.35">
      <c r="A256" s="66"/>
      <c r="B256" s="66"/>
      <c r="C256" s="66"/>
      <c r="D256" s="66"/>
      <c r="E256" s="66"/>
      <c r="F256" s="66"/>
      <c r="G256" s="66"/>
      <c r="H256" s="66"/>
    </row>
    <row r="257" spans="1:8" x14ac:dyDescent="0.35">
      <c r="A257" s="66"/>
      <c r="B257" s="66"/>
      <c r="C257" s="66"/>
      <c r="D257" s="66"/>
      <c r="E257" s="66"/>
      <c r="F257" s="66"/>
      <c r="G257" s="66"/>
      <c r="H257" s="66"/>
    </row>
    <row r="298" spans="1:1" x14ac:dyDescent="0.35">
      <c r="A298" s="68" t="s">
        <v>69</v>
      </c>
    </row>
    <row r="322" spans="10:10" x14ac:dyDescent="0.35">
      <c r="J322" s="72"/>
    </row>
  </sheetData>
  <mergeCells count="338">
    <mergeCell ref="I61:M61"/>
    <mergeCell ref="B195:H195"/>
    <mergeCell ref="A46:B46"/>
    <mergeCell ref="C46:E46"/>
    <mergeCell ref="L198:R198"/>
    <mergeCell ref="C178:F178"/>
    <mergeCell ref="B191:H191"/>
    <mergeCell ref="G113:H113"/>
    <mergeCell ref="A130:B130"/>
    <mergeCell ref="A128:B128"/>
    <mergeCell ref="A114:H114"/>
    <mergeCell ref="A115:A116"/>
    <mergeCell ref="A123:B123"/>
    <mergeCell ref="A120:B120"/>
    <mergeCell ref="A121:B121"/>
    <mergeCell ref="A122:B122"/>
    <mergeCell ref="C115:C116"/>
    <mergeCell ref="A117:H117"/>
    <mergeCell ref="A148:B148"/>
    <mergeCell ref="A153:B153"/>
    <mergeCell ref="I162:Q162"/>
    <mergeCell ref="I100:Q100"/>
    <mergeCell ref="B194:H194"/>
    <mergeCell ref="C47:E47"/>
    <mergeCell ref="A47:B47"/>
    <mergeCell ref="C49:E49"/>
    <mergeCell ref="E40:H40"/>
    <mergeCell ref="A40:D40"/>
    <mergeCell ref="A201:H201"/>
    <mergeCell ref="A198:H198"/>
    <mergeCell ref="A119:B119"/>
    <mergeCell ref="A110:B110"/>
    <mergeCell ref="D115:D116"/>
    <mergeCell ref="E115:E116"/>
    <mergeCell ref="G115:H116"/>
    <mergeCell ref="A88:B88"/>
    <mergeCell ref="A89:B89"/>
    <mergeCell ref="A90:B90"/>
    <mergeCell ref="A80:B80"/>
    <mergeCell ref="C80:H80"/>
    <mergeCell ref="A75:B75"/>
    <mergeCell ref="F98:H98"/>
    <mergeCell ref="A95:H95"/>
    <mergeCell ref="A96:B96"/>
    <mergeCell ref="A67:B68"/>
    <mergeCell ref="C67:D68"/>
    <mergeCell ref="E67:F68"/>
    <mergeCell ref="G67:H68"/>
    <mergeCell ref="G49:H49"/>
    <mergeCell ref="D55:H55"/>
    <mergeCell ref="A58:C59"/>
    <mergeCell ref="D58:H58"/>
    <mergeCell ref="D59:H59"/>
    <mergeCell ref="A53:B53"/>
    <mergeCell ref="C53:E53"/>
    <mergeCell ref="A54:H54"/>
    <mergeCell ref="A55:C55"/>
    <mergeCell ref="A56:C56"/>
    <mergeCell ref="D56:H56"/>
    <mergeCell ref="G53:H53"/>
    <mergeCell ref="C50:H50"/>
    <mergeCell ref="A51:B52"/>
    <mergeCell ref="C51:E51"/>
    <mergeCell ref="G51:H51"/>
    <mergeCell ref="C52:H52"/>
    <mergeCell ref="A49:B50"/>
    <mergeCell ref="A204:H207"/>
    <mergeCell ref="A203:B203"/>
    <mergeCell ref="E203:F203"/>
    <mergeCell ref="C203:D203"/>
    <mergeCell ref="G203:H203"/>
    <mergeCell ref="A107:E107"/>
    <mergeCell ref="F107:H107"/>
    <mergeCell ref="A108:E108"/>
    <mergeCell ref="F108:H108"/>
    <mergeCell ref="A118:H118"/>
    <mergeCell ref="A173:B173"/>
    <mergeCell ref="A199:H199"/>
    <mergeCell ref="A109:H109"/>
    <mergeCell ref="A202:H202"/>
    <mergeCell ref="A200:H200"/>
    <mergeCell ref="A185:H185"/>
    <mergeCell ref="B115:B116"/>
    <mergeCell ref="A170:H170"/>
    <mergeCell ref="A196:H196"/>
    <mergeCell ref="A197:H197"/>
    <mergeCell ref="B192:H192"/>
    <mergeCell ref="B193:H193"/>
    <mergeCell ref="G111:H111"/>
    <mergeCell ref="A160:H160"/>
    <mergeCell ref="A62:C62"/>
    <mergeCell ref="D62:H62"/>
    <mergeCell ref="C66:H66"/>
    <mergeCell ref="A71:B71"/>
    <mergeCell ref="A73:B73"/>
    <mergeCell ref="E69:F69"/>
    <mergeCell ref="A104:E104"/>
    <mergeCell ref="A129:B129"/>
    <mergeCell ref="A112:B112"/>
    <mergeCell ref="A113:B113"/>
    <mergeCell ref="C113:D113"/>
    <mergeCell ref="E113:F113"/>
    <mergeCell ref="A92:B92"/>
    <mergeCell ref="A93:B93"/>
    <mergeCell ref="G84:H93"/>
    <mergeCell ref="A85:B85"/>
    <mergeCell ref="A86:B86"/>
    <mergeCell ref="A87:B87"/>
    <mergeCell ref="A60:C60"/>
    <mergeCell ref="A61:C61"/>
    <mergeCell ref="D60:H60"/>
    <mergeCell ref="D61:H61"/>
    <mergeCell ref="A76:B76"/>
    <mergeCell ref="A69:B69"/>
    <mergeCell ref="A72:B72"/>
    <mergeCell ref="A63:C63"/>
    <mergeCell ref="D63:H63"/>
    <mergeCell ref="A70:B70"/>
    <mergeCell ref="G69:H69"/>
    <mergeCell ref="A66:B66"/>
    <mergeCell ref="A64:B64"/>
    <mergeCell ref="C64:H64"/>
    <mergeCell ref="A74:B7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31:B31"/>
    <mergeCell ref="A30:B30"/>
    <mergeCell ref="C31:E31"/>
    <mergeCell ref="A32:B32"/>
    <mergeCell ref="C32:E32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F31:H31"/>
    <mergeCell ref="F32:H32"/>
    <mergeCell ref="A38:H38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45:H45"/>
    <mergeCell ref="D57:H57"/>
    <mergeCell ref="A35:H35"/>
    <mergeCell ref="A34:B34"/>
    <mergeCell ref="C34:E34"/>
    <mergeCell ref="A39:D39"/>
    <mergeCell ref="E39:H39"/>
    <mergeCell ref="A57:C57"/>
    <mergeCell ref="G47:H47"/>
    <mergeCell ref="A41:D41"/>
    <mergeCell ref="E41:H41"/>
    <mergeCell ref="E42:H42"/>
    <mergeCell ref="F34:H34"/>
    <mergeCell ref="A36:B36"/>
    <mergeCell ref="C36:H36"/>
    <mergeCell ref="E43:H43"/>
    <mergeCell ref="E44:H44"/>
    <mergeCell ref="A42:D42"/>
    <mergeCell ref="A43:D43"/>
    <mergeCell ref="A44:D44"/>
    <mergeCell ref="A48:B48"/>
    <mergeCell ref="C48:E48"/>
    <mergeCell ref="G48:H48"/>
    <mergeCell ref="G46:H46"/>
    <mergeCell ref="F103:H103"/>
    <mergeCell ref="F104:H104"/>
    <mergeCell ref="F105:H105"/>
    <mergeCell ref="G125:H132"/>
    <mergeCell ref="G119:H123"/>
    <mergeCell ref="A126:B126"/>
    <mergeCell ref="E110:F110"/>
    <mergeCell ref="F106:H106"/>
    <mergeCell ref="A105:E105"/>
    <mergeCell ref="C112:D112"/>
    <mergeCell ref="E112:F112"/>
    <mergeCell ref="G112:H112"/>
    <mergeCell ref="E83:F83"/>
    <mergeCell ref="G83:H83"/>
    <mergeCell ref="A101:E101"/>
    <mergeCell ref="F101:H101"/>
    <mergeCell ref="A102:E102"/>
    <mergeCell ref="A99:E99"/>
    <mergeCell ref="A97:H97"/>
    <mergeCell ref="A100:E100"/>
    <mergeCell ref="F100:H100"/>
    <mergeCell ref="A77:B77"/>
    <mergeCell ref="C111:D111"/>
    <mergeCell ref="E111:F111"/>
    <mergeCell ref="F102:H102"/>
    <mergeCell ref="A98:E98"/>
    <mergeCell ref="A84:B84"/>
    <mergeCell ref="E84:F93"/>
    <mergeCell ref="C96:H96"/>
    <mergeCell ref="A106:E106"/>
    <mergeCell ref="C110:D110"/>
    <mergeCell ref="G110:H110"/>
    <mergeCell ref="A94:E94"/>
    <mergeCell ref="F94:H94"/>
    <mergeCell ref="F99:H99"/>
    <mergeCell ref="A111:B111"/>
    <mergeCell ref="A82:B82"/>
    <mergeCell ref="C82:H82"/>
    <mergeCell ref="A83:B83"/>
    <mergeCell ref="E70:F79"/>
    <mergeCell ref="G70:H79"/>
    <mergeCell ref="A78:B78"/>
    <mergeCell ref="A79:B79"/>
    <mergeCell ref="A103:E103"/>
    <mergeCell ref="A91:B91"/>
    <mergeCell ref="B186:H186"/>
    <mergeCell ref="A179:B179"/>
    <mergeCell ref="A180:B180"/>
    <mergeCell ref="A181:B181"/>
    <mergeCell ref="A182:B182"/>
    <mergeCell ref="A183:B183"/>
    <mergeCell ref="A184:H184"/>
    <mergeCell ref="B187:H187"/>
    <mergeCell ref="B188:H188"/>
    <mergeCell ref="G178:H183"/>
    <mergeCell ref="B189:H189"/>
    <mergeCell ref="B190:H190"/>
    <mergeCell ref="A131:B131"/>
    <mergeCell ref="A132:B132"/>
    <mergeCell ref="A133:H133"/>
    <mergeCell ref="A134:B134"/>
    <mergeCell ref="A135:B135"/>
    <mergeCell ref="A136:B136"/>
    <mergeCell ref="A156:B156"/>
    <mergeCell ref="A157:B157"/>
    <mergeCell ref="A158:B158"/>
    <mergeCell ref="A159:B159"/>
    <mergeCell ref="A178:B178"/>
    <mergeCell ref="A166:B166"/>
    <mergeCell ref="A151:H151"/>
    <mergeCell ref="A139:B139"/>
    <mergeCell ref="A140:B140"/>
    <mergeCell ref="A141:B141"/>
    <mergeCell ref="G141:H141"/>
    <mergeCell ref="A146:B146"/>
    <mergeCell ref="A147:B147"/>
    <mergeCell ref="A155:B155"/>
    <mergeCell ref="A161:B161"/>
    <mergeCell ref="A162:B162"/>
    <mergeCell ref="A138:B138"/>
    <mergeCell ref="A137:B137"/>
    <mergeCell ref="G134:H140"/>
    <mergeCell ref="L116:M116"/>
    <mergeCell ref="L158:M158"/>
    <mergeCell ref="A154:B154"/>
    <mergeCell ref="G152:H159"/>
    <mergeCell ref="G143:H150"/>
    <mergeCell ref="A163:B163"/>
    <mergeCell ref="A127:B127"/>
    <mergeCell ref="A124:H124"/>
    <mergeCell ref="A125:B125"/>
    <mergeCell ref="A164:B164"/>
    <mergeCell ref="L149:M149"/>
    <mergeCell ref="A152:B152"/>
    <mergeCell ref="A149:B149"/>
    <mergeCell ref="A150:B150"/>
    <mergeCell ref="A142:H142"/>
    <mergeCell ref="A143:B143"/>
    <mergeCell ref="A144:B144"/>
    <mergeCell ref="A145:B145"/>
    <mergeCell ref="G161:H167"/>
    <mergeCell ref="A165:B165"/>
    <mergeCell ref="L182:M182"/>
    <mergeCell ref="L167:M167"/>
    <mergeCell ref="A177:H177"/>
    <mergeCell ref="A176:B176"/>
    <mergeCell ref="A175:B175"/>
    <mergeCell ref="A174:B174"/>
    <mergeCell ref="A171:B171"/>
    <mergeCell ref="A172:B172"/>
    <mergeCell ref="A169:H169"/>
    <mergeCell ref="A167:B167"/>
    <mergeCell ref="A168:H168"/>
    <mergeCell ref="G171:H176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scale="93" fitToHeight="0" orientation="portrait" r:id="rId2"/>
  <headerFooter>
    <oddHeader>&amp;C&amp;G</oddHeader>
    <oddFooter>&amp;L&amp;"Times New Roman,Bold"&amp;12Ref No: &amp;F&amp;C&amp;G&amp;R&amp;"Times New Roman,Bold"&amp;12
                                                        &amp;P</oddFooter>
  </headerFooter>
  <rowBreaks count="4" manualBreakCount="4">
    <brk id="184" max="16383" man="1"/>
    <brk id="207" max="7" man="1"/>
    <brk id="254" max="7" man="1"/>
    <brk id="297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71</v>
      </c>
      <c r="C2" s="181"/>
      <c r="D2" s="181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72</v>
      </c>
      <c r="B4" s="3" t="s">
        <v>73</v>
      </c>
      <c r="C4" s="182" t="s">
        <v>74</v>
      </c>
      <c r="D4" s="182"/>
      <c r="E4" s="182"/>
      <c r="F4" s="4"/>
      <c r="G4" s="182" t="s">
        <v>75</v>
      </c>
      <c r="H4" s="182"/>
      <c r="I4" s="182"/>
      <c r="J4" s="182" t="s">
        <v>76</v>
      </c>
      <c r="K4" s="182"/>
      <c r="L4" s="182"/>
    </row>
    <row r="5" spans="1:12" x14ac:dyDescent="0.35">
      <c r="A5" s="1">
        <v>202</v>
      </c>
      <c r="B5" s="3"/>
      <c r="C5" s="3" t="s">
        <v>77</v>
      </c>
      <c r="D5" s="3" t="s">
        <v>78</v>
      </c>
      <c r="E5" s="3" t="s">
        <v>57</v>
      </c>
      <c r="F5" s="3"/>
      <c r="G5" s="3" t="s">
        <v>77</v>
      </c>
      <c r="H5" s="3" t="s">
        <v>78</v>
      </c>
      <c r="I5" s="3" t="s">
        <v>57</v>
      </c>
      <c r="J5" s="3" t="s">
        <v>77</v>
      </c>
      <c r="K5" s="3" t="s">
        <v>78</v>
      </c>
      <c r="L5" s="3" t="s">
        <v>57</v>
      </c>
    </row>
    <row r="6" spans="1:12" x14ac:dyDescent="0.35">
      <c r="B6" s="5" t="s">
        <v>79</v>
      </c>
      <c r="C6" s="5"/>
      <c r="D6" s="5"/>
      <c r="E6" s="5">
        <f>C6*D6</f>
        <v>0</v>
      </c>
      <c r="F6" s="5" t="s">
        <v>80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81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82</v>
      </c>
      <c r="C9" s="5"/>
      <c r="D9" s="5"/>
      <c r="E9" s="5">
        <f t="shared" si="0"/>
        <v>0</v>
      </c>
      <c r="F9" s="5" t="s">
        <v>80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81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83</v>
      </c>
      <c r="C13" s="5"/>
      <c r="D13" s="5"/>
      <c r="E13" s="5">
        <f t="shared" si="0"/>
        <v>0</v>
      </c>
      <c r="F13" s="5" t="s">
        <v>80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81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84</v>
      </c>
      <c r="C17" s="5"/>
      <c r="D17" s="5"/>
      <c r="E17" s="5">
        <f t="shared" si="0"/>
        <v>0</v>
      </c>
      <c r="F17" s="5" t="s">
        <v>80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81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84</v>
      </c>
      <c r="C20" s="5"/>
      <c r="D20" s="5"/>
      <c r="E20" s="5">
        <f t="shared" si="0"/>
        <v>0</v>
      </c>
      <c r="F20" s="5" t="s">
        <v>80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81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85</v>
      </c>
      <c r="C23" s="5"/>
      <c r="D23" s="5"/>
      <c r="E23" s="5">
        <f t="shared" si="0"/>
        <v>0</v>
      </c>
      <c r="F23" s="5" t="s">
        <v>86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87</v>
      </c>
      <c r="C24" s="5"/>
      <c r="D24" s="5"/>
      <c r="E24" s="5">
        <f t="shared" si="0"/>
        <v>0</v>
      </c>
      <c r="F24" s="5" t="s">
        <v>86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88</v>
      </c>
      <c r="C25" s="5"/>
      <c r="D25" s="5"/>
      <c r="E25" s="5">
        <f t="shared" si="0"/>
        <v>0</v>
      </c>
      <c r="F25" s="5" t="s">
        <v>86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89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90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91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92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58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7"/>
    <col min="2" max="2" width="22.1796875" style="7" customWidth="1"/>
    <col min="3" max="3" width="37" style="7" customWidth="1"/>
    <col min="4" max="5" width="11.453125" style="7" customWidth="1"/>
    <col min="6" max="6" width="14" style="7" customWidth="1"/>
    <col min="7" max="7" width="20" style="7" customWidth="1"/>
    <col min="8" max="8" width="16.453125" style="7" customWidth="1"/>
    <col min="9" max="16384" width="8.7265625" style="7"/>
  </cols>
  <sheetData>
    <row r="1" spans="1:9" ht="15" customHeight="1" x14ac:dyDescent="0.35">
      <c r="A1" s="6"/>
      <c r="B1" s="6"/>
      <c r="C1" s="6"/>
      <c r="D1" s="6"/>
      <c r="E1" s="6"/>
      <c r="F1" s="6"/>
      <c r="G1" s="6"/>
      <c r="H1" s="6"/>
    </row>
    <row r="2" spans="1:9" ht="15" customHeight="1" x14ac:dyDescent="0.3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35">
      <c r="A3" s="8"/>
      <c r="B3" s="183" t="s">
        <v>134</v>
      </c>
      <c r="C3" s="183"/>
      <c r="D3" s="183"/>
      <c r="E3" s="183"/>
      <c r="F3" s="183"/>
      <c r="G3" s="183"/>
      <c r="H3" s="183"/>
    </row>
    <row r="4" spans="1:9" x14ac:dyDescent="0.35">
      <c r="A4" s="8"/>
      <c r="B4" s="9" t="s">
        <v>135</v>
      </c>
      <c r="C4" s="9" t="s">
        <v>136</v>
      </c>
      <c r="D4" s="9" t="s">
        <v>72</v>
      </c>
      <c r="E4" s="9" t="s">
        <v>137</v>
      </c>
      <c r="F4" s="9" t="s">
        <v>144</v>
      </c>
      <c r="G4" s="9" t="s">
        <v>145</v>
      </c>
      <c r="H4" s="9" t="s">
        <v>138</v>
      </c>
    </row>
    <row r="5" spans="1:9" ht="15" customHeight="1" x14ac:dyDescent="0.35">
      <c r="A5" s="8"/>
      <c r="B5" s="11" t="s">
        <v>139</v>
      </c>
      <c r="C5" s="12"/>
      <c r="D5" s="11" t="s">
        <v>140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35">
      <c r="A6" s="8"/>
      <c r="B6" s="11" t="s">
        <v>139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35">
      <c r="A7" s="8"/>
      <c r="B7" s="11" t="s">
        <v>139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35">
      <c r="A8" s="8"/>
      <c r="B8" s="11" t="s">
        <v>139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35">
      <c r="A9" s="8"/>
      <c r="B9" s="11" t="s">
        <v>139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35">
      <c r="A10" s="8"/>
      <c r="B10" s="11" t="s">
        <v>141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35">
      <c r="A11" s="8"/>
      <c r="B11" s="11" t="s">
        <v>141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35">
      <c r="A12" s="8"/>
      <c r="B12" s="16" t="s">
        <v>142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35">
      <c r="A13" s="6"/>
      <c r="B13" s="16" t="s">
        <v>143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35">
      <c r="B14" s="6"/>
      <c r="C14" s="6"/>
      <c r="D14" s="6"/>
      <c r="E14" s="6"/>
    </row>
    <row r="15" spans="1:9" ht="15" customHeight="1" x14ac:dyDescent="0.35">
      <c r="B15" s="6"/>
      <c r="C15" s="6"/>
      <c r="D15" s="6"/>
      <c r="E15" s="6"/>
    </row>
    <row r="16" spans="1:9" ht="15" customHeight="1" x14ac:dyDescent="0.3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2024-10-28T11:57:20Z</cp:lastPrinted>
  <dcterms:created xsi:type="dcterms:W3CDTF">2019-07-16T09:29:46Z</dcterms:created>
  <dcterms:modified xsi:type="dcterms:W3CDTF">2025-09-11T09:15:20Z</dcterms:modified>
</cp:coreProperties>
</file>