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13755" windowHeight="5955" tabRatio="745"/>
  </bookViews>
  <sheets>
    <sheet name="Report" sheetId="15" r:id="rId1"/>
    <sheet name="Valuation" sheetId="23" r:id="rId2"/>
  </sheets>
  <definedNames>
    <definedName name="_xlnm.Print_Area" localSheetId="0">Report!$A$1:$J$389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44" i="15" l="1"/>
  <c r="L191" i="15"/>
  <c r="K189" i="15"/>
  <c r="K190" i="15"/>
  <c r="K191" i="15"/>
  <c r="H196" i="15"/>
  <c r="L102" i="15"/>
  <c r="L101" i="15"/>
  <c r="L100" i="15"/>
  <c r="L99" i="15"/>
  <c r="L88" i="15"/>
  <c r="L87" i="15"/>
  <c r="L86" i="15"/>
  <c r="L85" i="15"/>
  <c r="I92" i="15"/>
  <c r="I78" i="15"/>
  <c r="L96" i="15" l="1"/>
  <c r="D95" i="15" s="1"/>
  <c r="L94" i="15"/>
  <c r="D104" i="15"/>
  <c r="D100" i="15"/>
  <c r="D103" i="15"/>
  <c r="L95" i="15"/>
  <c r="D102" i="15"/>
  <c r="D98" i="15"/>
  <c r="L97" i="15"/>
  <c r="L98" i="15" s="1"/>
  <c r="L103" i="15" s="1"/>
  <c r="L104" i="15" s="1"/>
  <c r="D101" i="15"/>
  <c r="D97" i="15"/>
  <c r="D99" i="15"/>
  <c r="D89" i="15"/>
  <c r="D85" i="15"/>
  <c r="L81" i="15"/>
  <c r="D88" i="15"/>
  <c r="D84" i="15"/>
  <c r="L83" i="15"/>
  <c r="L84" i="15" s="1"/>
  <c r="L89" i="15" s="1"/>
  <c r="L90" i="15" s="1"/>
  <c r="C82" i="15" s="1"/>
  <c r="D87" i="15"/>
  <c r="D83" i="15"/>
  <c r="L82" i="15"/>
  <c r="C81" i="15" s="1"/>
  <c r="D81" i="15" s="1"/>
  <c r="L80" i="15"/>
  <c r="D90" i="15"/>
  <c r="D86" i="15"/>
  <c r="F41" i="15"/>
  <c r="K41" i="15"/>
  <c r="C65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1" i="15"/>
  <c r="D201" i="15"/>
  <c r="C201" i="15"/>
  <c r="E200" i="15"/>
  <c r="D200" i="15"/>
  <c r="C200" i="15"/>
  <c r="A200" i="15"/>
  <c r="A201" i="15" s="1"/>
  <c r="A202" i="15" s="1"/>
  <c r="A203" i="15" s="1"/>
  <c r="A204" i="15" s="1"/>
  <c r="A205" i="15" s="1"/>
  <c r="A206" i="15" s="1"/>
  <c r="A207" i="15" s="1"/>
  <c r="A208" i="15" s="1"/>
  <c r="M199" i="15"/>
  <c r="L199" i="15"/>
  <c r="K199" i="15"/>
  <c r="I199" i="15"/>
  <c r="E199" i="15"/>
  <c r="D199" i="15"/>
  <c r="C199" i="15"/>
  <c r="E196" i="15"/>
  <c r="E192" i="15"/>
  <c r="E191" i="15"/>
  <c r="E190" i="15"/>
  <c r="E189" i="15"/>
  <c r="C197" i="15"/>
  <c r="C196" i="15"/>
  <c r="F196" i="15" s="1"/>
  <c r="C195" i="15"/>
  <c r="C193" i="15"/>
  <c r="C192" i="15"/>
  <c r="F192" i="15" s="1"/>
  <c r="H192" i="15" s="1"/>
  <c r="C191" i="15"/>
  <c r="C190" i="15"/>
  <c r="C189" i="15"/>
  <c r="C188" i="15"/>
  <c r="E197" i="15"/>
  <c r="D197" i="15"/>
  <c r="D196" i="15"/>
  <c r="E195" i="15"/>
  <c r="D195" i="15"/>
  <c r="E194" i="15"/>
  <c r="D194" i="15"/>
  <c r="C194" i="15"/>
  <c r="E193" i="15"/>
  <c r="D193" i="15"/>
  <c r="D192" i="15"/>
  <c r="D191" i="15"/>
  <c r="D190" i="15"/>
  <c r="F190" i="15" s="1"/>
  <c r="H190" i="15" s="1"/>
  <c r="D189" i="15"/>
  <c r="A189" i="15"/>
  <c r="A190" i="15" s="1"/>
  <c r="A191" i="15" s="1"/>
  <c r="A192" i="15" s="1"/>
  <c r="A193" i="15" s="1"/>
  <c r="A194" i="15" s="1"/>
  <c r="A195" i="15" s="1"/>
  <c r="A196" i="15" s="1"/>
  <c r="A197" i="15" s="1"/>
  <c r="M188" i="15"/>
  <c r="L188" i="15"/>
  <c r="K188" i="15"/>
  <c r="I188" i="15"/>
  <c r="E188" i="15"/>
  <c r="D188" i="15"/>
  <c r="E184" i="15"/>
  <c r="D184" i="15"/>
  <c r="C184" i="15"/>
  <c r="E183" i="15"/>
  <c r="D183" i="15"/>
  <c r="C183" i="15"/>
  <c r="E182" i="15"/>
  <c r="D182" i="15"/>
  <c r="C182" i="15"/>
  <c r="E180" i="15"/>
  <c r="D180" i="15"/>
  <c r="C180" i="15"/>
  <c r="E179" i="15"/>
  <c r="D179" i="15"/>
  <c r="C179" i="15"/>
  <c r="E178" i="15"/>
  <c r="D178" i="15"/>
  <c r="C178" i="15"/>
  <c r="A178" i="15"/>
  <c r="A179" i="15" s="1"/>
  <c r="A180" i="15" s="1"/>
  <c r="A181" i="15" s="1"/>
  <c r="A182" i="15" s="1"/>
  <c r="A183" i="15" s="1"/>
  <c r="A184" i="15" s="1"/>
  <c r="M177" i="15"/>
  <c r="L177" i="15"/>
  <c r="K177" i="15"/>
  <c r="I177" i="15"/>
  <c r="E177" i="15"/>
  <c r="D177" i="15"/>
  <c r="C177" i="15"/>
  <c r="F177" i="15" s="1"/>
  <c r="H177" i="15" s="1"/>
  <c r="D175" i="15"/>
  <c r="D174" i="15"/>
  <c r="D173" i="15"/>
  <c r="D172" i="15"/>
  <c r="D171" i="15"/>
  <c r="D170" i="15"/>
  <c r="D169" i="15"/>
  <c r="D168" i="15"/>
  <c r="E172" i="15"/>
  <c r="C173" i="15"/>
  <c r="C172" i="15"/>
  <c r="C171" i="15"/>
  <c r="F171" i="15" s="1"/>
  <c r="H171" i="15" s="1"/>
  <c r="C168" i="15"/>
  <c r="M168" i="15"/>
  <c r="L168" i="15"/>
  <c r="K168" i="15"/>
  <c r="I168" i="15"/>
  <c r="E175" i="15"/>
  <c r="C175" i="15"/>
  <c r="F175" i="15" s="1"/>
  <c r="H175" i="15" s="1"/>
  <c r="E174" i="15"/>
  <c r="C174" i="15"/>
  <c r="A169" i="15"/>
  <c r="A170" i="15" s="1"/>
  <c r="A171" i="15" s="1"/>
  <c r="A172" i="15" s="1"/>
  <c r="A173" i="15" s="1"/>
  <c r="A174" i="15" s="1"/>
  <c r="A175" i="15" s="1"/>
  <c r="E173" i="15"/>
  <c r="E171" i="15"/>
  <c r="E170" i="15"/>
  <c r="C170" i="15"/>
  <c r="E169" i="15"/>
  <c r="C169" i="15"/>
  <c r="E168" i="15"/>
  <c r="K40" i="15"/>
  <c r="F95" i="15" l="1"/>
  <c r="K91" i="15" s="1"/>
  <c r="C93" i="15" s="1"/>
  <c r="D96" i="15"/>
  <c r="H95" i="15"/>
  <c r="F81" i="15"/>
  <c r="K77" i="15" s="1"/>
  <c r="C79" i="15" s="1"/>
  <c r="D82" i="15"/>
  <c r="H81" i="15"/>
  <c r="F172" i="15"/>
  <c r="H172" i="15" s="1"/>
  <c r="F179" i="15"/>
  <c r="H179" i="15" s="1"/>
  <c r="F191" i="15"/>
  <c r="H191" i="15" s="1"/>
  <c r="F174" i="15"/>
  <c r="H174" i="15" s="1"/>
  <c r="F195" i="15"/>
  <c r="H195" i="15" s="1"/>
  <c r="F199" i="15"/>
  <c r="H199" i="15" s="1"/>
  <c r="F200" i="15"/>
  <c r="H200" i="15" s="1"/>
  <c r="F188" i="15"/>
  <c r="H188" i="15" s="1"/>
  <c r="F197" i="15"/>
  <c r="H197" i="15" s="1"/>
  <c r="F189" i="15"/>
  <c r="H189" i="15" s="1"/>
  <c r="F208" i="15"/>
  <c r="H208" i="15" s="1"/>
  <c r="F206" i="15"/>
  <c r="H206" i="15" s="1"/>
  <c r="F204" i="15"/>
  <c r="H204" i="15" s="1"/>
  <c r="F205" i="15"/>
  <c r="H205" i="15" s="1"/>
  <c r="F201" i="15"/>
  <c r="E127" i="15" s="1"/>
  <c r="F203" i="15"/>
  <c r="H203" i="15" s="1"/>
  <c r="F207" i="15"/>
  <c r="H207" i="15" s="1"/>
  <c r="F194" i="15"/>
  <c r="H194" i="15" s="1"/>
  <c r="F183" i="15"/>
  <c r="H183" i="15" s="1"/>
  <c r="F178" i="15"/>
  <c r="H178" i="15" s="1"/>
  <c r="F182" i="15"/>
  <c r="H182" i="15" s="1"/>
  <c r="F193" i="15"/>
  <c r="H193" i="15" s="1"/>
  <c r="F184" i="15"/>
  <c r="H184" i="15" s="1"/>
  <c r="F180" i="15"/>
  <c r="H180" i="15" s="1"/>
  <c r="F170" i="15"/>
  <c r="H170" i="15" s="1"/>
  <c r="F169" i="15"/>
  <c r="H169" i="15" s="1"/>
  <c r="F168" i="15"/>
  <c r="H168" i="15" s="1"/>
  <c r="F173" i="15"/>
  <c r="H173" i="15" s="1"/>
  <c r="F42" i="15"/>
  <c r="H126" i="15" l="1"/>
  <c r="C126" i="15"/>
  <c r="H201" i="15"/>
  <c r="H127" i="15" s="1"/>
  <c r="C127" i="15"/>
  <c r="E126" i="15"/>
  <c r="K46" i="15"/>
  <c r="L74" i="15" l="1"/>
  <c r="L73" i="15"/>
  <c r="E164" i="15"/>
  <c r="D164" i="15"/>
  <c r="C164" i="15"/>
  <c r="E163" i="15"/>
  <c r="D163" i="15"/>
  <c r="C163" i="15"/>
  <c r="E162" i="15"/>
  <c r="D162" i="15"/>
  <c r="C162" i="15"/>
  <c r="E160" i="15"/>
  <c r="D160" i="15"/>
  <c r="C160" i="15"/>
  <c r="A160" i="15"/>
  <c r="A161" i="15" s="1"/>
  <c r="A162" i="15" s="1"/>
  <c r="A163" i="15" s="1"/>
  <c r="A164" i="15" s="1"/>
  <c r="I159" i="15"/>
  <c r="E159" i="15"/>
  <c r="D159" i="15"/>
  <c r="C159" i="15"/>
  <c r="E157" i="15"/>
  <c r="E156" i="15"/>
  <c r="E155" i="15"/>
  <c r="E154" i="15"/>
  <c r="E153" i="15"/>
  <c r="E152" i="15"/>
  <c r="D157" i="15"/>
  <c r="D156" i="15"/>
  <c r="D155" i="15"/>
  <c r="D154" i="15"/>
  <c r="D153" i="15"/>
  <c r="D152" i="15"/>
  <c r="C157" i="15"/>
  <c r="C156" i="15"/>
  <c r="C155" i="15"/>
  <c r="C154" i="15"/>
  <c r="C153" i="15"/>
  <c r="C152" i="15"/>
  <c r="A153" i="15"/>
  <c r="A154" i="15" s="1"/>
  <c r="A155" i="15" s="1"/>
  <c r="A156" i="15" s="1"/>
  <c r="A157" i="15" s="1"/>
  <c r="I152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A144" i="15"/>
  <c r="A145" i="15" s="1"/>
  <c r="A146" i="15" s="1"/>
  <c r="A147" i="15" s="1"/>
  <c r="A148" i="15" s="1"/>
  <c r="I143" i="15"/>
  <c r="E143" i="15"/>
  <c r="D143" i="15"/>
  <c r="C143" i="15"/>
  <c r="E141" i="15"/>
  <c r="E140" i="15"/>
  <c r="E139" i="15"/>
  <c r="E138" i="15"/>
  <c r="E137" i="15"/>
  <c r="E136" i="15"/>
  <c r="D141" i="15"/>
  <c r="D140" i="15"/>
  <c r="D139" i="15"/>
  <c r="D138" i="15"/>
  <c r="D137" i="15"/>
  <c r="D136" i="15"/>
  <c r="C141" i="15"/>
  <c r="C140" i="15"/>
  <c r="C139" i="15"/>
  <c r="C138" i="15"/>
  <c r="C137" i="15"/>
  <c r="C136" i="15"/>
  <c r="I64" i="15"/>
  <c r="F157" i="15" l="1"/>
  <c r="H157" i="15" s="1"/>
  <c r="F145" i="15"/>
  <c r="H145" i="15" s="1"/>
  <c r="F155" i="15"/>
  <c r="H155" i="15" s="1"/>
  <c r="L68" i="15"/>
  <c r="C67" i="15" s="1"/>
  <c r="D67" i="15" s="1"/>
  <c r="L66" i="15"/>
  <c r="D76" i="15"/>
  <c r="D72" i="15"/>
  <c r="D75" i="15"/>
  <c r="D71" i="15"/>
  <c r="L67" i="15"/>
  <c r="D73" i="15"/>
  <c r="D69" i="15"/>
  <c r="D74" i="15"/>
  <c r="D70" i="15"/>
  <c r="L69" i="15"/>
  <c r="L70" i="15" s="1"/>
  <c r="L71" i="15" s="1"/>
  <c r="L72" i="15" s="1"/>
  <c r="F144" i="15"/>
  <c r="H144" i="15" s="1"/>
  <c r="F156" i="15"/>
  <c r="H156" i="15" s="1"/>
  <c r="F163" i="15"/>
  <c r="H163" i="15" s="1"/>
  <c r="F154" i="15"/>
  <c r="H154" i="15" s="1"/>
  <c r="F160" i="15"/>
  <c r="H160" i="15" s="1"/>
  <c r="F164" i="15"/>
  <c r="H164" i="15" s="1"/>
  <c r="F147" i="15"/>
  <c r="H147" i="15" s="1"/>
  <c r="F153" i="15"/>
  <c r="H153" i="15" s="1"/>
  <c r="F159" i="15"/>
  <c r="F143" i="15"/>
  <c r="F146" i="15"/>
  <c r="H146" i="15" s="1"/>
  <c r="F162" i="15"/>
  <c r="H162" i="15" s="1"/>
  <c r="F152" i="15"/>
  <c r="H152" i="15" s="1"/>
  <c r="L75" i="15" l="1"/>
  <c r="L76" i="15" s="1"/>
  <c r="C68" i="15" s="1"/>
  <c r="H67" i="15" s="1"/>
  <c r="H143" i="15"/>
  <c r="H159" i="15"/>
  <c r="C125" i="15"/>
  <c r="E125" i="15"/>
  <c r="H125" i="15"/>
  <c r="F67" i="15" l="1"/>
  <c r="K63" i="15" s="1"/>
  <c r="D68" i="15"/>
  <c r="F45" i="15" l="1"/>
  <c r="F44" i="15"/>
  <c r="F43" i="15"/>
  <c r="F46" i="15" l="1"/>
  <c r="F32" i="15"/>
  <c r="F12" i="15"/>
  <c r="D256" i="15" l="1"/>
  <c r="L60" i="15" l="1"/>
  <c r="L59" i="15"/>
  <c r="I50" i="15"/>
  <c r="D55" i="15" l="1"/>
  <c r="D62" i="15"/>
  <c r="D58" i="15"/>
  <c r="L54" i="15"/>
  <c r="L52" i="15"/>
  <c r="D61" i="15"/>
  <c r="D57" i="15"/>
  <c r="L53" i="15"/>
  <c r="D60" i="15"/>
  <c r="D56" i="15"/>
  <c r="L55" i="15"/>
  <c r="L56" i="15" s="1"/>
  <c r="L61" i="15" s="1"/>
  <c r="D59" i="15"/>
  <c r="C53" i="15" l="1"/>
  <c r="D53" i="15" s="1"/>
  <c r="L57" i="15"/>
  <c r="L58" i="15" s="1"/>
  <c r="A137" i="15"/>
  <c r="A138" i="15" s="1"/>
  <c r="A139" i="15" s="1"/>
  <c r="A140" i="15" s="1"/>
  <c r="A141" i="15" s="1"/>
  <c r="L62" i="15" l="1"/>
  <c r="C54" i="15" s="1"/>
  <c r="F53" i="15" l="1"/>
  <c r="K49" i="15" s="1"/>
  <c r="C51" i="15" s="1"/>
  <c r="D54" i="15"/>
  <c r="H53" i="15"/>
  <c r="I236" i="15" l="1"/>
  <c r="I136" i="15"/>
  <c r="F140" i="15"/>
  <c r="H140" i="15" s="1"/>
  <c r="F141" i="15"/>
  <c r="H141" i="15" s="1"/>
  <c r="F137" i="15"/>
  <c r="H137" i="15" s="1"/>
  <c r="F136" i="15"/>
  <c r="H136" i="15" l="1"/>
  <c r="F138" i="15"/>
  <c r="H138" i="15" s="1"/>
  <c r="F139" i="15"/>
  <c r="H139" i="15" s="1"/>
  <c r="H124" i="15" l="1"/>
  <c r="H128" i="15" s="1"/>
  <c r="E124" i="15"/>
  <c r="E128" i="15" s="1"/>
  <c r="C124" i="15"/>
  <c r="C128" i="15" s="1"/>
</calcChain>
</file>

<file path=xl/comments1.xml><?xml version="1.0" encoding="utf-8"?>
<comments xmlns="http://schemas.openxmlformats.org/spreadsheetml/2006/main">
  <authors>
    <author>Sachin</author>
    <author>SACHIN</author>
  </authors>
  <commentList>
    <comment ref="F19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Name mentioned in initiation mail</t>
        </r>
      </text>
    </comment>
    <comment ref="F21" authorId="1" shapeId="0">
      <text>
        <r>
          <rPr>
            <b/>
            <sz val="9"/>
            <color indexed="81"/>
            <rFont val="Tahoma"/>
            <family val="2"/>
          </rPr>
          <t xml:space="preserve">Visit Date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 xml:space="preserve">Visitor Name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 xml:space="preserve">Visitor Name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mention it if provided by builder or else NA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Authority Name </t>
        </r>
      </text>
    </comment>
    <comment ref="F10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Take from RERA</t>
        </r>
      </text>
    </comment>
    <comment ref="F107" authorId="1" shapeId="0">
      <text>
        <r>
          <rPr>
            <b/>
            <sz val="9"/>
            <color indexed="81"/>
            <rFont val="Tahoma"/>
            <family val="2"/>
          </rPr>
          <t>2 School
2 Shopping Centre or mall
2 Hospital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8" authorId="1" shapeId="0">
      <text>
        <r>
          <rPr>
            <b/>
            <sz val="9"/>
            <color indexed="81"/>
            <rFont val="Tahoma"/>
            <family val="2"/>
          </rPr>
          <t>2 School
2 Shopping Centre or mall
2 Hospital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9" authorId="1" shapeId="0">
      <text>
        <r>
          <rPr>
            <b/>
            <sz val="9"/>
            <color indexed="81"/>
            <rFont val="Tahoma"/>
            <family val="2"/>
          </rPr>
          <t>2 School
2 Shopping Centre or mall
2 Hospital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0" authorId="1" shapeId="0">
      <text>
        <r>
          <rPr>
            <b/>
            <sz val="9"/>
            <color indexed="81"/>
            <rFont val="Tahoma"/>
            <family val="2"/>
          </rPr>
          <t>2 School
2 Shopping Centre or mall
2 Hospital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10" authorId="1" shapeId="0">
      <text>
        <r>
          <rPr>
            <b/>
            <sz val="9"/>
            <color indexed="81"/>
            <rFont val="Tahoma"/>
            <family val="2"/>
          </rPr>
          <t>Proposed Structure</t>
        </r>
      </text>
    </comment>
  </commentList>
</comments>
</file>

<file path=xl/sharedStrings.xml><?xml version="1.0" encoding="utf-8"?>
<sst xmlns="http://schemas.openxmlformats.org/spreadsheetml/2006/main" count="451" uniqueCount="238">
  <si>
    <t>Undertaking :</t>
  </si>
  <si>
    <t>2) I/We have no direct or Indirect Interest in the property being valued</t>
  </si>
  <si>
    <t>Description</t>
  </si>
  <si>
    <t>1) We have personally visited the property &amp; identified the same based on the documents provided</t>
  </si>
  <si>
    <t>Type of Work</t>
  </si>
  <si>
    <t>Plinth</t>
  </si>
  <si>
    <t>3) The information furnished above is true and correct to my/our knowledge.</t>
  </si>
  <si>
    <t>5) Legal title of the property is not verified by us.</t>
  </si>
  <si>
    <t xml:space="preserve">Valuation Report </t>
  </si>
  <si>
    <t xml:space="preserve">Details of Flats in Building   </t>
  </si>
  <si>
    <t>Yes</t>
  </si>
  <si>
    <t>NA</t>
  </si>
  <si>
    <t xml:space="preserve">4)  The saleable area is as per Our Calculation.  </t>
  </si>
  <si>
    <t>Total</t>
  </si>
  <si>
    <t xml:space="preserve">Recommended rate of Parking </t>
  </si>
  <si>
    <t>Building details Floor Wise</t>
  </si>
  <si>
    <t>Floor</t>
  </si>
  <si>
    <t>Particulars</t>
  </si>
  <si>
    <t>Google Map :</t>
  </si>
  <si>
    <t>Sr.No.</t>
  </si>
  <si>
    <t>Details</t>
  </si>
  <si>
    <t>Name of the project</t>
  </si>
  <si>
    <t>Address as per the site visit</t>
  </si>
  <si>
    <t>Closest landmark</t>
  </si>
  <si>
    <t>Address as per the Sale brochure</t>
  </si>
  <si>
    <t>Address as per the plans &amp; permissions</t>
  </si>
  <si>
    <t>Address as per the legal documentation</t>
  </si>
  <si>
    <t>Date of APF initiation from YBL</t>
  </si>
  <si>
    <t>Date of documents delivery / receipt</t>
  </si>
  <si>
    <t>List of documents provided</t>
  </si>
  <si>
    <t>Queries communicated to YBL regarding discrepancies in documentation, details etc</t>
  </si>
  <si>
    <t>Date of query resolution from YBL</t>
  </si>
  <si>
    <t>Any further documentation that needs to be complied prior to start of disbursement in the project? Provide complete details.</t>
  </si>
  <si>
    <t>Date of contacting concerned developer personnel for site visit</t>
  </si>
  <si>
    <t>Date, day &amp; timing of Site visit</t>
  </si>
  <si>
    <t>Name of the person conducting the site visit &amp; contact details</t>
  </si>
  <si>
    <t>Details of Financial Institutions who's APF Approval Letters / Boards were displayed on site</t>
  </si>
  <si>
    <t>Details of sold v/s unsold units</t>
  </si>
  <si>
    <t>Has the developer availed any kind of construction / project finance? If yes, details are required.</t>
  </si>
  <si>
    <t>Developer name</t>
  </si>
  <si>
    <t>Developer group parent company</t>
  </si>
  <si>
    <t>Developer office address along with contact details</t>
  </si>
  <si>
    <t>Architect details ( Name, office address, mobile number, registration number )</t>
  </si>
  <si>
    <t>Authority jurisdiction for the project location</t>
  </si>
  <si>
    <t>Zoning Approval for the project location as per the MDP</t>
  </si>
  <si>
    <t>Does the proposed development match with the Zoning Approval? Detailed feedback</t>
  </si>
  <si>
    <t>Project type ( Residential / Mixed / Flats / Villas / Row Houses etc )</t>
  </si>
  <si>
    <t>Does the ongoing construction match with the Approved Site Layout? If no, details expected.</t>
  </si>
  <si>
    <t>Project launch date</t>
  </si>
  <si>
    <t>Average weighted stage of construction for the project with construction stages of individual wings</t>
  </si>
  <si>
    <t>Phase, building &amp; wingwise naming &amp; numbering details</t>
  </si>
  <si>
    <t>Are there any deviations between the ongoing construction &amp; the available plans &amp; permissions. If yes, details are expected.</t>
  </si>
  <si>
    <t>Pricing comparisons ( Builder pricing v/s Resale v/s Nearby Projects with Rationale &amp; justification )</t>
  </si>
  <si>
    <t>Transaction documentation details ( Black / White percentages etc )</t>
  </si>
  <si>
    <t>Different types of payment schemes offered such as CLPP, TLPP, C &amp; TLPP, Interest Subvention Plans etc</t>
  </si>
  <si>
    <t>Schedule of Payment as per the developer</t>
  </si>
  <si>
    <t>Are there any discrepancies in the legal / technical documentation that may affect the business interests of YBL? If yes, please elaborate.</t>
  </si>
  <si>
    <t>Any evidences of social disturbances at the project site that may affect the business interests of YBL? If yes, please elaborate.</t>
  </si>
  <si>
    <t>Any notices or boards of litigation at project site / developer office that may affect the business interests of YBL? If yes, please elaborate.</t>
  </si>
  <si>
    <t>Any further documentation that needs to be tracked by the Financial Institution &amp; obtained from the customer / developer post project completion? Provide complete details.</t>
  </si>
  <si>
    <t>Declarations :-</t>
  </si>
  <si>
    <t>(a)</t>
  </si>
  <si>
    <t>Have you done APF technical for this project for any other Financial Institution?</t>
  </si>
  <si>
    <t>Have you done evaluation of this project for the Project / Construction Finance perspective for any Financial Insitution?</t>
  </si>
  <si>
    <t>(b)</t>
  </si>
  <si>
    <t>Expected completion date for the project as projected by the developer</t>
  </si>
  <si>
    <t>Physical &amp; social infrastructure availability details ( Bus stop, railway station, public park, main road, airport, hospital, public transport, school, market etc )</t>
  </si>
  <si>
    <t>Internal &amp; external amenities</t>
  </si>
  <si>
    <t>Boundary details ( Are they matching as per the legal &amp; technical documentation )</t>
  </si>
  <si>
    <t>Phase, building &amp; wingwise structure details ( Approvals v/s proposed v/s constructed ( If 100 % complete ) ( Deviations to be pointed out )</t>
  </si>
  <si>
    <t>None</t>
  </si>
  <si>
    <t>As per Site Details :</t>
  </si>
  <si>
    <t>No</t>
  </si>
  <si>
    <t>Yes its comes under Residential zone</t>
  </si>
  <si>
    <t>Plot area in sqmt</t>
  </si>
  <si>
    <t>Yes as per plan. But NA order not provided to verify.</t>
  </si>
  <si>
    <t>Permissions applicable v/s available (Detailed analysis)</t>
  </si>
  <si>
    <t>Building &amp; Wing</t>
  </si>
  <si>
    <t>No. of Units</t>
  </si>
  <si>
    <t>Total Carpet Area</t>
  </si>
  <si>
    <t>Total Saleable Area</t>
  </si>
  <si>
    <t>Gross Carpet area</t>
  </si>
  <si>
    <t>Attached Terrace area</t>
  </si>
  <si>
    <t xml:space="preserve">Approval Detail : Plan approval </t>
  </si>
  <si>
    <t>Dated</t>
  </si>
  <si>
    <t xml:space="preserve">Date of approval: </t>
  </si>
  <si>
    <t xml:space="preserve">Residential </t>
  </si>
  <si>
    <t>Does the Plot Area match as per the legal documentation?</t>
  </si>
  <si>
    <t>Does the Plot Area match as per the Non Agriculture documentation?</t>
  </si>
  <si>
    <t>PHOTOGRAPHS OF PROPERTY :</t>
  </si>
  <si>
    <t>Residential Area Details :</t>
  </si>
  <si>
    <t>RERA Name &amp; No.</t>
  </si>
  <si>
    <t>Basement</t>
  </si>
  <si>
    <t>Podium</t>
  </si>
  <si>
    <t>Ground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</si>
  <si>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</si>
  <si>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</si>
  <si>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</si>
  <si>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</si>
  <si>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</si>
  <si>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</si>
  <si>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 xml:space="preserve">Layout plan No. </t>
  </si>
  <si>
    <t>Carpet area</t>
  </si>
  <si>
    <t>Balcony/Otla</t>
  </si>
  <si>
    <t>At Booking</t>
  </si>
  <si>
    <t>Commecement</t>
  </si>
  <si>
    <t>1st Slab</t>
  </si>
  <si>
    <t>2nd Slab</t>
  </si>
  <si>
    <t>3rd Slab</t>
  </si>
  <si>
    <t>4th Slab</t>
  </si>
  <si>
    <t>5th Slab</t>
  </si>
  <si>
    <t>Completion of Brick work</t>
  </si>
  <si>
    <t>Completion of Plaster work</t>
  </si>
  <si>
    <t>Completion of Water Proofing</t>
  </si>
  <si>
    <t>Completion of Flooring, Doors &amp; Windows</t>
  </si>
  <si>
    <t>Painting, Electrical &amp; Sanitary Fittings</t>
  </si>
  <si>
    <t>On Possession</t>
  </si>
  <si>
    <t>Flat No. 
(as per Approved  Plan)</t>
  </si>
  <si>
    <t>Saleable area
Loading :</t>
  </si>
  <si>
    <t>Recommended rate of the flat Per Sq. Ft. (on Saleable area)</t>
  </si>
  <si>
    <t>Recommended rate of the Shop Per Sq. Ft. (on Saleable area)</t>
  </si>
  <si>
    <t>Name of developer personnel for site visit coordination with contact details (Mobile, landline, email)</t>
  </si>
  <si>
    <t>Name of person met at site (Full Name, Designation, Mobile Number, Landline Number, email id)</t>
  </si>
  <si>
    <t>Construction details: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</si>
  <si>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</si>
  <si>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</si>
  <si>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</si>
  <si>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</si>
  <si>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</si>
  <si>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</si>
  <si>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</si>
  <si>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</si>
  <si>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</si>
  <si>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</si>
  <si>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</si>
  <si>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</si>
  <si>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</si>
  <si>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</si>
  <si>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</si>
  <si>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</si>
  <si>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</si>
  <si>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</si>
  <si>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</si>
  <si>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</si>
  <si>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</si>
  <si>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</si>
  <si>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</si>
  <si>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Authorized Signatory
Name &amp; Seal of the agency</t>
  </si>
  <si>
    <t>Name of Engineer Visited the property</t>
  </si>
  <si>
    <t>Phase, building, wing, unit wise pricing details (Base pricing, floor rise, location / view specific, etc)</t>
  </si>
  <si>
    <t xml:space="preserve">Same </t>
  </si>
  <si>
    <t>Location Link</t>
  </si>
  <si>
    <t>Approved Floor =</t>
  </si>
  <si>
    <t>Proposed Floor =</t>
  </si>
  <si>
    <t>Layout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</si>
  <si>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</si>
  <si>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 :</t>
  </si>
  <si>
    <t>Commencement Certificate No. 
Valid upto:</t>
  </si>
  <si>
    <t xml:space="preserve">We considered Carpet area as per Approved Plan.
</t>
  </si>
  <si>
    <t xml:space="preserve">We considered  Saleable area as per our calculation.
</t>
  </si>
  <si>
    <t xml:space="preserve">We have considered rate by verifying it from market inquire.
</t>
  </si>
  <si>
    <t xml:space="preserve">Car parking is subjected to authentic documentation.
</t>
  </si>
  <si>
    <t>Recommended rate should be considered as all inclusive rate if other charges are not mentioned. (Excluding GST &amp; other government Taxes)</t>
  </si>
  <si>
    <t xml:space="preserve">Remarks:  </t>
  </si>
  <si>
    <t>Net Plot Area</t>
  </si>
  <si>
    <t>Built Up Area</t>
  </si>
  <si>
    <t>Basic FSI / FAR</t>
  </si>
  <si>
    <t xml:space="preserve">Premium FSI / FAR
</t>
  </si>
  <si>
    <t xml:space="preserve">Approved TDR
</t>
  </si>
  <si>
    <t>Total FSI</t>
  </si>
  <si>
    <t>Ancillary FSI</t>
  </si>
  <si>
    <t>As per Market Inquiry :</t>
  </si>
  <si>
    <t xml:space="preserve">All details payable </t>
  </si>
  <si>
    <t>PG Vatika, Gut No.45/1 &amp; 45/2 Plot No. A, near Sarmilla Residency, Proposed Panvel Highway, MIDC Area, Mankivali, Badlapur East, Ambernath, Thane - 421503.</t>
  </si>
  <si>
    <t>19.148967,73.238225</t>
  </si>
  <si>
    <t>https://maps.app.goo.gl/PTkwitTMk461GYC86</t>
  </si>
  <si>
    <t>Sarmilla Residency</t>
  </si>
  <si>
    <t>Proposed Partly Commercial &amp; Residential Building on Land Bearing Gut No. 45/1 &amp; 45/2 (Plot A) At Villege Mankivali, Tal - Ambernath, Dist - Thane</t>
  </si>
  <si>
    <t>Mr. Nitesh Parsiya 9323713131</t>
  </si>
  <si>
    <t>Mr. Sudhir Bhosale</t>
  </si>
  <si>
    <t>M/s. Gurukrupa Enterprises</t>
  </si>
  <si>
    <t>A/1, Devina CHS, Ghanshyam Gupte Cross Road, Vishnunagar, Dombivali (West), Thane 421202</t>
  </si>
  <si>
    <t>ER. R.K. Khambayat, M/s. Raj Associates, Office No. 102/103, 1st Floor, Vighnaharta Arcade, Near Spandan Hospital, New D.P. Road, Katrap, Badlapur East 421503</t>
  </si>
  <si>
    <t>Kulgoan Badlapur Municipal Council</t>
  </si>
  <si>
    <t xml:space="preserve">SCHOOL :
Jijau School Of Excellence  - 300m
Holy Spirit High School - 1.10Km
</t>
  </si>
  <si>
    <t xml:space="preserve">SHOPPING :
Reliance SMART Bazaar - 1.20Km
Shreeji Centre Mall - 2.70Km
</t>
  </si>
  <si>
    <t>HOSPITALS :
Gurudev Multi-Speciality Hospital  - 1.40Km
Central Hospital Badlapur - 2.20Km</t>
  </si>
  <si>
    <t xml:space="preserve">PETROL PUMP :
Bharat Petroleum, Petrol Pump - 2.10Km
</t>
  </si>
  <si>
    <t>KBNP/NRV/BD/6139-101</t>
  </si>
  <si>
    <t>1BHK</t>
  </si>
  <si>
    <t>1RK</t>
  </si>
  <si>
    <t>Wing C</t>
  </si>
  <si>
    <t>Ground Floor For Entrance Lobby &amp; Parking</t>
  </si>
  <si>
    <t>1st to 7th Floor For Residential</t>
  </si>
  <si>
    <t>8th Floor (Part Refuge Area)</t>
  </si>
  <si>
    <t>Refuge Area</t>
  </si>
  <si>
    <t>Wing D</t>
  </si>
  <si>
    <t>1.5BHK</t>
  </si>
  <si>
    <t>Grand Total</t>
  </si>
  <si>
    <t xml:space="preserve">We considered Gross carpet area = Net carpet + Balcony + E.P. Area.
</t>
  </si>
  <si>
    <t>Wing D = Gr + 1st to 8th Floor</t>
  </si>
  <si>
    <t>Wing C = Gr + 1st to 8th Floor</t>
  </si>
  <si>
    <t>E.P Area</t>
  </si>
  <si>
    <t>Gut No. 45/1 &amp; 45/2, PG - Vatika., Gadge Nagar, Near Panvelkar Estate, MIDC Road, Mankivali Village, Badlapur (E), Thahe - 421503</t>
  </si>
  <si>
    <t>Area Statement &amp; Approved Plans.</t>
  </si>
  <si>
    <t xml:space="preserve">We have refered approved plans and CC from RERA site on 25/01/2024.
</t>
  </si>
  <si>
    <r>
      <t xml:space="preserve">Club House, Gymnasium, 
Childrens Play Area, 
Senior Citizen
Sit-Out Area, Indoor Games, 
Multipurpose Hall, Landscaped
Garden, etc.
</t>
    </r>
    <r>
      <rPr>
        <sz val="11"/>
        <rFont val="Times New Roman"/>
        <family val="1"/>
      </rPr>
      <t xml:space="preserve">
</t>
    </r>
    <r>
      <rPr>
        <b/>
        <sz val="11"/>
        <color indexed="8"/>
        <rFont val="Times New Roman"/>
        <family val="1"/>
      </rPr>
      <t/>
    </r>
  </si>
  <si>
    <t>PG Vatika (C to F Wing)</t>
  </si>
  <si>
    <t>PG Vatika (C &amp; D Wing) = P51700052819
PG Vatika (E &amp; F Wing) = P51700080943</t>
  </si>
  <si>
    <t>Wing C &amp; D = 05/10/2023
Wing E &amp; F =  25/08/2025</t>
  </si>
  <si>
    <t>Wing C &amp; D  = 31/12/2026
Wing E &amp; F = 31/12/2030</t>
  </si>
  <si>
    <t>Wing C &amp; D = Gr + 1st to 8th Floor
Wing E &amp; F = Gr + 1st to 8th Floor</t>
  </si>
  <si>
    <t>Approved Floor plan No (C &amp; D Wing)</t>
  </si>
  <si>
    <t xml:space="preserve">Part O. Certificate No.
Approved upto : </t>
  </si>
  <si>
    <t>KBMC/TPD/2025-26/1106
Wing D = Gr + 1st to 8th Floor</t>
  </si>
  <si>
    <t>Wing E</t>
  </si>
  <si>
    <t>8th Floor For Residential (Part Refuge Area)</t>
  </si>
  <si>
    <t>-</t>
  </si>
  <si>
    <t>Wing F</t>
  </si>
  <si>
    <t>2BHK</t>
  </si>
  <si>
    <t xml:space="preserve">We have refered Part OC for wing D, from RERA site on 11/09/2025.
</t>
  </si>
  <si>
    <t>We have added Eing E &amp; F on 11/09/2025.</t>
  </si>
  <si>
    <t>Flats = 236</t>
  </si>
  <si>
    <t>Built Up Area of Wing C to F</t>
  </si>
  <si>
    <t>KBNP/NRV/B.P./6139/2022-2023
Unique No. 101
Wing C to F = Stilt + 1st to 8th Floor</t>
  </si>
  <si>
    <t xml:space="preserve">Dated
Valid Upto :
</t>
  </si>
  <si>
    <t xml:space="preserve">30/06/2022
</t>
  </si>
  <si>
    <t xml:space="preserve">Dated
</t>
  </si>
  <si>
    <t>KBNP/NRV/0867/2025-2026
Wing C to F = Stilt + 1st to 8th Floor</t>
  </si>
  <si>
    <t>25/04/2025
29/06/2026</t>
  </si>
  <si>
    <t>11/09/2025 @ 2.14PM</t>
  </si>
  <si>
    <t>Wing E = Gr + 1st to 8th Floor</t>
  </si>
  <si>
    <t>Wing F = Gr + 1st to 8th Floor</t>
  </si>
  <si>
    <t>1106</t>
  </si>
  <si>
    <t>Approved Floor plan No (E &amp; F Wing)</t>
  </si>
  <si>
    <t>CC Renewal No. 
Valid upto:</t>
  </si>
  <si>
    <t>Please provide OC plans for Wing D dtd.30/05/2025</t>
  </si>
  <si>
    <t xml:space="preserve">Wing C &amp; E = Construction work is in process at the time of Visit (labour found).
Wing D = All Work Completed. OC Received.
Wing F = Work is not yet started.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</si>
</sst>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02">
    <xf numFmtId="0" fontId="0" fillId="0" borderId="0" xfId="0"/>
    <xf numFmtId="1" fontId="2" fillId="0" borderId="2" xfId="2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Protection="1">
      <protection hidden="1"/>
    </xf>
    <xf numFmtId="0" fontId="8" fillId="0" borderId="16" xfId="0" applyFont="1" applyFill="1" applyBorder="1" applyProtection="1">
      <protection hidden="1"/>
    </xf>
    <xf numFmtId="0" fontId="9" fillId="0" borderId="10" xfId="2" applyFont="1" applyFill="1" applyBorder="1" applyProtection="1">
      <protection hidden="1"/>
    </xf>
    <xf numFmtId="0" fontId="4" fillId="0" borderId="1" xfId="2" applyFont="1" applyFill="1" applyBorder="1" applyAlignment="1" applyProtection="1">
      <alignment horizontal="center" vertical="top"/>
      <protection locked="0"/>
    </xf>
    <xf numFmtId="0" fontId="3" fillId="0" borderId="1" xfId="2" applyFont="1" applyFill="1" applyBorder="1" applyAlignment="1" applyProtection="1">
      <alignment horizontal="center" vertical="top"/>
      <protection locked="0"/>
    </xf>
    <xf numFmtId="0" fontId="9" fillId="0" borderId="0" xfId="2" applyFont="1" applyFill="1" applyBorder="1" applyProtection="1">
      <protection hidden="1"/>
    </xf>
    <xf numFmtId="9" fontId="2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/>
    <xf numFmtId="0" fontId="9" fillId="0" borderId="21" xfId="2" applyFont="1" applyFill="1" applyBorder="1" applyProtection="1">
      <protection hidden="1"/>
    </xf>
    <xf numFmtId="0" fontId="9" fillId="0" borderId="23" xfId="2" applyFont="1" applyFill="1" applyBorder="1" applyProtection="1">
      <protection hidden="1"/>
    </xf>
    <xf numFmtId="0" fontId="9" fillId="0" borderId="23" xfId="2" applyFont="1" applyFill="1" applyBorder="1"/>
    <xf numFmtId="0" fontId="8" fillId="0" borderId="23" xfId="0" applyNumberFormat="1" applyFont="1" applyFill="1" applyBorder="1" applyProtection="1">
      <protection hidden="1"/>
    </xf>
    <xf numFmtId="1" fontId="6" fillId="0" borderId="23" xfId="0" applyNumberFormat="1" applyFont="1" applyFill="1" applyBorder="1"/>
    <xf numFmtId="1" fontId="6" fillId="0" borderId="23" xfId="0" applyNumberFormat="1" applyFont="1" applyFill="1" applyBorder="1" applyAlignment="1">
      <alignment horizontal="right"/>
    </xf>
    <xf numFmtId="1" fontId="6" fillId="0" borderId="19" xfId="0" applyNumberFormat="1" applyFont="1" applyFill="1" applyBorder="1"/>
    <xf numFmtId="0" fontId="10" fillId="0" borderId="0" xfId="0" applyFont="1" applyFill="1"/>
    <xf numFmtId="0" fontId="9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/>
    </xf>
    <xf numFmtId="1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1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2" xfId="2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3" xfId="1" applyFont="1" applyFill="1" applyBorder="1" applyAlignment="1">
      <alignment horizontal="center" vertical="center" wrapText="1"/>
    </xf>
    <xf numFmtId="0" fontId="7" fillId="0" borderId="0" xfId="0" applyFont="1" applyFill="1"/>
    <xf numFmtId="0" fontId="9" fillId="0" borderId="1" xfId="2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 applyProtection="1">
      <alignment horizontal="center" wrapText="1"/>
      <protection locked="0"/>
    </xf>
    <xf numFmtId="1" fontId="4" fillId="0" borderId="1" xfId="2" applyNumberFormat="1" applyFont="1" applyFill="1" applyBorder="1" applyAlignment="1" applyProtection="1">
      <alignment horizontal="center" wrapText="1"/>
      <protection locked="0"/>
    </xf>
    <xf numFmtId="0" fontId="4" fillId="0" borderId="18" xfId="2" applyFont="1" applyFill="1" applyBorder="1" applyAlignment="1" applyProtection="1">
      <alignment horizontal="center" wrapText="1"/>
      <protection locked="0"/>
    </xf>
    <xf numFmtId="2" fontId="9" fillId="0" borderId="0" xfId="0" applyNumberFormat="1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9" fillId="0" borderId="1" xfId="2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>
      <alignment horizontal="center" vertical="center"/>
    </xf>
    <xf numFmtId="1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1" fontId="4" fillId="0" borderId="2" xfId="0" applyNumberFormat="1" applyFont="1" applyFill="1" applyBorder="1" applyAlignment="1">
      <alignment horizontal="center" vertical="center" wrapText="1"/>
    </xf>
    <xf numFmtId="1" fontId="5" fillId="0" borderId="36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37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37" xfId="0" applyNumberFormat="1" applyFont="1" applyFill="1" applyBorder="1" applyAlignment="1" applyProtection="1">
      <alignment horizontal="center" vertical="center"/>
      <protection locked="0"/>
    </xf>
    <xf numFmtId="0" fontId="5" fillId="0" borderId="37" xfId="0" applyFont="1" applyFill="1" applyBorder="1" applyAlignment="1" applyProtection="1">
      <alignment horizontal="center" vertical="center"/>
      <protection locked="0"/>
    </xf>
    <xf numFmtId="1" fontId="5" fillId="0" borderId="38" xfId="0" applyNumberFormat="1" applyFont="1" applyFill="1" applyBorder="1" applyAlignment="1">
      <alignment horizontal="center" vertical="center" wrapText="1"/>
    </xf>
    <xf numFmtId="1" fontId="5" fillId="0" borderId="39" xfId="0" applyNumberFormat="1" applyFont="1" applyFill="1" applyBorder="1" applyAlignment="1">
      <alignment horizontal="center" vertical="center" wrapText="1"/>
    </xf>
    <xf numFmtId="1" fontId="5" fillId="0" borderId="40" xfId="0" applyNumberFormat="1" applyFont="1" applyFill="1" applyBorder="1" applyAlignment="1">
      <alignment horizontal="center" vertical="center" wrapText="1"/>
    </xf>
    <xf numFmtId="1" fontId="5" fillId="0" borderId="41" xfId="0" applyNumberFormat="1" applyFont="1" applyFill="1" applyBorder="1" applyAlignment="1">
      <alignment horizontal="center" vertical="center" wrapText="1"/>
    </xf>
    <xf numFmtId="1" fontId="2" fillId="0" borderId="1" xfId="2" applyNumberFormat="1" applyFont="1" applyFill="1" applyBorder="1" applyAlignment="1">
      <alignment horizontal="center" vertical="top"/>
    </xf>
    <xf numFmtId="1" fontId="2" fillId="0" borderId="1" xfId="2" applyNumberFormat="1" applyFont="1" applyFill="1" applyBorder="1" applyAlignment="1">
      <alignment horizontal="center" vertical="top" wrapText="1"/>
    </xf>
    <xf numFmtId="0" fontId="9" fillId="0" borderId="1" xfId="2" applyFont="1" applyFill="1" applyBorder="1" applyAlignment="1" applyProtection="1">
      <alignment horizontal="center" vertical="top" wrapText="1"/>
      <protection locked="0"/>
    </xf>
    <xf numFmtId="0" fontId="9" fillId="0" borderId="25" xfId="2" applyFont="1" applyFill="1" applyBorder="1" applyAlignment="1" applyProtection="1">
      <alignment horizontal="center" vertical="top" wrapText="1"/>
      <protection locked="0"/>
    </xf>
    <xf numFmtId="0" fontId="9" fillId="0" borderId="22" xfId="2" applyFont="1" applyFill="1" applyBorder="1" applyAlignment="1" applyProtection="1">
      <alignment horizontal="center" vertical="top" wrapText="1"/>
      <protection locked="0"/>
    </xf>
    <xf numFmtId="9" fontId="9" fillId="0" borderId="3" xfId="2" applyNumberFormat="1" applyFont="1" applyFill="1" applyBorder="1" applyAlignment="1" applyProtection="1">
      <alignment horizontal="center" vertical="center" wrapText="1"/>
      <protection hidden="1"/>
    </xf>
    <xf numFmtId="9" fontId="9" fillId="0" borderId="6" xfId="2" applyNumberFormat="1" applyFont="1" applyFill="1" applyBorder="1" applyAlignment="1" applyProtection="1">
      <alignment horizontal="center" vertical="center" wrapText="1"/>
      <protection hidden="1"/>
    </xf>
    <xf numFmtId="9" fontId="9" fillId="0" borderId="1" xfId="2" applyNumberFormat="1" applyFont="1" applyFill="1" applyBorder="1" applyAlignment="1" applyProtection="1">
      <alignment horizontal="center" vertical="center" wrapText="1"/>
      <protection hidden="1"/>
    </xf>
    <xf numFmtId="9" fontId="9" fillId="0" borderId="18" xfId="2" applyNumberFormat="1" applyFont="1" applyFill="1" applyBorder="1" applyAlignment="1" applyProtection="1">
      <alignment horizontal="center" vertical="center" wrapText="1"/>
      <protection hidden="1"/>
    </xf>
    <xf numFmtId="9" fontId="9" fillId="0" borderId="7" xfId="2" applyNumberFormat="1" applyFont="1" applyFill="1" applyBorder="1" applyAlignment="1" applyProtection="1">
      <alignment horizontal="center" vertical="center" wrapText="1"/>
      <protection hidden="1"/>
    </xf>
    <xf numFmtId="9" fontId="9" fillId="0" borderId="8" xfId="2" applyNumberFormat="1" applyFont="1" applyFill="1" applyBorder="1" applyAlignment="1" applyProtection="1">
      <alignment horizontal="center" vertical="center" wrapText="1"/>
      <protection hidden="1"/>
    </xf>
    <xf numFmtId="9" fontId="9" fillId="0" borderId="26" xfId="2" applyNumberFormat="1" applyFont="1" applyFill="1" applyBorder="1" applyAlignment="1" applyProtection="1">
      <alignment horizontal="center" vertical="center" wrapText="1"/>
      <protection hidden="1"/>
    </xf>
    <xf numFmtId="9" fontId="9" fillId="0" borderId="9" xfId="2" applyNumberFormat="1" applyFont="1" applyFill="1" applyBorder="1" applyAlignment="1" applyProtection="1">
      <alignment horizontal="center" vertical="center" wrapText="1"/>
      <protection hidden="1"/>
    </xf>
    <xf numFmtId="9" fontId="9" fillId="0" borderId="0" xfId="2" applyNumberFormat="1" applyFont="1" applyFill="1" applyBorder="1" applyAlignment="1" applyProtection="1">
      <alignment horizontal="center" vertical="center" wrapText="1"/>
      <protection hidden="1"/>
    </xf>
    <xf numFmtId="9" fontId="9" fillId="0" borderId="23" xfId="2" applyNumberFormat="1" applyFont="1" applyFill="1" applyBorder="1" applyAlignment="1" applyProtection="1">
      <alignment horizontal="center" vertical="center" wrapText="1"/>
      <protection hidden="1"/>
    </xf>
    <xf numFmtId="9" fontId="9" fillId="0" borderId="29" xfId="2" applyNumberFormat="1" applyFont="1" applyFill="1" applyBorder="1" applyAlignment="1" applyProtection="1">
      <alignment horizontal="center" vertical="center" wrapText="1"/>
      <protection hidden="1"/>
    </xf>
    <xf numFmtId="9" fontId="9" fillId="0" borderId="16" xfId="2" applyNumberFormat="1" applyFont="1" applyFill="1" applyBorder="1" applyAlignment="1" applyProtection="1">
      <alignment horizontal="center" vertical="center" wrapText="1"/>
      <protection hidden="1"/>
    </xf>
    <xf numFmtId="9" fontId="9" fillId="0" borderId="19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27" xfId="2" applyFont="1" applyFill="1" applyBorder="1" applyAlignment="1" applyProtection="1">
      <alignment horizontal="center" vertical="top" wrapText="1"/>
      <protection locked="0"/>
    </xf>
    <xf numFmtId="0" fontId="9" fillId="0" borderId="18" xfId="2" applyFont="1" applyFill="1" applyBorder="1" applyAlignment="1" applyProtection="1">
      <alignment horizontal="center" vertical="top" wrapText="1"/>
      <protection locked="0"/>
    </xf>
    <xf numFmtId="9" fontId="9" fillId="0" borderId="17" xfId="2" applyNumberFormat="1" applyFont="1" applyFill="1" applyBorder="1" applyAlignment="1" applyProtection="1">
      <alignment horizontal="center" vertical="center" wrapText="1"/>
      <protection hidden="1"/>
    </xf>
    <xf numFmtId="9" fontId="9" fillId="0" borderId="28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top" wrapText="1"/>
    </xf>
    <xf numFmtId="14" fontId="4" fillId="0" borderId="4" xfId="0" applyNumberFormat="1" applyFont="1" applyFill="1" applyBorder="1" applyAlignment="1">
      <alignment horizontal="center" vertical="top" wrapText="1"/>
    </xf>
    <xf numFmtId="14" fontId="4" fillId="0" borderId="6" xfId="0" applyNumberFormat="1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2" fontId="4" fillId="0" borderId="1" xfId="0" applyNumberFormat="1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8" xfId="0" applyNumberFormat="1" applyFont="1" applyFill="1" applyBorder="1" applyAlignment="1">
      <alignment horizontal="left" vertical="top"/>
    </xf>
    <xf numFmtId="1" fontId="2" fillId="0" borderId="6" xfId="2" applyNumberFormat="1" applyFont="1" applyFill="1" applyBorder="1" applyAlignment="1">
      <alignment horizontal="center" vertical="top" wrapText="1"/>
    </xf>
    <xf numFmtId="9" fontId="10" fillId="0" borderId="1" xfId="0" applyNumberFormat="1" applyFont="1" applyFill="1" applyBorder="1" applyAlignment="1">
      <alignment horizontal="center" vertical="top" wrapText="1"/>
    </xf>
    <xf numFmtId="14" fontId="10" fillId="0" borderId="1" xfId="0" applyNumberFormat="1" applyFont="1" applyFill="1" applyBorder="1" applyAlignment="1">
      <alignment horizontal="center" vertical="top" wrapText="1"/>
    </xf>
    <xf numFmtId="14" fontId="9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center"/>
    </xf>
    <xf numFmtId="0" fontId="9" fillId="0" borderId="1" xfId="0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left" vertical="top" wrapText="1"/>
    </xf>
    <xf numFmtId="0" fontId="3" fillId="0" borderId="35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3" xfId="2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5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2" fillId="0" borderId="20" xfId="2" applyFont="1" applyFill="1" applyBorder="1" applyAlignment="1" applyProtection="1">
      <alignment horizontal="center" vertical="top" wrapText="1"/>
      <protection locked="0"/>
    </xf>
    <xf numFmtId="0" fontId="2" fillId="0" borderId="13" xfId="2" applyFont="1" applyFill="1" applyBorder="1" applyAlignment="1" applyProtection="1">
      <alignment horizontal="center" vertical="top" wrapText="1"/>
      <protection locked="0"/>
    </xf>
    <xf numFmtId="0" fontId="4" fillId="0" borderId="3" xfId="2" applyFont="1" applyFill="1" applyBorder="1" applyAlignment="1" applyProtection="1">
      <alignment horizontal="center" vertical="top"/>
      <protection locked="0"/>
    </xf>
    <xf numFmtId="0" fontId="4" fillId="0" borderId="6" xfId="2" applyFont="1" applyFill="1" applyBorder="1" applyAlignment="1" applyProtection="1">
      <alignment horizontal="center" vertical="top"/>
      <protection locked="0"/>
    </xf>
    <xf numFmtId="0" fontId="4" fillId="0" borderId="15" xfId="2" applyFont="1" applyFill="1" applyBorder="1" applyAlignment="1" applyProtection="1">
      <alignment horizontal="center" vertical="top"/>
      <protection locked="0"/>
    </xf>
    <xf numFmtId="0" fontId="5" fillId="0" borderId="22" xfId="2" applyFont="1" applyFill="1" applyBorder="1" applyAlignment="1" applyProtection="1">
      <alignment horizontal="left" vertical="top"/>
      <protection locked="0"/>
    </xf>
    <xf numFmtId="0" fontId="5" fillId="0" borderId="1" xfId="2" applyFont="1" applyFill="1" applyBorder="1" applyAlignment="1" applyProtection="1">
      <alignment horizontal="left" vertical="top"/>
      <protection locked="0"/>
    </xf>
    <xf numFmtId="0" fontId="5" fillId="0" borderId="3" xfId="2" applyFont="1" applyFill="1" applyBorder="1" applyAlignment="1" applyProtection="1">
      <alignment horizontal="left" vertical="top" wrapText="1"/>
      <protection locked="0"/>
    </xf>
    <xf numFmtId="0" fontId="5" fillId="0" borderId="4" xfId="2" applyFont="1" applyFill="1" applyBorder="1" applyAlignment="1" applyProtection="1">
      <alignment horizontal="left" vertical="top" wrapText="1"/>
      <protection locked="0"/>
    </xf>
    <xf numFmtId="0" fontId="5" fillId="0" borderId="15" xfId="2" applyFont="1" applyFill="1" applyBorder="1" applyAlignment="1" applyProtection="1">
      <alignment horizontal="left" vertical="top" wrapText="1"/>
      <protection locked="0"/>
    </xf>
    <xf numFmtId="0" fontId="9" fillId="0" borderId="24" xfId="2" applyFont="1" applyFill="1" applyBorder="1" applyAlignment="1" applyProtection="1">
      <alignment horizontal="center" vertical="top" wrapText="1"/>
      <protection locked="0"/>
    </xf>
    <xf numFmtId="0" fontId="9" fillId="0" borderId="6" xfId="2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14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14" fontId="13" fillId="0" borderId="3" xfId="6" applyNumberForma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9" fontId="4" fillId="0" borderId="1" xfId="0" applyNumberFormat="1" applyFont="1" applyFill="1" applyBorder="1" applyAlignment="1">
      <alignment horizontal="center" vertical="top" wrapText="1"/>
    </xf>
    <xf numFmtId="2" fontId="9" fillId="0" borderId="0" xfId="0" applyNumberFormat="1" applyFont="1" applyFill="1"/>
    <xf numFmtId="0" fontId="3" fillId="2" borderId="1" xfId="2" applyFont="1" applyFill="1" applyBorder="1" applyAlignment="1">
      <alignment horizontal="left" vertical="top" wrapText="1"/>
    </xf>
    <xf numFmtId="49" fontId="4" fillId="2" borderId="1" xfId="2" applyNumberFormat="1" applyFont="1" applyFill="1" applyBorder="1" applyAlignment="1">
      <alignment horizontal="left" vertical="top" wrapText="1"/>
    </xf>
    <xf numFmtId="0" fontId="4" fillId="2" borderId="1" xfId="2" applyFont="1" applyFill="1" applyBorder="1" applyAlignment="1">
      <alignment horizontal="left" vertical="top"/>
    </xf>
    <xf numFmtId="14" fontId="4" fillId="2" borderId="1" xfId="2" applyNumberFormat="1" applyFont="1" applyFill="1" applyBorder="1" applyAlignment="1">
      <alignment horizontal="left" vertical="top" wrapText="1"/>
    </xf>
    <xf numFmtId="0" fontId="3" fillId="3" borderId="1" xfId="2" applyFont="1" applyFill="1" applyBorder="1" applyAlignment="1">
      <alignment horizontal="left" vertical="top" wrapText="1"/>
    </xf>
    <xf numFmtId="49" fontId="4" fillId="3" borderId="1" xfId="2" applyNumberFormat="1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left" vertical="top"/>
    </xf>
    <xf numFmtId="14" fontId="4" fillId="3" borderId="1" xfId="2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/>
    </xf>
    <xf numFmtId="1" fontId="9" fillId="0" borderId="7" xfId="0" applyNumberFormat="1" applyFont="1" applyFill="1" applyBorder="1" applyAlignment="1">
      <alignment horizontal="center" vertical="center" wrapText="1"/>
    </xf>
    <xf numFmtId="1" fontId="9" fillId="0" borderId="30" xfId="0" applyNumberFormat="1" applyFont="1" applyFill="1" applyBorder="1" applyAlignment="1">
      <alignment horizontal="center" vertical="center" wrapText="1"/>
    </xf>
    <xf numFmtId="1" fontId="9" fillId="0" borderId="9" xfId="0" applyNumberFormat="1" applyFont="1" applyFill="1" applyBorder="1" applyAlignment="1">
      <alignment horizontal="center" vertical="center" wrapText="1"/>
    </xf>
    <xf numFmtId="1" fontId="9" fillId="0" borderId="34" xfId="0" applyNumberFormat="1" applyFont="1" applyFill="1" applyBorder="1" applyAlignment="1">
      <alignment horizontal="center" vertical="center" wrapText="1"/>
    </xf>
    <xf numFmtId="1" fontId="9" fillId="0" borderId="31" xfId="0" applyNumberFormat="1" applyFont="1" applyFill="1" applyBorder="1" applyAlignment="1">
      <alignment horizontal="center" vertical="center" wrapText="1"/>
    </xf>
    <xf numFmtId="1" fontId="9" fillId="0" borderId="33" xfId="0" applyNumberFormat="1" applyFont="1" applyFill="1" applyBorder="1" applyAlignment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top" wrapText="1"/>
      <protection locked="0"/>
    </xf>
    <xf numFmtId="0" fontId="7" fillId="0" borderId="12" xfId="2" applyFont="1" applyFill="1" applyBorder="1" applyAlignment="1" applyProtection="1">
      <alignment horizontal="left" vertical="top" wrapText="1"/>
      <protection locked="0"/>
    </xf>
    <xf numFmtId="0" fontId="7" fillId="0" borderId="14" xfId="2" applyFont="1" applyFill="1" applyBorder="1" applyAlignment="1" applyProtection="1">
      <alignment horizontal="left" vertical="top" wrapText="1"/>
      <protection locked="0"/>
    </xf>
    <xf numFmtId="14" fontId="5" fillId="0" borderId="1" xfId="0" applyNumberFormat="1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left" vertical="top" wrapText="1"/>
    </xf>
    <xf numFmtId="0" fontId="4" fillId="2" borderId="1" xfId="2" applyFont="1" applyFill="1" applyBorder="1" applyAlignment="1">
      <alignment horizontal="left" vertical="top" wrapText="1"/>
    </xf>
    <xf numFmtId="14" fontId="9" fillId="0" borderId="1" xfId="0" applyNumberFormat="1" applyFont="1" applyFill="1" applyBorder="1" applyAlignment="1">
      <alignment vertical="top" wrapText="1"/>
    </xf>
    <xf numFmtId="0" fontId="9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5" fillId="2" borderId="1" xfId="2" applyFont="1" applyFill="1" applyBorder="1" applyAlignment="1">
      <alignment horizontal="left" vertical="top"/>
    </xf>
    <xf numFmtId="14" fontId="5" fillId="2" borderId="1" xfId="2" applyNumberFormat="1" applyFont="1" applyFill="1" applyBorder="1" applyAlignment="1">
      <alignment horizontal="left" vertical="top" wrapText="1"/>
    </xf>
    <xf numFmtId="0" fontId="5" fillId="2" borderId="1" xfId="2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7">
    <cellStyle name="Comma 2" xfId="5"/>
    <cellStyle name="Excel Built-in Normal" xfId="1"/>
    <cellStyle name="Excel Built-in Normal 2" xfId="3"/>
    <cellStyle name="Hyperlink" xfId="6" builtinId="8"/>
    <cellStyle name="Normal" xfId="0" builtinId="0"/>
    <cellStyle name="Normal 3" xfId="2"/>
    <cellStyle name="Normal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400050</xdr:colOff>
      <xdr:row>3</xdr:row>
      <xdr:rowOff>85725</xdr:rowOff>
    </xdr:from>
    <xdr:to>
      <xdr:col>24</xdr:col>
      <xdr:colOff>64050</xdr:colOff>
      <xdr:row>9</xdr:row>
      <xdr:rowOff>99346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9575" y="1019175"/>
          <a:ext cx="5760000" cy="181384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10</xdr:col>
      <xdr:colOff>447675</xdr:colOff>
      <xdr:row>257</xdr:row>
      <xdr:rowOff>0</xdr:rowOff>
    </xdr:from>
    <xdr:to>
      <xdr:col>22</xdr:col>
      <xdr:colOff>585343</xdr:colOff>
      <xdr:row>299</xdr:row>
      <xdr:rowOff>162918</xdr:rowOff>
    </xdr:to>
    <xdr:grpSp>
      <xdr:nvGrpSpPr>
        <xdr:cNvPr id="12" name="Group 11"/>
        <xdr:cNvGrpSpPr/>
      </xdr:nvGrpSpPr>
      <xdr:grpSpPr>
        <a:xfrm>
          <a:off x="7153275" y="65398650"/>
          <a:ext cx="5976493" cy="8163918"/>
          <a:chOff x="384353" y="211903"/>
          <a:chExt cx="5938393" cy="8163918"/>
        </a:xfrm>
      </xdr:grpSpPr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2746" y="211903"/>
            <a:ext cx="2880000" cy="384534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2746" y="6575821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67686" y="6575821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2746" y="4235031"/>
            <a:ext cx="2880000" cy="216300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4353" y="4235031"/>
            <a:ext cx="2880000" cy="216300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4353" y="211903"/>
            <a:ext cx="2880000" cy="384534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9" name="TextBox 13"/>
          <xdr:cNvSpPr txBox="1"/>
        </xdr:nvSpPr>
        <xdr:spPr>
          <a:xfrm>
            <a:off x="4059694" y="401684"/>
            <a:ext cx="1086928" cy="37956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D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20" name="TextBox 14"/>
          <xdr:cNvSpPr txBox="1"/>
        </xdr:nvSpPr>
        <xdr:spPr>
          <a:xfrm>
            <a:off x="2266622" y="211903"/>
            <a:ext cx="1086928" cy="37956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D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266701</xdr:colOff>
      <xdr:row>304</xdr:row>
      <xdr:rowOff>19050</xdr:rowOff>
    </xdr:from>
    <xdr:to>
      <xdr:col>9</xdr:col>
      <xdr:colOff>438151</xdr:colOff>
      <xdr:row>341</xdr:row>
      <xdr:rowOff>95250</xdr:rowOff>
    </xdr:to>
    <xdr:grpSp>
      <xdr:nvGrpSpPr>
        <xdr:cNvPr id="37" name="Group 36"/>
        <xdr:cNvGrpSpPr/>
      </xdr:nvGrpSpPr>
      <xdr:grpSpPr>
        <a:xfrm>
          <a:off x="266701" y="74371200"/>
          <a:ext cx="6210300" cy="7124700"/>
          <a:chOff x="47625" y="62979300"/>
          <a:chExt cx="6555081" cy="7527280"/>
        </a:xfrm>
      </xdr:grpSpPr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87625" y="66799507"/>
            <a:ext cx="5475081" cy="370707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3" name="Rectangle 22"/>
          <xdr:cNvSpPr/>
        </xdr:nvSpPr>
        <xdr:spPr>
          <a:xfrm>
            <a:off x="1937410" y="68759876"/>
            <a:ext cx="1910560" cy="937228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24" name="Rectangle 23"/>
          <xdr:cNvSpPr/>
        </xdr:nvSpPr>
        <xdr:spPr>
          <a:xfrm rot="16200000">
            <a:off x="3723284" y="68558155"/>
            <a:ext cx="1305255" cy="972643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25" name="TextBox 11"/>
          <xdr:cNvSpPr txBox="1"/>
        </xdr:nvSpPr>
        <xdr:spPr>
          <a:xfrm>
            <a:off x="3847969" y="69727192"/>
            <a:ext cx="1117503" cy="37465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b="1">
                <a:solidFill>
                  <a:srgbClr val="FF0000"/>
                </a:solidFill>
              </a:rPr>
              <a:t>WING D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26" name="TextBox 12"/>
          <xdr:cNvSpPr txBox="1"/>
        </xdr:nvSpPr>
        <xdr:spPr>
          <a:xfrm>
            <a:off x="1679856" y="68435141"/>
            <a:ext cx="1117503" cy="37465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47625" y="62979300"/>
            <a:ext cx="6555081" cy="368182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9" name="Rectangle 28"/>
          <xdr:cNvSpPr/>
        </xdr:nvSpPr>
        <xdr:spPr>
          <a:xfrm>
            <a:off x="4276159" y="65083910"/>
            <a:ext cx="1129038" cy="669975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0" name="Rectangle 29"/>
          <xdr:cNvSpPr/>
        </xdr:nvSpPr>
        <xdr:spPr>
          <a:xfrm rot="16200000">
            <a:off x="5323195" y="64923498"/>
            <a:ext cx="953426" cy="707349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1" name="TextBox 4"/>
          <xdr:cNvSpPr txBox="1"/>
        </xdr:nvSpPr>
        <xdr:spPr>
          <a:xfrm>
            <a:off x="5303404" y="65753885"/>
            <a:ext cx="1101832" cy="37468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b="1">
                <a:solidFill>
                  <a:srgbClr val="FF0000"/>
                </a:solidFill>
              </a:rPr>
              <a:t>WING D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2" name="TextBox 5"/>
          <xdr:cNvSpPr txBox="1"/>
        </xdr:nvSpPr>
        <xdr:spPr>
          <a:xfrm>
            <a:off x="3276119" y="65418898"/>
            <a:ext cx="1101832" cy="37468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3" name="TextBox 13"/>
          <xdr:cNvSpPr txBox="1"/>
        </xdr:nvSpPr>
        <xdr:spPr>
          <a:xfrm rot="1783855">
            <a:off x="3417188" y="64505677"/>
            <a:ext cx="862689" cy="28101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200" b="1">
                <a:solidFill>
                  <a:srgbClr val="FF0000"/>
                </a:solidFill>
              </a:rPr>
              <a:t>WING B</a:t>
            </a:r>
            <a:endParaRPr lang="en-IN" sz="1200" b="1">
              <a:solidFill>
                <a:srgbClr val="FF0000"/>
              </a:solidFill>
            </a:endParaRPr>
          </a:p>
        </xdr:txBody>
      </xdr:sp>
      <xdr:sp macro="" textlink="">
        <xdr:nvSpPr>
          <xdr:cNvPr id="34" name="TextBox 14"/>
          <xdr:cNvSpPr txBox="1"/>
        </xdr:nvSpPr>
        <xdr:spPr>
          <a:xfrm rot="1738502">
            <a:off x="2373416" y="63907518"/>
            <a:ext cx="862689" cy="28101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200" b="1">
                <a:solidFill>
                  <a:srgbClr val="FF0000"/>
                </a:solidFill>
              </a:rPr>
              <a:t>WING A</a:t>
            </a:r>
            <a:endParaRPr lang="en-IN" sz="1200" b="1">
              <a:solidFill>
                <a:srgbClr val="FF0000"/>
              </a:solidFill>
            </a:endParaRPr>
          </a:p>
        </xdr:txBody>
      </xdr:sp>
      <xdr:sp macro="" textlink="">
        <xdr:nvSpPr>
          <xdr:cNvPr id="35" name="TextBox 15"/>
          <xdr:cNvSpPr txBox="1"/>
        </xdr:nvSpPr>
        <xdr:spPr>
          <a:xfrm>
            <a:off x="3768516" y="63732964"/>
            <a:ext cx="862689" cy="28101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200" b="1">
                <a:solidFill>
                  <a:srgbClr val="FF0000"/>
                </a:solidFill>
              </a:rPr>
              <a:t>WING F</a:t>
            </a:r>
            <a:endParaRPr lang="en-IN" sz="1200" b="1">
              <a:solidFill>
                <a:srgbClr val="FF0000"/>
              </a:solidFill>
            </a:endParaRPr>
          </a:p>
        </xdr:txBody>
      </xdr:sp>
      <xdr:sp macro="" textlink="">
        <xdr:nvSpPr>
          <xdr:cNvPr id="36" name="TextBox 16"/>
          <xdr:cNvSpPr txBox="1"/>
        </xdr:nvSpPr>
        <xdr:spPr>
          <a:xfrm>
            <a:off x="5194352" y="63788531"/>
            <a:ext cx="845207" cy="28101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200" b="1">
                <a:solidFill>
                  <a:srgbClr val="FF0000"/>
                </a:solidFill>
              </a:rPr>
              <a:t>WING E</a:t>
            </a:r>
            <a:endParaRPr lang="en-IN" sz="12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542925</xdr:colOff>
      <xdr:row>348</xdr:row>
      <xdr:rowOff>19050</xdr:rowOff>
    </xdr:from>
    <xdr:to>
      <xdr:col>9</xdr:col>
      <xdr:colOff>133350</xdr:colOff>
      <xdr:row>380</xdr:row>
      <xdr:rowOff>66675</xdr:rowOff>
    </xdr:to>
    <xdr:grpSp>
      <xdr:nvGrpSpPr>
        <xdr:cNvPr id="38" name="Group 37"/>
        <xdr:cNvGrpSpPr/>
      </xdr:nvGrpSpPr>
      <xdr:grpSpPr>
        <a:xfrm>
          <a:off x="542925" y="82753200"/>
          <a:ext cx="5629275" cy="6143625"/>
          <a:chOff x="190500" y="53849624"/>
          <a:chExt cx="6429481" cy="7854657"/>
        </a:xfrm>
      </xdr:grpSpPr>
      <xdr:pic>
        <xdr:nvPicPr>
          <xdr:cNvPr id="39" name="Picture 38"/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20272" y="53849624"/>
            <a:ext cx="5369938" cy="378279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40" name="Group 39"/>
          <xdr:cNvGrpSpPr/>
        </xdr:nvGrpSpPr>
        <xdr:grpSpPr>
          <a:xfrm>
            <a:off x="190500" y="57814044"/>
            <a:ext cx="6429481" cy="3890237"/>
            <a:chOff x="478063" y="4075793"/>
            <a:chExt cx="5994400" cy="3831772"/>
          </a:xfrm>
        </xdr:grpSpPr>
        <xdr:pic>
          <xdr:nvPicPr>
            <xdr:cNvPr id="41" name="Picture 40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478063" y="4075793"/>
              <a:ext cx="5994400" cy="383177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cxnSp macro="">
          <xdr:nvCxnSpPr>
            <xdr:cNvPr id="42" name="Straight Connector 41"/>
            <xdr:cNvCxnSpPr/>
          </xdr:nvCxnSpPr>
          <xdr:spPr>
            <a:xfrm>
              <a:off x="4572000" y="6781800"/>
              <a:ext cx="290513" cy="9525"/>
            </a:xfrm>
            <a:prstGeom prst="line">
              <a:avLst/>
            </a:prstGeom>
            <a:ln w="38100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" name="Straight Connector 42"/>
            <xdr:cNvCxnSpPr/>
          </xdr:nvCxnSpPr>
          <xdr:spPr>
            <a:xfrm flipV="1">
              <a:off x="4872038" y="5938839"/>
              <a:ext cx="138112" cy="847725"/>
            </a:xfrm>
            <a:prstGeom prst="line">
              <a:avLst/>
            </a:prstGeom>
            <a:ln w="38100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4" name="Straight Connector 43"/>
            <xdr:cNvCxnSpPr/>
          </xdr:nvCxnSpPr>
          <xdr:spPr>
            <a:xfrm flipH="1">
              <a:off x="1704975" y="5295900"/>
              <a:ext cx="90488" cy="214313"/>
            </a:xfrm>
            <a:prstGeom prst="line">
              <a:avLst/>
            </a:prstGeom>
            <a:ln w="38100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5" name="Straight Connector 44"/>
            <xdr:cNvCxnSpPr/>
          </xdr:nvCxnSpPr>
          <xdr:spPr>
            <a:xfrm flipH="1" flipV="1">
              <a:off x="4064000" y="5594350"/>
              <a:ext cx="946150" cy="344488"/>
            </a:xfrm>
            <a:prstGeom prst="line">
              <a:avLst/>
            </a:prstGeom>
            <a:ln w="38100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" name="Straight Connector 45"/>
            <xdr:cNvCxnSpPr/>
          </xdr:nvCxnSpPr>
          <xdr:spPr>
            <a:xfrm flipH="1" flipV="1">
              <a:off x="1795463" y="5292615"/>
              <a:ext cx="2274888" cy="295387"/>
            </a:xfrm>
            <a:prstGeom prst="line">
              <a:avLst/>
            </a:prstGeom>
            <a:ln w="38100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7" name="Freeform 46"/>
            <xdr:cNvSpPr/>
          </xdr:nvSpPr>
          <xdr:spPr>
            <a:xfrm>
              <a:off x="1704975" y="5497797"/>
              <a:ext cx="2195513" cy="1188753"/>
            </a:xfrm>
            <a:custGeom>
              <a:avLst/>
              <a:gdLst>
                <a:gd name="connsiteX0" fmla="*/ 0 w 2195513"/>
                <a:gd name="connsiteY0" fmla="*/ 12416 h 1188753"/>
                <a:gd name="connsiteX1" fmla="*/ 261938 w 2195513"/>
                <a:gd name="connsiteY1" fmla="*/ 50516 h 1188753"/>
                <a:gd name="connsiteX2" fmla="*/ 1076325 w 2195513"/>
                <a:gd name="connsiteY2" fmla="*/ 417228 h 1188753"/>
                <a:gd name="connsiteX3" fmla="*/ 1828800 w 2195513"/>
                <a:gd name="connsiteY3" fmla="*/ 983966 h 1188753"/>
                <a:gd name="connsiteX4" fmla="*/ 2195513 w 2195513"/>
                <a:gd name="connsiteY4" fmla="*/ 1188753 h 118875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195513" h="1188753">
                  <a:moveTo>
                    <a:pt x="0" y="12416"/>
                  </a:moveTo>
                  <a:cubicBezTo>
                    <a:pt x="41275" y="-2269"/>
                    <a:pt x="82551" y="-16953"/>
                    <a:pt x="261938" y="50516"/>
                  </a:cubicBezTo>
                  <a:cubicBezTo>
                    <a:pt x="441325" y="117985"/>
                    <a:pt x="815181" y="261653"/>
                    <a:pt x="1076325" y="417228"/>
                  </a:cubicBezTo>
                  <a:cubicBezTo>
                    <a:pt x="1337469" y="572803"/>
                    <a:pt x="1642269" y="855379"/>
                    <a:pt x="1828800" y="983966"/>
                  </a:cubicBezTo>
                  <a:cubicBezTo>
                    <a:pt x="2015331" y="1112554"/>
                    <a:pt x="2107407" y="1146684"/>
                    <a:pt x="2195513" y="1188753"/>
                  </a:cubicBezTo>
                </a:path>
              </a:pathLst>
            </a:cu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cxnSp macro="">
          <xdr:nvCxnSpPr>
            <xdr:cNvPr id="48" name="Straight Connector 47"/>
            <xdr:cNvCxnSpPr>
              <a:stCxn id="47" idx="4"/>
            </xdr:cNvCxnSpPr>
          </xdr:nvCxnSpPr>
          <xdr:spPr>
            <a:xfrm>
              <a:off x="3900488" y="6686550"/>
              <a:ext cx="671512" cy="95250"/>
            </a:xfrm>
            <a:prstGeom prst="line">
              <a:avLst/>
            </a:prstGeom>
            <a:ln w="38100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5</xdr:col>
      <xdr:colOff>285750</xdr:colOff>
      <xdr:row>308</xdr:row>
      <xdr:rowOff>171450</xdr:rowOff>
    </xdr:from>
    <xdr:to>
      <xdr:col>7</xdr:col>
      <xdr:colOff>400370</xdr:colOff>
      <xdr:row>311</xdr:row>
      <xdr:rowOff>133350</xdr:rowOff>
    </xdr:to>
    <xdr:sp macro="" textlink="">
      <xdr:nvSpPr>
        <xdr:cNvPr id="49" name="Rectangle 48"/>
        <xdr:cNvSpPr/>
      </xdr:nvSpPr>
      <xdr:spPr>
        <a:xfrm>
          <a:off x="3657600" y="68094225"/>
          <a:ext cx="1448120" cy="5334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7</xdr:col>
      <xdr:colOff>438149</xdr:colOff>
      <xdr:row>309</xdr:row>
      <xdr:rowOff>47625</xdr:rowOff>
    </xdr:from>
    <xdr:to>
      <xdr:col>9</xdr:col>
      <xdr:colOff>9524</xdr:colOff>
      <xdr:row>313</xdr:row>
      <xdr:rowOff>19050</xdr:rowOff>
    </xdr:to>
    <xdr:sp macro="" textlink="">
      <xdr:nvSpPr>
        <xdr:cNvPr id="50" name="Rectangle 49"/>
        <xdr:cNvSpPr/>
      </xdr:nvSpPr>
      <xdr:spPr>
        <a:xfrm>
          <a:off x="5143499" y="68160900"/>
          <a:ext cx="904875" cy="7334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1</xdr:col>
      <xdr:colOff>114300</xdr:colOff>
      <xdr:row>324</xdr:row>
      <xdr:rowOff>9525</xdr:rowOff>
    </xdr:from>
    <xdr:to>
      <xdr:col>4</xdr:col>
      <xdr:colOff>542925</xdr:colOff>
      <xdr:row>328</xdr:row>
      <xdr:rowOff>134627</xdr:rowOff>
    </xdr:to>
    <xdr:sp macro="" textlink="">
      <xdr:nvSpPr>
        <xdr:cNvPr id="51" name="Rectangle 50"/>
        <xdr:cNvSpPr/>
      </xdr:nvSpPr>
      <xdr:spPr>
        <a:xfrm>
          <a:off x="781050" y="70980300"/>
          <a:ext cx="2466975" cy="88710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76201</xdr:colOff>
      <xdr:row>322</xdr:row>
      <xdr:rowOff>95250</xdr:rowOff>
    </xdr:from>
    <xdr:to>
      <xdr:col>3</xdr:col>
      <xdr:colOff>468176</xdr:colOff>
      <xdr:row>324</xdr:row>
      <xdr:rowOff>68863</xdr:rowOff>
    </xdr:to>
    <xdr:sp macro="" textlink="">
      <xdr:nvSpPr>
        <xdr:cNvPr id="52" name="TextBox 12"/>
        <xdr:cNvSpPr txBox="1"/>
      </xdr:nvSpPr>
      <xdr:spPr>
        <a:xfrm>
          <a:off x="1447801" y="70685025"/>
          <a:ext cx="1058725" cy="35461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rgbClr val="FF0000"/>
              </a:solidFill>
            </a:rPr>
            <a:t>WING F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590550</xdr:colOff>
      <xdr:row>324</xdr:row>
      <xdr:rowOff>0</xdr:rowOff>
    </xdr:from>
    <xdr:to>
      <xdr:col>7</xdr:col>
      <xdr:colOff>114300</xdr:colOff>
      <xdr:row>330</xdr:row>
      <xdr:rowOff>152400</xdr:rowOff>
    </xdr:to>
    <xdr:sp macro="" textlink="">
      <xdr:nvSpPr>
        <xdr:cNvPr id="53" name="Rectangle 52"/>
        <xdr:cNvSpPr/>
      </xdr:nvSpPr>
      <xdr:spPr>
        <a:xfrm rot="16200000">
          <a:off x="3409950" y="70856475"/>
          <a:ext cx="1295400" cy="1524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5</xdr:col>
      <xdr:colOff>95250</xdr:colOff>
      <xdr:row>323</xdr:row>
      <xdr:rowOff>180975</xdr:rowOff>
    </xdr:from>
    <xdr:to>
      <xdr:col>6</xdr:col>
      <xdr:colOff>487225</xdr:colOff>
      <xdr:row>325</xdr:row>
      <xdr:rowOff>154588</xdr:rowOff>
    </xdr:to>
    <xdr:sp macro="" textlink="">
      <xdr:nvSpPr>
        <xdr:cNvPr id="54" name="TextBox 12"/>
        <xdr:cNvSpPr txBox="1"/>
      </xdr:nvSpPr>
      <xdr:spPr>
        <a:xfrm>
          <a:off x="3467100" y="70961250"/>
          <a:ext cx="1058725" cy="35461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rgbClr val="FF0000"/>
              </a:solidFill>
            </a:rPr>
            <a:t>WING E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286736</xdr:colOff>
      <xdr:row>257</xdr:row>
      <xdr:rowOff>19050</xdr:rowOff>
    </xdr:from>
    <xdr:to>
      <xdr:col>9</xdr:col>
      <xdr:colOff>402203</xdr:colOff>
      <xdr:row>291</xdr:row>
      <xdr:rowOff>44376</xdr:rowOff>
    </xdr:to>
    <xdr:grpSp>
      <xdr:nvGrpSpPr>
        <xdr:cNvPr id="3" name="Group 2"/>
        <xdr:cNvGrpSpPr/>
      </xdr:nvGrpSpPr>
      <xdr:grpSpPr>
        <a:xfrm>
          <a:off x="286736" y="65417700"/>
          <a:ext cx="6154317" cy="6502326"/>
          <a:chOff x="286736" y="59255025"/>
          <a:chExt cx="6154317" cy="6502326"/>
        </a:xfrm>
      </xdr:grpSpPr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24982" y="61521078"/>
            <a:ext cx="15546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0522" y="61521078"/>
            <a:ext cx="1518465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/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1144" y="59255025"/>
            <a:ext cx="156356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" y="63777351"/>
            <a:ext cx="1388914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6736" y="59255025"/>
            <a:ext cx="152077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7627" y="63767826"/>
            <a:ext cx="193849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 descr="insp-247563-843.jpg (719×542)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14448" y="63777351"/>
            <a:ext cx="2626605" cy="19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2" name="Picture 61" descr="insp-247563-849.jpg (719×542)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58337" y="59255025"/>
            <a:ext cx="2865387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3" name="Picture 62" descr="insp-247563-861.jpg (719×542)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41084" y="61503825"/>
            <a:ext cx="2865387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6</xdr:col>
      <xdr:colOff>542925</xdr:colOff>
      <xdr:row>257</xdr:row>
      <xdr:rowOff>47625</xdr:rowOff>
    </xdr:from>
    <xdr:to>
      <xdr:col>8</xdr:col>
      <xdr:colOff>303327</xdr:colOff>
      <xdr:row>259</xdr:row>
      <xdr:rowOff>46187</xdr:rowOff>
    </xdr:to>
    <xdr:sp macro="" textlink="">
      <xdr:nvSpPr>
        <xdr:cNvPr id="64" name="TextBox 14"/>
        <xdr:cNvSpPr txBox="1"/>
      </xdr:nvSpPr>
      <xdr:spPr>
        <a:xfrm>
          <a:off x="4581525" y="59283600"/>
          <a:ext cx="1093902" cy="37956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WING E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171450</xdr:colOff>
      <xdr:row>257</xdr:row>
      <xdr:rowOff>47625</xdr:rowOff>
    </xdr:from>
    <xdr:to>
      <xdr:col>4</xdr:col>
      <xdr:colOff>598602</xdr:colOff>
      <xdr:row>259</xdr:row>
      <xdr:rowOff>46187</xdr:rowOff>
    </xdr:to>
    <xdr:sp macro="" textlink="">
      <xdr:nvSpPr>
        <xdr:cNvPr id="65" name="TextBox 14"/>
        <xdr:cNvSpPr txBox="1"/>
      </xdr:nvSpPr>
      <xdr:spPr>
        <a:xfrm>
          <a:off x="2209800" y="59283600"/>
          <a:ext cx="1093902" cy="37956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WING D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209550</xdr:colOff>
      <xdr:row>256</xdr:row>
      <xdr:rowOff>104775</xdr:rowOff>
    </xdr:from>
    <xdr:to>
      <xdr:col>2</xdr:col>
      <xdr:colOff>598602</xdr:colOff>
      <xdr:row>258</xdr:row>
      <xdr:rowOff>103337</xdr:rowOff>
    </xdr:to>
    <xdr:sp macro="" textlink="">
      <xdr:nvSpPr>
        <xdr:cNvPr id="66" name="TextBox 14"/>
        <xdr:cNvSpPr txBox="1"/>
      </xdr:nvSpPr>
      <xdr:spPr>
        <a:xfrm>
          <a:off x="876300" y="59150250"/>
          <a:ext cx="1093902" cy="37956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WING C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180975</xdr:colOff>
      <xdr:row>269</xdr:row>
      <xdr:rowOff>180975</xdr:rowOff>
    </xdr:from>
    <xdr:to>
      <xdr:col>8</xdr:col>
      <xdr:colOff>608127</xdr:colOff>
      <xdr:row>271</xdr:row>
      <xdr:rowOff>179537</xdr:rowOff>
    </xdr:to>
    <xdr:sp macro="" textlink="">
      <xdr:nvSpPr>
        <xdr:cNvPr id="67" name="TextBox 14"/>
        <xdr:cNvSpPr txBox="1"/>
      </xdr:nvSpPr>
      <xdr:spPr>
        <a:xfrm>
          <a:off x="4886325" y="61702950"/>
          <a:ext cx="1093902" cy="37956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WING F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PTkwitTMk461GYC8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90"/>
  <sheetViews>
    <sheetView tabSelected="1" view="pageBreakPreview" zoomScaleNormal="85" zoomScaleSheetLayoutView="100" zoomScalePageLayoutView="70" workbookViewId="0">
      <selection activeCell="K5" sqref="K5"/>
    </sheetView>
  </sheetViews>
  <sheetFormatPr defaultColWidth="9.140625" defaultRowHeight="15" x14ac:dyDescent="0.25"/>
  <cols>
    <col min="1" max="1" width="10" style="33" customWidth="1"/>
    <col min="2" max="2" width="10.5703125" style="11" customWidth="1"/>
    <col min="3" max="10" width="10" style="11" customWidth="1"/>
    <col min="11" max="11" width="14.42578125" style="11" customWidth="1"/>
    <col min="12" max="15" width="9.140625" style="11"/>
    <col min="16" max="18" width="0" style="11" hidden="1" customWidth="1"/>
    <col min="19" max="16384" width="9.140625" style="11"/>
  </cols>
  <sheetData>
    <row r="1" spans="1:19" ht="43.9" customHeight="1" x14ac:dyDescent="0.25">
      <c r="A1" s="156" t="s">
        <v>155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9" x14ac:dyDescent="0.25">
      <c r="A2" s="157" t="s">
        <v>8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9" x14ac:dyDescent="0.25">
      <c r="A3" s="27" t="s">
        <v>19</v>
      </c>
      <c r="B3" s="159" t="s">
        <v>17</v>
      </c>
      <c r="C3" s="159"/>
      <c r="D3" s="159"/>
      <c r="E3" s="159"/>
      <c r="F3" s="158" t="s">
        <v>20</v>
      </c>
      <c r="G3" s="158"/>
      <c r="H3" s="158"/>
      <c r="I3" s="158"/>
      <c r="J3" s="158"/>
    </row>
    <row r="4" spans="1:19" x14ac:dyDescent="0.25">
      <c r="A4" s="28">
        <v>1</v>
      </c>
      <c r="B4" s="110" t="s">
        <v>21</v>
      </c>
      <c r="C4" s="110"/>
      <c r="D4" s="110"/>
      <c r="E4" s="110"/>
      <c r="F4" s="191" t="s">
        <v>207</v>
      </c>
      <c r="G4" s="191"/>
      <c r="H4" s="191"/>
      <c r="I4" s="191"/>
      <c r="J4" s="191"/>
    </row>
    <row r="5" spans="1:19" ht="45.75" customHeight="1" x14ac:dyDescent="0.25">
      <c r="A5" s="139">
        <v>2</v>
      </c>
      <c r="B5" s="110" t="s">
        <v>22</v>
      </c>
      <c r="C5" s="110"/>
      <c r="D5" s="110"/>
      <c r="E5" s="110"/>
      <c r="F5" s="97" t="s">
        <v>173</v>
      </c>
      <c r="G5" s="97"/>
      <c r="H5" s="97"/>
      <c r="I5" s="97"/>
      <c r="J5" s="97"/>
    </row>
    <row r="6" spans="1:19" ht="15.75" customHeight="1" x14ac:dyDescent="0.25">
      <c r="A6" s="139"/>
      <c r="B6" s="110"/>
      <c r="C6" s="110"/>
      <c r="D6" s="110"/>
      <c r="E6" s="110"/>
      <c r="F6" s="88" t="s">
        <v>156</v>
      </c>
      <c r="G6" s="90"/>
      <c r="H6" s="88" t="s">
        <v>174</v>
      </c>
      <c r="I6" s="89"/>
      <c r="J6" s="90"/>
    </row>
    <row r="7" spans="1:19" ht="15.75" customHeight="1" x14ac:dyDescent="0.25">
      <c r="A7" s="28"/>
      <c r="B7" s="160" t="s">
        <v>151</v>
      </c>
      <c r="C7" s="161"/>
      <c r="D7" s="161"/>
      <c r="E7" s="162"/>
      <c r="F7" s="163" t="s">
        <v>175</v>
      </c>
      <c r="G7" s="89"/>
      <c r="H7" s="89"/>
      <c r="I7" s="89"/>
      <c r="J7" s="90"/>
      <c r="S7" s="36"/>
    </row>
    <row r="8" spans="1:19" ht="33" customHeight="1" x14ac:dyDescent="0.25">
      <c r="A8" s="28"/>
      <c r="B8" s="110" t="s">
        <v>91</v>
      </c>
      <c r="C8" s="110"/>
      <c r="D8" s="110"/>
      <c r="E8" s="110"/>
      <c r="F8" s="97" t="s">
        <v>208</v>
      </c>
      <c r="G8" s="97"/>
      <c r="H8" s="97"/>
      <c r="I8" s="97"/>
      <c r="J8" s="97"/>
    </row>
    <row r="9" spans="1:19" ht="16.5" customHeight="1" x14ac:dyDescent="0.25">
      <c r="A9" s="28">
        <v>3</v>
      </c>
      <c r="B9" s="110" t="s">
        <v>23</v>
      </c>
      <c r="C9" s="110"/>
      <c r="D9" s="110"/>
      <c r="E9" s="110"/>
      <c r="F9" s="97" t="s">
        <v>176</v>
      </c>
      <c r="G9" s="97"/>
      <c r="H9" s="97"/>
      <c r="I9" s="97"/>
      <c r="J9" s="97"/>
    </row>
    <row r="10" spans="1:19" ht="47.25" customHeight="1" x14ac:dyDescent="0.25">
      <c r="A10" s="28">
        <v>4</v>
      </c>
      <c r="B10" s="110" t="s">
        <v>24</v>
      </c>
      <c r="C10" s="110"/>
      <c r="D10" s="110"/>
      <c r="E10" s="110"/>
      <c r="F10" s="97" t="s">
        <v>203</v>
      </c>
      <c r="G10" s="97"/>
      <c r="H10" s="97"/>
      <c r="I10" s="97"/>
      <c r="J10" s="97"/>
    </row>
    <row r="11" spans="1:19" ht="45.75" customHeight="1" x14ac:dyDescent="0.25">
      <c r="A11" s="28">
        <v>5</v>
      </c>
      <c r="B11" s="110" t="s">
        <v>25</v>
      </c>
      <c r="C11" s="110"/>
      <c r="D11" s="110"/>
      <c r="E11" s="110"/>
      <c r="F11" s="97" t="s">
        <v>177</v>
      </c>
      <c r="G11" s="97"/>
      <c r="H11" s="97"/>
      <c r="I11" s="97"/>
      <c r="J11" s="97"/>
      <c r="K11" s="91" t="s">
        <v>150</v>
      </c>
    </row>
    <row r="12" spans="1:19" ht="48.75" customHeight="1" x14ac:dyDescent="0.25">
      <c r="A12" s="28">
        <v>6</v>
      </c>
      <c r="B12" s="110" t="s">
        <v>26</v>
      </c>
      <c r="C12" s="110"/>
      <c r="D12" s="110"/>
      <c r="E12" s="110"/>
      <c r="F12" s="100" t="str">
        <f>F11</f>
        <v>Proposed Partly Commercial &amp; Residential Building on Land Bearing Gut No. 45/1 &amp; 45/2 (Plot A) At Villege Mankivali, Tal - Ambernath, Dist - Thane</v>
      </c>
      <c r="G12" s="100"/>
      <c r="H12" s="100"/>
      <c r="I12" s="100"/>
      <c r="J12" s="100"/>
      <c r="K12" s="91"/>
    </row>
    <row r="13" spans="1:19" ht="15" customHeight="1" x14ac:dyDescent="0.25">
      <c r="A13" s="28">
        <v>7</v>
      </c>
      <c r="B13" s="110" t="s">
        <v>27</v>
      </c>
      <c r="C13" s="110"/>
      <c r="D13" s="110"/>
      <c r="E13" s="110"/>
      <c r="F13" s="97">
        <v>45314</v>
      </c>
      <c r="G13" s="97"/>
      <c r="H13" s="97"/>
      <c r="I13" s="97"/>
      <c r="J13" s="97"/>
    </row>
    <row r="14" spans="1:19" ht="15" customHeight="1" x14ac:dyDescent="0.25">
      <c r="A14" s="28">
        <v>8</v>
      </c>
      <c r="B14" s="110" t="s">
        <v>28</v>
      </c>
      <c r="C14" s="110"/>
      <c r="D14" s="110"/>
      <c r="E14" s="110"/>
      <c r="F14" s="97">
        <v>45316</v>
      </c>
      <c r="G14" s="97"/>
      <c r="H14" s="97"/>
      <c r="I14" s="97"/>
      <c r="J14" s="97"/>
    </row>
    <row r="15" spans="1:19" x14ac:dyDescent="0.25">
      <c r="A15" s="28">
        <v>9</v>
      </c>
      <c r="B15" s="110" t="s">
        <v>29</v>
      </c>
      <c r="C15" s="110"/>
      <c r="D15" s="110"/>
      <c r="E15" s="110"/>
      <c r="F15" s="97" t="s">
        <v>204</v>
      </c>
      <c r="G15" s="97"/>
      <c r="H15" s="97"/>
      <c r="I15" s="97"/>
      <c r="J15" s="97"/>
    </row>
    <row r="16" spans="1:19" ht="30.75" customHeight="1" x14ac:dyDescent="0.25">
      <c r="A16" s="28">
        <v>10</v>
      </c>
      <c r="B16" s="101" t="s">
        <v>30</v>
      </c>
      <c r="C16" s="101"/>
      <c r="D16" s="101"/>
      <c r="E16" s="101"/>
      <c r="F16" s="98" t="s">
        <v>70</v>
      </c>
      <c r="G16" s="98"/>
      <c r="H16" s="98"/>
      <c r="I16" s="98"/>
      <c r="J16" s="98"/>
    </row>
    <row r="17" spans="1:12" x14ac:dyDescent="0.25">
      <c r="A17" s="28">
        <v>11</v>
      </c>
      <c r="B17" s="110" t="s">
        <v>31</v>
      </c>
      <c r="C17" s="110"/>
      <c r="D17" s="110"/>
      <c r="E17" s="110"/>
      <c r="F17" s="98" t="s">
        <v>70</v>
      </c>
      <c r="G17" s="98"/>
      <c r="H17" s="98"/>
      <c r="I17" s="98"/>
      <c r="J17" s="98"/>
    </row>
    <row r="18" spans="1:12" ht="46.5" customHeight="1" x14ac:dyDescent="0.25">
      <c r="A18" s="28">
        <v>12</v>
      </c>
      <c r="B18" s="101" t="s">
        <v>32</v>
      </c>
      <c r="C18" s="101"/>
      <c r="D18" s="101"/>
      <c r="E18" s="101"/>
      <c r="F18" s="98" t="s">
        <v>70</v>
      </c>
      <c r="G18" s="98"/>
      <c r="H18" s="98"/>
      <c r="I18" s="98"/>
      <c r="J18" s="98"/>
    </row>
    <row r="19" spans="1:12" ht="47.25" customHeight="1" x14ac:dyDescent="0.25">
      <c r="A19" s="28">
        <v>13</v>
      </c>
      <c r="B19" s="101" t="s">
        <v>121</v>
      </c>
      <c r="C19" s="101"/>
      <c r="D19" s="101"/>
      <c r="E19" s="101"/>
      <c r="F19" s="97" t="s">
        <v>178</v>
      </c>
      <c r="G19" s="97"/>
      <c r="H19" s="97"/>
      <c r="I19" s="97"/>
      <c r="J19" s="97"/>
    </row>
    <row r="20" spans="1:12" ht="29.25" customHeight="1" x14ac:dyDescent="0.25">
      <c r="A20" s="28">
        <v>14</v>
      </c>
      <c r="B20" s="101" t="s">
        <v>33</v>
      </c>
      <c r="C20" s="101"/>
      <c r="D20" s="101"/>
      <c r="E20" s="101"/>
      <c r="F20" s="109">
        <v>45911</v>
      </c>
      <c r="G20" s="109"/>
      <c r="H20" s="109"/>
      <c r="I20" s="109"/>
      <c r="J20" s="109"/>
    </row>
    <row r="21" spans="1:12" ht="15" customHeight="1" x14ac:dyDescent="0.25">
      <c r="A21" s="28">
        <v>15</v>
      </c>
      <c r="B21" s="101" t="s">
        <v>34</v>
      </c>
      <c r="C21" s="101"/>
      <c r="D21" s="101"/>
      <c r="E21" s="101"/>
      <c r="F21" s="194" t="s">
        <v>230</v>
      </c>
      <c r="G21" s="194"/>
      <c r="H21" s="194"/>
      <c r="I21" s="194"/>
      <c r="J21" s="194"/>
      <c r="K21" s="92"/>
      <c r="L21" s="93"/>
    </row>
    <row r="22" spans="1:12" ht="30" customHeight="1" x14ac:dyDescent="0.25">
      <c r="A22" s="28">
        <v>16</v>
      </c>
      <c r="B22" s="101" t="s">
        <v>35</v>
      </c>
      <c r="C22" s="101"/>
      <c r="D22" s="101"/>
      <c r="E22" s="101"/>
      <c r="F22" s="109" t="s">
        <v>179</v>
      </c>
      <c r="G22" s="109"/>
      <c r="H22" s="109"/>
      <c r="I22" s="109"/>
      <c r="J22" s="109"/>
      <c r="K22" s="92"/>
      <c r="L22" s="93"/>
    </row>
    <row r="23" spans="1:12" ht="46.5" customHeight="1" x14ac:dyDescent="0.25">
      <c r="A23" s="28">
        <v>17</v>
      </c>
      <c r="B23" s="101" t="s">
        <v>122</v>
      </c>
      <c r="C23" s="101"/>
      <c r="D23" s="101"/>
      <c r="E23" s="101"/>
      <c r="F23" s="195">
        <v>7058266641</v>
      </c>
      <c r="G23" s="195"/>
      <c r="H23" s="195"/>
      <c r="I23" s="195"/>
      <c r="J23" s="195"/>
      <c r="K23" s="92"/>
      <c r="L23" s="93"/>
    </row>
    <row r="24" spans="1:12" ht="31.5" customHeight="1" x14ac:dyDescent="0.25">
      <c r="A24" s="28">
        <v>18</v>
      </c>
      <c r="B24" s="101" t="s">
        <v>36</v>
      </c>
      <c r="C24" s="101"/>
      <c r="D24" s="101"/>
      <c r="E24" s="101"/>
      <c r="F24" s="98" t="s">
        <v>70</v>
      </c>
      <c r="G24" s="98"/>
      <c r="H24" s="98"/>
      <c r="I24" s="98"/>
      <c r="J24" s="98"/>
    </row>
    <row r="25" spans="1:12" x14ac:dyDescent="0.25">
      <c r="A25" s="28">
        <v>19</v>
      </c>
      <c r="B25" s="101" t="s">
        <v>37</v>
      </c>
      <c r="C25" s="101"/>
      <c r="D25" s="101"/>
      <c r="E25" s="101"/>
      <c r="F25" s="97" t="s">
        <v>11</v>
      </c>
      <c r="G25" s="97"/>
      <c r="H25" s="97"/>
      <c r="I25" s="97"/>
      <c r="J25" s="97"/>
    </row>
    <row r="26" spans="1:12" ht="46.5" customHeight="1" x14ac:dyDescent="0.25">
      <c r="A26" s="28">
        <v>20</v>
      </c>
      <c r="B26" s="101" t="s">
        <v>38</v>
      </c>
      <c r="C26" s="101"/>
      <c r="D26" s="101"/>
      <c r="E26" s="101"/>
      <c r="F26" s="98" t="s">
        <v>70</v>
      </c>
      <c r="G26" s="98"/>
      <c r="H26" s="98"/>
      <c r="I26" s="98"/>
      <c r="J26" s="98"/>
    </row>
    <row r="27" spans="1:12" x14ac:dyDescent="0.25">
      <c r="A27" s="28">
        <v>21</v>
      </c>
      <c r="B27" s="101" t="s">
        <v>39</v>
      </c>
      <c r="C27" s="101"/>
      <c r="D27" s="101"/>
      <c r="E27" s="101"/>
      <c r="F27" s="97" t="s">
        <v>180</v>
      </c>
      <c r="G27" s="97"/>
      <c r="H27" s="97"/>
      <c r="I27" s="97"/>
      <c r="J27" s="97"/>
    </row>
    <row r="28" spans="1:12" ht="15" customHeight="1" x14ac:dyDescent="0.25">
      <c r="A28" s="28">
        <v>22</v>
      </c>
      <c r="B28" s="101" t="s">
        <v>40</v>
      </c>
      <c r="C28" s="101"/>
      <c r="D28" s="101"/>
      <c r="E28" s="101"/>
      <c r="F28" s="97" t="s">
        <v>180</v>
      </c>
      <c r="G28" s="97"/>
      <c r="H28" s="97"/>
      <c r="I28" s="97"/>
      <c r="J28" s="97"/>
    </row>
    <row r="29" spans="1:12" ht="34.5" customHeight="1" x14ac:dyDescent="0.25">
      <c r="A29" s="28">
        <v>23</v>
      </c>
      <c r="B29" s="101" t="s">
        <v>41</v>
      </c>
      <c r="C29" s="101"/>
      <c r="D29" s="101"/>
      <c r="E29" s="101"/>
      <c r="F29" s="97" t="s">
        <v>181</v>
      </c>
      <c r="G29" s="97"/>
      <c r="H29" s="97"/>
      <c r="I29" s="97"/>
      <c r="J29" s="97"/>
    </row>
    <row r="30" spans="1:12" ht="47.25" customHeight="1" x14ac:dyDescent="0.25">
      <c r="A30" s="28">
        <v>24</v>
      </c>
      <c r="B30" s="101" t="s">
        <v>42</v>
      </c>
      <c r="C30" s="101"/>
      <c r="D30" s="101"/>
      <c r="E30" s="101"/>
      <c r="F30" s="97" t="s">
        <v>182</v>
      </c>
      <c r="G30" s="97"/>
      <c r="H30" s="97"/>
      <c r="I30" s="97"/>
      <c r="J30" s="97"/>
    </row>
    <row r="31" spans="1:12" x14ac:dyDescent="0.25">
      <c r="A31" s="28">
        <v>25</v>
      </c>
      <c r="B31" s="101" t="s">
        <v>43</v>
      </c>
      <c r="C31" s="101"/>
      <c r="D31" s="101"/>
      <c r="E31" s="101"/>
      <c r="F31" s="100" t="s">
        <v>183</v>
      </c>
      <c r="G31" s="100"/>
      <c r="H31" s="100"/>
      <c r="I31" s="100"/>
      <c r="J31" s="100"/>
      <c r="K31" s="94"/>
      <c r="L31" s="95"/>
    </row>
    <row r="32" spans="1:12" ht="30" customHeight="1" x14ac:dyDescent="0.25">
      <c r="A32" s="28">
        <v>26</v>
      </c>
      <c r="B32" s="101" t="s">
        <v>44</v>
      </c>
      <c r="C32" s="101"/>
      <c r="D32" s="101"/>
      <c r="E32" s="101"/>
      <c r="F32" s="100" t="str">
        <f>F31</f>
        <v>Kulgoan Badlapur Municipal Council</v>
      </c>
      <c r="G32" s="100"/>
      <c r="H32" s="100"/>
      <c r="I32" s="100"/>
      <c r="J32" s="100"/>
      <c r="K32" s="94"/>
      <c r="L32" s="95"/>
    </row>
    <row r="33" spans="1:11" ht="30.75" customHeight="1" x14ac:dyDescent="0.25">
      <c r="A33" s="28">
        <v>27</v>
      </c>
      <c r="B33" s="101" t="s">
        <v>45</v>
      </c>
      <c r="C33" s="101"/>
      <c r="D33" s="101"/>
      <c r="E33" s="101"/>
      <c r="F33" s="98" t="s">
        <v>73</v>
      </c>
      <c r="G33" s="98"/>
      <c r="H33" s="98"/>
      <c r="I33" s="98"/>
      <c r="J33" s="98"/>
    </row>
    <row r="34" spans="1:11" ht="29.25" customHeight="1" x14ac:dyDescent="0.25">
      <c r="A34" s="28">
        <v>28</v>
      </c>
      <c r="B34" s="101" t="s">
        <v>46</v>
      </c>
      <c r="C34" s="101"/>
      <c r="D34" s="101"/>
      <c r="E34" s="101"/>
      <c r="F34" s="98" t="s">
        <v>86</v>
      </c>
      <c r="G34" s="98"/>
      <c r="H34" s="98"/>
      <c r="I34" s="98"/>
      <c r="J34" s="98"/>
    </row>
    <row r="35" spans="1:11" x14ac:dyDescent="0.25">
      <c r="A35" s="28">
        <v>29</v>
      </c>
      <c r="B35" s="101" t="s">
        <v>74</v>
      </c>
      <c r="C35" s="101"/>
      <c r="D35" s="101"/>
      <c r="E35" s="101"/>
      <c r="F35" s="96">
        <v>8320</v>
      </c>
      <c r="G35" s="96"/>
      <c r="H35" s="96"/>
      <c r="I35" s="96"/>
      <c r="J35" s="96"/>
    </row>
    <row r="36" spans="1:11" ht="31.5" customHeight="1" x14ac:dyDescent="0.25">
      <c r="A36" s="28">
        <v>30</v>
      </c>
      <c r="B36" s="101" t="s">
        <v>87</v>
      </c>
      <c r="C36" s="101"/>
      <c r="D36" s="101"/>
      <c r="E36" s="101"/>
      <c r="F36" s="98" t="s">
        <v>10</v>
      </c>
      <c r="G36" s="98"/>
      <c r="H36" s="98"/>
      <c r="I36" s="98"/>
      <c r="J36" s="98"/>
    </row>
    <row r="37" spans="1:11" ht="32.25" customHeight="1" x14ac:dyDescent="0.25">
      <c r="A37" s="28">
        <v>31</v>
      </c>
      <c r="B37" s="101" t="s">
        <v>88</v>
      </c>
      <c r="C37" s="101"/>
      <c r="D37" s="101"/>
      <c r="E37" s="101"/>
      <c r="F37" s="98" t="s">
        <v>75</v>
      </c>
      <c r="G37" s="98"/>
      <c r="H37" s="98"/>
      <c r="I37" s="98"/>
      <c r="J37" s="98"/>
    </row>
    <row r="38" spans="1:11" ht="32.25" customHeight="1" x14ac:dyDescent="0.25">
      <c r="A38" s="28">
        <v>32</v>
      </c>
      <c r="B38" s="101" t="s">
        <v>47</v>
      </c>
      <c r="C38" s="101"/>
      <c r="D38" s="101"/>
      <c r="E38" s="101"/>
      <c r="F38" s="98" t="s">
        <v>10</v>
      </c>
      <c r="G38" s="98"/>
      <c r="H38" s="98"/>
      <c r="I38" s="98"/>
      <c r="J38" s="98"/>
    </row>
    <row r="39" spans="1:11" x14ac:dyDescent="0.25">
      <c r="A39" s="86">
        <v>33</v>
      </c>
      <c r="B39" s="101" t="s">
        <v>164</v>
      </c>
      <c r="C39" s="101"/>
      <c r="D39" s="101"/>
      <c r="E39" s="101"/>
      <c r="F39" s="99">
        <v>7545</v>
      </c>
      <c r="G39" s="99"/>
      <c r="H39" s="99"/>
      <c r="I39" s="99"/>
      <c r="J39" s="99"/>
    </row>
    <row r="40" spans="1:11" x14ac:dyDescent="0.25">
      <c r="A40" s="87"/>
      <c r="B40" s="101" t="s">
        <v>165</v>
      </c>
      <c r="C40" s="101"/>
      <c r="D40" s="101"/>
      <c r="E40" s="101"/>
      <c r="F40" s="99">
        <v>18141.37</v>
      </c>
      <c r="G40" s="99"/>
      <c r="H40" s="99"/>
      <c r="I40" s="99"/>
      <c r="J40" s="99"/>
      <c r="K40" s="170">
        <f>F40/F39</f>
        <v>2.4044227965540093</v>
      </c>
    </row>
    <row r="41" spans="1:11" x14ac:dyDescent="0.25">
      <c r="A41" s="45"/>
      <c r="B41" s="101" t="s">
        <v>223</v>
      </c>
      <c r="C41" s="101"/>
      <c r="D41" s="101"/>
      <c r="E41" s="101"/>
      <c r="F41" s="99">
        <f>2128.35+2484.44+3030.44+3602.34</f>
        <v>11245.57</v>
      </c>
      <c r="G41" s="99"/>
      <c r="H41" s="99"/>
      <c r="I41" s="99"/>
      <c r="J41" s="99"/>
      <c r="K41" s="170">
        <f>F41/F40</f>
        <v>0.61988537800618149</v>
      </c>
    </row>
    <row r="42" spans="1:11" x14ac:dyDescent="0.25">
      <c r="A42" s="28">
        <v>34</v>
      </c>
      <c r="B42" s="101" t="s">
        <v>166</v>
      </c>
      <c r="C42" s="101"/>
      <c r="D42" s="101"/>
      <c r="E42" s="101"/>
      <c r="F42" s="96">
        <f>8299.5/F39</f>
        <v>1.1000000000000001</v>
      </c>
      <c r="G42" s="96"/>
      <c r="H42" s="96"/>
      <c r="I42" s="96"/>
      <c r="J42" s="96"/>
    </row>
    <row r="43" spans="1:11" x14ac:dyDescent="0.25">
      <c r="A43" s="29">
        <v>35</v>
      </c>
      <c r="B43" s="101" t="s">
        <v>167</v>
      </c>
      <c r="C43" s="101"/>
      <c r="D43" s="101"/>
      <c r="E43" s="101"/>
      <c r="F43" s="96">
        <f>2496/F39</f>
        <v>0.33081510934393638</v>
      </c>
      <c r="G43" s="96"/>
      <c r="H43" s="96"/>
      <c r="I43" s="96"/>
      <c r="J43" s="96"/>
    </row>
    <row r="44" spans="1:11" x14ac:dyDescent="0.25">
      <c r="A44" s="29">
        <v>36</v>
      </c>
      <c r="B44" s="101" t="s">
        <v>168</v>
      </c>
      <c r="C44" s="101"/>
      <c r="D44" s="101"/>
      <c r="E44" s="101"/>
      <c r="F44" s="96">
        <f>530/F39</f>
        <v>7.0245195493704435E-2</v>
      </c>
      <c r="G44" s="96"/>
      <c r="H44" s="96"/>
      <c r="I44" s="96"/>
      <c r="J44" s="96"/>
    </row>
    <row r="45" spans="1:11" ht="16.5" customHeight="1" x14ac:dyDescent="0.25">
      <c r="A45" s="29">
        <v>37</v>
      </c>
      <c r="B45" s="101" t="s">
        <v>170</v>
      </c>
      <c r="C45" s="101"/>
      <c r="D45" s="101"/>
      <c r="E45" s="101"/>
      <c r="F45" s="96">
        <f>6864.68/F39</f>
        <v>0.90983167660702458</v>
      </c>
      <c r="G45" s="96"/>
      <c r="H45" s="96"/>
      <c r="I45" s="96"/>
      <c r="J45" s="96"/>
    </row>
    <row r="46" spans="1:11" ht="16.5" customHeight="1" x14ac:dyDescent="0.25">
      <c r="A46" s="29">
        <v>38</v>
      </c>
      <c r="B46" s="101" t="s">
        <v>169</v>
      </c>
      <c r="C46" s="101"/>
      <c r="D46" s="101"/>
      <c r="E46" s="101"/>
      <c r="F46" s="96">
        <f>SUM(F42:J45)</f>
        <v>2.4108919814446654</v>
      </c>
      <c r="G46" s="96"/>
      <c r="H46" s="96"/>
      <c r="I46" s="96"/>
      <c r="J46" s="96"/>
      <c r="K46" s="42">
        <f>F40/F39</f>
        <v>2.4044227965540093</v>
      </c>
    </row>
    <row r="47" spans="1:11" ht="33" customHeight="1" x14ac:dyDescent="0.25">
      <c r="A47" s="28">
        <v>39</v>
      </c>
      <c r="B47" s="101" t="s">
        <v>48</v>
      </c>
      <c r="C47" s="101"/>
      <c r="D47" s="101"/>
      <c r="E47" s="101"/>
      <c r="F47" s="97" t="s">
        <v>209</v>
      </c>
      <c r="G47" s="97"/>
      <c r="H47" s="97"/>
      <c r="I47" s="97"/>
      <c r="J47" s="97"/>
    </row>
    <row r="48" spans="1:11" ht="15.75" thickBot="1" x14ac:dyDescent="0.3">
      <c r="A48" s="28">
        <v>40</v>
      </c>
      <c r="B48" s="101" t="s">
        <v>49</v>
      </c>
      <c r="C48" s="101"/>
      <c r="D48" s="101"/>
      <c r="E48" s="101"/>
      <c r="F48" s="101"/>
      <c r="G48" s="101"/>
      <c r="H48" s="101"/>
      <c r="I48" s="101"/>
      <c r="J48" s="101"/>
    </row>
    <row r="49" spans="1:12" ht="15" customHeight="1" x14ac:dyDescent="0.25">
      <c r="A49" s="144" t="s">
        <v>123</v>
      </c>
      <c r="B49" s="145"/>
      <c r="C49" s="188" t="s">
        <v>201</v>
      </c>
      <c r="D49" s="189"/>
      <c r="E49" s="189"/>
      <c r="F49" s="189"/>
      <c r="G49" s="189"/>
      <c r="H49" s="189"/>
      <c r="I49" s="189"/>
      <c r="J49" s="190"/>
      <c r="K49" s="5" t="str">
        <f ca="1">(IF(F53&gt;99%,"All work completed. Please provide OC.",IF(F53&gt;89.8%,"Plinth, RCC, Brick, Plaster, Flooring, Painting work Completed. Finishing work is in process.",IF(F53&lt;94%,(IF(C53=0,"Work not yet Started.",IF(D53=25%,"Piling work in process",IF(D53=50%,"Excavation work in process",IF(D53=100%,"Excavation work Completed. ","0")))&amp;(IF(C54=0%,"",IF(C54=L55,"Footing work is process",IF(C54=L56,"Footing work Completed",IF(C54=L57,"1st Basement Completed",IF(C54=L58,"1st &amp; 2nd Basement Completed",IF(C54=L59,"1st to 3rd Basement Completed",IF(C54=L60,"1st to 4th Basement Completed",IF(C54=L61,"Plinth work is process",IF(C54=L62,"Plinth work completed","0")))))))))))&amp;(IF(C55=(D50+G50+I50),", RCC Slab",IF(C55&gt;0,", RCC upto "&amp;C55&amp;" Slab",""))&amp;(IF(C56=I50,", Brickwork",IF(C56&gt;0,", Brickwork upto "&amp;C56&amp;" Floor",""))&amp;(IF(C57=I50,", Internal Plaster",IF(C57&gt;0,", Internal Plaster upto "&amp;C57&amp;" Floor",""))&amp;(IF(C58=I50,", External Plaster",IF(C58&gt;0,", External Plaster upto "&amp;C58&amp;" Floor",""))&amp;(IF(C59=I50,", Flooring",IF(C59&gt;0,", Flooring upto "&amp;C59&amp;" Floor",""))&amp;(IF(C60=I50,", Painting",IF(C60&gt;0,", Painting upto "&amp;C60&amp;" Floor",""))&amp;(IF(C61&gt;0,", Finishing upto "&amp;C61&amp;" Floor","")&amp;(IF(C55&gt;0.5," Completed",""))))))))))))))</f>
        <v>Excavation work Completed. Plinth work completed, RCC Slab, Brickwork, Internal Plaster, External Plaster upto 7 Floor Completed</v>
      </c>
      <c r="L49" s="12"/>
    </row>
    <row r="50" spans="1:12" x14ac:dyDescent="0.25">
      <c r="A50" s="30" t="s">
        <v>92</v>
      </c>
      <c r="B50" s="6">
        <v>0</v>
      </c>
      <c r="C50" s="6" t="s">
        <v>94</v>
      </c>
      <c r="D50" s="6">
        <v>1</v>
      </c>
      <c r="E50" s="146" t="s">
        <v>93</v>
      </c>
      <c r="F50" s="147"/>
      <c r="G50" s="6">
        <v>0</v>
      </c>
      <c r="H50" s="7" t="s">
        <v>124</v>
      </c>
      <c r="I50" s="146">
        <f ca="1">--TRIM(RIGHT(SUBSTITUTE(LEFT(C49,_xlfn.AGGREGATE(16,6,FIND({0,1,2,3,4,5,6,7,8,9},C49,ROW(INDIRECT("1:"&amp;LEN(C49)))),1))," ",REPT(" ",LEN(C49))),LEN(C49)))</f>
        <v>8</v>
      </c>
      <c r="J50" s="148"/>
      <c r="K50" s="8"/>
      <c r="L50" s="13"/>
    </row>
    <row r="51" spans="1:12" ht="29.25" customHeight="1" x14ac:dyDescent="0.25">
      <c r="A51" s="149" t="s">
        <v>125</v>
      </c>
      <c r="B51" s="150"/>
      <c r="C51" s="151" t="str">
        <f ca="1">K49</f>
        <v>Excavation work Completed. Plinth work completed, RCC Slab, Brickwork, Internal Plaster, External Plaster upto 7 Floor Completed</v>
      </c>
      <c r="D51" s="152"/>
      <c r="E51" s="152"/>
      <c r="F51" s="152"/>
      <c r="G51" s="152"/>
      <c r="H51" s="152"/>
      <c r="I51" s="152"/>
      <c r="J51" s="153"/>
      <c r="K51" s="8" t="s">
        <v>126</v>
      </c>
      <c r="L51" s="13"/>
    </row>
    <row r="52" spans="1:12" ht="15" customHeight="1" x14ac:dyDescent="0.25">
      <c r="A52" s="154" t="s">
        <v>4</v>
      </c>
      <c r="B52" s="155"/>
      <c r="C52" s="10" t="s">
        <v>127</v>
      </c>
      <c r="D52" s="66" t="s">
        <v>128</v>
      </c>
      <c r="E52" s="66"/>
      <c r="F52" s="66" t="s">
        <v>129</v>
      </c>
      <c r="G52" s="66"/>
      <c r="H52" s="66" t="s">
        <v>130</v>
      </c>
      <c r="I52" s="66"/>
      <c r="J52" s="67"/>
      <c r="K52" s="3" t="s">
        <v>131</v>
      </c>
      <c r="L52" s="14">
        <f ca="1">I50*25%</f>
        <v>2</v>
      </c>
    </row>
    <row r="53" spans="1:12" ht="15" customHeight="1" x14ac:dyDescent="0.25">
      <c r="A53" s="68" t="s">
        <v>132</v>
      </c>
      <c r="B53" s="66"/>
      <c r="C53" s="39">
        <f ca="1">L54</f>
        <v>8</v>
      </c>
      <c r="D53" s="69">
        <f ca="1">((100/I50)*C53)/100</f>
        <v>1</v>
      </c>
      <c r="E53" s="70"/>
      <c r="F53" s="71">
        <f ca="1">(((C54/I50*20)+(30/(D50+G50+I50)*C55)+(10/(I50)*C56)+(5/(I50)*C57)+(5/I50*C58)+(10/I50*C59)+(5/I50*C60)+(5/I50*C61)+(10/I50*C62))/100)</f>
        <v>0.69374999999999998</v>
      </c>
      <c r="G53" s="71"/>
      <c r="H53" s="73">
        <f ca="1">((((C53/I50)*10)+((C54/I50)*20)+(30/(I50+G50+D50)*C55)+(10/I50*C56)+(5/I50*C57)+(5/I50*C58)+(10/I50*C59)+(4/I50*C60)+(4/I50*C61)+(2/I50*C62))/100)</f>
        <v>0.79374999999999996</v>
      </c>
      <c r="I53" s="74"/>
      <c r="J53" s="75"/>
      <c r="K53" s="3" t="s">
        <v>95</v>
      </c>
      <c r="L53" s="15">
        <f ca="1">I50*50%</f>
        <v>4</v>
      </c>
    </row>
    <row r="54" spans="1:12" x14ac:dyDescent="0.25">
      <c r="A54" s="68" t="s">
        <v>5</v>
      </c>
      <c r="B54" s="66"/>
      <c r="C54" s="40">
        <f ca="1">L62</f>
        <v>8</v>
      </c>
      <c r="D54" s="69">
        <f ca="1">((100/I50)*C54)/100</f>
        <v>1</v>
      </c>
      <c r="E54" s="70"/>
      <c r="F54" s="71"/>
      <c r="G54" s="71"/>
      <c r="H54" s="76"/>
      <c r="I54" s="77"/>
      <c r="J54" s="78"/>
      <c r="K54" s="3" t="s">
        <v>96</v>
      </c>
      <c r="L54" s="15">
        <f ca="1">I50</f>
        <v>8</v>
      </c>
    </row>
    <row r="55" spans="1:12" ht="15" customHeight="1" x14ac:dyDescent="0.25">
      <c r="A55" s="68" t="s">
        <v>133</v>
      </c>
      <c r="B55" s="66"/>
      <c r="C55" s="40">
        <v>9</v>
      </c>
      <c r="D55" s="69">
        <f ca="1">((100/(D50+G50+I50))*C55)/100</f>
        <v>1</v>
      </c>
      <c r="E55" s="70"/>
      <c r="F55" s="71"/>
      <c r="G55" s="71"/>
      <c r="H55" s="76"/>
      <c r="I55" s="77"/>
      <c r="J55" s="78"/>
      <c r="K55" s="3" t="s">
        <v>97</v>
      </c>
      <c r="L55" s="16">
        <f ca="1">(IF(B50&gt;1,(I50/(B50+2)),I50/4))</f>
        <v>2</v>
      </c>
    </row>
    <row r="56" spans="1:12" ht="15" customHeight="1" x14ac:dyDescent="0.25">
      <c r="A56" s="68" t="s">
        <v>134</v>
      </c>
      <c r="B56" s="66" t="s">
        <v>135</v>
      </c>
      <c r="C56" s="39">
        <v>8</v>
      </c>
      <c r="D56" s="69">
        <f ca="1">((100/I50)*C56)/100</f>
        <v>1</v>
      </c>
      <c r="E56" s="70"/>
      <c r="F56" s="71"/>
      <c r="G56" s="71"/>
      <c r="H56" s="76"/>
      <c r="I56" s="77"/>
      <c r="J56" s="78"/>
      <c r="K56" s="3" t="s">
        <v>98</v>
      </c>
      <c r="L56" s="16">
        <f ca="1">(IF(B50&gt;1,(I50/(B50+2)+L55),I50/4+L55))</f>
        <v>4</v>
      </c>
    </row>
    <row r="57" spans="1:12" ht="15" customHeight="1" x14ac:dyDescent="0.25">
      <c r="A57" s="68" t="s">
        <v>136</v>
      </c>
      <c r="B57" s="66" t="s">
        <v>135</v>
      </c>
      <c r="C57" s="39">
        <v>8</v>
      </c>
      <c r="D57" s="69">
        <f ca="1">((100/I50)*C57)/100</f>
        <v>1</v>
      </c>
      <c r="E57" s="70"/>
      <c r="F57" s="71"/>
      <c r="G57" s="71"/>
      <c r="H57" s="76"/>
      <c r="I57" s="77"/>
      <c r="J57" s="78"/>
      <c r="K57" s="3" t="s">
        <v>137</v>
      </c>
      <c r="L57" s="16">
        <f>(IF(B50&gt;1,(I50/(B50+2)+L56),0))</f>
        <v>0</v>
      </c>
    </row>
    <row r="58" spans="1:12" ht="15" customHeight="1" x14ac:dyDescent="0.25">
      <c r="A58" s="68" t="s">
        <v>138</v>
      </c>
      <c r="B58" s="66" t="s">
        <v>139</v>
      </c>
      <c r="C58" s="39">
        <v>7</v>
      </c>
      <c r="D58" s="69">
        <f ca="1">((100/(I50))*C58)/100</f>
        <v>0.875</v>
      </c>
      <c r="E58" s="70"/>
      <c r="F58" s="71"/>
      <c r="G58" s="71"/>
      <c r="H58" s="76"/>
      <c r="I58" s="77"/>
      <c r="J58" s="78"/>
      <c r="K58" s="3" t="s">
        <v>140</v>
      </c>
      <c r="L58" s="16">
        <f>(IF(B50&gt;2,(I50/(B50+2)+L57),0))</f>
        <v>0</v>
      </c>
    </row>
    <row r="59" spans="1:12" ht="15" customHeight="1" x14ac:dyDescent="0.25">
      <c r="A59" s="68" t="s">
        <v>141</v>
      </c>
      <c r="B59" s="66" t="s">
        <v>141</v>
      </c>
      <c r="C59" s="39">
        <v>0</v>
      </c>
      <c r="D59" s="69">
        <f ca="1">((100/I50)*C59)/100</f>
        <v>0</v>
      </c>
      <c r="E59" s="70"/>
      <c r="F59" s="71"/>
      <c r="G59" s="71"/>
      <c r="H59" s="76"/>
      <c r="I59" s="77"/>
      <c r="J59" s="78"/>
      <c r="K59" s="3" t="s">
        <v>142</v>
      </c>
      <c r="L59" s="17">
        <f>(IF(B50&gt;3,(I50/(B50+2)+L58),0))</f>
        <v>0</v>
      </c>
    </row>
    <row r="60" spans="1:12" ht="15" customHeight="1" x14ac:dyDescent="0.25">
      <c r="A60" s="68" t="s">
        <v>143</v>
      </c>
      <c r="B60" s="66"/>
      <c r="C60" s="39">
        <v>0</v>
      </c>
      <c r="D60" s="69">
        <f ca="1">((100/I50)*C60)/100</f>
        <v>0</v>
      </c>
      <c r="E60" s="70"/>
      <c r="F60" s="71"/>
      <c r="G60" s="71"/>
      <c r="H60" s="76"/>
      <c r="I60" s="77"/>
      <c r="J60" s="78"/>
      <c r="K60" s="3" t="s">
        <v>144</v>
      </c>
      <c r="L60" s="16">
        <f>(IF(B50&gt;4,(I50/(B50+2)+L59),0))</f>
        <v>0</v>
      </c>
    </row>
    <row r="61" spans="1:12" ht="15" customHeight="1" x14ac:dyDescent="0.25">
      <c r="A61" s="68" t="s">
        <v>145</v>
      </c>
      <c r="B61" s="66" t="s">
        <v>145</v>
      </c>
      <c r="C61" s="39">
        <v>0</v>
      </c>
      <c r="D61" s="69">
        <f ca="1">((100/(I50))*C61)/100</f>
        <v>0</v>
      </c>
      <c r="E61" s="70"/>
      <c r="F61" s="71"/>
      <c r="G61" s="71"/>
      <c r="H61" s="76"/>
      <c r="I61" s="77"/>
      <c r="J61" s="78"/>
      <c r="K61" s="3" t="s">
        <v>99</v>
      </c>
      <c r="L61" s="16">
        <f ca="1">(IF(B50=1,(I50/(B50+3)+L56),IF(B50=0,(I50/4+L56),IF(B50&gt;1,0))))</f>
        <v>6</v>
      </c>
    </row>
    <row r="62" spans="1:12" ht="15.75" customHeight="1" thickBot="1" x14ac:dyDescent="0.3">
      <c r="A62" s="82" t="s">
        <v>146</v>
      </c>
      <c r="B62" s="83"/>
      <c r="C62" s="41">
        <v>0</v>
      </c>
      <c r="D62" s="84">
        <f ca="1">((100/(I50))*C62)/100</f>
        <v>0</v>
      </c>
      <c r="E62" s="85"/>
      <c r="F62" s="72"/>
      <c r="G62" s="72"/>
      <c r="H62" s="79"/>
      <c r="I62" s="80"/>
      <c r="J62" s="81"/>
      <c r="K62" s="4" t="s">
        <v>100</v>
      </c>
      <c r="L62" s="18">
        <f ca="1">(IF(B50&gt;1.5,(I50/(B50+2)+L56+MAX(0,L57-L56)+MAX(0,L58-L57)+MAX(0,L59-L58)+MAX(0,L60-L59)+MAX(0,L61-L60)),IF(B50=1,(I50/(B50+3)+L61),IF(B50=0,I50/4+L61))))</f>
        <v>8</v>
      </c>
    </row>
    <row r="63" spans="1:12" ht="15" customHeight="1" x14ac:dyDescent="0.25">
      <c r="A63" s="144" t="s">
        <v>123</v>
      </c>
      <c r="B63" s="145"/>
      <c r="C63" s="188" t="s">
        <v>200</v>
      </c>
      <c r="D63" s="189"/>
      <c r="E63" s="189"/>
      <c r="F63" s="189"/>
      <c r="G63" s="189"/>
      <c r="H63" s="189"/>
      <c r="I63" s="189"/>
      <c r="J63" s="190"/>
      <c r="K63" s="5" t="str">
        <f ca="1">(IF(F67&gt;99%,"All work completed. Please provide OC.",IF(F67&gt;89.8%,"Plinth, RCC, Brick, Plaster, Flooring, Painting work Completed. Finishing work is in process.",IF(F67&lt;94%,(IF(C67=0,"Work not yet Started.",IF(D67=25%,"Piling work in process",IF(D67=50%,"Excavation work in process",IF(D67=100%,"Excavation work Completed. ","0")))&amp;(IF(C68=0%,"",IF(C68=L69,"Footing work is process",IF(C68=L70,"Footing work Completed",IF(C68=L71,"1st Basement Completed",IF(C68=L72,"1st &amp; 2nd Basement Completed",IF(C68=L73,"1st to 3rd Basement Completed",IF(C68=L74,"1st to 4th Basement Completed",IF(C68=L75,"Plinth work is process",IF(C68=L76,"Plinth work completed","0")))))))))))&amp;(IF(C69=(D64+G64+I64),", RCC Slab",IF(C69&gt;0,", RCC upto "&amp;C69&amp;" Slab",""))&amp;(IF(C70=I64,", Brickwork",IF(C70&gt;0,", Brickwork upto "&amp;C70&amp;" Floor",""))&amp;(IF(C71=I64,", Internal Plaster",IF(C71&gt;0,", Internal Plaster upto "&amp;C71&amp;" Floor",""))&amp;(IF(C72=I64,", External Plaster",IF(C72&gt;0,", External Plaster upto "&amp;C72&amp;" Floor",""))&amp;(IF(C73=I64,", Flooring",IF(C73&gt;0,", Flooring upto "&amp;C73&amp;" Floor",""))&amp;(IF(C74=I64,", Painting",IF(C74&gt;0,", Painting upto "&amp;C74&amp;" Floor",""))&amp;(IF(C75&gt;0,", Finishing upto "&amp;C75&amp;" Floor","")&amp;(IF(C69&gt;0.5," Completed",""))))))))))))))</f>
        <v>All work completed. Please provide OC.</v>
      </c>
      <c r="L63" s="12"/>
    </row>
    <row r="64" spans="1:12" x14ac:dyDescent="0.25">
      <c r="A64" s="30" t="s">
        <v>92</v>
      </c>
      <c r="B64" s="6">
        <v>0</v>
      </c>
      <c r="C64" s="6" t="s">
        <v>94</v>
      </c>
      <c r="D64" s="6">
        <v>1</v>
      </c>
      <c r="E64" s="146" t="s">
        <v>93</v>
      </c>
      <c r="F64" s="147"/>
      <c r="G64" s="6">
        <v>0</v>
      </c>
      <c r="H64" s="7" t="s">
        <v>124</v>
      </c>
      <c r="I64" s="146">
        <f ca="1">--TRIM(RIGHT(SUBSTITUTE(LEFT(C63,_xlfn.AGGREGATE(16,6,FIND({0,1,2,3,4,5,6,7,8,9},C63,ROW(INDIRECT("1:"&amp;LEN(C63)))),1))," ",REPT(" ",LEN(C63))),LEN(C63)))</f>
        <v>8</v>
      </c>
      <c r="J64" s="148"/>
      <c r="K64" s="8"/>
      <c r="L64" s="13"/>
    </row>
    <row r="65" spans="1:12" ht="15" customHeight="1" x14ac:dyDescent="0.25">
      <c r="A65" s="149" t="s">
        <v>125</v>
      </c>
      <c r="B65" s="150"/>
      <c r="C65" s="151" t="str">
        <f>K65</f>
        <v>All work Completed. OC Received.</v>
      </c>
      <c r="D65" s="152"/>
      <c r="E65" s="152"/>
      <c r="F65" s="152"/>
      <c r="G65" s="152"/>
      <c r="H65" s="152"/>
      <c r="I65" s="152"/>
      <c r="J65" s="153"/>
      <c r="K65" s="8" t="s">
        <v>126</v>
      </c>
      <c r="L65" s="13"/>
    </row>
    <row r="66" spans="1:12" ht="15" customHeight="1" x14ac:dyDescent="0.25">
      <c r="A66" s="154" t="s">
        <v>4</v>
      </c>
      <c r="B66" s="155"/>
      <c r="C66" s="37" t="s">
        <v>127</v>
      </c>
      <c r="D66" s="66" t="s">
        <v>128</v>
      </c>
      <c r="E66" s="66"/>
      <c r="F66" s="66" t="s">
        <v>129</v>
      </c>
      <c r="G66" s="66"/>
      <c r="H66" s="66" t="s">
        <v>130</v>
      </c>
      <c r="I66" s="66"/>
      <c r="J66" s="67"/>
      <c r="K66" s="3" t="s">
        <v>131</v>
      </c>
      <c r="L66" s="14">
        <f ca="1">I64*25%</f>
        <v>2</v>
      </c>
    </row>
    <row r="67" spans="1:12" ht="15" customHeight="1" x14ac:dyDescent="0.25">
      <c r="A67" s="68" t="s">
        <v>132</v>
      </c>
      <c r="B67" s="66"/>
      <c r="C67" s="39">
        <f ca="1">L68</f>
        <v>8</v>
      </c>
      <c r="D67" s="69">
        <f ca="1">((100/I64)*C67)/100</f>
        <v>1</v>
      </c>
      <c r="E67" s="70"/>
      <c r="F67" s="71">
        <f ca="1">(((C68/I64*20)+(30/(D64+G64+I64)*C69)+(10/(I64)*C70)+(5/(I64)*C71)+(5/I64*C72)+(10/I64*C73)+(5/I64*C74)+(5/I64*C75)+(10/I64*C76))/100)</f>
        <v>1</v>
      </c>
      <c r="G67" s="71"/>
      <c r="H67" s="73">
        <f ca="1">((((C67/I64)*10)+((C68/I64)*20)+(30/(I64+G64+D64)*C69)+(10/I64*C70)+(5/I64*C71)+(5/I64*C72)+(10/I64*C73)+(4/I64*C74)+(4/I64*C75)+(2/I64*C76))/100)</f>
        <v>1</v>
      </c>
      <c r="I67" s="74"/>
      <c r="J67" s="75"/>
      <c r="K67" s="3" t="s">
        <v>95</v>
      </c>
      <c r="L67" s="15">
        <f ca="1">I64*50%</f>
        <v>4</v>
      </c>
    </row>
    <row r="68" spans="1:12" x14ac:dyDescent="0.25">
      <c r="A68" s="68" t="s">
        <v>5</v>
      </c>
      <c r="B68" s="66"/>
      <c r="C68" s="40">
        <f ca="1">L76</f>
        <v>8</v>
      </c>
      <c r="D68" s="69">
        <f ca="1">((100/I64)*C68)/100</f>
        <v>1</v>
      </c>
      <c r="E68" s="70"/>
      <c r="F68" s="71"/>
      <c r="G68" s="71"/>
      <c r="H68" s="76"/>
      <c r="I68" s="77"/>
      <c r="J68" s="78"/>
      <c r="K68" s="3" t="s">
        <v>96</v>
      </c>
      <c r="L68" s="15">
        <f ca="1">I64</f>
        <v>8</v>
      </c>
    </row>
    <row r="69" spans="1:12" ht="15" customHeight="1" x14ac:dyDescent="0.25">
      <c r="A69" s="68" t="s">
        <v>133</v>
      </c>
      <c r="B69" s="66"/>
      <c r="C69" s="40">
        <v>9</v>
      </c>
      <c r="D69" s="69">
        <f ca="1">((100/(D64+G64+I64))*C69)/100</f>
        <v>1</v>
      </c>
      <c r="E69" s="70"/>
      <c r="F69" s="71"/>
      <c r="G69" s="71"/>
      <c r="H69" s="76"/>
      <c r="I69" s="77"/>
      <c r="J69" s="78"/>
      <c r="K69" s="3" t="s">
        <v>97</v>
      </c>
      <c r="L69" s="16">
        <f ca="1">(IF(B64&gt;1,(I64/(B64+2)),I64/4))</f>
        <v>2</v>
      </c>
    </row>
    <row r="70" spans="1:12" ht="15" customHeight="1" x14ac:dyDescent="0.25">
      <c r="A70" s="68" t="s">
        <v>134</v>
      </c>
      <c r="B70" s="66" t="s">
        <v>135</v>
      </c>
      <c r="C70" s="39">
        <v>8</v>
      </c>
      <c r="D70" s="69">
        <f ca="1">((100/I64)*C70)/100</f>
        <v>1</v>
      </c>
      <c r="E70" s="70"/>
      <c r="F70" s="71"/>
      <c r="G70" s="71"/>
      <c r="H70" s="76"/>
      <c r="I70" s="77"/>
      <c r="J70" s="78"/>
      <c r="K70" s="3" t="s">
        <v>98</v>
      </c>
      <c r="L70" s="16">
        <f ca="1">(IF(B64&gt;1,(I64/(B64+2)+L69),I64/4+L69))</f>
        <v>4</v>
      </c>
    </row>
    <row r="71" spans="1:12" ht="15" customHeight="1" x14ac:dyDescent="0.25">
      <c r="A71" s="68" t="s">
        <v>136</v>
      </c>
      <c r="B71" s="66" t="s">
        <v>135</v>
      </c>
      <c r="C71" s="39">
        <v>8</v>
      </c>
      <c r="D71" s="69">
        <f ca="1">((100/I64)*C71)/100</f>
        <v>1</v>
      </c>
      <c r="E71" s="70"/>
      <c r="F71" s="71"/>
      <c r="G71" s="71"/>
      <c r="H71" s="76"/>
      <c r="I71" s="77"/>
      <c r="J71" s="78"/>
      <c r="K71" s="3" t="s">
        <v>137</v>
      </c>
      <c r="L71" s="16">
        <f>(IF(B64&gt;1,(I64/(B64+2)+L70),0))</f>
        <v>0</v>
      </c>
    </row>
    <row r="72" spans="1:12" ht="15" customHeight="1" x14ac:dyDescent="0.25">
      <c r="A72" s="68" t="s">
        <v>138</v>
      </c>
      <c r="B72" s="66" t="s">
        <v>139</v>
      </c>
      <c r="C72" s="39">
        <v>8</v>
      </c>
      <c r="D72" s="69">
        <f ca="1">((100/(I64))*C72)/100</f>
        <v>1</v>
      </c>
      <c r="E72" s="70"/>
      <c r="F72" s="71"/>
      <c r="G72" s="71"/>
      <c r="H72" s="76"/>
      <c r="I72" s="77"/>
      <c r="J72" s="78"/>
      <c r="K72" s="3" t="s">
        <v>140</v>
      </c>
      <c r="L72" s="16">
        <f>(IF(B64&gt;2,(I64/(B64+2)+L71),0))</f>
        <v>0</v>
      </c>
    </row>
    <row r="73" spans="1:12" ht="15" customHeight="1" x14ac:dyDescent="0.25">
      <c r="A73" s="68" t="s">
        <v>141</v>
      </c>
      <c r="B73" s="66" t="s">
        <v>141</v>
      </c>
      <c r="C73" s="39">
        <v>8</v>
      </c>
      <c r="D73" s="69">
        <f ca="1">((100/I64)*C73)/100</f>
        <v>1</v>
      </c>
      <c r="E73" s="70"/>
      <c r="F73" s="71"/>
      <c r="G73" s="71"/>
      <c r="H73" s="76"/>
      <c r="I73" s="77"/>
      <c r="J73" s="78"/>
      <c r="K73" s="3" t="s">
        <v>142</v>
      </c>
      <c r="L73" s="17">
        <f>(IF(B64&gt;3,(I64/(B64+2)+L72),0))</f>
        <v>0</v>
      </c>
    </row>
    <row r="74" spans="1:12" ht="15" customHeight="1" x14ac:dyDescent="0.25">
      <c r="A74" s="68" t="s">
        <v>143</v>
      </c>
      <c r="B74" s="66"/>
      <c r="C74" s="39">
        <v>8</v>
      </c>
      <c r="D74" s="69">
        <f ca="1">((100/I64)*C74)/100</f>
        <v>1</v>
      </c>
      <c r="E74" s="70"/>
      <c r="F74" s="71"/>
      <c r="G74" s="71"/>
      <c r="H74" s="76"/>
      <c r="I74" s="77"/>
      <c r="J74" s="78"/>
      <c r="K74" s="3" t="s">
        <v>144</v>
      </c>
      <c r="L74" s="16">
        <f>(IF(B64&gt;4,(I64/(B64+2)+L73),0))</f>
        <v>0</v>
      </c>
    </row>
    <row r="75" spans="1:12" ht="15" customHeight="1" x14ac:dyDescent="0.25">
      <c r="A75" s="68" t="s">
        <v>145</v>
      </c>
      <c r="B75" s="66" t="s">
        <v>145</v>
      </c>
      <c r="C75" s="39">
        <v>8</v>
      </c>
      <c r="D75" s="69">
        <f ca="1">((100/(I64))*C75)/100</f>
        <v>1</v>
      </c>
      <c r="E75" s="70"/>
      <c r="F75" s="71"/>
      <c r="G75" s="71"/>
      <c r="H75" s="76"/>
      <c r="I75" s="77"/>
      <c r="J75" s="78"/>
      <c r="K75" s="3" t="s">
        <v>99</v>
      </c>
      <c r="L75" s="16">
        <f ca="1">(IF(B64=1,(I64/(B64+3)+L70),IF(B64=0,(I64/4+L70),IF(B64&gt;1,0))))</f>
        <v>6</v>
      </c>
    </row>
    <row r="76" spans="1:12" ht="15.75" customHeight="1" thickBot="1" x14ac:dyDescent="0.3">
      <c r="A76" s="82" t="s">
        <v>146</v>
      </c>
      <c r="B76" s="83"/>
      <c r="C76" s="41">
        <v>8</v>
      </c>
      <c r="D76" s="84">
        <f ca="1">((100/(I64))*C76)/100</f>
        <v>1</v>
      </c>
      <c r="E76" s="85"/>
      <c r="F76" s="72"/>
      <c r="G76" s="72"/>
      <c r="H76" s="79"/>
      <c r="I76" s="80"/>
      <c r="J76" s="81"/>
      <c r="K76" s="4" t="s">
        <v>100</v>
      </c>
      <c r="L76" s="18">
        <f ca="1">(IF(B64&gt;1.5,(I64/(B64+2)+L70+MAX(0,L71-L70)+MAX(0,L72-L71)+MAX(0,L73-L72)+MAX(0,L74-L73)+MAX(0,L75-L74)),IF(B64=1,(I64/(B64+3)+L75),IF(B64=0,I64/4+L75))))</f>
        <v>8</v>
      </c>
    </row>
    <row r="77" spans="1:12" ht="15" customHeight="1" x14ac:dyDescent="0.25">
      <c r="A77" s="144" t="s">
        <v>123</v>
      </c>
      <c r="B77" s="145"/>
      <c r="C77" s="188" t="s">
        <v>231</v>
      </c>
      <c r="D77" s="189"/>
      <c r="E77" s="189"/>
      <c r="F77" s="189"/>
      <c r="G77" s="189"/>
      <c r="H77" s="189"/>
      <c r="I77" s="189"/>
      <c r="J77" s="190"/>
      <c r="K77" s="5" t="str">
        <f ca="1">(IF(F81&gt;99%,"All work completed. Please provide OC.",IF(F81&gt;89.8%,"Plinth, RCC, Brick, Plaster, Flooring, Painting work Completed. Finishing work is in process.",IF(F81&lt;94%,(IF(C81=0,"Work not yet Started.",IF(D81=25%,"Piling work in process",IF(D81=50%,"Excavation work in process",IF(D81=100%,"Excavation work Completed. ","0")))&amp;(IF(C82=0%,"",IF(C82=L83,"Footing work is process",IF(C82=L84,"Footing work Completed",IF(C82=L85,"1st Basement Completed",IF(C82=L86,"1st &amp; 2nd Basement Completed",IF(C82=L87,"1st to 3rd Basement Completed",IF(C82=L88,"1st to 4th Basement Completed",IF(C82=L89,"Plinth work is process",IF(C82=L90,"Plinth work completed","0")))))))))))&amp;(IF(C83=(D78+G78+I78),", RCC Slab",IF(C83&gt;0,", RCC upto "&amp;C83&amp;" Slab",""))&amp;(IF(C84=I78,", Brickwork",IF(C84&gt;0,", Brickwork upto "&amp;C84&amp;" Floor",""))&amp;(IF(C85=I78,", Internal Plaster",IF(C85&gt;0,", Internal Plaster upto "&amp;C85&amp;" Floor",""))&amp;(IF(C86=I78,", External Plaster",IF(C86&gt;0,", External Plaster upto "&amp;C86&amp;" Floor",""))&amp;(IF(C87=I78,", Flooring",IF(C87&gt;0,", Flooring upto "&amp;C87&amp;" Floor",""))&amp;(IF(C88=I78,", Painting",IF(C88&gt;0,", Painting upto "&amp;C88&amp;" Floor",""))&amp;(IF(C89&gt;0,", Finishing upto "&amp;C89&amp;" Floor","")&amp;(IF(C83&gt;0.5," Completed",""))))))))))))))</f>
        <v>Excavation work Completed. Plinth work completed</v>
      </c>
      <c r="L77" s="12"/>
    </row>
    <row r="78" spans="1:12" x14ac:dyDescent="0.25">
      <c r="A78" s="30" t="s">
        <v>92</v>
      </c>
      <c r="B78" s="6">
        <v>0</v>
      </c>
      <c r="C78" s="6" t="s">
        <v>94</v>
      </c>
      <c r="D78" s="6">
        <v>1</v>
      </c>
      <c r="E78" s="146" t="s">
        <v>93</v>
      </c>
      <c r="F78" s="147"/>
      <c r="G78" s="6">
        <v>0</v>
      </c>
      <c r="H78" s="7" t="s">
        <v>124</v>
      </c>
      <c r="I78" s="146">
        <f ca="1">--TRIM(RIGHT(SUBSTITUTE(LEFT(C77,_xlfn.AGGREGATE(16,6,FIND({0,1,2,3,4,5,6,7,8,9},C77,ROW(INDIRECT("1:"&amp;LEN(C77)))),1))," ",REPT(" ",LEN(C77))),LEN(C77)))</f>
        <v>8</v>
      </c>
      <c r="J78" s="148"/>
      <c r="K78" s="8"/>
      <c r="L78" s="13"/>
    </row>
    <row r="79" spans="1:12" x14ac:dyDescent="0.25">
      <c r="A79" s="149" t="s">
        <v>125</v>
      </c>
      <c r="B79" s="150"/>
      <c r="C79" s="151" t="str">
        <f ca="1">K77</f>
        <v>Excavation work Completed. Plinth work completed</v>
      </c>
      <c r="D79" s="152"/>
      <c r="E79" s="152"/>
      <c r="F79" s="152"/>
      <c r="G79" s="152"/>
      <c r="H79" s="152"/>
      <c r="I79" s="152"/>
      <c r="J79" s="153"/>
      <c r="K79" s="8" t="s">
        <v>126</v>
      </c>
      <c r="L79" s="13"/>
    </row>
    <row r="80" spans="1:12" ht="15" customHeight="1" x14ac:dyDescent="0.25">
      <c r="A80" s="154" t="s">
        <v>4</v>
      </c>
      <c r="B80" s="155"/>
      <c r="C80" s="44" t="s">
        <v>127</v>
      </c>
      <c r="D80" s="66" t="s">
        <v>128</v>
      </c>
      <c r="E80" s="66"/>
      <c r="F80" s="66" t="s">
        <v>129</v>
      </c>
      <c r="G80" s="66"/>
      <c r="H80" s="66" t="s">
        <v>130</v>
      </c>
      <c r="I80" s="66"/>
      <c r="J80" s="67"/>
      <c r="K80" s="3" t="s">
        <v>131</v>
      </c>
      <c r="L80" s="14">
        <f ca="1">I78*25%</f>
        <v>2</v>
      </c>
    </row>
    <row r="81" spans="1:12" ht="15" customHeight="1" x14ac:dyDescent="0.25">
      <c r="A81" s="68" t="s">
        <v>132</v>
      </c>
      <c r="B81" s="66"/>
      <c r="C81" s="39">
        <f ca="1">L82</f>
        <v>8</v>
      </c>
      <c r="D81" s="69">
        <f ca="1">((100/I78)*C81)/100</f>
        <v>1</v>
      </c>
      <c r="E81" s="70"/>
      <c r="F81" s="71">
        <f ca="1">(((C82/I78*20)+(30/(D78+G78+I78)*C83)+(10/(I78)*C84)+(5/(I78)*C85)+(5/I78*C86)+(10/I78*C87)+(5/I78*C88)+(5/I78*C89)+(10/I78*C90))/100)</f>
        <v>0.2</v>
      </c>
      <c r="G81" s="71"/>
      <c r="H81" s="73">
        <f ca="1">((((C81/I78)*10)+((C82/I78)*20)+(30/(I78+G78+D78)*C83)+(10/I78*C84)+(5/I78*C85)+(5/I78*C86)+(10/I78*C87)+(4/I78*C88)+(4/I78*C89)+(2/I78*C90))/100)</f>
        <v>0.3</v>
      </c>
      <c r="I81" s="74"/>
      <c r="J81" s="75"/>
      <c r="K81" s="3" t="s">
        <v>95</v>
      </c>
      <c r="L81" s="15">
        <f ca="1">I78*50%</f>
        <v>4</v>
      </c>
    </row>
    <row r="82" spans="1:12" x14ac:dyDescent="0.25">
      <c r="A82" s="68" t="s">
        <v>5</v>
      </c>
      <c r="B82" s="66"/>
      <c r="C82" s="40">
        <f ca="1">L90</f>
        <v>8</v>
      </c>
      <c r="D82" s="69">
        <f ca="1">((100/I78)*C82)/100</f>
        <v>1</v>
      </c>
      <c r="E82" s="70"/>
      <c r="F82" s="71"/>
      <c r="G82" s="71"/>
      <c r="H82" s="76"/>
      <c r="I82" s="77"/>
      <c r="J82" s="78"/>
      <c r="K82" s="3" t="s">
        <v>96</v>
      </c>
      <c r="L82" s="15">
        <f ca="1">I78</f>
        <v>8</v>
      </c>
    </row>
    <row r="83" spans="1:12" ht="15" customHeight="1" x14ac:dyDescent="0.25">
      <c r="A83" s="68" t="s">
        <v>133</v>
      </c>
      <c r="B83" s="66"/>
      <c r="C83" s="40">
        <v>0</v>
      </c>
      <c r="D83" s="69">
        <f ca="1">((100/(D78+G78+I78))*C83)/100</f>
        <v>0</v>
      </c>
      <c r="E83" s="70"/>
      <c r="F83" s="71"/>
      <c r="G83" s="71"/>
      <c r="H83" s="76"/>
      <c r="I83" s="77"/>
      <c r="J83" s="78"/>
      <c r="K83" s="3" t="s">
        <v>97</v>
      </c>
      <c r="L83" s="16">
        <f ca="1">(IF(B78&gt;1,(I78/(B78+2)),I78/4))</f>
        <v>2</v>
      </c>
    </row>
    <row r="84" spans="1:12" ht="15" customHeight="1" x14ac:dyDescent="0.25">
      <c r="A84" s="68" t="s">
        <v>134</v>
      </c>
      <c r="B84" s="66" t="s">
        <v>135</v>
      </c>
      <c r="C84" s="39">
        <v>0</v>
      </c>
      <c r="D84" s="69">
        <f ca="1">((100/I78)*C84)/100</f>
        <v>0</v>
      </c>
      <c r="E84" s="70"/>
      <c r="F84" s="71"/>
      <c r="G84" s="71"/>
      <c r="H84" s="76"/>
      <c r="I84" s="77"/>
      <c r="J84" s="78"/>
      <c r="K84" s="3" t="s">
        <v>98</v>
      </c>
      <c r="L84" s="16">
        <f ca="1">(IF(B78&gt;1,(I78/(B78+2)+L83),I78/4+L83))</f>
        <v>4</v>
      </c>
    </row>
    <row r="85" spans="1:12" ht="15" customHeight="1" x14ac:dyDescent="0.25">
      <c r="A85" s="68" t="s">
        <v>136</v>
      </c>
      <c r="B85" s="66" t="s">
        <v>135</v>
      </c>
      <c r="C85" s="39">
        <v>0</v>
      </c>
      <c r="D85" s="69">
        <f ca="1">((100/I78)*C85)/100</f>
        <v>0</v>
      </c>
      <c r="E85" s="70"/>
      <c r="F85" s="71"/>
      <c r="G85" s="71"/>
      <c r="H85" s="76"/>
      <c r="I85" s="77"/>
      <c r="J85" s="78"/>
      <c r="K85" s="3" t="s">
        <v>137</v>
      </c>
      <c r="L85" s="16">
        <f>(IF(B78&gt;1,(I78/(B78+2)+L84),0))</f>
        <v>0</v>
      </c>
    </row>
    <row r="86" spans="1:12" ht="15" customHeight="1" x14ac:dyDescent="0.25">
      <c r="A86" s="68" t="s">
        <v>138</v>
      </c>
      <c r="B86" s="66" t="s">
        <v>139</v>
      </c>
      <c r="C86" s="39">
        <v>0</v>
      </c>
      <c r="D86" s="69">
        <f ca="1">((100/(I78))*C86)/100</f>
        <v>0</v>
      </c>
      <c r="E86" s="70"/>
      <c r="F86" s="71"/>
      <c r="G86" s="71"/>
      <c r="H86" s="76"/>
      <c r="I86" s="77"/>
      <c r="J86" s="78"/>
      <c r="K86" s="3" t="s">
        <v>140</v>
      </c>
      <c r="L86" s="16">
        <f>(IF(B78&gt;2,(I78/(B78+2)+L85),0))</f>
        <v>0</v>
      </c>
    </row>
    <row r="87" spans="1:12" ht="15" customHeight="1" x14ac:dyDescent="0.25">
      <c r="A87" s="68" t="s">
        <v>141</v>
      </c>
      <c r="B87" s="66" t="s">
        <v>141</v>
      </c>
      <c r="C87" s="39">
        <v>0</v>
      </c>
      <c r="D87" s="69">
        <f ca="1">((100/I78)*C87)/100</f>
        <v>0</v>
      </c>
      <c r="E87" s="70"/>
      <c r="F87" s="71"/>
      <c r="G87" s="71"/>
      <c r="H87" s="76"/>
      <c r="I87" s="77"/>
      <c r="J87" s="78"/>
      <c r="K87" s="3" t="s">
        <v>142</v>
      </c>
      <c r="L87" s="17">
        <f>(IF(B78&gt;3,(I78/(B78+2)+L86),0))</f>
        <v>0</v>
      </c>
    </row>
    <row r="88" spans="1:12" ht="15" customHeight="1" x14ac:dyDescent="0.25">
      <c r="A88" s="68" t="s">
        <v>143</v>
      </c>
      <c r="B88" s="66"/>
      <c r="C88" s="39">
        <v>0</v>
      </c>
      <c r="D88" s="69">
        <f ca="1">((100/I78)*C88)/100</f>
        <v>0</v>
      </c>
      <c r="E88" s="70"/>
      <c r="F88" s="71"/>
      <c r="G88" s="71"/>
      <c r="H88" s="76"/>
      <c r="I88" s="77"/>
      <c r="J88" s="78"/>
      <c r="K88" s="3" t="s">
        <v>144</v>
      </c>
      <c r="L88" s="16">
        <f>(IF(B78&gt;4,(I78/(B78+2)+L87),0))</f>
        <v>0</v>
      </c>
    </row>
    <row r="89" spans="1:12" ht="15" customHeight="1" x14ac:dyDescent="0.25">
      <c r="A89" s="68" t="s">
        <v>145</v>
      </c>
      <c r="B89" s="66" t="s">
        <v>145</v>
      </c>
      <c r="C89" s="39">
        <v>0</v>
      </c>
      <c r="D89" s="69">
        <f ca="1">((100/(I78))*C89)/100</f>
        <v>0</v>
      </c>
      <c r="E89" s="70"/>
      <c r="F89" s="71"/>
      <c r="G89" s="71"/>
      <c r="H89" s="76"/>
      <c r="I89" s="77"/>
      <c r="J89" s="78"/>
      <c r="K89" s="3" t="s">
        <v>99</v>
      </c>
      <c r="L89" s="16">
        <f ca="1">(IF(B78=1,(I78/(B78+3)+L84),IF(B78=0,(I78/4+L84),IF(B78&gt;1,0))))</f>
        <v>6</v>
      </c>
    </row>
    <row r="90" spans="1:12" ht="15.75" customHeight="1" thickBot="1" x14ac:dyDescent="0.3">
      <c r="A90" s="82" t="s">
        <v>146</v>
      </c>
      <c r="B90" s="83"/>
      <c r="C90" s="41">
        <v>0</v>
      </c>
      <c r="D90" s="84">
        <f ca="1">((100/(I78))*C90)/100</f>
        <v>0</v>
      </c>
      <c r="E90" s="85"/>
      <c r="F90" s="72"/>
      <c r="G90" s="72"/>
      <c r="H90" s="79"/>
      <c r="I90" s="80"/>
      <c r="J90" s="81"/>
      <c r="K90" s="4" t="s">
        <v>100</v>
      </c>
      <c r="L90" s="18">
        <f ca="1">(IF(B78&gt;1.5,(I78/(B78+2)+L84+MAX(0,L85-L84)+MAX(0,L86-L85)+MAX(0,L87-L86)+MAX(0,L88-L87)+MAX(0,L89-L88)),IF(B78=1,(I78/(B78+3)+L89),IF(B78=0,I78/4+L89))))</f>
        <v>8</v>
      </c>
    </row>
    <row r="91" spans="1:12" ht="15" customHeight="1" x14ac:dyDescent="0.25">
      <c r="A91" s="144" t="s">
        <v>123</v>
      </c>
      <c r="B91" s="145"/>
      <c r="C91" s="188" t="s">
        <v>232</v>
      </c>
      <c r="D91" s="189"/>
      <c r="E91" s="189"/>
      <c r="F91" s="189"/>
      <c r="G91" s="189"/>
      <c r="H91" s="189"/>
      <c r="I91" s="189"/>
      <c r="J91" s="190"/>
      <c r="K91" s="5" t="str">
        <f ca="1">(IF(F95&gt;99%,"All work completed. Please provide OC.",IF(F95&gt;89.8%,"Plinth, RCC, Brick, Plaster, Flooring, Painting work Completed. Finishing work is in process.",IF(F95&lt;94%,(IF(C95=0,"Work not yet Started.",IF(D95=25%,"Piling work in process",IF(D95=50%,"Excavation work in process",IF(D95=100%,"Excavation work Completed. ","0")))&amp;(IF(C96=0%,"",IF(C96=L97,"Footing work is process",IF(C96=L98,"Footing work Completed",IF(C96=L99,"1st Basement Completed",IF(C96=L100,"1st &amp; 2nd Basement Completed",IF(C96=L101,"1st to 3rd Basement Completed",IF(C96=L102,"1st to 4th Basement Completed",IF(C96=L103,"Plinth work is process",IF(C96=L104,"Plinth work completed","0")))))))))))&amp;(IF(C97=(D92+G92+I92),", RCC Slab",IF(C97&gt;0,", RCC upto "&amp;C97&amp;" Slab",""))&amp;(IF(C98=I92,", Brickwork",IF(C98&gt;0,", Brickwork upto "&amp;C98&amp;" Floor",""))&amp;(IF(C99=I92,", Internal Plaster",IF(C99&gt;0,", Internal Plaster upto "&amp;C99&amp;" Floor",""))&amp;(IF(C100=I92,", External Plaster",IF(C100&gt;0,", External Plaster upto "&amp;C100&amp;" Floor",""))&amp;(IF(C101=I92,", Flooring",IF(C101&gt;0,", Flooring upto "&amp;C101&amp;" Floor",""))&amp;(IF(C102=I92,", Painting",IF(C102&gt;0,", Painting upto "&amp;C102&amp;" Floor",""))&amp;(IF(C103&gt;0,", Finishing upto "&amp;C103&amp;" Floor","")&amp;(IF(C97&gt;0.5," Completed",""))))))))))))))</f>
        <v>Work not yet Started.</v>
      </c>
      <c r="L91" s="12"/>
    </row>
    <row r="92" spans="1:12" x14ac:dyDescent="0.25">
      <c r="A92" s="30" t="s">
        <v>92</v>
      </c>
      <c r="B92" s="6">
        <v>0</v>
      </c>
      <c r="C92" s="6" t="s">
        <v>94</v>
      </c>
      <c r="D92" s="6">
        <v>1</v>
      </c>
      <c r="E92" s="146" t="s">
        <v>93</v>
      </c>
      <c r="F92" s="147"/>
      <c r="G92" s="6">
        <v>0</v>
      </c>
      <c r="H92" s="7" t="s">
        <v>124</v>
      </c>
      <c r="I92" s="146">
        <f ca="1">--TRIM(RIGHT(SUBSTITUTE(LEFT(C91,_xlfn.AGGREGATE(16,6,FIND({0,1,2,3,4,5,6,7,8,9},C91,ROW(INDIRECT("1:"&amp;LEN(C91)))),1))," ",REPT(" ",LEN(C91))),LEN(C91)))</f>
        <v>8</v>
      </c>
      <c r="J92" s="148"/>
      <c r="K92" s="8"/>
      <c r="L92" s="13"/>
    </row>
    <row r="93" spans="1:12" x14ac:dyDescent="0.25">
      <c r="A93" s="149" t="s">
        <v>125</v>
      </c>
      <c r="B93" s="150"/>
      <c r="C93" s="151" t="str">
        <f ca="1">K91</f>
        <v>Work not yet Started.</v>
      </c>
      <c r="D93" s="152"/>
      <c r="E93" s="152"/>
      <c r="F93" s="152"/>
      <c r="G93" s="152"/>
      <c r="H93" s="152"/>
      <c r="I93" s="152"/>
      <c r="J93" s="153"/>
      <c r="K93" s="8" t="s">
        <v>126</v>
      </c>
      <c r="L93" s="13"/>
    </row>
    <row r="94" spans="1:12" ht="15" customHeight="1" x14ac:dyDescent="0.25">
      <c r="A94" s="154" t="s">
        <v>4</v>
      </c>
      <c r="B94" s="155"/>
      <c r="C94" s="44" t="s">
        <v>127</v>
      </c>
      <c r="D94" s="66" t="s">
        <v>128</v>
      </c>
      <c r="E94" s="66"/>
      <c r="F94" s="66" t="s">
        <v>129</v>
      </c>
      <c r="G94" s="66"/>
      <c r="H94" s="66" t="s">
        <v>130</v>
      </c>
      <c r="I94" s="66"/>
      <c r="J94" s="67"/>
      <c r="K94" s="3" t="s">
        <v>131</v>
      </c>
      <c r="L94" s="14">
        <f ca="1">I92*25%</f>
        <v>2</v>
      </c>
    </row>
    <row r="95" spans="1:12" ht="15" customHeight="1" x14ac:dyDescent="0.25">
      <c r="A95" s="68" t="s">
        <v>132</v>
      </c>
      <c r="B95" s="66"/>
      <c r="C95" s="39">
        <v>0</v>
      </c>
      <c r="D95" s="69">
        <f ca="1">((100/I92)*C95)/100</f>
        <v>0</v>
      </c>
      <c r="E95" s="70"/>
      <c r="F95" s="71">
        <f ca="1">(((C96/I92*20)+(30/(D92+G92+I92)*C97)+(10/(I92)*C98)+(5/(I92)*C99)+(5/I92*C100)+(10/I92*C101)+(5/I92*C102)+(5/I92*C103)+(10/I92*C104))/100)</f>
        <v>0</v>
      </c>
      <c r="G95" s="71"/>
      <c r="H95" s="73">
        <f ca="1">((((C95/I92)*10)+((C96/I92)*20)+(30/(I92+G92+D92)*C97)+(10/I92*C98)+(5/I92*C99)+(5/I92*C100)+(10/I92*C101)+(4/I92*C102)+(4/I92*C103)+(2/I92*C104))/100)</f>
        <v>0</v>
      </c>
      <c r="I95" s="74"/>
      <c r="J95" s="75"/>
      <c r="K95" s="3" t="s">
        <v>95</v>
      </c>
      <c r="L95" s="15">
        <f ca="1">I92*50%</f>
        <v>4</v>
      </c>
    </row>
    <row r="96" spans="1:12" x14ac:dyDescent="0.25">
      <c r="A96" s="68" t="s">
        <v>5</v>
      </c>
      <c r="B96" s="66"/>
      <c r="C96" s="40">
        <v>0</v>
      </c>
      <c r="D96" s="69">
        <f ca="1">((100/I92)*C96)/100</f>
        <v>0</v>
      </c>
      <c r="E96" s="70"/>
      <c r="F96" s="71"/>
      <c r="G96" s="71"/>
      <c r="H96" s="76"/>
      <c r="I96" s="77"/>
      <c r="J96" s="78"/>
      <c r="K96" s="3" t="s">
        <v>96</v>
      </c>
      <c r="L96" s="15">
        <f ca="1">I92</f>
        <v>8</v>
      </c>
    </row>
    <row r="97" spans="1:12" ht="15" customHeight="1" x14ac:dyDescent="0.25">
      <c r="A97" s="68" t="s">
        <v>133</v>
      </c>
      <c r="B97" s="66"/>
      <c r="C97" s="40">
        <v>0</v>
      </c>
      <c r="D97" s="69">
        <f ca="1">((100/(D92+G92+I92))*C97)/100</f>
        <v>0</v>
      </c>
      <c r="E97" s="70"/>
      <c r="F97" s="71"/>
      <c r="G97" s="71"/>
      <c r="H97" s="76"/>
      <c r="I97" s="77"/>
      <c r="J97" s="78"/>
      <c r="K97" s="3" t="s">
        <v>97</v>
      </c>
      <c r="L97" s="16">
        <f ca="1">(IF(B92&gt;1,(I92/(B92+2)),I92/4))</f>
        <v>2</v>
      </c>
    </row>
    <row r="98" spans="1:12" ht="15" customHeight="1" x14ac:dyDescent="0.25">
      <c r="A98" s="68" t="s">
        <v>134</v>
      </c>
      <c r="B98" s="66" t="s">
        <v>135</v>
      </c>
      <c r="C98" s="39">
        <v>0</v>
      </c>
      <c r="D98" s="69">
        <f ca="1">((100/I92)*C98)/100</f>
        <v>0</v>
      </c>
      <c r="E98" s="70"/>
      <c r="F98" s="71"/>
      <c r="G98" s="71"/>
      <c r="H98" s="76"/>
      <c r="I98" s="77"/>
      <c r="J98" s="78"/>
      <c r="K98" s="3" t="s">
        <v>98</v>
      </c>
      <c r="L98" s="16">
        <f ca="1">(IF(B92&gt;1,(I92/(B92+2)+L97),I92/4+L97))</f>
        <v>4</v>
      </c>
    </row>
    <row r="99" spans="1:12" ht="15" customHeight="1" x14ac:dyDescent="0.25">
      <c r="A99" s="68" t="s">
        <v>136</v>
      </c>
      <c r="B99" s="66" t="s">
        <v>135</v>
      </c>
      <c r="C99" s="39">
        <v>0</v>
      </c>
      <c r="D99" s="69">
        <f ca="1">((100/I92)*C99)/100</f>
        <v>0</v>
      </c>
      <c r="E99" s="70"/>
      <c r="F99" s="71"/>
      <c r="G99" s="71"/>
      <c r="H99" s="76"/>
      <c r="I99" s="77"/>
      <c r="J99" s="78"/>
      <c r="K99" s="3" t="s">
        <v>137</v>
      </c>
      <c r="L99" s="16">
        <f>(IF(B92&gt;1,(I92/(B92+2)+L98),0))</f>
        <v>0</v>
      </c>
    </row>
    <row r="100" spans="1:12" ht="15" customHeight="1" x14ac:dyDescent="0.25">
      <c r="A100" s="68" t="s">
        <v>138</v>
      </c>
      <c r="B100" s="66" t="s">
        <v>139</v>
      </c>
      <c r="C100" s="39">
        <v>0</v>
      </c>
      <c r="D100" s="69">
        <f ca="1">((100/(I92))*C100)/100</f>
        <v>0</v>
      </c>
      <c r="E100" s="70"/>
      <c r="F100" s="71"/>
      <c r="G100" s="71"/>
      <c r="H100" s="76"/>
      <c r="I100" s="77"/>
      <c r="J100" s="78"/>
      <c r="K100" s="3" t="s">
        <v>140</v>
      </c>
      <c r="L100" s="16">
        <f>(IF(B92&gt;2,(I92/(B92+2)+L99),0))</f>
        <v>0</v>
      </c>
    </row>
    <row r="101" spans="1:12" ht="15" customHeight="1" x14ac:dyDescent="0.25">
      <c r="A101" s="68" t="s">
        <v>141</v>
      </c>
      <c r="B101" s="66" t="s">
        <v>141</v>
      </c>
      <c r="C101" s="39">
        <v>0</v>
      </c>
      <c r="D101" s="69">
        <f ca="1">((100/I92)*C101)/100</f>
        <v>0</v>
      </c>
      <c r="E101" s="70"/>
      <c r="F101" s="71"/>
      <c r="G101" s="71"/>
      <c r="H101" s="76"/>
      <c r="I101" s="77"/>
      <c r="J101" s="78"/>
      <c r="K101" s="3" t="s">
        <v>142</v>
      </c>
      <c r="L101" s="17">
        <f>(IF(B92&gt;3,(I92/(B92+2)+L100),0))</f>
        <v>0</v>
      </c>
    </row>
    <row r="102" spans="1:12" ht="15" customHeight="1" x14ac:dyDescent="0.25">
      <c r="A102" s="68" t="s">
        <v>143</v>
      </c>
      <c r="B102" s="66"/>
      <c r="C102" s="39">
        <v>0</v>
      </c>
      <c r="D102" s="69">
        <f ca="1">((100/I92)*C102)/100</f>
        <v>0</v>
      </c>
      <c r="E102" s="70"/>
      <c r="F102" s="71"/>
      <c r="G102" s="71"/>
      <c r="H102" s="76"/>
      <c r="I102" s="77"/>
      <c r="J102" s="78"/>
      <c r="K102" s="3" t="s">
        <v>144</v>
      </c>
      <c r="L102" s="16">
        <f>(IF(B92&gt;4,(I92/(B92+2)+L101),0))</f>
        <v>0</v>
      </c>
    </row>
    <row r="103" spans="1:12" ht="15" customHeight="1" x14ac:dyDescent="0.25">
      <c r="A103" s="68" t="s">
        <v>145</v>
      </c>
      <c r="B103" s="66" t="s">
        <v>145</v>
      </c>
      <c r="C103" s="39">
        <v>0</v>
      </c>
      <c r="D103" s="69">
        <f ca="1">((100/(I92))*C103)/100</f>
        <v>0</v>
      </c>
      <c r="E103" s="70"/>
      <c r="F103" s="71"/>
      <c r="G103" s="71"/>
      <c r="H103" s="76"/>
      <c r="I103" s="77"/>
      <c r="J103" s="78"/>
      <c r="K103" s="3" t="s">
        <v>99</v>
      </c>
      <c r="L103" s="16">
        <f ca="1">(IF(B92=1,(I92/(B92+3)+L98),IF(B92=0,(I92/4+L98),IF(B92&gt;1,0))))</f>
        <v>6</v>
      </c>
    </row>
    <row r="104" spans="1:12" ht="15.75" customHeight="1" thickBot="1" x14ac:dyDescent="0.3">
      <c r="A104" s="82" t="s">
        <v>146</v>
      </c>
      <c r="B104" s="83"/>
      <c r="C104" s="41">
        <v>0</v>
      </c>
      <c r="D104" s="84">
        <f ca="1">((100/(I92))*C104)/100</f>
        <v>0</v>
      </c>
      <c r="E104" s="85"/>
      <c r="F104" s="72"/>
      <c r="G104" s="72"/>
      <c r="H104" s="79"/>
      <c r="I104" s="80"/>
      <c r="J104" s="81"/>
      <c r="K104" s="4" t="s">
        <v>100</v>
      </c>
      <c r="L104" s="18">
        <f ca="1">(IF(B92&gt;1.5,(I92/(B92+2)+L98+MAX(0,L99-L98)+MAX(0,L100-L99)+MAX(0,L101-L100)+MAX(0,L102-L101)+MAX(0,L103-L102)),IF(B92=1,(I92/(B92+3)+L103),IF(B92=0,I92/4+L103))))</f>
        <v>8</v>
      </c>
    </row>
    <row r="105" spans="1:12" ht="30.75" customHeight="1" x14ac:dyDescent="0.25">
      <c r="A105" s="28">
        <v>41</v>
      </c>
      <c r="B105" s="101" t="s">
        <v>65</v>
      </c>
      <c r="C105" s="101"/>
      <c r="D105" s="101"/>
      <c r="E105" s="101"/>
      <c r="F105" s="97" t="s">
        <v>210</v>
      </c>
      <c r="G105" s="97"/>
      <c r="H105" s="97"/>
      <c r="I105" s="97"/>
      <c r="J105" s="97"/>
    </row>
    <row r="106" spans="1:12" ht="31.5" customHeight="1" x14ac:dyDescent="0.25">
      <c r="A106" s="28">
        <v>42</v>
      </c>
      <c r="B106" s="101" t="s">
        <v>76</v>
      </c>
      <c r="C106" s="101"/>
      <c r="D106" s="101"/>
      <c r="E106" s="101"/>
      <c r="F106" s="98" t="s">
        <v>11</v>
      </c>
      <c r="G106" s="98"/>
      <c r="H106" s="98"/>
      <c r="I106" s="98"/>
      <c r="J106" s="98"/>
    </row>
    <row r="107" spans="1:12" ht="47.1" customHeight="1" x14ac:dyDescent="0.25">
      <c r="A107" s="86">
        <v>43</v>
      </c>
      <c r="B107" s="115" t="s">
        <v>66</v>
      </c>
      <c r="C107" s="116"/>
      <c r="D107" s="116"/>
      <c r="E107" s="117"/>
      <c r="F107" s="97" t="s">
        <v>184</v>
      </c>
      <c r="G107" s="97"/>
      <c r="H107" s="97"/>
      <c r="I107" s="97"/>
      <c r="J107" s="97"/>
    </row>
    <row r="108" spans="1:12" ht="44.45" customHeight="1" x14ac:dyDescent="0.25">
      <c r="A108" s="126"/>
      <c r="B108" s="141"/>
      <c r="C108" s="142"/>
      <c r="D108" s="142"/>
      <c r="E108" s="143"/>
      <c r="F108" s="97" t="s">
        <v>185</v>
      </c>
      <c r="G108" s="97"/>
      <c r="H108" s="97"/>
      <c r="I108" s="97"/>
      <c r="J108" s="97"/>
    </row>
    <row r="109" spans="1:12" ht="49.5" customHeight="1" x14ac:dyDescent="0.25">
      <c r="A109" s="126"/>
      <c r="B109" s="141"/>
      <c r="C109" s="142"/>
      <c r="D109" s="142"/>
      <c r="E109" s="143"/>
      <c r="F109" s="97" t="s">
        <v>186</v>
      </c>
      <c r="G109" s="97"/>
      <c r="H109" s="97"/>
      <c r="I109" s="97"/>
      <c r="J109" s="97"/>
    </row>
    <row r="110" spans="1:12" ht="36.75" customHeight="1" x14ac:dyDescent="0.25">
      <c r="A110" s="87"/>
      <c r="B110" s="118"/>
      <c r="C110" s="119"/>
      <c r="D110" s="119"/>
      <c r="E110" s="120"/>
      <c r="F110" s="97" t="s">
        <v>187</v>
      </c>
      <c r="G110" s="97"/>
      <c r="H110" s="97"/>
      <c r="I110" s="97"/>
      <c r="J110" s="97"/>
    </row>
    <row r="111" spans="1:12" ht="91.5" customHeight="1" x14ac:dyDescent="0.25">
      <c r="A111" s="43">
        <v>44</v>
      </c>
      <c r="B111" s="101" t="s">
        <v>67</v>
      </c>
      <c r="C111" s="101"/>
      <c r="D111" s="101"/>
      <c r="E111" s="101"/>
      <c r="F111" s="97" t="s">
        <v>206</v>
      </c>
      <c r="G111" s="97"/>
      <c r="H111" s="97"/>
      <c r="I111" s="97"/>
      <c r="J111" s="97"/>
    </row>
    <row r="112" spans="1:12" ht="30" customHeight="1" x14ac:dyDescent="0.25">
      <c r="A112" s="28">
        <v>45</v>
      </c>
      <c r="B112" s="101" t="s">
        <v>68</v>
      </c>
      <c r="C112" s="101"/>
      <c r="D112" s="101"/>
      <c r="E112" s="101"/>
      <c r="F112" s="98" t="s">
        <v>10</v>
      </c>
      <c r="G112" s="98"/>
      <c r="H112" s="98"/>
      <c r="I112" s="98"/>
      <c r="J112" s="98"/>
    </row>
    <row r="113" spans="1:10" ht="66.75" customHeight="1" x14ac:dyDescent="0.25">
      <c r="A113" s="86">
        <v>46</v>
      </c>
      <c r="B113" s="115" t="s">
        <v>69</v>
      </c>
      <c r="C113" s="116"/>
      <c r="D113" s="116"/>
      <c r="E113" s="117"/>
      <c r="F113" s="114" t="s">
        <v>152</v>
      </c>
      <c r="G113" s="114"/>
      <c r="H113" s="97" t="s">
        <v>211</v>
      </c>
      <c r="I113" s="97"/>
      <c r="J113" s="97"/>
    </row>
    <row r="114" spans="1:10" ht="66.75" customHeight="1" x14ac:dyDescent="0.25">
      <c r="A114" s="87"/>
      <c r="B114" s="118"/>
      <c r="C114" s="119"/>
      <c r="D114" s="119"/>
      <c r="E114" s="120"/>
      <c r="F114" s="114" t="s">
        <v>153</v>
      </c>
      <c r="G114" s="114"/>
      <c r="H114" s="97" t="s">
        <v>211</v>
      </c>
      <c r="I114" s="97"/>
      <c r="J114" s="97"/>
    </row>
    <row r="115" spans="1:10" x14ac:dyDescent="0.25">
      <c r="A115" s="140" t="s">
        <v>83</v>
      </c>
      <c r="B115" s="140"/>
      <c r="C115" s="140"/>
      <c r="D115" s="140"/>
      <c r="E115" s="140"/>
      <c r="F115" s="140"/>
      <c r="G115" s="140"/>
      <c r="H115" s="140"/>
      <c r="I115" s="140"/>
      <c r="J115" s="140"/>
    </row>
    <row r="116" spans="1:10" x14ac:dyDescent="0.25">
      <c r="A116" s="171" t="s">
        <v>101</v>
      </c>
      <c r="B116" s="171"/>
      <c r="C116" s="172" t="s">
        <v>233</v>
      </c>
      <c r="D116" s="172"/>
      <c r="E116" s="172"/>
      <c r="F116" s="172"/>
      <c r="G116" s="173" t="s">
        <v>84</v>
      </c>
      <c r="H116" s="174">
        <v>45807</v>
      </c>
      <c r="I116" s="174"/>
      <c r="J116" s="174"/>
    </row>
    <row r="117" spans="1:10" ht="33" customHeight="1" x14ac:dyDescent="0.25">
      <c r="A117" s="175" t="s">
        <v>212</v>
      </c>
      <c r="B117" s="175"/>
      <c r="C117" s="176" t="s">
        <v>188</v>
      </c>
      <c r="D117" s="176"/>
      <c r="E117" s="176"/>
      <c r="F117" s="176"/>
      <c r="G117" s="177" t="s">
        <v>84</v>
      </c>
      <c r="H117" s="178">
        <v>44742</v>
      </c>
      <c r="I117" s="178"/>
      <c r="J117" s="178"/>
    </row>
    <row r="118" spans="1:10" ht="50.25" customHeight="1" x14ac:dyDescent="0.25">
      <c r="A118" s="175" t="s">
        <v>157</v>
      </c>
      <c r="B118" s="175"/>
      <c r="C118" s="176" t="s">
        <v>224</v>
      </c>
      <c r="D118" s="176"/>
      <c r="E118" s="176"/>
      <c r="F118" s="176"/>
      <c r="G118" s="192" t="s">
        <v>227</v>
      </c>
      <c r="H118" s="178" t="s">
        <v>226</v>
      </c>
      <c r="I118" s="178"/>
      <c r="J118" s="178"/>
    </row>
    <row r="119" spans="1:10" ht="30" customHeight="1" x14ac:dyDescent="0.25">
      <c r="A119" s="171" t="s">
        <v>234</v>
      </c>
      <c r="B119" s="171"/>
      <c r="C119" s="172" t="s">
        <v>233</v>
      </c>
      <c r="D119" s="172"/>
      <c r="E119" s="172"/>
      <c r="F119" s="172"/>
      <c r="G119" s="173" t="s">
        <v>84</v>
      </c>
      <c r="H119" s="174">
        <v>45807</v>
      </c>
      <c r="I119" s="174"/>
      <c r="J119" s="174"/>
    </row>
    <row r="120" spans="1:10" ht="47.25" customHeight="1" x14ac:dyDescent="0.25">
      <c r="A120" s="171" t="s">
        <v>235</v>
      </c>
      <c r="B120" s="171"/>
      <c r="C120" s="172" t="s">
        <v>228</v>
      </c>
      <c r="D120" s="172"/>
      <c r="E120" s="172"/>
      <c r="F120" s="172"/>
      <c r="G120" s="193" t="s">
        <v>225</v>
      </c>
      <c r="H120" s="174" t="s">
        <v>229</v>
      </c>
      <c r="I120" s="174"/>
      <c r="J120" s="174"/>
    </row>
    <row r="121" spans="1:10" ht="48" customHeight="1" x14ac:dyDescent="0.25">
      <c r="A121" s="179" t="s">
        <v>213</v>
      </c>
      <c r="B121" s="179"/>
      <c r="C121" s="180" t="s">
        <v>214</v>
      </c>
      <c r="D121" s="181"/>
      <c r="E121" s="181"/>
      <c r="F121" s="181" t="s">
        <v>85</v>
      </c>
      <c r="G121" s="197" t="s">
        <v>84</v>
      </c>
      <c r="H121" s="198">
        <v>45807</v>
      </c>
      <c r="I121" s="199" t="s">
        <v>11</v>
      </c>
      <c r="J121" s="199"/>
    </row>
    <row r="122" spans="1:10" ht="15.75" customHeight="1" x14ac:dyDescent="0.25">
      <c r="A122" s="166" t="s">
        <v>90</v>
      </c>
      <c r="B122" s="166"/>
      <c r="C122" s="166"/>
      <c r="D122" s="166"/>
      <c r="E122" s="166"/>
      <c r="F122" s="166"/>
      <c r="G122" s="166"/>
      <c r="H122" s="166"/>
      <c r="I122" s="166"/>
      <c r="J122" s="166"/>
    </row>
    <row r="123" spans="1:10" ht="15.75" customHeight="1" x14ac:dyDescent="0.25">
      <c r="A123" s="130" t="s">
        <v>77</v>
      </c>
      <c r="B123" s="130"/>
      <c r="C123" s="137" t="s">
        <v>78</v>
      </c>
      <c r="D123" s="137"/>
      <c r="E123" s="127" t="s">
        <v>79</v>
      </c>
      <c r="F123" s="127"/>
      <c r="G123" s="127"/>
      <c r="H123" s="127" t="s">
        <v>80</v>
      </c>
      <c r="I123" s="127"/>
      <c r="J123" s="127"/>
    </row>
    <row r="124" spans="1:10" s="19" customFormat="1" ht="26.25" customHeight="1" x14ac:dyDescent="0.25">
      <c r="A124" s="128" t="s">
        <v>191</v>
      </c>
      <c r="B124" s="128"/>
      <c r="C124" s="135">
        <f>COUNT(F136:F141)*7+COUNT(F143:F147)</f>
        <v>47</v>
      </c>
      <c r="D124" s="136"/>
      <c r="E124" s="134">
        <f>SUM(F136:F141)*7+SUM(F143:F147)</f>
        <v>16860.352859999995</v>
      </c>
      <c r="F124" s="134"/>
      <c r="G124" s="134"/>
      <c r="H124" s="134">
        <f>SUM(H136:H141)*7+SUM(H143:H147)</f>
        <v>24447.511646999999</v>
      </c>
      <c r="I124" s="134"/>
      <c r="J124" s="134"/>
    </row>
    <row r="125" spans="1:10" s="19" customFormat="1" ht="26.25" customHeight="1" x14ac:dyDescent="0.25">
      <c r="A125" s="52" t="s">
        <v>196</v>
      </c>
      <c r="B125" s="52"/>
      <c r="C125" s="53">
        <f>COUNT(F152:F157)*7+COUNT(F159:F160,F162:F164)</f>
        <v>47</v>
      </c>
      <c r="D125" s="54"/>
      <c r="E125" s="55">
        <f>SUM(F152:F157)*7+SUM(F159:F160,F162:F164)</f>
        <v>20821.693229999997</v>
      </c>
      <c r="F125" s="55"/>
      <c r="G125" s="55"/>
      <c r="H125" s="55">
        <f>SUM(H152:H157)*7+SUM(H159:H160,H162:H164)</f>
        <v>30191.455183499995</v>
      </c>
      <c r="I125" s="55"/>
      <c r="J125" s="55"/>
    </row>
    <row r="126" spans="1:10" s="19" customFormat="1" ht="26.25" customHeight="1" x14ac:dyDescent="0.25">
      <c r="A126" s="128" t="s">
        <v>215</v>
      </c>
      <c r="B126" s="128"/>
      <c r="C126" s="135">
        <f>COUNT(F168:F175)*7+COUNT(F177:F180,F182:F184)</f>
        <v>63</v>
      </c>
      <c r="D126" s="136"/>
      <c r="E126" s="134">
        <f>SUM(F168:F175)*7+SUM(F177:F180,F182:F184)</f>
        <v>24168.140100000004</v>
      </c>
      <c r="F126" s="134"/>
      <c r="G126" s="134"/>
      <c r="H126" s="134">
        <f>SUM(H168:H175)*7+SUM(H177:H180,H182:H184)</f>
        <v>35043.803145000005</v>
      </c>
      <c r="I126" s="134"/>
      <c r="J126" s="134"/>
    </row>
    <row r="127" spans="1:10" s="19" customFormat="1" ht="26.25" customHeight="1" thickBot="1" x14ac:dyDescent="0.3">
      <c r="A127" s="52" t="s">
        <v>218</v>
      </c>
      <c r="B127" s="52"/>
      <c r="C127" s="53">
        <f>COUNT(F188:F197)*7+COUNT(F199:F201,F203:F208)</f>
        <v>79</v>
      </c>
      <c r="D127" s="54"/>
      <c r="E127" s="55">
        <f>SUM(F188:F197)*7+SUM(F199:F201,F203:F208)</f>
        <v>31617.258659999996</v>
      </c>
      <c r="F127" s="55"/>
      <c r="G127" s="55"/>
      <c r="H127" s="55">
        <f>SUM(H188:H197)*7+SUM(H199:H201,H203:H208)</f>
        <v>45845.025056999999</v>
      </c>
      <c r="I127" s="55"/>
      <c r="J127" s="55"/>
    </row>
    <row r="128" spans="1:10" s="19" customFormat="1" ht="24.75" customHeight="1" thickBot="1" x14ac:dyDescent="0.3">
      <c r="A128" s="56" t="s">
        <v>198</v>
      </c>
      <c r="B128" s="57"/>
      <c r="C128" s="58">
        <f>SUM(C124:C127)</f>
        <v>236</v>
      </c>
      <c r="D128" s="59"/>
      <c r="E128" s="60">
        <f>SUM(E124:E127)</f>
        <v>93467.444849999985</v>
      </c>
      <c r="F128" s="61"/>
      <c r="G128" s="62"/>
      <c r="H128" s="60">
        <f>SUM(H124:H127)</f>
        <v>135527.7950325</v>
      </c>
      <c r="I128" s="61"/>
      <c r="J128" s="63"/>
    </row>
    <row r="129" spans="1:11" x14ac:dyDescent="0.25">
      <c r="A129" s="131" t="s">
        <v>15</v>
      </c>
      <c r="B129" s="131"/>
      <c r="C129" s="131"/>
      <c r="D129" s="131"/>
      <c r="E129" s="131"/>
      <c r="F129" s="131"/>
      <c r="G129" s="131"/>
      <c r="H129" s="131"/>
      <c r="I129" s="131"/>
      <c r="J129" s="131"/>
    </row>
    <row r="130" spans="1:11" x14ac:dyDescent="0.25">
      <c r="A130" s="132" t="s">
        <v>9</v>
      </c>
      <c r="B130" s="132"/>
      <c r="C130" s="132"/>
      <c r="D130" s="132"/>
      <c r="E130" s="132"/>
      <c r="F130" s="132"/>
      <c r="G130" s="132"/>
      <c r="H130" s="133"/>
      <c r="I130" s="132"/>
      <c r="J130" s="132"/>
    </row>
    <row r="131" spans="1:11" ht="45.75" customHeight="1" x14ac:dyDescent="0.25">
      <c r="A131" s="113" t="s">
        <v>117</v>
      </c>
      <c r="B131" s="64" t="s">
        <v>2</v>
      </c>
      <c r="C131" s="65" t="s">
        <v>102</v>
      </c>
      <c r="D131" s="65" t="s">
        <v>103</v>
      </c>
      <c r="E131" s="65" t="s">
        <v>202</v>
      </c>
      <c r="F131" s="65" t="s">
        <v>81</v>
      </c>
      <c r="G131" s="129" t="s">
        <v>82</v>
      </c>
      <c r="H131" s="1" t="s">
        <v>118</v>
      </c>
      <c r="I131" s="106" t="s">
        <v>16</v>
      </c>
      <c r="J131" s="65"/>
    </row>
    <row r="132" spans="1:11" ht="15.75" customHeight="1" x14ac:dyDescent="0.25">
      <c r="A132" s="113"/>
      <c r="B132" s="64"/>
      <c r="C132" s="65"/>
      <c r="D132" s="65"/>
      <c r="E132" s="65"/>
      <c r="F132" s="65"/>
      <c r="G132" s="129"/>
      <c r="H132" s="9">
        <v>0.45</v>
      </c>
      <c r="I132" s="106"/>
      <c r="J132" s="65"/>
    </row>
    <row r="133" spans="1:11" x14ac:dyDescent="0.25">
      <c r="A133" s="46" t="s">
        <v>191</v>
      </c>
      <c r="B133" s="46"/>
      <c r="C133" s="46"/>
      <c r="D133" s="46"/>
      <c r="E133" s="46"/>
      <c r="F133" s="46"/>
      <c r="G133" s="46"/>
      <c r="H133" s="47"/>
      <c r="I133" s="46"/>
      <c r="J133" s="46"/>
    </row>
    <row r="134" spans="1:11" x14ac:dyDescent="0.25">
      <c r="A134" s="46" t="s">
        <v>192</v>
      </c>
      <c r="B134" s="46"/>
      <c r="C134" s="46"/>
      <c r="D134" s="46"/>
      <c r="E134" s="46"/>
      <c r="F134" s="46"/>
      <c r="G134" s="46"/>
      <c r="H134" s="47"/>
      <c r="I134" s="46"/>
      <c r="J134" s="46"/>
    </row>
    <row r="135" spans="1:11" x14ac:dyDescent="0.25">
      <c r="A135" s="46" t="s">
        <v>193</v>
      </c>
      <c r="B135" s="46"/>
      <c r="C135" s="46"/>
      <c r="D135" s="46"/>
      <c r="E135" s="46"/>
      <c r="F135" s="46"/>
      <c r="G135" s="46"/>
      <c r="H135" s="47"/>
      <c r="I135" s="46"/>
      <c r="J135" s="46"/>
    </row>
    <row r="136" spans="1:11" x14ac:dyDescent="0.25">
      <c r="A136" s="26">
        <v>1</v>
      </c>
      <c r="B136" s="2" t="s">
        <v>189</v>
      </c>
      <c r="C136" s="2">
        <f>(29.37)*10.764</f>
        <v>316.13867999999997</v>
      </c>
      <c r="D136" s="2">
        <f t="shared" ref="D136:D141" si="0">(2.7)*10.764</f>
        <v>29.062799999999999</v>
      </c>
      <c r="E136" s="2">
        <f>(0.75*(2.1+2.75))*10.764</f>
        <v>39.154049999999998</v>
      </c>
      <c r="F136" s="2">
        <f t="shared" ref="F136:F141" si="1">C136+D136+E136</f>
        <v>384.35552999999993</v>
      </c>
      <c r="G136" s="2">
        <v>0</v>
      </c>
      <c r="H136" s="2">
        <f t="shared" ref="H136:H141" si="2">F136*(($H$132)+1)+(IF(G136&lt;101,G136,IF(G136&lt;201,G136/2,IF(G136&lt;=301,G136/3,G136/4))))</f>
        <v>557.31551849999983</v>
      </c>
      <c r="I136" s="48" t="str">
        <f>A135</f>
        <v>1st to 7th Floor For Residential</v>
      </c>
      <c r="J136" s="48"/>
    </row>
    <row r="137" spans="1:11" x14ac:dyDescent="0.25">
      <c r="A137" s="26">
        <f>A136+1</f>
        <v>2</v>
      </c>
      <c r="B137" s="2" t="s">
        <v>189</v>
      </c>
      <c r="C137" s="2">
        <f>(28.75)*10.764</f>
        <v>309.46499999999997</v>
      </c>
      <c r="D137" s="2">
        <f t="shared" si="0"/>
        <v>29.062799999999999</v>
      </c>
      <c r="E137" s="2">
        <f>(0.75*(2.5+2.5))*10.764</f>
        <v>40.364999999999995</v>
      </c>
      <c r="F137" s="2">
        <f t="shared" si="1"/>
        <v>378.89279999999997</v>
      </c>
      <c r="G137" s="2">
        <v>0</v>
      </c>
      <c r="H137" s="2">
        <f t="shared" si="2"/>
        <v>549.39455999999996</v>
      </c>
      <c r="I137" s="48"/>
      <c r="J137" s="48"/>
    </row>
    <row r="138" spans="1:11" x14ac:dyDescent="0.25">
      <c r="A138" s="26">
        <f t="shared" ref="A138:A141" si="3">A137+1</f>
        <v>3</v>
      </c>
      <c r="B138" s="2" t="s">
        <v>190</v>
      </c>
      <c r="C138" s="2">
        <f>(22.1)*10.764</f>
        <v>237.8844</v>
      </c>
      <c r="D138" s="2">
        <f t="shared" si="0"/>
        <v>29.062799999999999</v>
      </c>
      <c r="E138" s="2">
        <f>(0.75*2.5)*10.764</f>
        <v>20.182499999999997</v>
      </c>
      <c r="F138" s="2">
        <f t="shared" si="1"/>
        <v>287.12970000000001</v>
      </c>
      <c r="G138" s="2">
        <v>0</v>
      </c>
      <c r="H138" s="2">
        <f t="shared" si="2"/>
        <v>416.33806500000003</v>
      </c>
      <c r="I138" s="48"/>
      <c r="J138" s="48"/>
    </row>
    <row r="139" spans="1:11" x14ac:dyDescent="0.25">
      <c r="A139" s="26">
        <f t="shared" si="3"/>
        <v>4</v>
      </c>
      <c r="B139" s="2" t="s">
        <v>189</v>
      </c>
      <c r="C139" s="2">
        <f>(29.37)*10.764</f>
        <v>316.13867999999997</v>
      </c>
      <c r="D139" s="2">
        <f t="shared" si="0"/>
        <v>29.062799999999999</v>
      </c>
      <c r="E139" s="2">
        <f>(0.75*(2.1+2.75))*10.764</f>
        <v>39.154049999999998</v>
      </c>
      <c r="F139" s="2">
        <f t="shared" si="1"/>
        <v>384.35552999999993</v>
      </c>
      <c r="G139" s="2">
        <v>0</v>
      </c>
      <c r="H139" s="2">
        <f t="shared" si="2"/>
        <v>557.31551849999983</v>
      </c>
      <c r="I139" s="48"/>
      <c r="J139" s="48"/>
    </row>
    <row r="140" spans="1:11" x14ac:dyDescent="0.25">
      <c r="A140" s="26">
        <f t="shared" si="3"/>
        <v>5</v>
      </c>
      <c r="B140" s="2" t="s">
        <v>189</v>
      </c>
      <c r="C140" s="2">
        <f>(31.53)*10.764</f>
        <v>339.38891999999998</v>
      </c>
      <c r="D140" s="2">
        <f t="shared" si="0"/>
        <v>29.062799999999999</v>
      </c>
      <c r="E140" s="2">
        <f>(0.75*(2.5+2.75))*10.764</f>
        <v>42.383249999999997</v>
      </c>
      <c r="F140" s="2">
        <f t="shared" si="1"/>
        <v>410.83496999999994</v>
      </c>
      <c r="G140" s="2">
        <v>0</v>
      </c>
      <c r="H140" s="2">
        <f t="shared" si="2"/>
        <v>595.7107064999999</v>
      </c>
      <c r="I140" s="48"/>
      <c r="J140" s="48"/>
    </row>
    <row r="141" spans="1:11" x14ac:dyDescent="0.25">
      <c r="A141" s="26">
        <f t="shared" si="3"/>
        <v>6</v>
      </c>
      <c r="B141" s="2" t="s">
        <v>190</v>
      </c>
      <c r="C141" s="2">
        <f>(23.24)*10.764</f>
        <v>250.15535999999997</v>
      </c>
      <c r="D141" s="2">
        <f t="shared" si="0"/>
        <v>29.062799999999999</v>
      </c>
      <c r="E141" s="2">
        <f>(0.75*(2.5))*10.764</f>
        <v>20.182499999999997</v>
      </c>
      <c r="F141" s="2">
        <f t="shared" si="1"/>
        <v>299.40065999999996</v>
      </c>
      <c r="G141" s="2">
        <v>0</v>
      </c>
      <c r="H141" s="2">
        <f t="shared" si="2"/>
        <v>434.13095699999991</v>
      </c>
      <c r="I141" s="48"/>
      <c r="J141" s="48"/>
    </row>
    <row r="142" spans="1:11" x14ac:dyDescent="0.25">
      <c r="A142" s="46" t="s">
        <v>194</v>
      </c>
      <c r="B142" s="46"/>
      <c r="C142" s="46"/>
      <c r="D142" s="46"/>
      <c r="E142" s="46"/>
      <c r="F142" s="46"/>
      <c r="G142" s="46"/>
      <c r="H142" s="47"/>
      <c r="I142" s="46"/>
      <c r="J142" s="46"/>
    </row>
    <row r="143" spans="1:11" x14ac:dyDescent="0.25">
      <c r="A143" s="38">
        <v>1</v>
      </c>
      <c r="B143" s="2" t="s">
        <v>189</v>
      </c>
      <c r="C143" s="2">
        <f>(29.37)*10.764</f>
        <v>316.13867999999997</v>
      </c>
      <c r="D143" s="2">
        <f>(2.7)*10.764</f>
        <v>29.062799999999999</v>
      </c>
      <c r="E143" s="2">
        <f>(0.75*(2.1+2.75))*10.764</f>
        <v>39.154049999999998</v>
      </c>
      <c r="F143" s="2">
        <f t="shared" ref="F143:F147" si="4">C143+D143+E143</f>
        <v>384.35552999999993</v>
      </c>
      <c r="G143" s="2">
        <v>0</v>
      </c>
      <c r="H143" s="2">
        <f>F143*(($H$132)+1)+(IF(G143&lt;101,G143,IF(G143&lt;201,G143/2,IF(G143&lt;=301,G143/3,G143/4))))</f>
        <v>557.31551849999983</v>
      </c>
      <c r="I143" s="48" t="str">
        <f>A142</f>
        <v>8th Floor (Part Refuge Area)</v>
      </c>
      <c r="J143" s="48"/>
    </row>
    <row r="144" spans="1:11" x14ac:dyDescent="0.25">
      <c r="A144" s="38">
        <f>A143+1</f>
        <v>2</v>
      </c>
      <c r="B144" s="2" t="s">
        <v>189</v>
      </c>
      <c r="C144" s="2">
        <f>(28.75)*10.764</f>
        <v>309.46499999999997</v>
      </c>
      <c r="D144" s="2">
        <f>(2.7)*10.764</f>
        <v>29.062799999999999</v>
      </c>
      <c r="E144" s="2">
        <f>(0.75*(2.5+2.5))*10.764</f>
        <v>40.364999999999995</v>
      </c>
      <c r="F144" s="2">
        <f t="shared" si="4"/>
        <v>378.89279999999997</v>
      </c>
      <c r="G144" s="2">
        <v>0</v>
      </c>
      <c r="H144" s="2">
        <f>F144*(($H$132)+1)+(IF(G144&lt;101,G144,IF(G144&lt;201,G144/2,IF(G144&lt;=301,G144/3,G144/4))))</f>
        <v>549.39455999999996</v>
      </c>
      <c r="I144" s="48"/>
      <c r="J144" s="48"/>
      <c r="K144" s="11">
        <f>2090000/H144</f>
        <v>3804.1876497648614</v>
      </c>
    </row>
    <row r="145" spans="1:10" x14ac:dyDescent="0.25">
      <c r="A145" s="38">
        <f t="shared" ref="A145:A148" si="5">A144+1</f>
        <v>3</v>
      </c>
      <c r="B145" s="2" t="s">
        <v>190</v>
      </c>
      <c r="C145" s="2">
        <f>(22.1)*10.764</f>
        <v>237.8844</v>
      </c>
      <c r="D145" s="2">
        <f>(2.7)*10.764</f>
        <v>29.062799999999999</v>
      </c>
      <c r="E145" s="2">
        <f>(0.75*2.5)*10.764</f>
        <v>20.182499999999997</v>
      </c>
      <c r="F145" s="2">
        <f t="shared" si="4"/>
        <v>287.12970000000001</v>
      </c>
      <c r="G145" s="2">
        <v>0</v>
      </c>
      <c r="H145" s="2">
        <f>F145*(($H$132)+1)+(IF(G145&lt;101,G145,IF(G145&lt;201,G145/2,IF(G145&lt;=301,G145/3,G145/4))))</f>
        <v>416.33806500000003</v>
      </c>
      <c r="I145" s="48"/>
      <c r="J145" s="48"/>
    </row>
    <row r="146" spans="1:10" x14ac:dyDescent="0.25">
      <c r="A146" s="38">
        <f t="shared" si="5"/>
        <v>4</v>
      </c>
      <c r="B146" s="2" t="s">
        <v>189</v>
      </c>
      <c r="C146" s="2">
        <f>(29.37)*10.764</f>
        <v>316.13867999999997</v>
      </c>
      <c r="D146" s="2">
        <f>(2.7)*10.764</f>
        <v>29.062799999999999</v>
      </c>
      <c r="E146" s="2">
        <f>(0.75*(2.1+2.75))*10.764</f>
        <v>39.154049999999998</v>
      </c>
      <c r="F146" s="2">
        <f t="shared" si="4"/>
        <v>384.35552999999993</v>
      </c>
      <c r="G146" s="2">
        <v>0</v>
      </c>
      <c r="H146" s="2">
        <f>F146*(($H$132)+1)+(IF(G146&lt;101,G146,IF(G146&lt;201,G146/2,IF(G146&lt;=301,G146/3,G146/4))))</f>
        <v>557.31551849999983</v>
      </c>
      <c r="I146" s="48"/>
      <c r="J146" s="48"/>
    </row>
    <row r="147" spans="1:10" x14ac:dyDescent="0.25">
      <c r="A147" s="38">
        <f t="shared" si="5"/>
        <v>5</v>
      </c>
      <c r="B147" s="2" t="s">
        <v>189</v>
      </c>
      <c r="C147" s="2">
        <f>(31.53)*10.764</f>
        <v>339.38891999999998</v>
      </c>
      <c r="D147" s="2">
        <f>(2.7)*10.764</f>
        <v>29.062799999999999</v>
      </c>
      <c r="E147" s="2">
        <f>(0.75*(2.5+2.75))*10.764</f>
        <v>42.383249999999997</v>
      </c>
      <c r="F147" s="2">
        <f t="shared" si="4"/>
        <v>410.83496999999994</v>
      </c>
      <c r="G147" s="2">
        <v>0</v>
      </c>
      <c r="H147" s="2">
        <f>F147*(($H$132)+1)+(IF(G147&lt;101,G147,IF(G147&lt;201,G147/2,IF(G147&lt;=301,G147/3,G147/4))))</f>
        <v>595.7107064999999</v>
      </c>
      <c r="I147" s="48"/>
      <c r="J147" s="48"/>
    </row>
    <row r="148" spans="1:10" x14ac:dyDescent="0.25">
      <c r="A148" s="38">
        <f t="shared" si="5"/>
        <v>6</v>
      </c>
      <c r="B148" s="49" t="s">
        <v>195</v>
      </c>
      <c r="C148" s="50"/>
      <c r="D148" s="50"/>
      <c r="E148" s="50"/>
      <c r="F148" s="50"/>
      <c r="G148" s="50"/>
      <c r="H148" s="51"/>
      <c r="I148" s="48"/>
      <c r="J148" s="48"/>
    </row>
    <row r="149" spans="1:10" x14ac:dyDescent="0.25">
      <c r="A149" s="46" t="s">
        <v>196</v>
      </c>
      <c r="B149" s="46"/>
      <c r="C149" s="46"/>
      <c r="D149" s="46"/>
      <c r="E149" s="46"/>
      <c r="F149" s="46"/>
      <c r="G149" s="46"/>
      <c r="H149" s="47"/>
      <c r="I149" s="46"/>
      <c r="J149" s="46"/>
    </row>
    <row r="150" spans="1:10" x14ac:dyDescent="0.25">
      <c r="A150" s="46" t="s">
        <v>192</v>
      </c>
      <c r="B150" s="46"/>
      <c r="C150" s="46"/>
      <c r="D150" s="46"/>
      <c r="E150" s="46"/>
      <c r="F150" s="46"/>
      <c r="G150" s="46"/>
      <c r="H150" s="47"/>
      <c r="I150" s="46"/>
      <c r="J150" s="46"/>
    </row>
    <row r="151" spans="1:10" x14ac:dyDescent="0.25">
      <c r="A151" s="46" t="s">
        <v>193</v>
      </c>
      <c r="B151" s="46"/>
      <c r="C151" s="46"/>
      <c r="D151" s="46"/>
      <c r="E151" s="46"/>
      <c r="F151" s="46"/>
      <c r="G151" s="46"/>
      <c r="H151" s="47"/>
      <c r="I151" s="46"/>
      <c r="J151" s="46"/>
    </row>
    <row r="152" spans="1:10" x14ac:dyDescent="0.25">
      <c r="A152" s="38">
        <v>1</v>
      </c>
      <c r="B152" s="2" t="s">
        <v>189</v>
      </c>
      <c r="C152" s="2">
        <f>(29.13)*10.764</f>
        <v>313.55531999999999</v>
      </c>
      <c r="D152" s="2">
        <f t="shared" ref="D152:D157" si="6">(2.7)*10.764</f>
        <v>29.062799999999999</v>
      </c>
      <c r="E152" s="2">
        <f>(0.75*(2.1+2.75))*10.764</f>
        <v>39.154049999999998</v>
      </c>
      <c r="F152" s="2">
        <f t="shared" ref="F152:F157" si="7">C152+D152+E152</f>
        <v>381.77216999999996</v>
      </c>
      <c r="G152" s="2">
        <v>0</v>
      </c>
      <c r="H152" s="2">
        <f>F152*(($H$132)+1)+(IF(G152&lt;101,G152,IF(G152&lt;201,G152/2,IF(G152&lt;=301,G152/3,G152/4))))</f>
        <v>553.56964649999998</v>
      </c>
      <c r="I152" s="48" t="str">
        <f>A151</f>
        <v>1st to 7th Floor For Residential</v>
      </c>
      <c r="J152" s="48"/>
    </row>
    <row r="153" spans="1:10" x14ac:dyDescent="0.25">
      <c r="A153" s="38">
        <f>A152+1</f>
        <v>2</v>
      </c>
      <c r="B153" s="2" t="s">
        <v>189</v>
      </c>
      <c r="C153" s="2">
        <f>(29.13)*10.764</f>
        <v>313.55531999999999</v>
      </c>
      <c r="D153" s="2">
        <f t="shared" si="6"/>
        <v>29.062799999999999</v>
      </c>
      <c r="E153" s="2">
        <f>(0.75*(2.1+2.75))*10.764</f>
        <v>39.154049999999998</v>
      </c>
      <c r="F153" s="2">
        <f t="shared" si="7"/>
        <v>381.77216999999996</v>
      </c>
      <c r="G153" s="2">
        <v>0</v>
      </c>
      <c r="H153" s="2">
        <f t="shared" ref="H153:H157" si="8">F153*(($H$132)+1)+(IF(G153&lt;101,G153,IF(G153&lt;201,G153/2,IF(G153&lt;=301,G153/3,G153/4))))</f>
        <v>553.56964649999998</v>
      </c>
      <c r="I153" s="48"/>
      <c r="J153" s="48"/>
    </row>
    <row r="154" spans="1:10" x14ac:dyDescent="0.25">
      <c r="A154" s="38">
        <f t="shared" ref="A154:A157" si="9">A153+1</f>
        <v>3</v>
      </c>
      <c r="B154" s="2" t="s">
        <v>189</v>
      </c>
      <c r="C154" s="2">
        <f>(29.56)*10.764</f>
        <v>318.18383999999998</v>
      </c>
      <c r="D154" s="2">
        <f t="shared" si="6"/>
        <v>29.062799999999999</v>
      </c>
      <c r="E154" s="2">
        <f>(0.75*(2.1+2.75))*10.764</f>
        <v>39.154049999999998</v>
      </c>
      <c r="F154" s="2">
        <f t="shared" si="7"/>
        <v>386.40068999999994</v>
      </c>
      <c r="G154" s="2">
        <v>0</v>
      </c>
      <c r="H154" s="2">
        <f t="shared" si="8"/>
        <v>560.28100049999989</v>
      </c>
      <c r="I154" s="48"/>
      <c r="J154" s="48"/>
    </row>
    <row r="155" spans="1:10" x14ac:dyDescent="0.25">
      <c r="A155" s="38">
        <f t="shared" si="9"/>
        <v>4</v>
      </c>
      <c r="B155" s="2" t="s">
        <v>197</v>
      </c>
      <c r="C155" s="2">
        <f>(42.46)*10.764</f>
        <v>457.03943999999996</v>
      </c>
      <c r="D155" s="2">
        <f t="shared" si="6"/>
        <v>29.062799999999999</v>
      </c>
      <c r="E155" s="2">
        <f>(0.75*(2.15+2.75+2.75))*10.764</f>
        <v>61.758450000000003</v>
      </c>
      <c r="F155" s="2">
        <f t="shared" si="7"/>
        <v>547.86068999999998</v>
      </c>
      <c r="G155" s="2">
        <v>0</v>
      </c>
      <c r="H155" s="2">
        <f t="shared" si="8"/>
        <v>794.39800049999997</v>
      </c>
      <c r="I155" s="48"/>
      <c r="J155" s="48"/>
    </row>
    <row r="156" spans="1:10" x14ac:dyDescent="0.25">
      <c r="A156" s="38">
        <f t="shared" si="9"/>
        <v>5</v>
      </c>
      <c r="B156" s="2" t="s">
        <v>197</v>
      </c>
      <c r="C156" s="2">
        <f>(42.46)*10.764</f>
        <v>457.03943999999996</v>
      </c>
      <c r="D156" s="2">
        <f t="shared" si="6"/>
        <v>29.062799999999999</v>
      </c>
      <c r="E156" s="2">
        <f>(0.75*(2.15+2.75+2.75))*10.764</f>
        <v>61.758450000000003</v>
      </c>
      <c r="F156" s="2">
        <f t="shared" si="7"/>
        <v>547.86068999999998</v>
      </c>
      <c r="G156" s="2">
        <v>0</v>
      </c>
      <c r="H156" s="2">
        <f t="shared" si="8"/>
        <v>794.39800049999997</v>
      </c>
      <c r="I156" s="48"/>
      <c r="J156" s="48"/>
    </row>
    <row r="157" spans="1:10" x14ac:dyDescent="0.25">
      <c r="A157" s="38">
        <f t="shared" si="9"/>
        <v>6</v>
      </c>
      <c r="B157" s="2" t="s">
        <v>189</v>
      </c>
      <c r="C157" s="2">
        <f>(31.32)*10.764</f>
        <v>337.12847999999997</v>
      </c>
      <c r="D157" s="2">
        <f t="shared" si="6"/>
        <v>29.062799999999999</v>
      </c>
      <c r="E157" s="2">
        <f>(0.75*(2.1+2.75))*10.764</f>
        <v>39.154049999999998</v>
      </c>
      <c r="F157" s="2">
        <f t="shared" si="7"/>
        <v>405.34532999999993</v>
      </c>
      <c r="G157" s="2">
        <v>0</v>
      </c>
      <c r="H157" s="2">
        <f t="shared" si="8"/>
        <v>587.75072849999992</v>
      </c>
      <c r="I157" s="48"/>
      <c r="J157" s="48"/>
    </row>
    <row r="158" spans="1:10" x14ac:dyDescent="0.25">
      <c r="A158" s="46" t="s">
        <v>194</v>
      </c>
      <c r="B158" s="46"/>
      <c r="C158" s="46"/>
      <c r="D158" s="46"/>
      <c r="E158" s="46"/>
      <c r="F158" s="46"/>
      <c r="G158" s="46"/>
      <c r="H158" s="47"/>
      <c r="I158" s="46"/>
      <c r="J158" s="46"/>
    </row>
    <row r="159" spans="1:10" x14ac:dyDescent="0.25">
      <c r="A159" s="38">
        <v>1</v>
      </c>
      <c r="B159" s="2" t="s">
        <v>189</v>
      </c>
      <c r="C159" s="2">
        <f>(29.13)*10.764</f>
        <v>313.55531999999999</v>
      </c>
      <c r="D159" s="2">
        <f>(2.7)*10.764</f>
        <v>29.062799999999999</v>
      </c>
      <c r="E159" s="2">
        <f>(0.75*(2.1+2.75))*10.764</f>
        <v>39.154049999999998</v>
      </c>
      <c r="F159" s="2">
        <f t="shared" ref="F159:F164" si="10">C159+D159+E159</f>
        <v>381.77216999999996</v>
      </c>
      <c r="G159" s="2">
        <v>0</v>
      </c>
      <c r="H159" s="2">
        <f>F159*(($H$132)+1)+(IF(G159&lt;101,G159,IF(G159&lt;201,G159/2,IF(G159&lt;=301,G159/3,G159/4))))</f>
        <v>553.56964649999998</v>
      </c>
      <c r="I159" s="48" t="str">
        <f>A158</f>
        <v>8th Floor (Part Refuge Area)</v>
      </c>
      <c r="J159" s="48"/>
    </row>
    <row r="160" spans="1:10" x14ac:dyDescent="0.25">
      <c r="A160" s="38">
        <f>A159+1</f>
        <v>2</v>
      </c>
      <c r="B160" s="2" t="s">
        <v>189</v>
      </c>
      <c r="C160" s="2">
        <f>(29.13)*10.764</f>
        <v>313.55531999999999</v>
      </c>
      <c r="D160" s="2">
        <f>(2.7)*10.764</f>
        <v>29.062799999999999</v>
      </c>
      <c r="E160" s="2">
        <f>(0.75*(2.1+2.75))*10.764</f>
        <v>39.154049999999998</v>
      </c>
      <c r="F160" s="2">
        <f t="shared" si="10"/>
        <v>381.77216999999996</v>
      </c>
      <c r="G160" s="2">
        <v>0</v>
      </c>
      <c r="H160" s="2">
        <f>F160*(($H$132)+1)+(IF(G160&lt;101,G160,IF(G160&lt;201,G160/2,IF(G160&lt;=301,G160/3,G160/4))))</f>
        <v>553.56964649999998</v>
      </c>
      <c r="I160" s="48"/>
      <c r="J160" s="48"/>
    </row>
    <row r="161" spans="1:13" x14ac:dyDescent="0.25">
      <c r="A161" s="38">
        <f t="shared" ref="A161:A164" si="11">A160+1</f>
        <v>3</v>
      </c>
      <c r="B161" s="49" t="s">
        <v>195</v>
      </c>
      <c r="C161" s="50"/>
      <c r="D161" s="50"/>
      <c r="E161" s="50"/>
      <c r="F161" s="50"/>
      <c r="G161" s="50"/>
      <c r="H161" s="51"/>
      <c r="I161" s="48"/>
      <c r="J161" s="48"/>
    </row>
    <row r="162" spans="1:13" x14ac:dyDescent="0.25">
      <c r="A162" s="38">
        <f t="shared" si="11"/>
        <v>4</v>
      </c>
      <c r="B162" s="2" t="s">
        <v>197</v>
      </c>
      <c r="C162" s="2">
        <f>(42.46)*10.764</f>
        <v>457.03943999999996</v>
      </c>
      <c r="D162" s="2">
        <f>(2.7)*10.764</f>
        <v>29.062799999999999</v>
      </c>
      <c r="E162" s="2">
        <f>(0.75*(2.15+2.75+2.75))*10.764</f>
        <v>61.758450000000003</v>
      </c>
      <c r="F162" s="2">
        <f t="shared" si="10"/>
        <v>547.86068999999998</v>
      </c>
      <c r="G162" s="2">
        <v>0</v>
      </c>
      <c r="H162" s="2">
        <f>F162*(($H$132)+1)+(IF(G162&lt;101,G162,IF(G162&lt;201,G162/2,IF(G162&lt;=301,G162/3,G162/4))))</f>
        <v>794.39800049999997</v>
      </c>
      <c r="I162" s="48"/>
      <c r="J162" s="48"/>
    </row>
    <row r="163" spans="1:13" x14ac:dyDescent="0.25">
      <c r="A163" s="38">
        <f t="shared" si="11"/>
        <v>5</v>
      </c>
      <c r="B163" s="2" t="s">
        <v>197</v>
      </c>
      <c r="C163" s="2">
        <f>(42.46)*10.764</f>
        <v>457.03943999999996</v>
      </c>
      <c r="D163" s="2">
        <f>(2.7)*10.764</f>
        <v>29.062799999999999</v>
      </c>
      <c r="E163" s="2">
        <f>(0.75*(2.15+2.75+2.75))*10.764</f>
        <v>61.758450000000003</v>
      </c>
      <c r="F163" s="2">
        <f t="shared" si="10"/>
        <v>547.86068999999998</v>
      </c>
      <c r="G163" s="2">
        <v>0</v>
      </c>
      <c r="H163" s="2">
        <f>F163*(($H$132)+1)+(IF(G163&lt;101,G163,IF(G163&lt;201,G163/2,IF(G163&lt;=301,G163/3,G163/4))))</f>
        <v>794.39800049999997</v>
      </c>
      <c r="I163" s="48"/>
      <c r="J163" s="48"/>
    </row>
    <row r="164" spans="1:13" x14ac:dyDescent="0.25">
      <c r="A164" s="38">
        <f t="shared" si="11"/>
        <v>6</v>
      </c>
      <c r="B164" s="2" t="s">
        <v>189</v>
      </c>
      <c r="C164" s="2">
        <f>(31.32)*10.764</f>
        <v>337.12847999999997</v>
      </c>
      <c r="D164" s="2">
        <f>(2.7)*10.764</f>
        <v>29.062799999999999</v>
      </c>
      <c r="E164" s="2">
        <f>(0.75*(2.1+2.75))*10.764</f>
        <v>39.154049999999998</v>
      </c>
      <c r="F164" s="2">
        <f t="shared" si="10"/>
        <v>405.34532999999993</v>
      </c>
      <c r="G164" s="2">
        <v>0</v>
      </c>
      <c r="H164" s="2">
        <f>F164*(($H$132)+1)+(IF(G164&lt;101,G164,IF(G164&lt;201,G164/2,IF(G164&lt;=301,G164/3,G164/4))))</f>
        <v>587.75072849999992</v>
      </c>
      <c r="I164" s="48"/>
      <c r="J164" s="48"/>
    </row>
    <row r="165" spans="1:13" x14ac:dyDescent="0.25">
      <c r="A165" s="46" t="s">
        <v>215</v>
      </c>
      <c r="B165" s="46"/>
      <c r="C165" s="46"/>
      <c r="D165" s="46"/>
      <c r="E165" s="46"/>
      <c r="F165" s="46"/>
      <c r="G165" s="46"/>
      <c r="H165" s="47"/>
      <c r="I165" s="46"/>
      <c r="J165" s="46"/>
    </row>
    <row r="166" spans="1:13" x14ac:dyDescent="0.25">
      <c r="A166" s="46" t="s">
        <v>192</v>
      </c>
      <c r="B166" s="46"/>
      <c r="C166" s="46"/>
      <c r="D166" s="46"/>
      <c r="E166" s="46"/>
      <c r="F166" s="46"/>
      <c r="G166" s="46"/>
      <c r="H166" s="47"/>
      <c r="I166" s="46"/>
      <c r="J166" s="46"/>
    </row>
    <row r="167" spans="1:13" x14ac:dyDescent="0.25">
      <c r="A167" s="46" t="s">
        <v>193</v>
      </c>
      <c r="B167" s="46"/>
      <c r="C167" s="46"/>
      <c r="D167" s="46"/>
      <c r="E167" s="46"/>
      <c r="F167" s="46"/>
      <c r="G167" s="46"/>
      <c r="H167" s="47"/>
      <c r="I167" s="46"/>
      <c r="J167" s="46"/>
    </row>
    <row r="168" spans="1:13" x14ac:dyDescent="0.25">
      <c r="A168" s="38">
        <v>1</v>
      </c>
      <c r="B168" s="2" t="s">
        <v>189</v>
      </c>
      <c r="C168" s="2">
        <f>(29.92)*10.764</f>
        <v>322.05887999999999</v>
      </c>
      <c r="D168" s="2">
        <f>(2.75)*10.764</f>
        <v>29.600999999999999</v>
      </c>
      <c r="E168" s="2">
        <f>(0.75*(2.1+2.75))*10.764</f>
        <v>39.154049999999998</v>
      </c>
      <c r="F168" s="2">
        <f t="shared" ref="F168:F169" si="12">C168+D168+E168</f>
        <v>390.81392999999997</v>
      </c>
      <c r="G168" s="2">
        <v>0</v>
      </c>
      <c r="H168" s="2">
        <f>F168*(($H$132)+1)+(IF(G168&lt;101,G168,IF(G168&lt;201,G168/2,IF(G168&lt;=301,G168/3,G168/4))))</f>
        <v>566.68019849999996</v>
      </c>
      <c r="I168" s="182" t="str">
        <f>A167</f>
        <v>1st to 7th Floor For Residential</v>
      </c>
      <c r="J168" s="183"/>
      <c r="K168" s="11">
        <f>2.75*4+2.1*2.8+2.75*2.8+1.2*1.5+1.2*1+1.2*0.8</f>
        <v>28.54</v>
      </c>
      <c r="L168" s="11">
        <f>2.75</f>
        <v>2.75</v>
      </c>
      <c r="M168" s="11">
        <f>0.75*2.1+2.75</f>
        <v>4.3250000000000002</v>
      </c>
    </row>
    <row r="169" spans="1:13" x14ac:dyDescent="0.25">
      <c r="A169" s="38">
        <f>A168+1</f>
        <v>2</v>
      </c>
      <c r="B169" s="2" t="s">
        <v>189</v>
      </c>
      <c r="C169" s="2">
        <f>(29.13)*10.764</f>
        <v>313.55531999999999</v>
      </c>
      <c r="D169" s="2">
        <f t="shared" ref="D169:D175" si="13">(2.75)*10.764</f>
        <v>29.600999999999999</v>
      </c>
      <c r="E169" s="2">
        <f>(0.75*(2.1+2.75))*10.764</f>
        <v>39.154049999999998</v>
      </c>
      <c r="F169" s="2">
        <f t="shared" si="12"/>
        <v>382.31036999999998</v>
      </c>
      <c r="G169" s="2">
        <v>0</v>
      </c>
      <c r="H169" s="2">
        <f t="shared" ref="H169" si="14">F169*(($H$132)+1)+(IF(G169&lt;101,G169,IF(G169&lt;201,G169/2,IF(G169&lt;=301,G169/3,G169/4))))</f>
        <v>554.35003649999999</v>
      </c>
      <c r="I169" s="184"/>
      <c r="J169" s="185"/>
    </row>
    <row r="170" spans="1:13" x14ac:dyDescent="0.25">
      <c r="A170" s="38">
        <f t="shared" ref="A170:A172" si="15">A169+1</f>
        <v>3</v>
      </c>
      <c r="B170" s="2" t="s">
        <v>189</v>
      </c>
      <c r="C170" s="2">
        <f>(29.13)*10.764</f>
        <v>313.55531999999999</v>
      </c>
      <c r="D170" s="2">
        <f t="shared" si="13"/>
        <v>29.600999999999999</v>
      </c>
      <c r="E170" s="2">
        <f>(0.75*(2.1+2.75))*10.764</f>
        <v>39.154049999999998</v>
      </c>
      <c r="F170" s="2">
        <f t="shared" ref="F170:F172" si="16">C170+D170+E170</f>
        <v>382.31036999999998</v>
      </c>
      <c r="G170" s="2">
        <v>0</v>
      </c>
      <c r="H170" s="2">
        <f t="shared" ref="H170" si="17">F170*(($H$132)+1)+(IF(G170&lt;101,G170,IF(G170&lt;201,G170/2,IF(G170&lt;=301,G170/3,G170/4))))</f>
        <v>554.35003649999999</v>
      </c>
      <c r="I170" s="184"/>
      <c r="J170" s="185"/>
    </row>
    <row r="171" spans="1:13" x14ac:dyDescent="0.25">
      <c r="A171" s="38">
        <f t="shared" si="15"/>
        <v>4</v>
      </c>
      <c r="B171" s="2" t="s">
        <v>189</v>
      </c>
      <c r="C171" s="2">
        <f>(29.92)*10.764</f>
        <v>322.05887999999999</v>
      </c>
      <c r="D171" s="2">
        <f t="shared" si="13"/>
        <v>29.600999999999999</v>
      </c>
      <c r="E171" s="2">
        <f>(0.75*(2.1+2.75))*10.764</f>
        <v>39.154049999999998</v>
      </c>
      <c r="F171" s="2">
        <f t="shared" si="16"/>
        <v>390.81392999999997</v>
      </c>
      <c r="G171" s="2">
        <v>0</v>
      </c>
      <c r="H171" s="2">
        <f>F171*(($H$132)+1)+(IF(G171&lt;101,G171,IF(G171&lt;201,G171/2,IF(G171&lt;=301,G171/3,G171/4))))</f>
        <v>566.68019849999996</v>
      </c>
      <c r="I171" s="184"/>
      <c r="J171" s="185"/>
    </row>
    <row r="172" spans="1:13" x14ac:dyDescent="0.25">
      <c r="A172" s="38">
        <f t="shared" si="15"/>
        <v>5</v>
      </c>
      <c r="B172" s="2" t="s">
        <v>189</v>
      </c>
      <c r="C172" s="2">
        <f>(27.63)*10.764</f>
        <v>297.40931999999998</v>
      </c>
      <c r="D172" s="2">
        <f t="shared" si="13"/>
        <v>29.600999999999999</v>
      </c>
      <c r="E172" s="2">
        <f>(0.75*(2+2.7))*10.764</f>
        <v>37.943100000000001</v>
      </c>
      <c r="F172" s="2">
        <f t="shared" si="16"/>
        <v>364.95341999999999</v>
      </c>
      <c r="G172" s="2">
        <v>0</v>
      </c>
      <c r="H172" s="2">
        <f t="shared" ref="H172:H173" si="18">F172*(($H$132)+1)+(IF(G172&lt;101,G172,IF(G172&lt;201,G172/2,IF(G172&lt;=301,G172/3,G172/4))))</f>
        <v>529.18245899999999</v>
      </c>
      <c r="I172" s="184"/>
      <c r="J172" s="185"/>
    </row>
    <row r="173" spans="1:13" x14ac:dyDescent="0.25">
      <c r="A173" s="38">
        <f>A172+1</f>
        <v>6</v>
      </c>
      <c r="B173" s="2" t="s">
        <v>189</v>
      </c>
      <c r="C173" s="2">
        <f>(29.92)*10.764</f>
        <v>322.05887999999999</v>
      </c>
      <c r="D173" s="2">
        <f t="shared" si="13"/>
        <v>29.600999999999999</v>
      </c>
      <c r="E173" s="2">
        <f>(0.75*(2.1+2.75))*10.764</f>
        <v>39.154049999999998</v>
      </c>
      <c r="F173" s="2">
        <f t="shared" ref="F173:F174" si="19">C173+D173+E173</f>
        <v>390.81392999999997</v>
      </c>
      <c r="G173" s="2">
        <v>0</v>
      </c>
      <c r="H173" s="2">
        <f t="shared" si="18"/>
        <v>566.68019849999996</v>
      </c>
      <c r="I173" s="184"/>
      <c r="J173" s="185"/>
    </row>
    <row r="174" spans="1:13" x14ac:dyDescent="0.25">
      <c r="A174" s="38">
        <f t="shared" ref="A174" si="20">A173+1</f>
        <v>7</v>
      </c>
      <c r="B174" s="2" t="s">
        <v>189</v>
      </c>
      <c r="C174" s="2">
        <f>(29.13)*10.764</f>
        <v>313.55531999999999</v>
      </c>
      <c r="D174" s="2">
        <f t="shared" si="13"/>
        <v>29.600999999999999</v>
      </c>
      <c r="E174" s="2">
        <f>(0.75*(2.1+2.75))*10.764</f>
        <v>39.154049999999998</v>
      </c>
      <c r="F174" s="2">
        <f t="shared" si="19"/>
        <v>382.31036999999998</v>
      </c>
      <c r="G174" s="2">
        <v>0</v>
      </c>
      <c r="H174" s="2">
        <f t="shared" ref="H174:H175" si="21">F174*(($H$132)+1)+(IF(G174&lt;101,G174,IF(G174&lt;201,G174/2,IF(G174&lt;=301,G174/3,G174/4))))</f>
        <v>554.35003649999999</v>
      </c>
      <c r="I174" s="184"/>
      <c r="J174" s="185"/>
    </row>
    <row r="175" spans="1:13" x14ac:dyDescent="0.25">
      <c r="A175" s="38">
        <f>A174+1</f>
        <v>8</v>
      </c>
      <c r="B175" s="2" t="s">
        <v>189</v>
      </c>
      <c r="C175" s="2">
        <f>(29.13)*10.764</f>
        <v>313.55531999999999</v>
      </c>
      <c r="D175" s="2">
        <f t="shared" si="13"/>
        <v>29.600999999999999</v>
      </c>
      <c r="E175" s="2">
        <f>(0.75*(2.1+2.75))*10.764</f>
        <v>39.154049999999998</v>
      </c>
      <c r="F175" s="2">
        <f t="shared" ref="F175" si="22">C175+D175+E175</f>
        <v>382.31036999999998</v>
      </c>
      <c r="G175" s="2">
        <v>0</v>
      </c>
      <c r="H175" s="2">
        <f t="shared" si="21"/>
        <v>554.35003649999999</v>
      </c>
      <c r="I175" s="186"/>
      <c r="J175" s="187"/>
    </row>
    <row r="176" spans="1:13" x14ac:dyDescent="0.25">
      <c r="A176" s="46" t="s">
        <v>216</v>
      </c>
      <c r="B176" s="46"/>
      <c r="C176" s="46"/>
      <c r="D176" s="46"/>
      <c r="E176" s="46"/>
      <c r="F176" s="46"/>
      <c r="G176" s="46"/>
      <c r="H176" s="47"/>
      <c r="I176" s="46"/>
      <c r="J176" s="46"/>
    </row>
    <row r="177" spans="1:13" x14ac:dyDescent="0.25">
      <c r="A177" s="38">
        <v>1</v>
      </c>
      <c r="B177" s="2" t="s">
        <v>189</v>
      </c>
      <c r="C177" s="2">
        <f>(29.92)*10.764</f>
        <v>322.05887999999999</v>
      </c>
      <c r="D177" s="2">
        <f>(2.75)*10.764</f>
        <v>29.600999999999999</v>
      </c>
      <c r="E177" s="2">
        <f>(0.75*(2.1+2.75))*10.764</f>
        <v>39.154049999999998</v>
      </c>
      <c r="F177" s="2">
        <f t="shared" ref="F177:F184" si="23">C177+D177+E177</f>
        <v>390.81392999999997</v>
      </c>
      <c r="G177" s="2">
        <v>0</v>
      </c>
      <c r="H177" s="2">
        <f>F177*(($H$132)+1)+(IF(G177&lt;101,G177,IF(G177&lt;201,G177/2,IF(G177&lt;=301,G177/3,G177/4))))</f>
        <v>566.68019849999996</v>
      </c>
      <c r="I177" s="182" t="str">
        <f>A176</f>
        <v>8th Floor For Residential (Part Refuge Area)</v>
      </c>
      <c r="J177" s="183"/>
      <c r="K177" s="11">
        <f>2.75*4+2.1*2.8+2.75*2.8+1.2*1.5+1.2*1+1.2*0.8</f>
        <v>28.54</v>
      </c>
      <c r="L177" s="11">
        <f>2.75</f>
        <v>2.75</v>
      </c>
      <c r="M177" s="11">
        <f>0.75*2.1+2.75</f>
        <v>4.3250000000000002</v>
      </c>
    </row>
    <row r="178" spans="1:13" x14ac:dyDescent="0.25">
      <c r="A178" s="38">
        <f>A177+1</f>
        <v>2</v>
      </c>
      <c r="B178" s="2" t="s">
        <v>189</v>
      </c>
      <c r="C178" s="2">
        <f>(29.13)*10.764</f>
        <v>313.55531999999999</v>
      </c>
      <c r="D178" s="2">
        <f t="shared" ref="D178:D184" si="24">(2.75)*10.764</f>
        <v>29.600999999999999</v>
      </c>
      <c r="E178" s="2">
        <f>(0.75*(2.1+2.75))*10.764</f>
        <v>39.154049999999998</v>
      </c>
      <c r="F178" s="2">
        <f t="shared" si="23"/>
        <v>382.31036999999998</v>
      </c>
      <c r="G178" s="2">
        <v>0</v>
      </c>
      <c r="H178" s="2">
        <f t="shared" ref="H178:H179" si="25">F178*(($H$132)+1)+(IF(G178&lt;101,G178,IF(G178&lt;201,G178/2,IF(G178&lt;=301,G178/3,G178/4))))</f>
        <v>554.35003649999999</v>
      </c>
      <c r="I178" s="184"/>
      <c r="J178" s="185"/>
    </row>
    <row r="179" spans="1:13" x14ac:dyDescent="0.25">
      <c r="A179" s="38">
        <f t="shared" ref="A179:A181" si="26">A178+1</f>
        <v>3</v>
      </c>
      <c r="B179" s="2" t="s">
        <v>189</v>
      </c>
      <c r="C179" s="2">
        <f>(29.13)*10.764</f>
        <v>313.55531999999999</v>
      </c>
      <c r="D179" s="2">
        <f t="shared" si="24"/>
        <v>29.600999999999999</v>
      </c>
      <c r="E179" s="2">
        <f>(0.75*(2.1+2.75))*10.764</f>
        <v>39.154049999999998</v>
      </c>
      <c r="F179" s="2">
        <f t="shared" si="23"/>
        <v>382.31036999999998</v>
      </c>
      <c r="G179" s="2">
        <v>0</v>
      </c>
      <c r="H179" s="2">
        <f t="shared" si="25"/>
        <v>554.35003649999999</v>
      </c>
      <c r="I179" s="184"/>
      <c r="J179" s="185"/>
    </row>
    <row r="180" spans="1:13" x14ac:dyDescent="0.25">
      <c r="A180" s="38">
        <f t="shared" si="26"/>
        <v>4</v>
      </c>
      <c r="B180" s="2" t="s">
        <v>189</v>
      </c>
      <c r="C180" s="2">
        <f>(29.92)*10.764</f>
        <v>322.05887999999999</v>
      </c>
      <c r="D180" s="2">
        <f t="shared" si="24"/>
        <v>29.600999999999999</v>
      </c>
      <c r="E180" s="2">
        <f>(0.75*(2.1+2.75))*10.764</f>
        <v>39.154049999999998</v>
      </c>
      <c r="F180" s="2">
        <f t="shared" si="23"/>
        <v>390.81392999999997</v>
      </c>
      <c r="G180" s="2">
        <v>0</v>
      </c>
      <c r="H180" s="2">
        <f>F180*(($H$132)+1)+(IF(G180&lt;101,G180,IF(G180&lt;201,G180/2,IF(G180&lt;=301,G180/3,G180/4))))</f>
        <v>566.68019849999996</v>
      </c>
      <c r="I180" s="184"/>
      <c r="J180" s="185"/>
    </row>
    <row r="181" spans="1:13" x14ac:dyDescent="0.25">
      <c r="A181" s="38">
        <f t="shared" si="26"/>
        <v>5</v>
      </c>
      <c r="B181" s="2" t="s">
        <v>217</v>
      </c>
      <c r="C181" s="49" t="s">
        <v>195</v>
      </c>
      <c r="D181" s="50"/>
      <c r="E181" s="50"/>
      <c r="F181" s="50"/>
      <c r="G181" s="50"/>
      <c r="H181" s="51"/>
      <c r="I181" s="184"/>
      <c r="J181" s="185"/>
    </row>
    <row r="182" spans="1:13" x14ac:dyDescent="0.25">
      <c r="A182" s="38">
        <f>A181+1</f>
        <v>6</v>
      </c>
      <c r="B182" s="2" t="s">
        <v>189</v>
      </c>
      <c r="C182" s="2">
        <f>(29.92)*10.764</f>
        <v>322.05887999999999</v>
      </c>
      <c r="D182" s="2">
        <f t="shared" si="24"/>
        <v>29.600999999999999</v>
      </c>
      <c r="E182" s="2">
        <f>(0.75*(2.1+2.75))*10.764</f>
        <v>39.154049999999998</v>
      </c>
      <c r="F182" s="2">
        <f t="shared" si="23"/>
        <v>390.81392999999997</v>
      </c>
      <c r="G182" s="2">
        <v>0</v>
      </c>
      <c r="H182" s="2">
        <f>F182*(($H$132)+1)+(IF(G182&lt;101,G182,IF(G182&lt;201,G182/2,IF(G182&lt;=301,G182/3,G182/4))))</f>
        <v>566.68019849999996</v>
      </c>
      <c r="I182" s="184"/>
      <c r="J182" s="185"/>
    </row>
    <row r="183" spans="1:13" x14ac:dyDescent="0.25">
      <c r="A183" s="38">
        <f t="shared" ref="A183" si="27">A182+1</f>
        <v>7</v>
      </c>
      <c r="B183" s="2" t="s">
        <v>189</v>
      </c>
      <c r="C183" s="2">
        <f>(29.13)*10.764</f>
        <v>313.55531999999999</v>
      </c>
      <c r="D183" s="2">
        <f t="shared" si="24"/>
        <v>29.600999999999999</v>
      </c>
      <c r="E183" s="2">
        <f>(0.75*(2.1+2.75))*10.764</f>
        <v>39.154049999999998</v>
      </c>
      <c r="F183" s="2">
        <f t="shared" si="23"/>
        <v>382.31036999999998</v>
      </c>
      <c r="G183" s="2">
        <v>0</v>
      </c>
      <c r="H183" s="2">
        <f>F183*(($H$132)+1)+(IF(G183&lt;101,G183,IF(G183&lt;201,G183/2,IF(G183&lt;=301,G183/3,G183/4))))</f>
        <v>554.35003649999999</v>
      </c>
      <c r="I183" s="184"/>
      <c r="J183" s="185"/>
    </row>
    <row r="184" spans="1:13" x14ac:dyDescent="0.25">
      <c r="A184" s="38">
        <f>A183+1</f>
        <v>8</v>
      </c>
      <c r="B184" s="2" t="s">
        <v>189</v>
      </c>
      <c r="C184" s="2">
        <f>(29.13)*10.764</f>
        <v>313.55531999999999</v>
      </c>
      <c r="D184" s="2">
        <f t="shared" si="24"/>
        <v>29.600999999999999</v>
      </c>
      <c r="E184" s="2">
        <f>(0.75*(2.1+2.75))*10.764</f>
        <v>39.154049999999998</v>
      </c>
      <c r="F184" s="2">
        <f t="shared" si="23"/>
        <v>382.31036999999998</v>
      </c>
      <c r="G184" s="2">
        <v>0</v>
      </c>
      <c r="H184" s="2">
        <f>F184*(($H$132)+1)+(IF(G184&lt;101,G184,IF(G184&lt;201,G184/2,IF(G184&lt;=301,G184/3,G184/4))))</f>
        <v>554.35003649999999</v>
      </c>
      <c r="I184" s="186"/>
      <c r="J184" s="187"/>
    </row>
    <row r="185" spans="1:13" x14ac:dyDescent="0.25">
      <c r="A185" s="46" t="s">
        <v>218</v>
      </c>
      <c r="B185" s="46"/>
      <c r="C185" s="46"/>
      <c r="D185" s="46"/>
      <c r="E185" s="46"/>
      <c r="F185" s="46"/>
      <c r="G185" s="46"/>
      <c r="H185" s="47"/>
      <c r="I185" s="46"/>
      <c r="J185" s="46"/>
    </row>
    <row r="186" spans="1:13" x14ac:dyDescent="0.25">
      <c r="A186" s="46" t="s">
        <v>192</v>
      </c>
      <c r="B186" s="46"/>
      <c r="C186" s="46"/>
      <c r="D186" s="46"/>
      <c r="E186" s="46"/>
      <c r="F186" s="46"/>
      <c r="G186" s="46"/>
      <c r="H186" s="47"/>
      <c r="I186" s="46"/>
      <c r="J186" s="46"/>
    </row>
    <row r="187" spans="1:13" x14ac:dyDescent="0.25">
      <c r="A187" s="46" t="s">
        <v>193</v>
      </c>
      <c r="B187" s="46"/>
      <c r="C187" s="46"/>
      <c r="D187" s="46"/>
      <c r="E187" s="46"/>
      <c r="F187" s="46"/>
      <c r="G187" s="46"/>
      <c r="H187" s="47"/>
      <c r="I187" s="46"/>
      <c r="J187" s="46"/>
    </row>
    <row r="188" spans="1:13" ht="15" customHeight="1" x14ac:dyDescent="0.25">
      <c r="A188" s="38">
        <v>1</v>
      </c>
      <c r="B188" s="2" t="s">
        <v>189</v>
      </c>
      <c r="C188" s="2">
        <f>(29.5)*10.764</f>
        <v>317.53799999999995</v>
      </c>
      <c r="D188" s="2">
        <f>(2.75)*10.764</f>
        <v>29.600999999999999</v>
      </c>
      <c r="E188" s="2">
        <f>(0.75*(2.1+2.75))*10.764</f>
        <v>39.154049999999998</v>
      </c>
      <c r="F188" s="2">
        <f t="shared" ref="F188:F195" si="28">C188+D188+E188</f>
        <v>386.29304999999994</v>
      </c>
      <c r="G188" s="2">
        <v>0</v>
      </c>
      <c r="H188" s="2">
        <f>F188*(($H$132)+1)+(IF(G188&lt;101,G188,IF(G188&lt;201,G188/2,IF(G188&lt;=301,G188/3,G188/4))))</f>
        <v>560.12492249999991</v>
      </c>
      <c r="I188" s="182" t="str">
        <f>A187</f>
        <v>1st to 7th Floor For Residential</v>
      </c>
      <c r="J188" s="183"/>
      <c r="K188" s="11">
        <f>2.75*4+2.1*2.8+2.75*2.8+1.2*1.5+1.2*1+1.2*0.8</f>
        <v>28.54</v>
      </c>
      <c r="L188" s="11">
        <f>2.75</f>
        <v>2.75</v>
      </c>
      <c r="M188" s="11">
        <f>0.75*2.1+2.75</f>
        <v>4.3250000000000002</v>
      </c>
    </row>
    <row r="189" spans="1:13" x14ac:dyDescent="0.25">
      <c r="A189" s="38">
        <f>A188+1</f>
        <v>2</v>
      </c>
      <c r="B189" s="2" t="s">
        <v>219</v>
      </c>
      <c r="C189" s="2">
        <f>(45.27)*10.764</f>
        <v>487.28627999999998</v>
      </c>
      <c r="D189" s="2">
        <f t="shared" ref="D189:D197" si="29">(2.75)*10.764</f>
        <v>29.600999999999999</v>
      </c>
      <c r="E189" s="2">
        <f>(0.75*(2.1+2.75+2.75))*10.764</f>
        <v>61.35479999999999</v>
      </c>
      <c r="F189" s="2">
        <f t="shared" si="28"/>
        <v>578.24207999999987</v>
      </c>
      <c r="G189" s="2">
        <v>0</v>
      </c>
      <c r="H189" s="2">
        <f t="shared" ref="H189:H190" si="30">F189*(($H$132)+1)+(IF(G189&lt;101,G189,IF(G189&lt;201,G189/2,IF(G189&lt;=301,G189/3,G189/4))))</f>
        <v>838.45101599999975</v>
      </c>
      <c r="I189" s="184"/>
      <c r="J189" s="185"/>
      <c r="K189" s="11">
        <f>3550000/H189</f>
        <v>4233.9980896391462</v>
      </c>
    </row>
    <row r="190" spans="1:13" x14ac:dyDescent="0.25">
      <c r="A190" s="38">
        <f t="shared" ref="A190:A192" si="31">A189+1</f>
        <v>3</v>
      </c>
      <c r="B190" s="2" t="s">
        <v>189</v>
      </c>
      <c r="C190" s="2">
        <f>(29.92)*10.764</f>
        <v>322.05887999999999</v>
      </c>
      <c r="D190" s="2">
        <f t="shared" si="29"/>
        <v>29.600999999999999</v>
      </c>
      <c r="E190" s="2">
        <f>(0.75*(2.1+2.75))*10.764</f>
        <v>39.154049999999998</v>
      </c>
      <c r="F190" s="2">
        <f t="shared" si="28"/>
        <v>390.81392999999997</v>
      </c>
      <c r="G190" s="2">
        <v>0</v>
      </c>
      <c r="H190" s="2">
        <f t="shared" si="30"/>
        <v>566.68019849999996</v>
      </c>
      <c r="I190" s="184"/>
      <c r="J190" s="185"/>
      <c r="K190" s="11">
        <f>2550000/H190</f>
        <v>4499.8925438895503</v>
      </c>
    </row>
    <row r="191" spans="1:13" x14ac:dyDescent="0.25">
      <c r="A191" s="38">
        <f t="shared" si="31"/>
        <v>4</v>
      </c>
      <c r="B191" s="2" t="s">
        <v>190</v>
      </c>
      <c r="C191" s="2">
        <f>(22.1)*10.764</f>
        <v>237.8844</v>
      </c>
      <c r="D191" s="2">
        <f t="shared" si="29"/>
        <v>29.600999999999999</v>
      </c>
      <c r="E191" s="2">
        <f>(0.75*(2.5))*10.764</f>
        <v>20.182499999999997</v>
      </c>
      <c r="F191" s="2">
        <f t="shared" si="28"/>
        <v>287.66790000000003</v>
      </c>
      <c r="G191" s="2">
        <v>0</v>
      </c>
      <c r="H191" s="2">
        <f>F191*(($H$132)+1)+(IF(G191&lt;101,G191,IF(G191&lt;201,G191/2,IF(G191&lt;=301,G191/3,G191/4))))</f>
        <v>417.11845500000004</v>
      </c>
      <c r="I191" s="184"/>
      <c r="J191" s="185"/>
      <c r="K191" s="11">
        <f>1850000/H191</f>
        <v>4435.1909579258481</v>
      </c>
      <c r="L191" s="11">
        <f>1610000/H191</f>
        <v>3859.8148336543868</v>
      </c>
    </row>
    <row r="192" spans="1:13" x14ac:dyDescent="0.25">
      <c r="A192" s="38">
        <f t="shared" si="31"/>
        <v>5</v>
      </c>
      <c r="B192" s="2" t="s">
        <v>189</v>
      </c>
      <c r="C192" s="2">
        <f>(29.92)*10.764</f>
        <v>322.05887999999999</v>
      </c>
      <c r="D192" s="2">
        <f t="shared" si="29"/>
        <v>29.600999999999999</v>
      </c>
      <c r="E192" s="2">
        <f>(0.75*(2.1+2.75))*10.764</f>
        <v>39.154049999999998</v>
      </c>
      <c r="F192" s="2">
        <f t="shared" si="28"/>
        <v>390.81392999999997</v>
      </c>
      <c r="G192" s="2">
        <v>0</v>
      </c>
      <c r="H192" s="2">
        <f t="shared" ref="H192:H195" si="32">F192*(($H$132)+1)+(IF(G192&lt;101,G192,IF(G192&lt;201,G192/2,IF(G192&lt;=301,G192/3,G192/4))))</f>
        <v>566.68019849999996</v>
      </c>
      <c r="I192" s="184"/>
      <c r="J192" s="185"/>
    </row>
    <row r="193" spans="1:13" x14ac:dyDescent="0.25">
      <c r="A193" s="38">
        <f>A192+1</f>
        <v>6</v>
      </c>
      <c r="B193" s="2" t="s">
        <v>189</v>
      </c>
      <c r="C193" s="2">
        <f>(29.13)*10.764</f>
        <v>313.55531999999999</v>
      </c>
      <c r="D193" s="2">
        <f t="shared" si="29"/>
        <v>29.600999999999999</v>
      </c>
      <c r="E193" s="2">
        <f>(0.75*(2.1+2.75))*10.764</f>
        <v>39.154049999999998</v>
      </c>
      <c r="F193" s="2">
        <f t="shared" si="28"/>
        <v>382.31036999999998</v>
      </c>
      <c r="G193" s="2">
        <v>0</v>
      </c>
      <c r="H193" s="2">
        <f t="shared" si="32"/>
        <v>554.35003649999999</v>
      </c>
      <c r="I193" s="184"/>
      <c r="J193" s="185"/>
    </row>
    <row r="194" spans="1:13" x14ac:dyDescent="0.25">
      <c r="A194" s="38">
        <f t="shared" ref="A194" si="33">A193+1</f>
        <v>7</v>
      </c>
      <c r="B194" s="2" t="s">
        <v>189</v>
      </c>
      <c r="C194" s="2">
        <f>(29.13)*10.764</f>
        <v>313.55531999999999</v>
      </c>
      <c r="D194" s="2">
        <f t="shared" si="29"/>
        <v>29.600999999999999</v>
      </c>
      <c r="E194" s="2">
        <f>(0.75*(2.1+2.75))*10.764</f>
        <v>39.154049999999998</v>
      </c>
      <c r="F194" s="2">
        <f t="shared" si="28"/>
        <v>382.31036999999998</v>
      </c>
      <c r="G194" s="2">
        <v>0</v>
      </c>
      <c r="H194" s="2">
        <f t="shared" si="32"/>
        <v>554.35003649999999</v>
      </c>
      <c r="I194" s="184"/>
      <c r="J194" s="185"/>
    </row>
    <row r="195" spans="1:13" x14ac:dyDescent="0.25">
      <c r="A195" s="38">
        <f>A194+1</f>
        <v>8</v>
      </c>
      <c r="B195" s="2" t="s">
        <v>189</v>
      </c>
      <c r="C195" s="2">
        <f>(29.92)*10.764</f>
        <v>322.05887999999999</v>
      </c>
      <c r="D195" s="2">
        <f t="shared" si="29"/>
        <v>29.600999999999999</v>
      </c>
      <c r="E195" s="2">
        <f>(0.75*(2.1+2.75))*10.764</f>
        <v>39.154049999999998</v>
      </c>
      <c r="F195" s="2">
        <f t="shared" si="28"/>
        <v>390.81392999999997</v>
      </c>
      <c r="G195" s="2">
        <v>0</v>
      </c>
      <c r="H195" s="2">
        <f t="shared" si="32"/>
        <v>566.68019849999996</v>
      </c>
      <c r="I195" s="184"/>
      <c r="J195" s="185"/>
    </row>
    <row r="196" spans="1:13" x14ac:dyDescent="0.25">
      <c r="A196" s="38">
        <f t="shared" ref="A196" si="34">A195+1</f>
        <v>9</v>
      </c>
      <c r="B196" s="2" t="s">
        <v>189</v>
      </c>
      <c r="C196" s="2">
        <f>(31.22)*10.764</f>
        <v>336.05207999999999</v>
      </c>
      <c r="D196" s="2">
        <f t="shared" si="29"/>
        <v>29.600999999999999</v>
      </c>
      <c r="E196" s="2">
        <f>(0.75*(2.5+2.75))*10.764</f>
        <v>42.383249999999997</v>
      </c>
      <c r="F196" s="2">
        <f t="shared" ref="F196:F197" si="35">C196+D196+E196</f>
        <v>408.03632999999996</v>
      </c>
      <c r="G196" s="2">
        <v>0</v>
      </c>
      <c r="H196" s="2">
        <f>F196*(($H$132)+1)+(IF(G196&lt;101,G196,IF(G196&lt;201,G196/2,IF(G196&lt;=301,G196/3,G196/4))))</f>
        <v>591.65267849999998</v>
      </c>
      <c r="I196" s="184"/>
      <c r="J196" s="185"/>
    </row>
    <row r="197" spans="1:13" x14ac:dyDescent="0.25">
      <c r="A197" s="38">
        <f>A196+1</f>
        <v>10</v>
      </c>
      <c r="B197" s="2" t="s">
        <v>189</v>
      </c>
      <c r="C197" s="2">
        <f>(29.92)*10.764</f>
        <v>322.05887999999999</v>
      </c>
      <c r="D197" s="2">
        <f t="shared" si="29"/>
        <v>29.600999999999999</v>
      </c>
      <c r="E197" s="2">
        <f>(0.75*(2.1+2.75))*10.764</f>
        <v>39.154049999999998</v>
      </c>
      <c r="F197" s="2">
        <f t="shared" si="35"/>
        <v>390.81392999999997</v>
      </c>
      <c r="G197" s="2">
        <v>0</v>
      </c>
      <c r="H197" s="2">
        <f t="shared" ref="H197" si="36">F197*(($H$132)+1)+(IF(G197&lt;101,G197,IF(G197&lt;201,G197/2,IF(G197&lt;=301,G197/3,G197/4))))</f>
        <v>566.68019849999996</v>
      </c>
      <c r="I197" s="186"/>
      <c r="J197" s="187"/>
    </row>
    <row r="198" spans="1:13" x14ac:dyDescent="0.25">
      <c r="A198" s="46" t="s">
        <v>216</v>
      </c>
      <c r="B198" s="46"/>
      <c r="C198" s="46"/>
      <c r="D198" s="46"/>
      <c r="E198" s="46"/>
      <c r="F198" s="46"/>
      <c r="G198" s="46"/>
      <c r="H198" s="47"/>
      <c r="I198" s="46"/>
      <c r="J198" s="46"/>
    </row>
    <row r="199" spans="1:13" ht="15" customHeight="1" x14ac:dyDescent="0.25">
      <c r="A199" s="38">
        <v>1</v>
      </c>
      <c r="B199" s="2" t="s">
        <v>189</v>
      </c>
      <c r="C199" s="2">
        <f>(29.5)*10.764</f>
        <v>317.53799999999995</v>
      </c>
      <c r="D199" s="2">
        <f>(2.75)*10.764</f>
        <v>29.600999999999999</v>
      </c>
      <c r="E199" s="2">
        <f>(0.75*(2.1+2.75))*10.764</f>
        <v>39.154049999999998</v>
      </c>
      <c r="F199" s="2">
        <f t="shared" ref="F199:F208" si="37">C199+D199+E199</f>
        <v>386.29304999999994</v>
      </c>
      <c r="G199" s="2">
        <v>0</v>
      </c>
      <c r="H199" s="2">
        <f>F199*(($H$132)+1)+(IF(G199&lt;101,G199,IF(G199&lt;201,G199/2,IF(G199&lt;=301,G199/3,G199/4))))</f>
        <v>560.12492249999991</v>
      </c>
      <c r="I199" s="182" t="str">
        <f>A198</f>
        <v>8th Floor For Residential (Part Refuge Area)</v>
      </c>
      <c r="J199" s="183"/>
      <c r="K199" s="11">
        <f>2.75*4+2.1*2.8+2.75*2.8+1.2*1.5+1.2*1+1.2*0.8</f>
        <v>28.54</v>
      </c>
      <c r="L199" s="11">
        <f>2.75</f>
        <v>2.75</v>
      </c>
      <c r="M199" s="11">
        <f>0.75*2.1+2.75</f>
        <v>4.3250000000000002</v>
      </c>
    </row>
    <row r="200" spans="1:13" x14ac:dyDescent="0.25">
      <c r="A200" s="38">
        <f>A199+1</f>
        <v>2</v>
      </c>
      <c r="B200" s="2" t="s">
        <v>219</v>
      </c>
      <c r="C200" s="2">
        <f>(45.27)*10.764</f>
        <v>487.28627999999998</v>
      </c>
      <c r="D200" s="2">
        <f t="shared" ref="D200:D208" si="38">(2.75)*10.764</f>
        <v>29.600999999999999</v>
      </c>
      <c r="E200" s="2">
        <f>(0.75*(2.1+2.75+2.75))*10.764</f>
        <v>61.35479999999999</v>
      </c>
      <c r="F200" s="2">
        <f t="shared" si="37"/>
        <v>578.24207999999987</v>
      </c>
      <c r="G200" s="2">
        <v>0</v>
      </c>
      <c r="H200" s="2">
        <f t="shared" ref="H200:H201" si="39">F200*(($H$132)+1)+(IF(G200&lt;101,G200,IF(G200&lt;201,G200/2,IF(G200&lt;=301,G200/3,G200/4))))</f>
        <v>838.45101599999975</v>
      </c>
      <c r="I200" s="184"/>
      <c r="J200" s="185"/>
    </row>
    <row r="201" spans="1:13" x14ac:dyDescent="0.25">
      <c r="A201" s="38">
        <f t="shared" ref="A201:A203" si="40">A200+1</f>
        <v>3</v>
      </c>
      <c r="B201" s="2" t="s">
        <v>189</v>
      </c>
      <c r="C201" s="2">
        <f>(29.92)*10.764</f>
        <v>322.05887999999999</v>
      </c>
      <c r="D201" s="2">
        <f t="shared" si="38"/>
        <v>29.600999999999999</v>
      </c>
      <c r="E201" s="2">
        <f>(0.75*(2.1+2.75))*10.764</f>
        <v>39.154049999999998</v>
      </c>
      <c r="F201" s="2">
        <f t="shared" si="37"/>
        <v>390.81392999999997</v>
      </c>
      <c r="G201" s="2">
        <v>0</v>
      </c>
      <c r="H201" s="2">
        <f t="shared" si="39"/>
        <v>566.68019849999996</v>
      </c>
      <c r="I201" s="184"/>
      <c r="J201" s="185"/>
    </row>
    <row r="202" spans="1:13" x14ac:dyDescent="0.25">
      <c r="A202" s="38">
        <f t="shared" si="40"/>
        <v>4</v>
      </c>
      <c r="B202" s="2" t="s">
        <v>217</v>
      </c>
      <c r="C202" s="49" t="s">
        <v>195</v>
      </c>
      <c r="D202" s="50"/>
      <c r="E202" s="50"/>
      <c r="F202" s="50"/>
      <c r="G202" s="50"/>
      <c r="H202" s="51"/>
      <c r="I202" s="184"/>
      <c r="J202" s="185"/>
    </row>
    <row r="203" spans="1:13" x14ac:dyDescent="0.25">
      <c r="A203" s="38">
        <f t="shared" si="40"/>
        <v>5</v>
      </c>
      <c r="B203" s="2" t="s">
        <v>189</v>
      </c>
      <c r="C203" s="2">
        <f>(29.92)*10.764</f>
        <v>322.05887999999999</v>
      </c>
      <c r="D203" s="2">
        <f t="shared" si="38"/>
        <v>29.600999999999999</v>
      </c>
      <c r="E203" s="2">
        <f>(0.75*(2.1+2.75))*10.764</f>
        <v>39.154049999999998</v>
      </c>
      <c r="F203" s="2">
        <f t="shared" si="37"/>
        <v>390.81392999999997</v>
      </c>
      <c r="G203" s="2">
        <v>0</v>
      </c>
      <c r="H203" s="2">
        <f t="shared" ref="H203:H208" si="41">F203*(($H$132)+1)+(IF(G203&lt;101,G203,IF(G203&lt;201,G203/2,IF(G203&lt;=301,G203/3,G203/4))))</f>
        <v>566.68019849999996</v>
      </c>
      <c r="I203" s="184"/>
      <c r="J203" s="185"/>
    </row>
    <row r="204" spans="1:13" x14ac:dyDescent="0.25">
      <c r="A204" s="38">
        <f>A203+1</f>
        <v>6</v>
      </c>
      <c r="B204" s="2" t="s">
        <v>189</v>
      </c>
      <c r="C204" s="2">
        <f>(29.13)*10.764</f>
        <v>313.55531999999999</v>
      </c>
      <c r="D204" s="2">
        <f t="shared" si="38"/>
        <v>29.600999999999999</v>
      </c>
      <c r="E204" s="2">
        <f>(0.75*(2.1+2.75))*10.764</f>
        <v>39.154049999999998</v>
      </c>
      <c r="F204" s="2">
        <f t="shared" si="37"/>
        <v>382.31036999999998</v>
      </c>
      <c r="G204" s="2">
        <v>0</v>
      </c>
      <c r="H204" s="2">
        <f t="shared" si="41"/>
        <v>554.35003649999999</v>
      </c>
      <c r="I204" s="184"/>
      <c r="J204" s="185"/>
    </row>
    <row r="205" spans="1:13" x14ac:dyDescent="0.25">
      <c r="A205" s="38">
        <f t="shared" ref="A205" si="42">A204+1</f>
        <v>7</v>
      </c>
      <c r="B205" s="2" t="s">
        <v>189</v>
      </c>
      <c r="C205" s="2">
        <f>(29.13)*10.764</f>
        <v>313.55531999999999</v>
      </c>
      <c r="D205" s="2">
        <f t="shared" si="38"/>
        <v>29.600999999999999</v>
      </c>
      <c r="E205" s="2">
        <f>(0.75*(2.1+2.75))*10.764</f>
        <v>39.154049999999998</v>
      </c>
      <c r="F205" s="2">
        <f t="shared" si="37"/>
        <v>382.31036999999998</v>
      </c>
      <c r="G205" s="2">
        <v>0</v>
      </c>
      <c r="H205" s="2">
        <f t="shared" si="41"/>
        <v>554.35003649999999</v>
      </c>
      <c r="I205" s="184"/>
      <c r="J205" s="185"/>
    </row>
    <row r="206" spans="1:13" x14ac:dyDescent="0.25">
      <c r="A206" s="38">
        <f>A205+1</f>
        <v>8</v>
      </c>
      <c r="B206" s="2" t="s">
        <v>189</v>
      </c>
      <c r="C206" s="2">
        <f>(29.92)*10.764</f>
        <v>322.05887999999999</v>
      </c>
      <c r="D206" s="2">
        <f t="shared" si="38"/>
        <v>29.600999999999999</v>
      </c>
      <c r="E206" s="2">
        <f>(0.75*(2.1+2.75))*10.764</f>
        <v>39.154049999999998</v>
      </c>
      <c r="F206" s="2">
        <f t="shared" si="37"/>
        <v>390.81392999999997</v>
      </c>
      <c r="G206" s="2">
        <v>0</v>
      </c>
      <c r="H206" s="2">
        <f t="shared" si="41"/>
        <v>566.68019849999996</v>
      </c>
      <c r="I206" s="184"/>
      <c r="J206" s="185"/>
    </row>
    <row r="207" spans="1:13" x14ac:dyDescent="0.25">
      <c r="A207" s="38">
        <f t="shared" ref="A207" si="43">A206+1</f>
        <v>9</v>
      </c>
      <c r="B207" s="2" t="s">
        <v>189</v>
      </c>
      <c r="C207" s="2">
        <f>(31.22)*10.764</f>
        <v>336.05207999999999</v>
      </c>
      <c r="D207" s="2">
        <f t="shared" si="38"/>
        <v>29.600999999999999</v>
      </c>
      <c r="E207" s="2">
        <f>(0.75*(2.5+2.75))*10.764</f>
        <v>42.383249999999997</v>
      </c>
      <c r="F207" s="2">
        <f t="shared" si="37"/>
        <v>408.03632999999996</v>
      </c>
      <c r="G207" s="2">
        <v>0</v>
      </c>
      <c r="H207" s="2">
        <f t="shared" si="41"/>
        <v>591.65267849999998</v>
      </c>
      <c r="I207" s="184"/>
      <c r="J207" s="185"/>
    </row>
    <row r="208" spans="1:13" x14ac:dyDescent="0.25">
      <c r="A208" s="38">
        <f>A207+1</f>
        <v>10</v>
      </c>
      <c r="B208" s="2" t="s">
        <v>189</v>
      </c>
      <c r="C208" s="2">
        <f>(29.92)*10.764</f>
        <v>322.05887999999999</v>
      </c>
      <c r="D208" s="2">
        <f t="shared" si="38"/>
        <v>29.600999999999999</v>
      </c>
      <c r="E208" s="2">
        <f>(0.75*(2.1+2.75))*10.764</f>
        <v>39.154049999999998</v>
      </c>
      <c r="F208" s="2">
        <f t="shared" si="37"/>
        <v>390.81392999999997</v>
      </c>
      <c r="G208" s="2">
        <v>0</v>
      </c>
      <c r="H208" s="2">
        <f t="shared" si="41"/>
        <v>566.68019849999996</v>
      </c>
      <c r="I208" s="186"/>
      <c r="J208" s="187"/>
    </row>
    <row r="209" spans="1:12" ht="15" customHeight="1" x14ac:dyDescent="0.25">
      <c r="A209" s="122"/>
      <c r="B209" s="122"/>
      <c r="C209" s="122"/>
      <c r="D209" s="122"/>
      <c r="E209" s="122"/>
      <c r="F209" s="122"/>
      <c r="G209" s="122"/>
      <c r="H209" s="122"/>
      <c r="I209" s="122"/>
      <c r="J209" s="122"/>
      <c r="K209" s="20"/>
      <c r="L209" s="20"/>
    </row>
    <row r="210" spans="1:12" ht="31.5" customHeight="1" x14ac:dyDescent="0.25">
      <c r="A210" s="28">
        <v>48</v>
      </c>
      <c r="B210" s="101" t="s">
        <v>50</v>
      </c>
      <c r="C210" s="101"/>
      <c r="D210" s="101"/>
      <c r="E210" s="101"/>
      <c r="F210" s="97" t="s">
        <v>211</v>
      </c>
      <c r="G210" s="97"/>
      <c r="H210" s="97"/>
      <c r="I210" s="97"/>
      <c r="J210" s="97"/>
      <c r="K210" s="94"/>
      <c r="L210" s="165"/>
    </row>
    <row r="211" spans="1:12" ht="45.75" customHeight="1" x14ac:dyDescent="0.25">
      <c r="A211" s="28">
        <v>49</v>
      </c>
      <c r="B211" s="101" t="s">
        <v>149</v>
      </c>
      <c r="C211" s="101"/>
      <c r="D211" s="101"/>
      <c r="E211" s="101"/>
      <c r="F211" s="109" t="s">
        <v>222</v>
      </c>
      <c r="G211" s="109"/>
      <c r="H211" s="109"/>
      <c r="I211" s="109"/>
      <c r="J211" s="109"/>
    </row>
    <row r="212" spans="1:12" ht="46.5" customHeight="1" x14ac:dyDescent="0.25">
      <c r="A212" s="28">
        <v>50</v>
      </c>
      <c r="B212" s="101" t="s">
        <v>51</v>
      </c>
      <c r="C212" s="101"/>
      <c r="D212" s="101"/>
      <c r="E212" s="101"/>
      <c r="F212" s="98" t="s">
        <v>72</v>
      </c>
      <c r="G212" s="98"/>
      <c r="H212" s="98"/>
      <c r="I212" s="98"/>
      <c r="J212" s="98"/>
    </row>
    <row r="213" spans="1:12" ht="15" customHeight="1" x14ac:dyDescent="0.25">
      <c r="A213" s="139">
        <v>51</v>
      </c>
      <c r="B213" s="101" t="s">
        <v>52</v>
      </c>
      <c r="C213" s="101"/>
      <c r="D213" s="101"/>
      <c r="E213" s="101"/>
      <c r="F213" s="164" t="s">
        <v>71</v>
      </c>
      <c r="G213" s="164"/>
      <c r="H213" s="164"/>
      <c r="I213" s="164"/>
      <c r="J213" s="164"/>
    </row>
    <row r="214" spans="1:12" ht="31.5" customHeight="1" x14ac:dyDescent="0.25">
      <c r="A214" s="139"/>
      <c r="B214" s="101"/>
      <c r="C214" s="101"/>
      <c r="D214" s="101"/>
      <c r="E214" s="101"/>
      <c r="F214" s="138" t="s">
        <v>119</v>
      </c>
      <c r="G214" s="138"/>
      <c r="H214" s="138"/>
      <c r="I214" s="138">
        <v>4300</v>
      </c>
      <c r="J214" s="138"/>
    </row>
    <row r="215" spans="1:12" ht="31.5" hidden="1" customHeight="1" x14ac:dyDescent="0.25">
      <c r="A215" s="139"/>
      <c r="B215" s="101"/>
      <c r="C215" s="101"/>
      <c r="D215" s="101"/>
      <c r="E215" s="101"/>
      <c r="F215" s="138" t="s">
        <v>120</v>
      </c>
      <c r="G215" s="138"/>
      <c r="H215" s="138"/>
      <c r="I215" s="138"/>
      <c r="J215" s="138"/>
    </row>
    <row r="216" spans="1:12" ht="32.25" customHeight="1" x14ac:dyDescent="0.25">
      <c r="A216" s="28">
        <v>52</v>
      </c>
      <c r="B216" s="101" t="s">
        <v>53</v>
      </c>
      <c r="C216" s="101"/>
      <c r="D216" s="101"/>
      <c r="E216" s="101"/>
      <c r="F216" s="97" t="s">
        <v>72</v>
      </c>
      <c r="G216" s="97"/>
      <c r="H216" s="97"/>
      <c r="I216" s="97"/>
      <c r="J216" s="97"/>
    </row>
    <row r="217" spans="1:12" x14ac:dyDescent="0.25">
      <c r="A217" s="139">
        <v>53</v>
      </c>
      <c r="B217" s="101" t="s">
        <v>172</v>
      </c>
      <c r="C217" s="101"/>
      <c r="D217" s="101"/>
      <c r="E217" s="101"/>
      <c r="F217" s="168" t="s">
        <v>171</v>
      </c>
      <c r="G217" s="168"/>
      <c r="H217" s="168"/>
      <c r="I217" s="168"/>
      <c r="J217" s="168"/>
    </row>
    <row r="218" spans="1:12" ht="31.5" customHeight="1" x14ac:dyDescent="0.25">
      <c r="A218" s="139"/>
      <c r="B218" s="101"/>
      <c r="C218" s="101"/>
      <c r="D218" s="101"/>
      <c r="E218" s="101"/>
      <c r="F218" s="138" t="s">
        <v>119</v>
      </c>
      <c r="G218" s="138"/>
      <c r="H218" s="138"/>
      <c r="I218" s="196">
        <v>4300</v>
      </c>
      <c r="J218" s="196"/>
    </row>
    <row r="219" spans="1:12" ht="31.5" hidden="1" customHeight="1" x14ac:dyDescent="0.25">
      <c r="A219" s="139"/>
      <c r="B219" s="101"/>
      <c r="C219" s="101"/>
      <c r="D219" s="101"/>
      <c r="E219" s="101"/>
      <c r="F219" s="138" t="s">
        <v>120</v>
      </c>
      <c r="G219" s="138"/>
      <c r="H219" s="138"/>
      <c r="I219" s="196"/>
      <c r="J219" s="196"/>
    </row>
    <row r="220" spans="1:12" x14ac:dyDescent="0.25">
      <c r="A220" s="139"/>
      <c r="B220" s="101"/>
      <c r="C220" s="101"/>
      <c r="D220" s="101"/>
      <c r="E220" s="101"/>
      <c r="F220" s="101" t="s">
        <v>14</v>
      </c>
      <c r="G220" s="101"/>
      <c r="H220" s="101"/>
      <c r="I220" s="196">
        <v>150000</v>
      </c>
      <c r="J220" s="196"/>
    </row>
    <row r="221" spans="1:12" ht="44.25" customHeight="1" x14ac:dyDescent="0.25">
      <c r="A221" s="28">
        <v>54</v>
      </c>
      <c r="B221" s="101" t="s">
        <v>54</v>
      </c>
      <c r="C221" s="101"/>
      <c r="D221" s="101"/>
      <c r="E221" s="101"/>
      <c r="F221" s="98" t="s">
        <v>11</v>
      </c>
      <c r="G221" s="98"/>
      <c r="H221" s="98"/>
      <c r="I221" s="98"/>
      <c r="J221" s="98"/>
    </row>
    <row r="222" spans="1:12" ht="15" customHeight="1" x14ac:dyDescent="0.25">
      <c r="A222" s="139">
        <v>55</v>
      </c>
      <c r="B222" s="101" t="s">
        <v>55</v>
      </c>
      <c r="C222" s="101"/>
      <c r="D222" s="101"/>
      <c r="E222" s="101"/>
      <c r="F222" s="109" t="s">
        <v>104</v>
      </c>
      <c r="G222" s="109"/>
      <c r="H222" s="109"/>
      <c r="I222" s="169" t="s">
        <v>11</v>
      </c>
      <c r="J222" s="114"/>
    </row>
    <row r="223" spans="1:12" ht="15" hidden="1" customHeight="1" x14ac:dyDescent="0.25">
      <c r="A223" s="139"/>
      <c r="B223" s="101"/>
      <c r="C223" s="101"/>
      <c r="D223" s="101"/>
      <c r="E223" s="101"/>
      <c r="F223" s="109" t="s">
        <v>105</v>
      </c>
      <c r="G223" s="109"/>
      <c r="H223" s="109"/>
      <c r="I223" s="107">
        <v>0.2</v>
      </c>
      <c r="J223" s="108"/>
    </row>
    <row r="224" spans="1:12" ht="15" hidden="1" customHeight="1" x14ac:dyDescent="0.25">
      <c r="A224" s="139"/>
      <c r="B224" s="101"/>
      <c r="C224" s="101"/>
      <c r="D224" s="101"/>
      <c r="E224" s="101"/>
      <c r="F224" s="109" t="s">
        <v>5</v>
      </c>
      <c r="G224" s="109"/>
      <c r="H224" s="109"/>
      <c r="I224" s="107">
        <v>0.15</v>
      </c>
      <c r="J224" s="108"/>
    </row>
    <row r="225" spans="1:10" ht="15" hidden="1" customHeight="1" x14ac:dyDescent="0.25">
      <c r="A225" s="139"/>
      <c r="B225" s="101"/>
      <c r="C225" s="101"/>
      <c r="D225" s="101"/>
      <c r="E225" s="101"/>
      <c r="F225" s="109" t="s">
        <v>106</v>
      </c>
      <c r="G225" s="109"/>
      <c r="H225" s="109"/>
      <c r="I225" s="107">
        <v>0.05</v>
      </c>
      <c r="J225" s="108"/>
    </row>
    <row r="226" spans="1:10" ht="15" hidden="1" customHeight="1" x14ac:dyDescent="0.25">
      <c r="A226" s="139"/>
      <c r="B226" s="101"/>
      <c r="C226" s="101"/>
      <c r="D226" s="101"/>
      <c r="E226" s="101"/>
      <c r="F226" s="109" t="s">
        <v>107</v>
      </c>
      <c r="G226" s="109"/>
      <c r="H226" s="109"/>
      <c r="I226" s="107">
        <v>0.05</v>
      </c>
      <c r="J226" s="108"/>
    </row>
    <row r="227" spans="1:10" ht="15" hidden="1" customHeight="1" x14ac:dyDescent="0.25">
      <c r="A227" s="139"/>
      <c r="B227" s="101"/>
      <c r="C227" s="101"/>
      <c r="D227" s="101"/>
      <c r="E227" s="101"/>
      <c r="F227" s="109" t="s">
        <v>108</v>
      </c>
      <c r="G227" s="109"/>
      <c r="H227" s="109"/>
      <c r="I227" s="107">
        <v>0.05</v>
      </c>
      <c r="J227" s="108"/>
    </row>
    <row r="228" spans="1:10" ht="15" hidden="1" customHeight="1" x14ac:dyDescent="0.25">
      <c r="A228" s="139"/>
      <c r="B228" s="101"/>
      <c r="C228" s="101"/>
      <c r="D228" s="101"/>
      <c r="E228" s="101"/>
      <c r="F228" s="109" t="s">
        <v>109</v>
      </c>
      <c r="G228" s="109"/>
      <c r="H228" s="109"/>
      <c r="I228" s="107">
        <v>0.05</v>
      </c>
      <c r="J228" s="108"/>
    </row>
    <row r="229" spans="1:10" ht="15" hidden="1" customHeight="1" x14ac:dyDescent="0.25">
      <c r="A229" s="139"/>
      <c r="B229" s="101"/>
      <c r="C229" s="101"/>
      <c r="D229" s="101"/>
      <c r="E229" s="101"/>
      <c r="F229" s="109" t="s">
        <v>110</v>
      </c>
      <c r="G229" s="109"/>
      <c r="H229" s="109"/>
      <c r="I229" s="107">
        <v>0.05</v>
      </c>
      <c r="J229" s="108"/>
    </row>
    <row r="230" spans="1:10" ht="15" hidden="1" customHeight="1" x14ac:dyDescent="0.25">
      <c r="A230" s="139"/>
      <c r="B230" s="101"/>
      <c r="C230" s="101"/>
      <c r="D230" s="101"/>
      <c r="E230" s="101"/>
      <c r="F230" s="109" t="s">
        <v>111</v>
      </c>
      <c r="G230" s="109"/>
      <c r="H230" s="109"/>
      <c r="I230" s="107">
        <v>0.05</v>
      </c>
      <c r="J230" s="108"/>
    </row>
    <row r="231" spans="1:10" ht="15" hidden="1" customHeight="1" x14ac:dyDescent="0.25">
      <c r="A231" s="139"/>
      <c r="B231" s="101"/>
      <c r="C231" s="101"/>
      <c r="D231" s="101"/>
      <c r="E231" s="101"/>
      <c r="F231" s="109" t="s">
        <v>112</v>
      </c>
      <c r="G231" s="109"/>
      <c r="H231" s="109"/>
      <c r="I231" s="107">
        <v>0.05</v>
      </c>
      <c r="J231" s="108"/>
    </row>
    <row r="232" spans="1:10" ht="15" hidden="1" customHeight="1" x14ac:dyDescent="0.25">
      <c r="A232" s="139"/>
      <c r="B232" s="101"/>
      <c r="C232" s="101"/>
      <c r="D232" s="101"/>
      <c r="E232" s="101"/>
      <c r="F232" s="109" t="s">
        <v>113</v>
      </c>
      <c r="G232" s="109"/>
      <c r="H232" s="109"/>
      <c r="I232" s="107">
        <v>0.05</v>
      </c>
      <c r="J232" s="108"/>
    </row>
    <row r="233" spans="1:10" hidden="1" x14ac:dyDescent="0.25">
      <c r="A233" s="139"/>
      <c r="B233" s="101"/>
      <c r="C233" s="101"/>
      <c r="D233" s="101"/>
      <c r="E233" s="101"/>
      <c r="F233" s="109" t="s">
        <v>114</v>
      </c>
      <c r="G233" s="109"/>
      <c r="H233" s="109"/>
      <c r="I233" s="107">
        <v>0.05</v>
      </c>
      <c r="J233" s="108"/>
    </row>
    <row r="234" spans="1:10" hidden="1" x14ac:dyDescent="0.25">
      <c r="A234" s="139"/>
      <c r="B234" s="101"/>
      <c r="C234" s="101"/>
      <c r="D234" s="101"/>
      <c r="E234" s="101"/>
      <c r="F234" s="109" t="s">
        <v>115</v>
      </c>
      <c r="G234" s="109"/>
      <c r="H234" s="109"/>
      <c r="I234" s="107">
        <v>0.05</v>
      </c>
      <c r="J234" s="107"/>
    </row>
    <row r="235" spans="1:10" ht="15" hidden="1" customHeight="1" x14ac:dyDescent="0.25">
      <c r="A235" s="139"/>
      <c r="B235" s="101"/>
      <c r="C235" s="101"/>
      <c r="D235" s="101"/>
      <c r="E235" s="101"/>
      <c r="F235" s="109" t="s">
        <v>116</v>
      </c>
      <c r="G235" s="109"/>
      <c r="H235" s="109"/>
      <c r="I235" s="107">
        <v>0.05</v>
      </c>
      <c r="J235" s="107"/>
    </row>
    <row r="236" spans="1:10" hidden="1" x14ac:dyDescent="0.25">
      <c r="A236" s="139"/>
      <c r="B236" s="101"/>
      <c r="C236" s="101"/>
      <c r="D236" s="101"/>
      <c r="E236" s="101"/>
      <c r="F236" s="109" t="s">
        <v>13</v>
      </c>
      <c r="G236" s="109"/>
      <c r="H236" s="109"/>
      <c r="I236" s="107">
        <f>SUM(I222:J235)</f>
        <v>0.90000000000000024</v>
      </c>
      <c r="J236" s="108"/>
    </row>
    <row r="237" spans="1:10" ht="58.5" customHeight="1" x14ac:dyDescent="0.25">
      <c r="A237" s="28">
        <v>56</v>
      </c>
      <c r="B237" s="101" t="s">
        <v>56</v>
      </c>
      <c r="C237" s="101"/>
      <c r="D237" s="101"/>
      <c r="E237" s="101"/>
      <c r="F237" s="98" t="s">
        <v>70</v>
      </c>
      <c r="G237" s="98"/>
      <c r="H237" s="98"/>
      <c r="I237" s="98"/>
      <c r="J237" s="98"/>
    </row>
    <row r="238" spans="1:10" ht="45" customHeight="1" x14ac:dyDescent="0.25">
      <c r="A238" s="28">
        <v>57</v>
      </c>
      <c r="B238" s="101" t="s">
        <v>57</v>
      </c>
      <c r="C238" s="101"/>
      <c r="D238" s="101"/>
      <c r="E238" s="101"/>
      <c r="F238" s="98" t="s">
        <v>70</v>
      </c>
      <c r="G238" s="98"/>
      <c r="H238" s="98"/>
      <c r="I238" s="98"/>
      <c r="J238" s="98"/>
    </row>
    <row r="239" spans="1:10" ht="59.25" customHeight="1" x14ac:dyDescent="0.25">
      <c r="A239" s="28">
        <v>58</v>
      </c>
      <c r="B239" s="101" t="s">
        <v>58</v>
      </c>
      <c r="C239" s="101"/>
      <c r="D239" s="101"/>
      <c r="E239" s="101"/>
      <c r="F239" s="98" t="s">
        <v>70</v>
      </c>
      <c r="G239" s="98"/>
      <c r="H239" s="98"/>
      <c r="I239" s="98"/>
      <c r="J239" s="98"/>
    </row>
    <row r="240" spans="1:10" ht="61.5" customHeight="1" x14ac:dyDescent="0.25">
      <c r="A240" s="28">
        <v>59</v>
      </c>
      <c r="B240" s="101" t="s">
        <v>59</v>
      </c>
      <c r="C240" s="101"/>
      <c r="D240" s="101"/>
      <c r="E240" s="101"/>
      <c r="F240" s="98" t="s">
        <v>70</v>
      </c>
      <c r="G240" s="98"/>
      <c r="H240" s="98"/>
      <c r="I240" s="98"/>
      <c r="J240" s="98"/>
    </row>
    <row r="241" spans="1:10" ht="15" customHeight="1" x14ac:dyDescent="0.25">
      <c r="A241" s="28">
        <v>60</v>
      </c>
      <c r="B241" s="101" t="s">
        <v>60</v>
      </c>
      <c r="C241" s="101"/>
      <c r="D241" s="101"/>
      <c r="E241" s="101"/>
      <c r="F241" s="101"/>
      <c r="G241" s="101"/>
      <c r="H241" s="101"/>
      <c r="I241" s="101"/>
      <c r="J241" s="101"/>
    </row>
    <row r="242" spans="1:10" ht="30" customHeight="1" x14ac:dyDescent="0.25">
      <c r="A242" s="28" t="s">
        <v>61</v>
      </c>
      <c r="B242" s="101" t="s">
        <v>62</v>
      </c>
      <c r="C242" s="101"/>
      <c r="D242" s="101"/>
      <c r="E242" s="101"/>
      <c r="F242" s="98" t="s">
        <v>70</v>
      </c>
      <c r="G242" s="98"/>
      <c r="H242" s="98"/>
      <c r="I242" s="98"/>
      <c r="J242" s="98"/>
    </row>
    <row r="243" spans="1:10" ht="48.75" customHeight="1" x14ac:dyDescent="0.25">
      <c r="A243" s="28" t="s">
        <v>64</v>
      </c>
      <c r="B243" s="101" t="s">
        <v>63</v>
      </c>
      <c r="C243" s="101"/>
      <c r="D243" s="101"/>
      <c r="E243" s="101"/>
      <c r="F243" s="98" t="s">
        <v>72</v>
      </c>
      <c r="G243" s="98"/>
      <c r="H243" s="98"/>
      <c r="I243" s="98"/>
      <c r="J243" s="98"/>
    </row>
    <row r="244" spans="1:10" ht="15.6" customHeight="1" x14ac:dyDescent="0.25">
      <c r="A244" s="167" t="s">
        <v>163</v>
      </c>
      <c r="B244" s="167"/>
      <c r="C244" s="167"/>
      <c r="D244" s="167"/>
      <c r="E244" s="167"/>
      <c r="F244" s="167"/>
      <c r="G244" s="167"/>
      <c r="H244" s="167"/>
      <c r="I244" s="167"/>
      <c r="J244" s="167"/>
    </row>
    <row r="245" spans="1:10" ht="45" customHeight="1" x14ac:dyDescent="0.25">
      <c r="A245" s="35">
        <v>1</v>
      </c>
      <c r="B245" s="123" t="s">
        <v>237</v>
      </c>
      <c r="C245" s="124"/>
      <c r="D245" s="124"/>
      <c r="E245" s="124"/>
      <c r="F245" s="124"/>
      <c r="G245" s="124"/>
      <c r="H245" s="124"/>
      <c r="I245" s="124"/>
      <c r="J245" s="125"/>
    </row>
    <row r="246" spans="1:10" x14ac:dyDescent="0.25">
      <c r="A246" s="35">
        <v>2</v>
      </c>
      <c r="B246" s="123" t="s">
        <v>159</v>
      </c>
      <c r="C246" s="124"/>
      <c r="D246" s="124"/>
      <c r="E246" s="124"/>
      <c r="F246" s="124"/>
      <c r="G246" s="124"/>
      <c r="H246" s="124"/>
      <c r="I246" s="124"/>
      <c r="J246" s="125"/>
    </row>
    <row r="247" spans="1:10" x14ac:dyDescent="0.25">
      <c r="A247" s="35">
        <v>3</v>
      </c>
      <c r="B247" s="123" t="s">
        <v>158</v>
      </c>
      <c r="C247" s="124"/>
      <c r="D247" s="124"/>
      <c r="E247" s="124"/>
      <c r="F247" s="124"/>
      <c r="G247" s="124"/>
      <c r="H247" s="124"/>
      <c r="I247" s="124"/>
      <c r="J247" s="125"/>
    </row>
    <row r="248" spans="1:10" x14ac:dyDescent="0.25">
      <c r="A248" s="35">
        <v>4</v>
      </c>
      <c r="B248" s="123" t="s">
        <v>199</v>
      </c>
      <c r="C248" s="124"/>
      <c r="D248" s="124"/>
      <c r="E248" s="124"/>
      <c r="F248" s="124"/>
      <c r="G248" s="124"/>
      <c r="H248" s="124"/>
      <c r="I248" s="124"/>
      <c r="J248" s="125"/>
    </row>
    <row r="249" spans="1:10" x14ac:dyDescent="0.25">
      <c r="A249" s="35">
        <v>5</v>
      </c>
      <c r="B249" s="123" t="s">
        <v>160</v>
      </c>
      <c r="C249" s="124"/>
      <c r="D249" s="124"/>
      <c r="E249" s="124"/>
      <c r="F249" s="124"/>
      <c r="G249" s="124"/>
      <c r="H249" s="124"/>
      <c r="I249" s="124"/>
      <c r="J249" s="125"/>
    </row>
    <row r="250" spans="1:10" x14ac:dyDescent="0.25">
      <c r="A250" s="35">
        <v>6</v>
      </c>
      <c r="B250" s="123" t="s">
        <v>161</v>
      </c>
      <c r="C250" s="124"/>
      <c r="D250" s="124"/>
      <c r="E250" s="124"/>
      <c r="F250" s="124"/>
      <c r="G250" s="124"/>
      <c r="H250" s="124"/>
      <c r="I250" s="124"/>
      <c r="J250" s="125"/>
    </row>
    <row r="251" spans="1:10" ht="30.75" customHeight="1" x14ac:dyDescent="0.25">
      <c r="A251" s="35">
        <v>7</v>
      </c>
      <c r="B251" s="123" t="s">
        <v>162</v>
      </c>
      <c r="C251" s="124"/>
      <c r="D251" s="124"/>
      <c r="E251" s="124"/>
      <c r="F251" s="124"/>
      <c r="G251" s="124"/>
      <c r="H251" s="124"/>
      <c r="I251" s="124"/>
      <c r="J251" s="125"/>
    </row>
    <row r="252" spans="1:10" x14ac:dyDescent="0.25">
      <c r="A252" s="35">
        <v>8</v>
      </c>
      <c r="B252" s="123" t="s">
        <v>205</v>
      </c>
      <c r="C252" s="124"/>
      <c r="D252" s="124"/>
      <c r="E252" s="124"/>
      <c r="F252" s="124"/>
      <c r="G252" s="124"/>
      <c r="H252" s="124"/>
      <c r="I252" s="124"/>
      <c r="J252" s="125"/>
    </row>
    <row r="253" spans="1:10" x14ac:dyDescent="0.25">
      <c r="A253" s="35">
        <v>9</v>
      </c>
      <c r="B253" s="123" t="s">
        <v>220</v>
      </c>
      <c r="C253" s="124"/>
      <c r="D253" s="124"/>
      <c r="E253" s="124"/>
      <c r="F253" s="124"/>
      <c r="G253" s="124"/>
      <c r="H253" s="124"/>
      <c r="I253" s="124"/>
      <c r="J253" s="125"/>
    </row>
    <row r="254" spans="1:10" x14ac:dyDescent="0.25">
      <c r="A254" s="35">
        <v>10</v>
      </c>
      <c r="B254" s="123" t="s">
        <v>236</v>
      </c>
      <c r="C254" s="124"/>
      <c r="D254" s="124"/>
      <c r="E254" s="124"/>
      <c r="F254" s="124"/>
      <c r="G254" s="124"/>
      <c r="H254" s="124"/>
      <c r="I254" s="124"/>
      <c r="J254" s="125"/>
    </row>
    <row r="255" spans="1:10" x14ac:dyDescent="0.25">
      <c r="A255" s="35">
        <v>11</v>
      </c>
      <c r="B255" s="123" t="s">
        <v>221</v>
      </c>
      <c r="C255" s="124"/>
      <c r="D255" s="124"/>
      <c r="E255" s="124"/>
      <c r="F255" s="124"/>
      <c r="G255" s="124"/>
      <c r="H255" s="124"/>
      <c r="I255" s="124"/>
      <c r="J255" s="125"/>
    </row>
    <row r="256" spans="1:10" x14ac:dyDescent="0.25">
      <c r="A256" s="31" t="s">
        <v>89</v>
      </c>
      <c r="B256" s="22"/>
      <c r="C256" s="22"/>
      <c r="D256" s="105" t="str">
        <f>F4</f>
        <v>PG Vatika (C to F Wing)</v>
      </c>
      <c r="E256" s="105"/>
      <c r="F256" s="105"/>
      <c r="G256" s="105"/>
      <c r="H256" s="105"/>
      <c r="I256" s="105"/>
      <c r="J256" s="105"/>
    </row>
    <row r="257" spans="1:10" x14ac:dyDescent="0.25">
      <c r="A257" s="32"/>
      <c r="B257" s="22"/>
      <c r="C257" s="22"/>
      <c r="D257" s="22"/>
      <c r="E257" s="22"/>
      <c r="F257" s="22"/>
      <c r="G257" s="22"/>
      <c r="H257" s="22"/>
      <c r="I257" s="22"/>
      <c r="J257" s="22"/>
    </row>
    <row r="258" spans="1:10" x14ac:dyDescent="0.25">
      <c r="A258" s="32"/>
      <c r="B258" s="22"/>
      <c r="C258" s="22"/>
      <c r="D258" s="22"/>
      <c r="E258" s="22"/>
      <c r="F258" s="22"/>
      <c r="G258" s="22"/>
      <c r="H258" s="22"/>
      <c r="I258" s="22"/>
      <c r="J258" s="22"/>
    </row>
    <row r="277" spans="3:8" x14ac:dyDescent="0.25">
      <c r="C277" s="23"/>
      <c r="G277" s="121"/>
      <c r="H277" s="121"/>
    </row>
    <row r="303" spans="1:1" x14ac:dyDescent="0.25">
      <c r="A303" s="34" t="s">
        <v>154</v>
      </c>
    </row>
    <row r="347" spans="1:10" x14ac:dyDescent="0.25">
      <c r="A347" s="34" t="s">
        <v>18</v>
      </c>
      <c r="B347" s="22"/>
      <c r="C347" s="22"/>
      <c r="D347" s="24"/>
      <c r="E347" s="25"/>
      <c r="F347" s="21"/>
      <c r="G347" s="22"/>
      <c r="H347" s="22"/>
      <c r="I347" s="22"/>
      <c r="J347" s="22"/>
    </row>
    <row r="348" spans="1:10" x14ac:dyDescent="0.25">
      <c r="A348" s="32"/>
      <c r="B348" s="22"/>
      <c r="C348" s="22"/>
      <c r="D348" s="22"/>
      <c r="E348" s="22"/>
      <c r="F348" s="22"/>
      <c r="G348" s="22"/>
      <c r="H348" s="22"/>
      <c r="I348" s="22"/>
      <c r="J348" s="22"/>
    </row>
    <row r="349" spans="1:10" x14ac:dyDescent="0.25">
      <c r="A349" s="32"/>
      <c r="B349" s="22"/>
      <c r="C349" s="22"/>
      <c r="D349" s="22"/>
      <c r="E349" s="22"/>
      <c r="F349" s="22"/>
      <c r="G349" s="22"/>
      <c r="H349" s="22"/>
      <c r="I349" s="22"/>
      <c r="J349" s="22"/>
    </row>
    <row r="368" spans="3:8" x14ac:dyDescent="0.25">
      <c r="C368" s="23"/>
      <c r="G368" s="121"/>
      <c r="H368" s="121"/>
    </row>
    <row r="383" spans="1:10" x14ac:dyDescent="0.25">
      <c r="A383" s="110" t="s">
        <v>0</v>
      </c>
      <c r="B383" s="110"/>
      <c r="C383" s="110"/>
      <c r="D383" s="110"/>
      <c r="E383" s="110"/>
      <c r="F383" s="110"/>
      <c r="G383" s="110"/>
      <c r="H383" s="110"/>
      <c r="I383" s="110"/>
      <c r="J383" s="110"/>
    </row>
    <row r="384" spans="1:10" x14ac:dyDescent="0.25">
      <c r="A384" s="110" t="s">
        <v>3</v>
      </c>
      <c r="B384" s="110"/>
      <c r="C384" s="110"/>
      <c r="D384" s="110"/>
      <c r="E384" s="110"/>
      <c r="F384" s="110"/>
      <c r="G384" s="110"/>
      <c r="H384" s="110"/>
      <c r="I384" s="110"/>
      <c r="J384" s="110"/>
    </row>
    <row r="385" spans="1:10" x14ac:dyDescent="0.25">
      <c r="A385" s="110" t="s">
        <v>1</v>
      </c>
      <c r="B385" s="110"/>
      <c r="C385" s="110"/>
      <c r="D385" s="110"/>
      <c r="E385" s="110"/>
      <c r="F385" s="110"/>
      <c r="G385" s="110"/>
      <c r="H385" s="110"/>
      <c r="I385" s="110"/>
      <c r="J385" s="110"/>
    </row>
    <row r="386" spans="1:10" x14ac:dyDescent="0.25">
      <c r="A386" s="110" t="s">
        <v>6</v>
      </c>
      <c r="B386" s="110"/>
      <c r="C386" s="110"/>
      <c r="D386" s="110"/>
      <c r="E386" s="110"/>
      <c r="F386" s="110"/>
      <c r="G386" s="110"/>
      <c r="H386" s="110"/>
      <c r="I386" s="110"/>
      <c r="J386" s="110"/>
    </row>
    <row r="387" spans="1:10" x14ac:dyDescent="0.25">
      <c r="A387" s="110" t="s">
        <v>12</v>
      </c>
      <c r="B387" s="110"/>
      <c r="C387" s="110"/>
      <c r="D387" s="110"/>
      <c r="E387" s="110"/>
      <c r="F387" s="110"/>
      <c r="G387" s="110"/>
      <c r="H387" s="110"/>
      <c r="I387" s="110"/>
      <c r="J387" s="110"/>
    </row>
    <row r="388" spans="1:10" x14ac:dyDescent="0.25">
      <c r="A388" s="110" t="s">
        <v>7</v>
      </c>
      <c r="B388" s="110"/>
      <c r="C388" s="110"/>
      <c r="D388" s="110"/>
      <c r="E388" s="110"/>
      <c r="F388" s="110"/>
      <c r="G388" s="110"/>
      <c r="H388" s="110"/>
      <c r="I388" s="110"/>
      <c r="J388" s="110"/>
    </row>
    <row r="389" spans="1:10" ht="57" customHeight="1" x14ac:dyDescent="0.25">
      <c r="A389" s="111" t="s">
        <v>148</v>
      </c>
      <c r="B389" s="112"/>
      <c r="C389" s="200" t="s">
        <v>179</v>
      </c>
      <c r="D389" s="201"/>
      <c r="E389" s="111" t="s">
        <v>147</v>
      </c>
      <c r="F389" s="112"/>
      <c r="G389" s="102"/>
      <c r="H389" s="103"/>
      <c r="I389" s="103"/>
      <c r="J389" s="104"/>
    </row>
    <row r="390" spans="1:10" x14ac:dyDescent="0.25">
      <c r="A390" s="34"/>
    </row>
  </sheetData>
  <mergeCells count="428">
    <mergeCell ref="B254:J254"/>
    <mergeCell ref="A95:B95"/>
    <mergeCell ref="D95:E95"/>
    <mergeCell ref="F95:G104"/>
    <mergeCell ref="H95:J104"/>
    <mergeCell ref="A96:B96"/>
    <mergeCell ref="D96:E96"/>
    <mergeCell ref="A97:B97"/>
    <mergeCell ref="D97:E97"/>
    <mergeCell ref="A98:B98"/>
    <mergeCell ref="D98:E98"/>
    <mergeCell ref="A99:B99"/>
    <mergeCell ref="D99:E99"/>
    <mergeCell ref="A100:B100"/>
    <mergeCell ref="D100:E100"/>
    <mergeCell ref="A101:B101"/>
    <mergeCell ref="D101:E101"/>
    <mergeCell ref="A102:B102"/>
    <mergeCell ref="D102:E102"/>
    <mergeCell ref="A103:B103"/>
    <mergeCell ref="D103:E103"/>
    <mergeCell ref="A104:B104"/>
    <mergeCell ref="D104:E104"/>
    <mergeCell ref="A90:B90"/>
    <mergeCell ref="D90:E90"/>
    <mergeCell ref="A91:B91"/>
    <mergeCell ref="C91:J91"/>
    <mergeCell ref="E92:F92"/>
    <mergeCell ref="I92:J92"/>
    <mergeCell ref="A93:B93"/>
    <mergeCell ref="C93:J93"/>
    <mergeCell ref="A94:B94"/>
    <mergeCell ref="D94:E94"/>
    <mergeCell ref="F94:G94"/>
    <mergeCell ref="H94:J94"/>
    <mergeCell ref="D85:E85"/>
    <mergeCell ref="A86:B86"/>
    <mergeCell ref="D86:E86"/>
    <mergeCell ref="A87:B87"/>
    <mergeCell ref="D87:E87"/>
    <mergeCell ref="A88:B88"/>
    <mergeCell ref="D88:E88"/>
    <mergeCell ref="A89:B89"/>
    <mergeCell ref="D89:E89"/>
    <mergeCell ref="A119:B119"/>
    <mergeCell ref="C119:F119"/>
    <mergeCell ref="H119:J119"/>
    <mergeCell ref="A77:B77"/>
    <mergeCell ref="C77:J77"/>
    <mergeCell ref="E78:F78"/>
    <mergeCell ref="I78:J78"/>
    <mergeCell ref="A79:B79"/>
    <mergeCell ref="C79:J79"/>
    <mergeCell ref="A80:B80"/>
    <mergeCell ref="D80:E80"/>
    <mergeCell ref="F80:G80"/>
    <mergeCell ref="H80:J80"/>
    <mergeCell ref="A81:B81"/>
    <mergeCell ref="D81:E81"/>
    <mergeCell ref="F81:G90"/>
    <mergeCell ref="H81:J90"/>
    <mergeCell ref="A82:B82"/>
    <mergeCell ref="D82:E82"/>
    <mergeCell ref="A83:B83"/>
    <mergeCell ref="D83:E83"/>
    <mergeCell ref="A84:B84"/>
    <mergeCell ref="D84:E84"/>
    <mergeCell ref="A85:B85"/>
    <mergeCell ref="B252:J252"/>
    <mergeCell ref="B253:J253"/>
    <mergeCell ref="A126:B126"/>
    <mergeCell ref="C126:D126"/>
    <mergeCell ref="E126:G126"/>
    <mergeCell ref="H126:J126"/>
    <mergeCell ref="A127:B127"/>
    <mergeCell ref="C127:D127"/>
    <mergeCell ref="E127:G127"/>
    <mergeCell ref="H127:J127"/>
    <mergeCell ref="B240:E240"/>
    <mergeCell ref="A165:J165"/>
    <mergeCell ref="A166:J166"/>
    <mergeCell ref="A167:J167"/>
    <mergeCell ref="I168:J175"/>
    <mergeCell ref="A176:J176"/>
    <mergeCell ref="I177:J184"/>
    <mergeCell ref="C181:H181"/>
    <mergeCell ref="A185:J185"/>
    <mergeCell ref="A186:J186"/>
    <mergeCell ref="A187:J187"/>
    <mergeCell ref="A198:J198"/>
    <mergeCell ref="I188:J197"/>
    <mergeCell ref="I199:J208"/>
    <mergeCell ref="C202:H202"/>
    <mergeCell ref="A120:B120"/>
    <mergeCell ref="C120:F120"/>
    <mergeCell ref="H120:J120"/>
    <mergeCell ref="F217:J217"/>
    <mergeCell ref="F219:H219"/>
    <mergeCell ref="B216:E216"/>
    <mergeCell ref="A222:A236"/>
    <mergeCell ref="A217:A220"/>
    <mergeCell ref="I226:J226"/>
    <mergeCell ref="F231:H231"/>
    <mergeCell ref="I231:J231"/>
    <mergeCell ref="F222:H222"/>
    <mergeCell ref="I222:J222"/>
    <mergeCell ref="I223:J223"/>
    <mergeCell ref="F25:J25"/>
    <mergeCell ref="B26:E26"/>
    <mergeCell ref="F214:H214"/>
    <mergeCell ref="F211:J211"/>
    <mergeCell ref="F215:H215"/>
    <mergeCell ref="I215:J215"/>
    <mergeCell ref="K210:L210"/>
    <mergeCell ref="I230:J230"/>
    <mergeCell ref="F237:J237"/>
    <mergeCell ref="I235:J235"/>
    <mergeCell ref="F233:H233"/>
    <mergeCell ref="F234:H234"/>
    <mergeCell ref="I234:J234"/>
    <mergeCell ref="F227:H227"/>
    <mergeCell ref="F230:H230"/>
    <mergeCell ref="F216:J216"/>
    <mergeCell ref="I225:J225"/>
    <mergeCell ref="B222:E236"/>
    <mergeCell ref="I228:J228"/>
    <mergeCell ref="F225:H225"/>
    <mergeCell ref="F226:H226"/>
    <mergeCell ref="A122:J122"/>
    <mergeCell ref="B210:E210"/>
    <mergeCell ref="F220:H220"/>
    <mergeCell ref="A388:J388"/>
    <mergeCell ref="I236:J236"/>
    <mergeCell ref="I220:J220"/>
    <mergeCell ref="A387:J387"/>
    <mergeCell ref="B35:E35"/>
    <mergeCell ref="B38:E38"/>
    <mergeCell ref="B37:E37"/>
    <mergeCell ref="B36:E36"/>
    <mergeCell ref="F213:J213"/>
    <mergeCell ref="B221:E221"/>
    <mergeCell ref="F221:J221"/>
    <mergeCell ref="B39:E39"/>
    <mergeCell ref="B40:E40"/>
    <mergeCell ref="B42:E42"/>
    <mergeCell ref="B43:E43"/>
    <mergeCell ref="B44:E44"/>
    <mergeCell ref="F240:J240"/>
    <mergeCell ref="B106:E106"/>
    <mergeCell ref="A385:J385"/>
    <mergeCell ref="A244:J244"/>
    <mergeCell ref="F218:H218"/>
    <mergeCell ref="I219:J219"/>
    <mergeCell ref="I218:J218"/>
    <mergeCell ref="B217:E220"/>
    <mergeCell ref="A1:J1"/>
    <mergeCell ref="A2:J2"/>
    <mergeCell ref="F11:J11"/>
    <mergeCell ref="F12:J12"/>
    <mergeCell ref="F13:J13"/>
    <mergeCell ref="B12:E12"/>
    <mergeCell ref="B13:E13"/>
    <mergeCell ref="B5:E6"/>
    <mergeCell ref="A5:A6"/>
    <mergeCell ref="B4:E4"/>
    <mergeCell ref="B9:E9"/>
    <mergeCell ref="B10:E10"/>
    <mergeCell ref="F9:J9"/>
    <mergeCell ref="F10:J10"/>
    <mergeCell ref="B8:E8"/>
    <mergeCell ref="F8:J8"/>
    <mergeCell ref="F3:J3"/>
    <mergeCell ref="B3:E3"/>
    <mergeCell ref="B11:E11"/>
    <mergeCell ref="F4:J4"/>
    <mergeCell ref="F5:J5"/>
    <mergeCell ref="B7:E7"/>
    <mergeCell ref="F7:J7"/>
    <mergeCell ref="F6:G6"/>
    <mergeCell ref="F52:G52"/>
    <mergeCell ref="B25:E25"/>
    <mergeCell ref="B14:E14"/>
    <mergeCell ref="B15:E15"/>
    <mergeCell ref="F15:J15"/>
    <mergeCell ref="F22:J22"/>
    <mergeCell ref="B23:E23"/>
    <mergeCell ref="F23:J23"/>
    <mergeCell ref="B16:E16"/>
    <mergeCell ref="B19:E19"/>
    <mergeCell ref="B17:E17"/>
    <mergeCell ref="B18:E18"/>
    <mergeCell ref="B20:E20"/>
    <mergeCell ref="F20:J20"/>
    <mergeCell ref="B21:E21"/>
    <mergeCell ref="F21:J21"/>
    <mergeCell ref="F16:J16"/>
    <mergeCell ref="F17:J17"/>
    <mergeCell ref="F18:J18"/>
    <mergeCell ref="F19:J19"/>
    <mergeCell ref="F24:J24"/>
    <mergeCell ref="B24:E24"/>
    <mergeCell ref="F14:J14"/>
    <mergeCell ref="B22:E22"/>
    <mergeCell ref="F27:J27"/>
    <mergeCell ref="B46:E46"/>
    <mergeCell ref="F46:J46"/>
    <mergeCell ref="B48:J48"/>
    <mergeCell ref="F111:J111"/>
    <mergeCell ref="A55:B55"/>
    <mergeCell ref="D55:E55"/>
    <mergeCell ref="A56:B56"/>
    <mergeCell ref="D56:E56"/>
    <mergeCell ref="A57:B57"/>
    <mergeCell ref="D57:E57"/>
    <mergeCell ref="A58:B58"/>
    <mergeCell ref="D58:E58"/>
    <mergeCell ref="A59:B59"/>
    <mergeCell ref="B111:E111"/>
    <mergeCell ref="F107:J107"/>
    <mergeCell ref="A49:B49"/>
    <mergeCell ref="C49:J49"/>
    <mergeCell ref="E50:F50"/>
    <mergeCell ref="I50:J50"/>
    <mergeCell ref="A51:B51"/>
    <mergeCell ref="C51:J51"/>
    <mergeCell ref="A52:B52"/>
    <mergeCell ref="D52:E52"/>
    <mergeCell ref="F47:J47"/>
    <mergeCell ref="F32:J32"/>
    <mergeCell ref="B45:E45"/>
    <mergeCell ref="B47:E47"/>
    <mergeCell ref="B34:E34"/>
    <mergeCell ref="B33:E33"/>
    <mergeCell ref="F33:J33"/>
    <mergeCell ref="B28:E28"/>
    <mergeCell ref="B29:E29"/>
    <mergeCell ref="B30:E30"/>
    <mergeCell ref="B31:E31"/>
    <mergeCell ref="B32:E32"/>
    <mergeCell ref="B41:E41"/>
    <mergeCell ref="F41:J41"/>
    <mergeCell ref="D61:E61"/>
    <mergeCell ref="C116:F116"/>
    <mergeCell ref="A117:B117"/>
    <mergeCell ref="C117:F117"/>
    <mergeCell ref="F112:J112"/>
    <mergeCell ref="F106:J106"/>
    <mergeCell ref="A115:J115"/>
    <mergeCell ref="F113:G113"/>
    <mergeCell ref="H113:J113"/>
    <mergeCell ref="A116:B116"/>
    <mergeCell ref="H116:J116"/>
    <mergeCell ref="F108:J108"/>
    <mergeCell ref="F109:J109"/>
    <mergeCell ref="F110:J110"/>
    <mergeCell ref="B107:E110"/>
    <mergeCell ref="A63:B63"/>
    <mergeCell ref="C63:J63"/>
    <mergeCell ref="E64:F64"/>
    <mergeCell ref="I64:J64"/>
    <mergeCell ref="A65:B65"/>
    <mergeCell ref="C65:J65"/>
    <mergeCell ref="A66:B66"/>
    <mergeCell ref="D66:E66"/>
    <mergeCell ref="F66:G66"/>
    <mergeCell ref="F243:J243"/>
    <mergeCell ref="F224:H224"/>
    <mergeCell ref="A107:A110"/>
    <mergeCell ref="H123:J123"/>
    <mergeCell ref="E123:G123"/>
    <mergeCell ref="A124:B124"/>
    <mergeCell ref="G131:G132"/>
    <mergeCell ref="A123:B123"/>
    <mergeCell ref="A129:J129"/>
    <mergeCell ref="A130:J130"/>
    <mergeCell ref="H124:J124"/>
    <mergeCell ref="C124:D124"/>
    <mergeCell ref="E124:G124"/>
    <mergeCell ref="C123:D123"/>
    <mergeCell ref="I214:J214"/>
    <mergeCell ref="I136:J141"/>
    <mergeCell ref="A135:J135"/>
    <mergeCell ref="A213:A215"/>
    <mergeCell ref="F212:J212"/>
    <mergeCell ref="B211:E211"/>
    <mergeCell ref="B213:E215"/>
    <mergeCell ref="B212:E212"/>
    <mergeCell ref="F210:J210"/>
    <mergeCell ref="A151:J151"/>
    <mergeCell ref="I152:J157"/>
    <mergeCell ref="A158:J158"/>
    <mergeCell ref="I159:J164"/>
    <mergeCell ref="B161:H161"/>
    <mergeCell ref="G368:H368"/>
    <mergeCell ref="I229:J229"/>
    <mergeCell ref="I233:J233"/>
    <mergeCell ref="A209:J209"/>
    <mergeCell ref="F232:H232"/>
    <mergeCell ref="I232:J232"/>
    <mergeCell ref="G277:H277"/>
    <mergeCell ref="B238:E238"/>
    <mergeCell ref="F242:J242"/>
    <mergeCell ref="F235:H235"/>
    <mergeCell ref="F239:J239"/>
    <mergeCell ref="B237:E237"/>
    <mergeCell ref="B251:J251"/>
    <mergeCell ref="B249:J249"/>
    <mergeCell ref="B248:J248"/>
    <mergeCell ref="B247:J247"/>
    <mergeCell ref="B246:J246"/>
    <mergeCell ref="B245:J245"/>
    <mergeCell ref="B250:J250"/>
    <mergeCell ref="B255:J255"/>
    <mergeCell ref="H52:J52"/>
    <mergeCell ref="A53:B53"/>
    <mergeCell ref="D53:E53"/>
    <mergeCell ref="F53:G62"/>
    <mergeCell ref="H53:J62"/>
    <mergeCell ref="A54:B54"/>
    <mergeCell ref="D54:E54"/>
    <mergeCell ref="A121:B121"/>
    <mergeCell ref="C121:F121"/>
    <mergeCell ref="H121:J121"/>
    <mergeCell ref="F114:G114"/>
    <mergeCell ref="H114:J114"/>
    <mergeCell ref="A113:A114"/>
    <mergeCell ref="B113:E114"/>
    <mergeCell ref="A118:B118"/>
    <mergeCell ref="C118:F118"/>
    <mergeCell ref="H118:J118"/>
    <mergeCell ref="B112:E112"/>
    <mergeCell ref="F105:J105"/>
    <mergeCell ref="B105:E105"/>
    <mergeCell ref="H117:J117"/>
    <mergeCell ref="A60:B60"/>
    <mergeCell ref="D60:E60"/>
    <mergeCell ref="A61:B61"/>
    <mergeCell ref="G389:J389"/>
    <mergeCell ref="D256:J256"/>
    <mergeCell ref="D59:E59"/>
    <mergeCell ref="I131:J132"/>
    <mergeCell ref="I224:J224"/>
    <mergeCell ref="I227:J227"/>
    <mergeCell ref="F228:H228"/>
    <mergeCell ref="B243:E243"/>
    <mergeCell ref="B241:J241"/>
    <mergeCell ref="A386:J386"/>
    <mergeCell ref="F223:H223"/>
    <mergeCell ref="F229:H229"/>
    <mergeCell ref="A384:J384"/>
    <mergeCell ref="F238:J238"/>
    <mergeCell ref="F236:H236"/>
    <mergeCell ref="B242:E242"/>
    <mergeCell ref="A62:B62"/>
    <mergeCell ref="D62:E62"/>
    <mergeCell ref="E389:F389"/>
    <mergeCell ref="A389:B389"/>
    <mergeCell ref="C389:D389"/>
    <mergeCell ref="A383:J383"/>
    <mergeCell ref="B239:E239"/>
    <mergeCell ref="A131:A132"/>
    <mergeCell ref="A39:A40"/>
    <mergeCell ref="H6:J6"/>
    <mergeCell ref="K11:K12"/>
    <mergeCell ref="K22:L22"/>
    <mergeCell ref="K21:L21"/>
    <mergeCell ref="K23:L23"/>
    <mergeCell ref="K31:L32"/>
    <mergeCell ref="F45:J45"/>
    <mergeCell ref="F28:J28"/>
    <mergeCell ref="F37:J37"/>
    <mergeCell ref="F38:J38"/>
    <mergeCell ref="F39:J39"/>
    <mergeCell ref="F29:J29"/>
    <mergeCell ref="F44:J44"/>
    <mergeCell ref="F30:J30"/>
    <mergeCell ref="F31:J31"/>
    <mergeCell ref="F35:J35"/>
    <mergeCell ref="F40:J40"/>
    <mergeCell ref="F43:J43"/>
    <mergeCell ref="F36:J36"/>
    <mergeCell ref="F34:J34"/>
    <mergeCell ref="F42:J42"/>
    <mergeCell ref="F26:J26"/>
    <mergeCell ref="B27:E27"/>
    <mergeCell ref="H66:J66"/>
    <mergeCell ref="A67:B67"/>
    <mergeCell ref="D67:E67"/>
    <mergeCell ref="F67:G76"/>
    <mergeCell ref="H67:J76"/>
    <mergeCell ref="A68:B68"/>
    <mergeCell ref="D68:E68"/>
    <mergeCell ref="A69:B69"/>
    <mergeCell ref="D69:E69"/>
    <mergeCell ref="A70:B70"/>
    <mergeCell ref="D70:E70"/>
    <mergeCell ref="A71:B71"/>
    <mergeCell ref="D71:E71"/>
    <mergeCell ref="A72:B72"/>
    <mergeCell ref="D72:E72"/>
    <mergeCell ref="A73:B73"/>
    <mergeCell ref="D73:E73"/>
    <mergeCell ref="A74:B74"/>
    <mergeCell ref="D74:E74"/>
    <mergeCell ref="A75:B75"/>
    <mergeCell ref="D75:E75"/>
    <mergeCell ref="A76:B76"/>
    <mergeCell ref="D76:E76"/>
    <mergeCell ref="A134:J134"/>
    <mergeCell ref="A133:J133"/>
    <mergeCell ref="A142:J142"/>
    <mergeCell ref="I143:J148"/>
    <mergeCell ref="B148:H148"/>
    <mergeCell ref="A149:J149"/>
    <mergeCell ref="A150:J150"/>
    <mergeCell ref="A125:B125"/>
    <mergeCell ref="C125:D125"/>
    <mergeCell ref="E125:G125"/>
    <mergeCell ref="H125:J125"/>
    <mergeCell ref="A128:B128"/>
    <mergeCell ref="C128:D128"/>
    <mergeCell ref="E128:G128"/>
    <mergeCell ref="H128:J128"/>
    <mergeCell ref="B131:B132"/>
    <mergeCell ref="C131:C132"/>
    <mergeCell ref="D131:D132"/>
    <mergeCell ref="E131:E132"/>
    <mergeCell ref="F131:F132"/>
  </mergeCells>
  <dataValidations disablePrompts="1" count="2">
    <dataValidation type="list" allowBlank="1" showInputMessage="1" showErrorMessage="1" sqref="F16:J16">
      <formula1>"None,Yes"</formula1>
    </dataValidation>
    <dataValidation type="list" allowBlank="1" showInputMessage="1" showErrorMessage="1" sqref="B251:J251">
      <formula1>"Recommended rate should be considered as all inclusive rate if other charges are not mentioned. (Excluding GST &amp; other government Taxes),Other charges can be considered from cost sheet. "</formula1>
    </dataValidation>
  </dataValidations>
  <hyperlinks>
    <hyperlink ref="F7" r:id="rId1"/>
  </hyperlinks>
  <printOptions horizontalCentered="1"/>
  <pageMargins left="0.23622047244094491" right="0.23622047244094491" top="0.74803149606299213" bottom="0.59055118110236227" header="0.19685039370078741" footer="0.19685039370078741"/>
  <pageSetup paperSize="2" fitToHeight="0" orientation="portrait" r:id="rId2"/>
  <headerFooter>
    <oddHeader>&amp;C&amp;"Times New Roman,Bold"&amp;20&amp;G</oddHeader>
    <oddFooter>&amp;L&amp;"Times New Roman,Bold"Ref No: &amp;F&amp;R&amp;P</oddFooter>
  </headerFooter>
  <rowBreaks count="4" manualBreakCount="4">
    <brk id="255" max="16383" man="1"/>
    <brk id="302" max="16383" man="1"/>
    <brk id="346" max="16383" man="1"/>
    <brk id="389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Valuation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PC-51</cp:lastModifiedBy>
  <cp:lastPrinted>2025-09-11T12:44:46Z</cp:lastPrinted>
  <dcterms:created xsi:type="dcterms:W3CDTF">2013-11-23T05:32:33Z</dcterms:created>
  <dcterms:modified xsi:type="dcterms:W3CDTF">2025-09-11T12:49:23Z</dcterms:modified>
</cp:coreProperties>
</file>