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0" yWindow="0" windowWidth="19200" windowHeight="6645" tabRatio="725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Report!$A$1:$H$418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4" i="1" l="1"/>
  <c r="F264" i="1" s="1"/>
  <c r="D263" i="1"/>
  <c r="F263" i="1" s="1"/>
  <c r="D262" i="1"/>
  <c r="F262" i="1" s="1"/>
  <c r="D261" i="1"/>
  <c r="F261" i="1" s="1"/>
  <c r="D258" i="1"/>
  <c r="F258" i="1" s="1"/>
  <c r="D257" i="1"/>
  <c r="F257" i="1" s="1"/>
  <c r="D256" i="1"/>
  <c r="F256" i="1" s="1"/>
  <c r="D255" i="1"/>
  <c r="F255" i="1" s="1"/>
  <c r="D254" i="1"/>
  <c r="F254" i="1" s="1"/>
  <c r="D252" i="1"/>
  <c r="F252" i="1" s="1"/>
  <c r="D251" i="1"/>
  <c r="F251" i="1" s="1"/>
  <c r="D250" i="1"/>
  <c r="F250" i="1" s="1"/>
  <c r="D249" i="1"/>
  <c r="F249" i="1" s="1"/>
  <c r="D248" i="1"/>
  <c r="F248" i="1" s="1"/>
  <c r="D247" i="1"/>
  <c r="D246" i="1"/>
  <c r="F246" i="1" s="1"/>
  <c r="D245" i="1"/>
  <c r="F245" i="1" s="1"/>
  <c r="D244" i="1"/>
  <c r="F244" i="1" s="1"/>
  <c r="D243" i="1"/>
  <c r="F243" i="1" s="1"/>
  <c r="D242" i="1"/>
  <c r="F242" i="1" s="1"/>
  <c r="D240" i="1"/>
  <c r="F240" i="1" s="1"/>
  <c r="D239" i="1"/>
  <c r="F239" i="1" s="1"/>
  <c r="D238" i="1"/>
  <c r="F238" i="1" s="1"/>
  <c r="D237" i="1"/>
  <c r="F237" i="1" s="1"/>
  <c r="D236" i="1"/>
  <c r="D235" i="1"/>
  <c r="F235" i="1" s="1"/>
  <c r="D234" i="1"/>
  <c r="F234" i="1" s="1"/>
  <c r="D233" i="1"/>
  <c r="F233" i="1" s="1"/>
  <c r="D232" i="1"/>
  <c r="D231" i="1"/>
  <c r="F231" i="1" s="1"/>
  <c r="D230" i="1"/>
  <c r="F230" i="1" s="1"/>
  <c r="G254" i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F247" i="1"/>
  <c r="G242" i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F236" i="1"/>
  <c r="F232" i="1"/>
  <c r="G230" i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D228" i="1"/>
  <c r="F228" i="1" s="1"/>
  <c r="D227" i="1"/>
  <c r="F227" i="1" s="1"/>
  <c r="D226" i="1"/>
  <c r="F226" i="1" s="1"/>
  <c r="D225" i="1"/>
  <c r="F225" i="1" s="1"/>
  <c r="D224" i="1"/>
  <c r="F224" i="1" s="1"/>
  <c r="D223" i="1"/>
  <c r="F223" i="1" s="1"/>
  <c r="D222" i="1"/>
  <c r="D221" i="1"/>
  <c r="D220" i="1"/>
  <c r="D219" i="1"/>
  <c r="D218" i="1"/>
  <c r="D216" i="1"/>
  <c r="F216" i="1" s="1"/>
  <c r="D215" i="1"/>
  <c r="D214" i="1"/>
  <c r="F214" i="1" s="1"/>
  <c r="D213" i="1"/>
  <c r="F213" i="1" s="1"/>
  <c r="D210" i="1"/>
  <c r="D209" i="1"/>
  <c r="D208" i="1"/>
  <c r="D207" i="1"/>
  <c r="D206" i="1"/>
  <c r="F215" i="1"/>
  <c r="D204" i="1"/>
  <c r="F204" i="1" s="1"/>
  <c r="D203" i="1"/>
  <c r="F203" i="1" s="1"/>
  <c r="D202" i="1"/>
  <c r="F202" i="1" s="1"/>
  <c r="D201" i="1"/>
  <c r="F201" i="1" s="1"/>
  <c r="D200" i="1"/>
  <c r="F200" i="1" s="1"/>
  <c r="D199" i="1"/>
  <c r="F199" i="1" s="1"/>
  <c r="D198" i="1"/>
  <c r="D197" i="1"/>
  <c r="D196" i="1"/>
  <c r="D195" i="1"/>
  <c r="D194" i="1"/>
  <c r="D182" i="1"/>
  <c r="D183" i="1"/>
  <c r="D184" i="1"/>
  <c r="D185" i="1"/>
  <c r="D186" i="1"/>
  <c r="D187" i="1"/>
  <c r="F187" i="1" s="1"/>
  <c r="D188" i="1"/>
  <c r="F188" i="1" s="1"/>
  <c r="J92" i="1" s="1"/>
  <c r="D189" i="1"/>
  <c r="D190" i="1"/>
  <c r="F190" i="1" s="1"/>
  <c r="D191" i="1"/>
  <c r="F191" i="1" s="1"/>
  <c r="J83" i="1" s="1"/>
  <c r="D192" i="1"/>
  <c r="F192" i="1" s="1"/>
  <c r="F189" i="1"/>
  <c r="G180" i="1"/>
  <c r="D180" i="1"/>
  <c r="F180" i="1" s="1"/>
  <c r="D178" i="1"/>
  <c r="D171" i="1"/>
  <c r="F171" i="1" s="1"/>
  <c r="D170" i="1"/>
  <c r="F170" i="1" s="1"/>
  <c r="D169" i="1"/>
  <c r="F169" i="1" s="1"/>
  <c r="D168" i="1"/>
  <c r="F168" i="1" s="1"/>
  <c r="D167" i="1"/>
  <c r="F167" i="1" s="1"/>
  <c r="D166" i="1"/>
  <c r="F166" i="1" s="1"/>
  <c r="A166" i="1"/>
  <c r="A167" i="1" s="1"/>
  <c r="A168" i="1" s="1"/>
  <c r="A169" i="1" s="1"/>
  <c r="A170" i="1" s="1"/>
  <c r="A171" i="1" s="1"/>
  <c r="G165" i="1"/>
  <c r="G166" i="1" s="1"/>
  <c r="G167" i="1" s="1"/>
  <c r="G168" i="1" s="1"/>
  <c r="G169" i="1" s="1"/>
  <c r="G170" i="1" s="1"/>
  <c r="G171" i="1" s="1"/>
  <c r="D165" i="1"/>
  <c r="F165" i="1" s="1"/>
  <c r="D163" i="1"/>
  <c r="F163" i="1" s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F116" i="1" s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I153" i="1" s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I93" i="1" s="1"/>
  <c r="F121" i="1"/>
  <c r="F120" i="1"/>
  <c r="F119" i="1"/>
  <c r="F118" i="1"/>
  <c r="F117" i="1"/>
  <c r="G116" i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D162" i="1"/>
  <c r="F162" i="1" s="1"/>
  <c r="D161" i="1"/>
  <c r="F161" i="1" s="1"/>
  <c r="D160" i="1"/>
  <c r="D159" i="1"/>
  <c r="D158" i="1"/>
  <c r="D157" i="1"/>
  <c r="C106" i="1" l="1"/>
  <c r="E103" i="1"/>
  <c r="G103" i="1"/>
  <c r="C103" i="1"/>
  <c r="E106" i="1"/>
  <c r="C100" i="1"/>
  <c r="C99" i="1"/>
  <c r="I83" i="1"/>
  <c r="G96" i="1"/>
  <c r="G99" i="1"/>
  <c r="C96" i="1"/>
  <c r="E100" i="1"/>
  <c r="E99" i="1"/>
  <c r="E96" i="1"/>
  <c r="Z12" i="1"/>
  <c r="I14" i="1"/>
  <c r="E107" i="1" l="1"/>
  <c r="C107" i="1"/>
  <c r="F178" i="1"/>
  <c r="G106" i="1" s="1"/>
  <c r="F157" i="1"/>
  <c r="E43" i="1" l="1"/>
  <c r="E44" i="1" s="1"/>
  <c r="C15" i="1" l="1"/>
  <c r="E30" i="1" l="1"/>
  <c r="G178" i="1" l="1"/>
  <c r="F93" i="1" l="1"/>
  <c r="F158" i="1" l="1"/>
  <c r="F159" i="1"/>
  <c r="F160" i="1"/>
  <c r="G100" i="1" l="1"/>
  <c r="G107" i="1" s="1"/>
  <c r="B267" i="1"/>
  <c r="F222" i="1" l="1"/>
  <c r="F221" i="1"/>
  <c r="F220" i="1"/>
  <c r="F219" i="1"/>
  <c r="F218" i="1"/>
  <c r="F210" i="1"/>
  <c r="F209" i="1"/>
  <c r="F208" i="1"/>
  <c r="F207" i="1"/>
  <c r="F206" i="1"/>
  <c r="F198" i="1"/>
  <c r="F197" i="1"/>
  <c r="F196" i="1"/>
  <c r="F195" i="1"/>
  <c r="F194" i="1"/>
  <c r="F186" i="1"/>
  <c r="I82" i="1" s="1"/>
  <c r="I92" i="1" s="1"/>
  <c r="F185" i="1"/>
  <c r="F183" i="1"/>
  <c r="F182" i="1"/>
  <c r="J82" i="1" s="1"/>
  <c r="J93" i="1" s="1"/>
  <c r="F184" i="1"/>
  <c r="B268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89" i="1"/>
  <c r="G218" i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06" i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194" i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182" i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A183" i="1"/>
  <c r="A184" i="1" s="1"/>
  <c r="A185" i="1" s="1"/>
  <c r="A186" i="1" s="1"/>
  <c r="A187" i="1" s="1"/>
  <c r="A188" i="1" s="1"/>
  <c r="A189" i="1" s="1"/>
  <c r="A190" i="1" s="1"/>
  <c r="A191" i="1" s="1"/>
  <c r="A192" i="1" s="1"/>
  <c r="A158" i="1"/>
  <c r="A159" i="1" s="1"/>
  <c r="A160" i="1" s="1"/>
  <c r="A161" i="1" s="1"/>
  <c r="A162" i="1" s="1"/>
  <c r="A163" i="1" s="1"/>
  <c r="G157" i="1"/>
  <c r="G158" i="1" s="1"/>
  <c r="G159" i="1" s="1"/>
  <c r="G160" i="1" s="1"/>
  <c r="G161" i="1" s="1"/>
  <c r="G162" i="1" s="1"/>
  <c r="G163" i="1" s="1"/>
  <c r="C66" i="1"/>
  <c r="B67" i="1" s="1"/>
  <c r="D55" i="1"/>
  <c r="G50" i="1"/>
  <c r="G51" i="1" s="1"/>
  <c r="C50" i="1"/>
  <c r="E27" i="1"/>
  <c r="E25" i="1"/>
  <c r="E7" i="1"/>
  <c r="E3" i="1"/>
  <c r="D60" i="1" l="1"/>
  <c r="H67" i="1"/>
  <c r="D79" i="1" l="1"/>
  <c r="D77" i="1"/>
  <c r="D76" i="1"/>
  <c r="D73" i="1"/>
  <c r="D75" i="1"/>
  <c r="J72" i="1"/>
  <c r="D78" i="1"/>
  <c r="J66" i="1"/>
  <c r="J68" i="1" s="1"/>
  <c r="D74" i="1"/>
  <c r="J70" i="1"/>
  <c r="J71" i="1"/>
  <c r="C70" i="1" s="1"/>
  <c r="J69" i="1"/>
  <c r="J74" i="1"/>
  <c r="J75" i="1" s="1"/>
  <c r="J76" i="1" s="1"/>
  <c r="J77" i="1" s="1"/>
  <c r="D72" i="1"/>
  <c r="J73" i="1" l="1"/>
  <c r="D70" i="1"/>
  <c r="J78" i="1" l="1"/>
  <c r="J79" i="1" s="1"/>
  <c r="C71" i="1" s="1"/>
  <c r="J67" i="1" s="1"/>
  <c r="E70" i="1" l="1"/>
  <c r="D71" i="1"/>
  <c r="I67" i="1" s="1"/>
  <c r="I68" i="1" s="1"/>
  <c r="I66" i="1" s="1"/>
  <c r="C68" i="1" s="1"/>
  <c r="G70" i="1"/>
  <c r="D64" i="1" s="1"/>
  <c r="D65" i="1" l="1"/>
  <c r="F65" i="1"/>
</calcChain>
</file>

<file path=xl/comments1.xml><?xml version="1.0" encoding="utf-8"?>
<comments xmlns="http://schemas.openxmlformats.org/spreadsheetml/2006/main">
  <authors>
    <author>Sachin</author>
  </authors>
  <commentList>
    <comment ref="E11" author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<sst xmlns="http://schemas.openxmlformats.org/spreadsheetml/2006/main" count="595" uniqueCount="306">
  <si>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</si>
  <si>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</si>
  <si>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</si>
  <si>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</si>
  <si>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</si>
  <si>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</si>
  <si>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</si>
  <si>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</si>
  <si>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</si>
  <si>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</si>
  <si>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</si>
  <si>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</si>
  <si>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</si>
  <si>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</si>
  <si>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</si>
  <si>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</si>
  <si>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</si>
  <si>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</si>
  <si>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</si>
  <si>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</si>
  <si>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</si>
  <si>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</si>
  <si>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</si>
  <si>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</si>
  <si>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</si>
  <si>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</si>
  <si>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</si>
  <si>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</si>
  <si>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</si>
  <si>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</si>
  <si>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</si>
  <si>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</si>
  <si>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</si>
  <si>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</si>
  <si>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</si>
  <si>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</si>
  <si>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</si>
  <si>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</si>
  <si>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</si>
  <si>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</si>
  <si>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</si>
  <si>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</si>
  <si>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</si>
  <si>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</si>
  <si>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</si>
  <si>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</si>
  <si>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</si>
  <si>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</si>
  <si>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</si>
  <si>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</si>
  <si>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</si>
  <si>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</si>
  <si>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</si>
  <si>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</si>
  <si>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</si>
  <si>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</si>
  <si>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</si>
  <si>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</si>
  <si>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</si>
  <si>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</si>
  <si>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</si>
  <si>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</si>
  <si>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</si>
  <si>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</si>
  <si>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</si>
  <si>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</si>
  <si>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</si>
  <si>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</si>
  <si>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</si>
  <si>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</si>
  <si>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</si>
  <si>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</si>
  <si>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</si>
  <si>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</si>
  <si>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</si>
  <si>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</si>
  <si>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</si>
  <si>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</si>
  <si>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</si>
  <si>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</si>
  <si>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</si>
  <si>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</si>
  <si>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</si>
  <si>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</si>
  <si>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</si>
  <si>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</si>
  <si>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</si>
  <si>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</si>
  <si>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</si>
  <si>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</si>
  <si>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</si>
  <si>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</si>
  <si>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</si>
  <si>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</si>
  <si>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</si>
  <si>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</si>
  <si>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</si>
  <si>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</si>
  <si>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</si>
  <si>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</si>
  <si>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</si>
  <si>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</si>
  <si>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</si>
  <si>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</si>
  <si>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</si>
  <si>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</si>
  <si>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</si>
  <si>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</si>
  <si>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</si>
  <si>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</si>
  <si>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</si>
  <si>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</si>
  <si>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</si>
  <si>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</si>
  <si>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</si>
  <si>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</si>
  <si>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</si>
  <si>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</si>
  <si>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</si>
  <si>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</si>
  <si>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</si>
  <si>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</si>
  <si>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</si>
  <si>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</si>
  <si>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</si>
  <si>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</si>
  <si>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</si>
  <si>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</si>
  <si>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</si>
  <si>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</si>
  <si>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</si>
  <si>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</si>
  <si>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</si>
  <si>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</si>
  <si>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</si>
  <si>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</si>
  <si>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</si>
  <si>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</si>
  <si>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</si>
  <si>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</si>
  <si>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</si>
  <si>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</si>
  <si>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</si>
  <si>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</si>
  <si>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</si>
  <si>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</si>
  <si>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</si>
  <si>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</si>
  <si>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</si>
  <si>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</si>
  <si>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</si>
  <si>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</si>
  <si>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</si>
  <si>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</si>
  <si>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</si>
  <si>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</si>
  <si>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</si>
  <si>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</si>
  <si>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</si>
  <si>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</si>
  <si>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</si>
  <si>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</si>
  <si>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</si>
  <si>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</si>
  <si>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</si>
  <si>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</si>
  <si>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Mumbai</t>
  </si>
  <si>
    <t>As per Layout</t>
  </si>
  <si>
    <t xml:space="preserve">Details of Residential &amp; Commercials in Building   </t>
  </si>
  <si>
    <t>Floor Rise Rate from    Floor</t>
  </si>
  <si>
    <t>CTS No</t>
  </si>
  <si>
    <t>Shop No. (Sale Plan)</t>
  </si>
  <si>
    <t>Flat No. (Sale Plan)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</si>
  <si>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</si>
  <si>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</si>
  <si>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</si>
  <si>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</si>
  <si>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</si>
  <si>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</si>
  <si>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</si>
  <si>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</si>
  <si>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</si>
  <si>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</si>
  <si>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</si>
  <si>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</si>
  <si>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</si>
  <si>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</si>
  <si>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</si>
  <si>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</si>
  <si>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</si>
  <si>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</si>
  <si>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</si>
  <si>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</si>
  <si>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</si>
  <si>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</si>
  <si>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</si>
  <si>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</si>
  <si>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</si>
  <si>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</si>
  <si>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</si>
  <si>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</si>
  <si>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</si>
  <si>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</si>
  <si>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</si>
  <si>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</si>
  <si>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</si>
  <si>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</si>
  <si>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</si>
  <si>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</si>
  <si>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</si>
  <si>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</si>
  <si>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</si>
  <si>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</si>
  <si>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</si>
  <si>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</si>
  <si>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</si>
  <si>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</si>
  <si>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</si>
  <si>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</si>
  <si>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</si>
  <si>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</si>
  <si>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</si>
  <si>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</si>
  <si>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</si>
  <si>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</si>
  <si>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</si>
  <si>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Axis Thane</t>
  </si>
  <si>
    <t>Marathon Neovalley Narmada Wing B</t>
  </si>
  <si>
    <t>Nexzone Fiscal Services Pvt Ltd</t>
  </si>
  <si>
    <t>P51800050264</t>
  </si>
  <si>
    <t>21 (Pt), 22 (Pt), 23 (Pt), 23/2 (Pt), 23/3 &amp; 24, 25 (Pt)</t>
  </si>
  <si>
    <t>Kanjur</t>
  </si>
  <si>
    <t>Tembhi Pada Road</t>
  </si>
  <si>
    <t>Bhandup (West)</t>
  </si>
  <si>
    <t>https://goo.gl/maps/ENRh3JzEVkHSZQbZ6</t>
  </si>
  <si>
    <t>Open Plot</t>
  </si>
  <si>
    <t>Slum</t>
  </si>
  <si>
    <t>Other Buildings</t>
  </si>
  <si>
    <t>Building No.1 (Sale Wing B)</t>
  </si>
  <si>
    <t>Navneet sadan Building</t>
  </si>
  <si>
    <t>Other Plot</t>
  </si>
  <si>
    <t>13.40 M Road</t>
  </si>
  <si>
    <t>9.00 M wide Existing Road</t>
  </si>
  <si>
    <t>Slum Rehabilitation Authority (SRA)</t>
  </si>
  <si>
    <t>S/PVT/0149/20181010/AP/C</t>
  </si>
  <si>
    <t>This CC is re - endorsed as per approved amended plan dated 20/06/2023</t>
  </si>
  <si>
    <t>SRA/ENG/S/PVT/0149/20181010/AP/C</t>
  </si>
  <si>
    <t>As per RERA -  31/12/2026</t>
  </si>
  <si>
    <t>1.9 KM from Bhandup Railway Station</t>
  </si>
  <si>
    <t xml:space="preserve">Club House, Security, Gymnasium, Indoor Games Room, 
Kids play area
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</si>
  <si>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</si>
  <si>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Basement Floor for Parking</t>
  </si>
  <si>
    <t>1st floor</t>
  </si>
  <si>
    <t>Sale</t>
  </si>
  <si>
    <t>Office</t>
  </si>
  <si>
    <t>Rehab</t>
  </si>
  <si>
    <t>Shop</t>
  </si>
  <si>
    <t>RC Unit</t>
  </si>
  <si>
    <t>1RK</t>
  </si>
  <si>
    <t>1BHK</t>
  </si>
  <si>
    <t>1st Floor for Residential (Part Fitness Center)</t>
  </si>
  <si>
    <t>2nd floor</t>
  </si>
  <si>
    <t>3rd Floor</t>
  </si>
  <si>
    <t>2BHK</t>
  </si>
  <si>
    <t>8th Floor (Part Refuge Area)</t>
  </si>
  <si>
    <t>Refuge Area</t>
  </si>
  <si>
    <t>9th Floor</t>
  </si>
  <si>
    <t>10th Floor</t>
  </si>
  <si>
    <t>4th to 7th Floor</t>
  </si>
  <si>
    <t>15th Floor (Part Refuge Area)</t>
  </si>
  <si>
    <t>2nd Floor for Fitness center &amp; Society Office</t>
  </si>
  <si>
    <t>Narmada</t>
  </si>
  <si>
    <t>Building No.1 (Sale Wing B) = 1B + Gr + 2P + 3rd to 22nd Floor</t>
  </si>
  <si>
    <t xml:space="preserve">We considered Gross carpet area = Net carpet </t>
  </si>
  <si>
    <t>Commercial Area Details : Rehab</t>
  </si>
  <si>
    <t>Residential Area Details : Sale</t>
  </si>
  <si>
    <t>Flats</t>
  </si>
  <si>
    <t>Shops</t>
  </si>
  <si>
    <t>Commercial Area Details : Sale</t>
  </si>
  <si>
    <t>Offices</t>
  </si>
  <si>
    <t>Residential Area Details : RC Unit</t>
  </si>
  <si>
    <t>Gadhav Naka</t>
  </si>
  <si>
    <t>https://www.magicbricks.com/marathon-neovalley-narmada-wing-b-bhandup-west-mumbai-pdpid-4d4235343038303733#nav-amenities</t>
  </si>
  <si>
    <t xml:space="preserve">https://www.proptiger.com/mumbai/bhandup-west/marathon-realty-marathon-neovalley-narmada-wing-b-3255290 </t>
  </si>
  <si>
    <t>Prop</t>
  </si>
  <si>
    <t xml:space="preserve">11278 - Marathon Neo Valley     </t>
  </si>
  <si>
    <t>Sale Flats - 200, RC Units - 2, 
Rehab Shops - 20, Sale Shops - 22, Office - 12</t>
  </si>
  <si>
    <t>11th to 14th, 16th to 22nd Floor</t>
  </si>
  <si>
    <t>Ground floor for Commercial (Wing B + C)</t>
  </si>
  <si>
    <t>We have drafted the ground floor shop area for B and C wings, as Wing B and C were not bifurcated in the approved plans.</t>
  </si>
  <si>
    <t>Name / No of the Proposed Building</t>
  </si>
  <si>
    <t>Shree Swami Samrth CHS</t>
  </si>
  <si>
    <t>MSEB/MJP(Electric meter and Other Charges).</t>
  </si>
  <si>
    <t>Corpus Fund For Society</t>
  </si>
  <si>
    <t>Advance Maintenance Charges (6 Months)</t>
  </si>
  <si>
    <t>other charges addation</t>
  </si>
  <si>
    <t>by sanjay sir</t>
  </si>
  <si>
    <t>Other Charges of the Property have been revised on 06/03/2024.</t>
  </si>
  <si>
    <t>Share of Expwnses fo Formation &amp; Registration of Apartment.</t>
  </si>
  <si>
    <t>19.149389,72.926682</t>
  </si>
  <si>
    <t>Mr. Nainesh Tambe</t>
  </si>
  <si>
    <t>Mr. Ayush 9555228563</t>
  </si>
  <si>
    <t>Mr. Amol Ghorpade 9320090407</t>
  </si>
  <si>
    <t>q</t>
  </si>
  <si>
    <t>Shruti Tathare</t>
  </si>
  <si>
    <t>Sale Wing B = Construction work is same as last visit dtd. 05/06/2025. but work is in process at the time of Visit. (Slow Speed)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</si>
</sst>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9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12" fillId="0" borderId="1" xfId="1" applyFont="1" applyBorder="1" applyAlignment="1" applyProtection="1">
      <alignment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0" fontId="12" fillId="0" borderId="3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2" fillId="0" borderId="4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26" fillId="0" borderId="0" xfId="10" applyAlignment="1">
      <alignment horizontal="center" vertical="center"/>
    </xf>
    <xf numFmtId="1" fontId="10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1" fontId="8" fillId="0" borderId="0" xfId="2" applyNumberFormat="1" applyFont="1" applyAlignment="1">
      <alignment horizontal="center" vertical="center"/>
    </xf>
    <xf numFmtId="168" fontId="12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6" fillId="2" borderId="0" xfId="1" applyFont="1" applyFill="1"/>
    <xf numFmtId="14" fontId="16" fillId="2" borderId="0" xfId="1" applyNumberFormat="1" applyFont="1" applyFill="1" applyAlignment="1">
      <alignment horizontal="center" vertical="center"/>
    </xf>
    <xf numFmtId="1" fontId="12" fillId="0" borderId="1" xfId="1" applyNumberFormat="1" applyFont="1" applyFill="1" applyBorder="1" applyAlignment="1" applyProtection="1">
      <alignment horizontal="center" vertical="top" wrapText="1"/>
      <protection locked="0"/>
    </xf>
    <xf numFmtId="1" fontId="10" fillId="0" borderId="7" xfId="0" applyNumberFormat="1" applyFont="1" applyBorder="1" applyAlignment="1" applyProtection="1">
      <alignment vertical="top" wrapText="1"/>
      <protection locked="0"/>
    </xf>
    <xf numFmtId="1" fontId="10" fillId="0" borderId="20" xfId="0" applyNumberFormat="1" applyFont="1" applyBorder="1" applyAlignment="1" applyProtection="1">
      <alignment vertical="top" wrapText="1"/>
      <protection locked="0"/>
    </xf>
    <xf numFmtId="1" fontId="10" fillId="0" borderId="8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31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13" fillId="0" borderId="21" xfId="1" applyFont="1" applyFill="1" applyBorder="1" applyAlignment="1" applyProtection="1">
      <alignment horizontal="left" vertical="top" wrapText="1"/>
      <protection locked="0"/>
    </xf>
    <xf numFmtId="0" fontId="13" fillId="0" borderId="14" xfId="1" applyFont="1" applyFill="1" applyBorder="1" applyAlignment="1" applyProtection="1">
      <alignment horizontal="left" vertical="top" wrapText="1"/>
      <protection locked="0"/>
    </xf>
    <xf numFmtId="0" fontId="13" fillId="0" borderId="12" xfId="1" applyFont="1" applyFill="1" applyBorder="1" applyAlignment="1" applyProtection="1">
      <alignment horizontal="left" vertical="top" wrapText="1"/>
      <protection locked="0"/>
    </xf>
    <xf numFmtId="0" fontId="13" fillId="0" borderId="13" xfId="1" applyFont="1" applyFill="1" applyBorder="1" applyAlignment="1" applyProtection="1">
      <alignment horizontal="left" vertical="top" wrapText="1"/>
      <protection locked="0"/>
    </xf>
    <xf numFmtId="0" fontId="13" fillId="0" borderId="22" xfId="1" applyFont="1" applyFill="1" applyBorder="1" applyAlignment="1" applyProtection="1">
      <alignment horizontal="left" vertical="top" wrapText="1"/>
      <protection locked="0"/>
    </xf>
    <xf numFmtId="0" fontId="7" fillId="0" borderId="24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16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3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14" fontId="12" fillId="0" borderId="7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3" fillId="0" borderId="4" xfId="1" applyFont="1" applyFill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7" xfId="1" applyNumberFormat="1" applyFont="1" applyBorder="1" applyAlignment="1" applyProtection="1">
      <alignment horizontal="center" vertical="center" wrapText="1"/>
      <protection locked="0"/>
    </xf>
    <xf numFmtId="1" fontId="13" fillId="0" borderId="20" xfId="1" applyNumberFormat="1" applyFont="1" applyBorder="1" applyAlignment="1" applyProtection="1">
      <alignment horizontal="center" vertical="center" wrapText="1"/>
      <protection locked="0"/>
    </xf>
    <xf numFmtId="1" fontId="13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center" vertical="top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4" xfId="1" applyFont="1" applyFill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14" fontId="12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Fill="1" applyBorder="1" applyAlignment="1" applyProtection="1">
      <alignment horizontal="center" vertical="top" wrapText="1"/>
      <protection locked="0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0" fontId="13" fillId="0" borderId="3" xfId="1" applyFont="1" applyFill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15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77932</xdr:colOff>
      <xdr:row>14</xdr:row>
      <xdr:rowOff>25977</xdr:rowOff>
    </xdr:from>
    <xdr:to>
      <xdr:col>11</xdr:col>
      <xdr:colOff>230654</xdr:colOff>
      <xdr:row>17</xdr:row>
      <xdr:rowOff>70871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51023" y="3203863"/>
          <a:ext cx="4352381" cy="10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467591</xdr:colOff>
      <xdr:row>375</xdr:row>
      <xdr:rowOff>190501</xdr:rowOff>
    </xdr:from>
    <xdr:to>
      <xdr:col>7</xdr:col>
      <xdr:colOff>350985</xdr:colOff>
      <xdr:row>390</xdr:row>
      <xdr:rowOff>83116</xdr:rowOff>
    </xdr:to>
    <xdr:pic>
      <xdr:nvPicPr>
        <xdr:cNvPr id="10" name="Picture 9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67591" y="52240296"/>
          <a:ext cx="5555099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484909</xdr:colOff>
      <xdr:row>391</xdr:row>
      <xdr:rowOff>18634</xdr:rowOff>
    </xdr:from>
    <xdr:to>
      <xdr:col>7</xdr:col>
      <xdr:colOff>366671</xdr:colOff>
      <xdr:row>405</xdr:row>
      <xdr:rowOff>110407</xdr:rowOff>
    </xdr:to>
    <xdr:pic>
      <xdr:nvPicPr>
        <xdr:cNvPr id="11" name="Picture 10"/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84909" y="52865066"/>
          <a:ext cx="5553467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406978</xdr:colOff>
      <xdr:row>380</xdr:row>
      <xdr:rowOff>181841</xdr:rowOff>
    </xdr:from>
    <xdr:to>
      <xdr:col>4</xdr:col>
      <xdr:colOff>389659</xdr:colOff>
      <xdr:row>383</xdr:row>
      <xdr:rowOff>86591</xdr:rowOff>
    </xdr:to>
    <xdr:sp macro="" textlink="">
      <xdr:nvSpPr>
        <xdr:cNvPr id="12" name="Rectangle 11"/>
        <xdr:cNvSpPr/>
      </xdr:nvSpPr>
      <xdr:spPr>
        <a:xfrm>
          <a:off x="2814205" y="53227432"/>
          <a:ext cx="926522" cy="502227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1</xdr:col>
      <xdr:colOff>285751</xdr:colOff>
      <xdr:row>331</xdr:row>
      <xdr:rowOff>173183</xdr:rowOff>
    </xdr:from>
    <xdr:to>
      <xdr:col>6</xdr:col>
      <xdr:colOff>436962</xdr:colOff>
      <xdr:row>358</xdr:row>
      <xdr:rowOff>195888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47751" y="43459978"/>
          <a:ext cx="4298916" cy="54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103909</xdr:colOff>
      <xdr:row>350</xdr:row>
      <xdr:rowOff>112568</xdr:rowOff>
    </xdr:from>
    <xdr:to>
      <xdr:col>4</xdr:col>
      <xdr:colOff>303068</xdr:colOff>
      <xdr:row>354</xdr:row>
      <xdr:rowOff>77931</xdr:rowOff>
    </xdr:to>
    <xdr:sp macro="" textlink="">
      <xdr:nvSpPr>
        <xdr:cNvPr id="14" name="Rectangle 13"/>
        <xdr:cNvSpPr/>
      </xdr:nvSpPr>
      <xdr:spPr>
        <a:xfrm>
          <a:off x="2511136" y="47183386"/>
          <a:ext cx="1143000" cy="76200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</xdr:col>
      <xdr:colOff>381000</xdr:colOff>
      <xdr:row>347</xdr:row>
      <xdr:rowOff>112568</xdr:rowOff>
    </xdr:from>
    <xdr:to>
      <xdr:col>3</xdr:col>
      <xdr:colOff>25978</xdr:colOff>
      <xdr:row>351</xdr:row>
      <xdr:rowOff>77932</xdr:rowOff>
    </xdr:to>
    <xdr:sp macro="" textlink="">
      <xdr:nvSpPr>
        <xdr:cNvPr id="15" name="Rectangle 14"/>
        <xdr:cNvSpPr/>
      </xdr:nvSpPr>
      <xdr:spPr>
        <a:xfrm>
          <a:off x="1939636" y="46585909"/>
          <a:ext cx="493569" cy="762000"/>
        </a:xfrm>
        <a:prstGeom prst="rect">
          <a:avLst/>
        </a:prstGeom>
        <a:noFill/>
        <a:ln w="381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484909</xdr:colOff>
      <xdr:row>351</xdr:row>
      <xdr:rowOff>173182</xdr:rowOff>
    </xdr:from>
    <xdr:to>
      <xdr:col>5</xdr:col>
      <xdr:colOff>736023</xdr:colOff>
      <xdr:row>354</xdr:row>
      <xdr:rowOff>155863</xdr:rowOff>
    </xdr:to>
    <xdr:sp macro="" textlink="">
      <xdr:nvSpPr>
        <xdr:cNvPr id="16" name="Rectangle 15"/>
        <xdr:cNvSpPr/>
      </xdr:nvSpPr>
      <xdr:spPr>
        <a:xfrm>
          <a:off x="3835977" y="47443159"/>
          <a:ext cx="1030432" cy="580159"/>
        </a:xfrm>
        <a:prstGeom prst="rect">
          <a:avLst/>
        </a:prstGeom>
        <a:noFill/>
        <a:ln w="381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</xdr:col>
      <xdr:colOff>268431</xdr:colOff>
      <xdr:row>346</xdr:row>
      <xdr:rowOff>60614</xdr:rowOff>
    </xdr:from>
    <xdr:to>
      <xdr:col>3</xdr:col>
      <xdr:colOff>233795</xdr:colOff>
      <xdr:row>347</xdr:row>
      <xdr:rowOff>69273</xdr:rowOff>
    </xdr:to>
    <xdr:sp macro="" textlink="">
      <xdr:nvSpPr>
        <xdr:cNvPr id="17" name="TextBox 16"/>
        <xdr:cNvSpPr txBox="1"/>
      </xdr:nvSpPr>
      <xdr:spPr>
        <a:xfrm>
          <a:off x="1827067" y="46334796"/>
          <a:ext cx="813955" cy="20781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800" b="1"/>
            <a:t>Rehab</a:t>
          </a:r>
          <a:r>
            <a:rPr lang="en-IN" sz="800" b="1" baseline="0"/>
            <a:t> Wing A</a:t>
          </a:r>
          <a:endParaRPr lang="en-IN" sz="800" b="1"/>
        </a:p>
      </xdr:txBody>
    </xdr:sp>
    <xdr:clientData/>
  </xdr:twoCellAnchor>
  <xdr:twoCellAnchor>
    <xdr:from>
      <xdr:col>3</xdr:col>
      <xdr:colOff>536865</xdr:colOff>
      <xdr:row>348</xdr:row>
      <xdr:rowOff>112569</xdr:rowOff>
    </xdr:from>
    <xdr:to>
      <xdr:col>4</xdr:col>
      <xdr:colOff>311727</xdr:colOff>
      <xdr:row>350</xdr:row>
      <xdr:rowOff>77931</xdr:rowOff>
    </xdr:to>
    <xdr:sp macro="" textlink="">
      <xdr:nvSpPr>
        <xdr:cNvPr id="18" name="TextBox 17"/>
        <xdr:cNvSpPr txBox="1"/>
      </xdr:nvSpPr>
      <xdr:spPr>
        <a:xfrm>
          <a:off x="2944092" y="71056501"/>
          <a:ext cx="718703" cy="36368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800" b="1"/>
            <a:t>Sale</a:t>
          </a:r>
          <a:r>
            <a:rPr lang="en-IN" sz="800" b="1" baseline="0"/>
            <a:t> Wing B (Narmada)</a:t>
          </a:r>
          <a:endParaRPr lang="en-IN" sz="800" b="1"/>
        </a:p>
      </xdr:txBody>
    </xdr:sp>
    <xdr:clientData/>
  </xdr:twoCellAnchor>
  <xdr:twoCellAnchor>
    <xdr:from>
      <xdr:col>4</xdr:col>
      <xdr:colOff>692730</xdr:colOff>
      <xdr:row>350</xdr:row>
      <xdr:rowOff>129887</xdr:rowOff>
    </xdr:from>
    <xdr:to>
      <xdr:col>5</xdr:col>
      <xdr:colOff>632116</xdr:colOff>
      <xdr:row>351</xdr:row>
      <xdr:rowOff>129886</xdr:rowOff>
    </xdr:to>
    <xdr:sp macro="" textlink="">
      <xdr:nvSpPr>
        <xdr:cNvPr id="19" name="TextBox 18"/>
        <xdr:cNvSpPr txBox="1"/>
      </xdr:nvSpPr>
      <xdr:spPr>
        <a:xfrm>
          <a:off x="4043798" y="47200705"/>
          <a:ext cx="718704" cy="19915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800" b="1"/>
            <a:t>Sale</a:t>
          </a:r>
          <a:r>
            <a:rPr lang="en-IN" sz="800" b="1" baseline="0"/>
            <a:t> Wing C</a:t>
          </a:r>
          <a:endParaRPr lang="en-IN" sz="800" b="1"/>
        </a:p>
      </xdr:txBody>
    </xdr:sp>
    <xdr:clientData/>
  </xdr:twoCellAnchor>
  <xdr:twoCellAnchor>
    <xdr:from>
      <xdr:col>3</xdr:col>
      <xdr:colOff>398317</xdr:colOff>
      <xdr:row>347</xdr:row>
      <xdr:rowOff>8659</xdr:rowOff>
    </xdr:from>
    <xdr:to>
      <xdr:col>4</xdr:col>
      <xdr:colOff>450272</xdr:colOff>
      <xdr:row>348</xdr:row>
      <xdr:rowOff>60614</xdr:rowOff>
    </xdr:to>
    <xdr:sp macro="" textlink="">
      <xdr:nvSpPr>
        <xdr:cNvPr id="20" name="TextBox 19"/>
        <xdr:cNvSpPr txBox="1"/>
      </xdr:nvSpPr>
      <xdr:spPr>
        <a:xfrm>
          <a:off x="2805544" y="70753432"/>
          <a:ext cx="995796" cy="251114"/>
        </a:xfrm>
        <a:prstGeom prst="rect">
          <a:avLst/>
        </a:prstGeom>
        <a:solidFill>
          <a:schemeClr val="accent2"/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>
              <a:solidFill>
                <a:srgbClr val="7030A0"/>
              </a:solidFill>
            </a:rPr>
            <a:t>Building No.1</a:t>
          </a:r>
        </a:p>
      </xdr:txBody>
    </xdr:sp>
    <xdr:clientData/>
  </xdr:twoCellAnchor>
  <xdr:twoCellAnchor>
    <xdr:from>
      <xdr:col>4</xdr:col>
      <xdr:colOff>103910</xdr:colOff>
      <xdr:row>336</xdr:row>
      <xdr:rowOff>95251</xdr:rowOff>
    </xdr:from>
    <xdr:to>
      <xdr:col>5</xdr:col>
      <xdr:colOff>320388</xdr:colOff>
      <xdr:row>337</xdr:row>
      <xdr:rowOff>147206</xdr:rowOff>
    </xdr:to>
    <xdr:sp macro="" textlink="">
      <xdr:nvSpPr>
        <xdr:cNvPr id="21" name="TextBox 20"/>
        <xdr:cNvSpPr txBox="1"/>
      </xdr:nvSpPr>
      <xdr:spPr>
        <a:xfrm>
          <a:off x="3454978" y="44334546"/>
          <a:ext cx="995796" cy="251115"/>
        </a:xfrm>
        <a:prstGeom prst="rect">
          <a:avLst/>
        </a:prstGeom>
        <a:solidFill>
          <a:schemeClr val="accent2"/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>
              <a:solidFill>
                <a:srgbClr val="7030A0"/>
              </a:solidFill>
            </a:rPr>
            <a:t>Building No.2</a:t>
          </a:r>
        </a:p>
      </xdr:txBody>
    </xdr:sp>
    <xdr:clientData/>
  </xdr:twoCellAnchor>
  <xdr:twoCellAnchor editAs="oneCell">
    <xdr:from>
      <xdr:col>8</xdr:col>
      <xdr:colOff>34638</xdr:colOff>
      <xdr:row>52</xdr:row>
      <xdr:rowOff>129888</xdr:rowOff>
    </xdr:from>
    <xdr:to>
      <xdr:col>11</xdr:col>
      <xdr:colOff>406979</xdr:colOff>
      <xdr:row>58</xdr:row>
      <xdr:rowOff>120138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407729" y="12538365"/>
          <a:ext cx="4572000" cy="1800000"/>
        </a:xfrm>
        <a:prstGeom prst="rect">
          <a:avLst/>
        </a:prstGeom>
      </xdr:spPr>
    </xdr:pic>
    <xdr:clientData/>
  </xdr:twoCellAnchor>
  <xdr:twoCellAnchor>
    <xdr:from>
      <xdr:col>0</xdr:col>
      <xdr:colOff>152399</xdr:colOff>
      <xdr:row>289</xdr:row>
      <xdr:rowOff>104773</xdr:rowOff>
    </xdr:from>
    <xdr:to>
      <xdr:col>7</xdr:col>
      <xdr:colOff>685800</xdr:colOff>
      <xdr:row>322</xdr:row>
      <xdr:rowOff>180365</xdr:rowOff>
    </xdr:to>
    <xdr:grpSp>
      <xdr:nvGrpSpPr>
        <xdr:cNvPr id="24" name="Group 23"/>
        <xdr:cNvGrpSpPr/>
      </xdr:nvGrpSpPr>
      <xdr:grpSpPr>
        <a:xfrm>
          <a:off x="152399" y="61912498"/>
          <a:ext cx="6181726" cy="6666892"/>
          <a:chOff x="152399" y="61712473"/>
          <a:chExt cx="6181726" cy="6666892"/>
        </a:xfrm>
      </xdr:grpSpPr>
      <xdr:pic>
        <xdr:nvPicPr>
          <xdr:cNvPr id="38" name="Picture 37" descr="https://vsjcllp.vsjadon.com/upload/insp-247617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295775" y="65846325"/>
            <a:ext cx="1876425" cy="253304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0" name="Picture 39" descr="https://vsjcllp.vsjadon.com/upload/insp-247617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14325" y="65836800"/>
            <a:ext cx="1876884" cy="24955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5" name="Picture 44" descr="https://vsjcllp.vsjadon.com/upload/insp-247617-88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86000" y="65836799"/>
            <a:ext cx="1885950" cy="250760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23" name="Group 22"/>
          <xdr:cNvGrpSpPr/>
        </xdr:nvGrpSpPr>
        <xdr:grpSpPr>
          <a:xfrm>
            <a:off x="152399" y="61712473"/>
            <a:ext cx="6181726" cy="4040033"/>
            <a:chOff x="152399" y="61712473"/>
            <a:chExt cx="6181726" cy="4040033"/>
          </a:xfrm>
        </xdr:grpSpPr>
        <xdr:pic>
          <xdr:nvPicPr>
            <xdr:cNvPr id="46" name="Picture 45" descr="https://vsjcllp.vsjadon.com/upload/insp-247617-931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52399" y="61721998"/>
              <a:ext cx="3026860" cy="4024586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0" name="Picture 49" descr="https://vsjcllp.vsjadon.com/upload/insp-247617-843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295649" y="61712473"/>
              <a:ext cx="3038476" cy="4040033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5" name="TextBox 4"/>
            <xdr:cNvSpPr txBox="1"/>
          </xdr:nvSpPr>
          <xdr:spPr>
            <a:xfrm>
              <a:off x="2171700" y="63398399"/>
              <a:ext cx="923925" cy="34290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IN" sz="1800" b="1"/>
                <a:t>Wing</a:t>
              </a:r>
              <a:r>
                <a:rPr lang="en-IN" sz="1800" b="1" baseline="0"/>
                <a:t> B</a:t>
              </a:r>
              <a:endParaRPr lang="en-IN" sz="1800" b="1"/>
            </a:p>
          </xdr:txBody>
        </xdr:sp>
        <xdr:sp macro="" textlink="">
          <xdr:nvSpPr>
            <xdr:cNvPr id="51" name="TextBox 50"/>
            <xdr:cNvSpPr txBox="1"/>
          </xdr:nvSpPr>
          <xdr:spPr>
            <a:xfrm>
              <a:off x="4848224" y="63626998"/>
              <a:ext cx="923925" cy="34290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IN" sz="1800" b="1">
                  <a:solidFill>
                    <a:srgbClr val="FFFF00"/>
                  </a:solidFill>
                </a:rPr>
                <a:t>Wing</a:t>
              </a:r>
              <a:r>
                <a:rPr lang="en-IN" sz="1800" b="1" baseline="0">
                  <a:solidFill>
                    <a:srgbClr val="FFFF00"/>
                  </a:solidFill>
                </a:rPr>
                <a:t> B</a:t>
              </a:r>
              <a:endParaRPr lang="en-IN" sz="1800" b="1">
                <a:solidFill>
                  <a:srgbClr val="FFFF00"/>
                </a:solidFill>
              </a:endParaRPr>
            </a:p>
          </xdr:txBody>
        </xdr:sp>
        <xdr:cxnSp macro="">
          <xdr:nvCxnSpPr>
            <xdr:cNvPr id="7" name="Straight Arrow Connector 6"/>
            <xdr:cNvCxnSpPr/>
          </xdr:nvCxnSpPr>
          <xdr:spPr>
            <a:xfrm flipH="1">
              <a:off x="4762500" y="63950850"/>
              <a:ext cx="361950" cy="733425"/>
            </a:xfrm>
            <a:prstGeom prst="straightConnector1">
              <a:avLst/>
            </a:prstGeom>
            <a:ln w="28575">
              <a:solidFill>
                <a:srgbClr val="FFFF00"/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403412</xdr:colOff>
      <xdr:row>0</xdr:row>
      <xdr:rowOff>123265</xdr:rowOff>
    </xdr:from>
    <xdr:to>
      <xdr:col>16</xdr:col>
      <xdr:colOff>389384</xdr:colOff>
      <xdr:row>23</xdr:row>
      <xdr:rowOff>35321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16353" y="123265"/>
          <a:ext cx="4647619" cy="4304762"/>
        </a:xfrm>
        <a:prstGeom prst="rect">
          <a:avLst/>
        </a:prstGeom>
      </xdr:spPr>
    </xdr:pic>
    <xdr:clientData/>
  </xdr:twoCellAnchor>
  <xdr:twoCellAnchor editAs="oneCell">
    <xdr:from>
      <xdr:col>1</xdr:col>
      <xdr:colOff>750794</xdr:colOff>
      <xdr:row>13</xdr:row>
      <xdr:rowOff>123265</xdr:rowOff>
    </xdr:from>
    <xdr:to>
      <xdr:col>6</xdr:col>
      <xdr:colOff>37949</xdr:colOff>
      <xdr:row>32</xdr:row>
      <xdr:rowOff>37098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0" y="2610971"/>
          <a:ext cx="5685714" cy="35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www.proptiger.com/mumbai/bhandup-west/marathon-realty-marathon-neovalley-narmada-wing-b-3255290" TargetMode="External"/><Relationship Id="rId7" Type="http://schemas.openxmlformats.org/officeDocument/2006/relationships/vmlDrawing" Target="../drawings/vmlDrawing2.vml"/><Relationship Id="rId2" Type="http://schemas.openxmlformats.org/officeDocument/2006/relationships/hyperlink" Target="https://www.magicbricks.com/marathon-neovalley-narmada-wing-b-bhandup-west-mumbai-pdpid-4d4235343038303733" TargetMode="External"/><Relationship Id="rId1" Type="http://schemas.openxmlformats.org/officeDocument/2006/relationships/hyperlink" Target="https://goo.gl/maps/ENRh3JzEVkHSZQbZ6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Z417"/>
  <sheetViews>
    <sheetView tabSelected="1" view="pageBreakPreview" zoomScaleNormal="100" zoomScaleSheetLayoutView="100" zoomScalePageLayoutView="85" workbookViewId="0">
      <selection activeCell="J266" sqref="J266"/>
    </sheetView>
  </sheetViews>
  <sheetFormatPr defaultColWidth="9.140625" defaultRowHeight="15.75" x14ac:dyDescent="0.25"/>
  <cols>
    <col min="1" max="1" width="11.42578125" style="35" customWidth="1"/>
    <col min="2" max="2" width="12" style="35" customWidth="1"/>
    <col min="3" max="3" width="12.5703125" style="35" customWidth="1"/>
    <col min="4" max="4" width="14.140625" style="35" customWidth="1"/>
    <col min="5" max="6" width="11.5703125" style="35" customWidth="1"/>
    <col min="7" max="7" width="11.42578125" style="35" customWidth="1"/>
    <col min="8" max="8" width="12.85546875" style="35" customWidth="1"/>
    <col min="9" max="9" width="41" style="16" customWidth="1"/>
    <col min="10" max="10" width="11.42578125" style="16" customWidth="1"/>
    <col min="11" max="11" width="10.5703125" style="16" bestFit="1" customWidth="1"/>
    <col min="12" max="12" width="10.5703125" style="16" customWidth="1"/>
    <col min="13" max="13" width="11.85546875" style="16" customWidth="1"/>
    <col min="14" max="14" width="12.5703125" style="16" customWidth="1"/>
    <col min="15" max="15" width="9.85546875" style="16" customWidth="1"/>
    <col min="16" max="16" width="11.5703125" style="16" customWidth="1"/>
    <col min="17" max="247" width="9.140625" style="16"/>
    <col min="248" max="248" width="8.5703125" style="16" customWidth="1"/>
    <col min="249" max="249" width="9.85546875" style="16" customWidth="1"/>
    <col min="250" max="250" width="14.42578125" style="16" customWidth="1"/>
    <col min="251" max="251" width="7.42578125" style="16" customWidth="1"/>
    <col min="252" max="252" width="5.5703125" style="16" customWidth="1"/>
    <col min="253" max="253" width="9" style="16" customWidth="1"/>
    <col min="254" max="255" width="9.85546875" style="16" customWidth="1"/>
    <col min="256" max="256" width="11.140625" style="16" customWidth="1"/>
    <col min="257" max="257" width="2.85546875" style="16" customWidth="1"/>
    <col min="258" max="258" width="3.5703125" style="16" customWidth="1"/>
    <col min="259" max="503" width="9.140625" style="16"/>
    <col min="504" max="504" width="8.5703125" style="16" customWidth="1"/>
    <col min="505" max="505" width="9.85546875" style="16" customWidth="1"/>
    <col min="506" max="506" width="14.42578125" style="16" customWidth="1"/>
    <col min="507" max="507" width="7.42578125" style="16" customWidth="1"/>
    <col min="508" max="508" width="5.5703125" style="16" customWidth="1"/>
    <col min="509" max="509" width="9" style="16" customWidth="1"/>
    <col min="510" max="511" width="9.85546875" style="16" customWidth="1"/>
    <col min="512" max="512" width="11.140625" style="16" customWidth="1"/>
    <col min="513" max="513" width="2.85546875" style="16" customWidth="1"/>
    <col min="514" max="514" width="3.5703125" style="16" customWidth="1"/>
    <col min="515" max="759" width="9.140625" style="16"/>
    <col min="760" max="760" width="8.5703125" style="16" customWidth="1"/>
    <col min="761" max="761" width="9.85546875" style="16" customWidth="1"/>
    <col min="762" max="762" width="14.42578125" style="16" customWidth="1"/>
    <col min="763" max="763" width="7.42578125" style="16" customWidth="1"/>
    <col min="764" max="764" width="5.5703125" style="16" customWidth="1"/>
    <col min="765" max="765" width="9" style="16" customWidth="1"/>
    <col min="766" max="767" width="9.85546875" style="16" customWidth="1"/>
    <col min="768" max="768" width="11.140625" style="16" customWidth="1"/>
    <col min="769" max="769" width="2.85546875" style="16" customWidth="1"/>
    <col min="770" max="770" width="3.5703125" style="16" customWidth="1"/>
    <col min="771" max="1015" width="9.140625" style="16"/>
    <col min="1016" max="1016" width="8.5703125" style="16" customWidth="1"/>
    <col min="1017" max="1017" width="9.85546875" style="16" customWidth="1"/>
    <col min="1018" max="1018" width="14.42578125" style="16" customWidth="1"/>
    <col min="1019" max="1019" width="7.42578125" style="16" customWidth="1"/>
    <col min="1020" max="1020" width="5.5703125" style="16" customWidth="1"/>
    <col min="1021" max="1021" width="9" style="16" customWidth="1"/>
    <col min="1022" max="1023" width="9.85546875" style="16" customWidth="1"/>
    <col min="1024" max="1024" width="11.140625" style="16" customWidth="1"/>
    <col min="1025" max="1025" width="2.85546875" style="16" customWidth="1"/>
    <col min="1026" max="1026" width="3.5703125" style="16" customWidth="1"/>
    <col min="1027" max="1271" width="9.140625" style="16"/>
    <col min="1272" max="1272" width="8.5703125" style="16" customWidth="1"/>
    <col min="1273" max="1273" width="9.85546875" style="16" customWidth="1"/>
    <col min="1274" max="1274" width="14.42578125" style="16" customWidth="1"/>
    <col min="1275" max="1275" width="7.42578125" style="16" customWidth="1"/>
    <col min="1276" max="1276" width="5.5703125" style="16" customWidth="1"/>
    <col min="1277" max="1277" width="9" style="16" customWidth="1"/>
    <col min="1278" max="1279" width="9.85546875" style="16" customWidth="1"/>
    <col min="1280" max="1280" width="11.140625" style="16" customWidth="1"/>
    <col min="1281" max="1281" width="2.85546875" style="16" customWidth="1"/>
    <col min="1282" max="1282" width="3.5703125" style="16" customWidth="1"/>
    <col min="1283" max="1527" width="9.140625" style="16"/>
    <col min="1528" max="1528" width="8.5703125" style="16" customWidth="1"/>
    <col min="1529" max="1529" width="9.85546875" style="16" customWidth="1"/>
    <col min="1530" max="1530" width="14.42578125" style="16" customWidth="1"/>
    <col min="1531" max="1531" width="7.42578125" style="16" customWidth="1"/>
    <col min="1532" max="1532" width="5.5703125" style="16" customWidth="1"/>
    <col min="1533" max="1533" width="9" style="16" customWidth="1"/>
    <col min="1534" max="1535" width="9.85546875" style="16" customWidth="1"/>
    <col min="1536" max="1536" width="11.140625" style="16" customWidth="1"/>
    <col min="1537" max="1537" width="2.85546875" style="16" customWidth="1"/>
    <col min="1538" max="1538" width="3.5703125" style="16" customWidth="1"/>
    <col min="1539" max="1783" width="9.140625" style="16"/>
    <col min="1784" max="1784" width="8.5703125" style="16" customWidth="1"/>
    <col min="1785" max="1785" width="9.85546875" style="16" customWidth="1"/>
    <col min="1786" max="1786" width="14.42578125" style="16" customWidth="1"/>
    <col min="1787" max="1787" width="7.42578125" style="16" customWidth="1"/>
    <col min="1788" max="1788" width="5.5703125" style="16" customWidth="1"/>
    <col min="1789" max="1789" width="9" style="16" customWidth="1"/>
    <col min="1790" max="1791" width="9.85546875" style="16" customWidth="1"/>
    <col min="1792" max="1792" width="11.140625" style="16" customWidth="1"/>
    <col min="1793" max="1793" width="2.85546875" style="16" customWidth="1"/>
    <col min="1794" max="1794" width="3.5703125" style="16" customWidth="1"/>
    <col min="1795" max="2039" width="9.140625" style="16"/>
    <col min="2040" max="2040" width="8.5703125" style="16" customWidth="1"/>
    <col min="2041" max="2041" width="9.85546875" style="16" customWidth="1"/>
    <col min="2042" max="2042" width="14.42578125" style="16" customWidth="1"/>
    <col min="2043" max="2043" width="7.42578125" style="16" customWidth="1"/>
    <col min="2044" max="2044" width="5.5703125" style="16" customWidth="1"/>
    <col min="2045" max="2045" width="9" style="16" customWidth="1"/>
    <col min="2046" max="2047" width="9.85546875" style="16" customWidth="1"/>
    <col min="2048" max="2048" width="11.140625" style="16" customWidth="1"/>
    <col min="2049" max="2049" width="2.85546875" style="16" customWidth="1"/>
    <col min="2050" max="2050" width="3.5703125" style="16" customWidth="1"/>
    <col min="2051" max="2295" width="9.140625" style="16"/>
    <col min="2296" max="2296" width="8.5703125" style="16" customWidth="1"/>
    <col min="2297" max="2297" width="9.85546875" style="16" customWidth="1"/>
    <col min="2298" max="2298" width="14.42578125" style="16" customWidth="1"/>
    <col min="2299" max="2299" width="7.42578125" style="16" customWidth="1"/>
    <col min="2300" max="2300" width="5.5703125" style="16" customWidth="1"/>
    <col min="2301" max="2301" width="9" style="16" customWidth="1"/>
    <col min="2302" max="2303" width="9.85546875" style="16" customWidth="1"/>
    <col min="2304" max="2304" width="11.140625" style="16" customWidth="1"/>
    <col min="2305" max="2305" width="2.85546875" style="16" customWidth="1"/>
    <col min="2306" max="2306" width="3.5703125" style="16" customWidth="1"/>
    <col min="2307" max="2551" width="9.140625" style="16"/>
    <col min="2552" max="2552" width="8.5703125" style="16" customWidth="1"/>
    <col min="2553" max="2553" width="9.85546875" style="16" customWidth="1"/>
    <col min="2554" max="2554" width="14.42578125" style="16" customWidth="1"/>
    <col min="2555" max="2555" width="7.42578125" style="16" customWidth="1"/>
    <col min="2556" max="2556" width="5.5703125" style="16" customWidth="1"/>
    <col min="2557" max="2557" width="9" style="16" customWidth="1"/>
    <col min="2558" max="2559" width="9.85546875" style="16" customWidth="1"/>
    <col min="2560" max="2560" width="11.140625" style="16" customWidth="1"/>
    <col min="2561" max="2561" width="2.85546875" style="16" customWidth="1"/>
    <col min="2562" max="2562" width="3.5703125" style="16" customWidth="1"/>
    <col min="2563" max="2807" width="9.140625" style="16"/>
    <col min="2808" max="2808" width="8.5703125" style="16" customWidth="1"/>
    <col min="2809" max="2809" width="9.85546875" style="16" customWidth="1"/>
    <col min="2810" max="2810" width="14.42578125" style="16" customWidth="1"/>
    <col min="2811" max="2811" width="7.42578125" style="16" customWidth="1"/>
    <col min="2812" max="2812" width="5.5703125" style="16" customWidth="1"/>
    <col min="2813" max="2813" width="9" style="16" customWidth="1"/>
    <col min="2814" max="2815" width="9.85546875" style="16" customWidth="1"/>
    <col min="2816" max="2816" width="11.140625" style="16" customWidth="1"/>
    <col min="2817" max="2817" width="2.85546875" style="16" customWidth="1"/>
    <col min="2818" max="2818" width="3.5703125" style="16" customWidth="1"/>
    <col min="2819" max="3063" width="9.140625" style="16"/>
    <col min="3064" max="3064" width="8.5703125" style="16" customWidth="1"/>
    <col min="3065" max="3065" width="9.85546875" style="16" customWidth="1"/>
    <col min="3066" max="3066" width="14.42578125" style="16" customWidth="1"/>
    <col min="3067" max="3067" width="7.42578125" style="16" customWidth="1"/>
    <col min="3068" max="3068" width="5.5703125" style="16" customWidth="1"/>
    <col min="3069" max="3069" width="9" style="16" customWidth="1"/>
    <col min="3070" max="3071" width="9.85546875" style="16" customWidth="1"/>
    <col min="3072" max="3072" width="11.140625" style="16" customWidth="1"/>
    <col min="3073" max="3073" width="2.85546875" style="16" customWidth="1"/>
    <col min="3074" max="3074" width="3.5703125" style="16" customWidth="1"/>
    <col min="3075" max="3319" width="9.140625" style="16"/>
    <col min="3320" max="3320" width="8.5703125" style="16" customWidth="1"/>
    <col min="3321" max="3321" width="9.85546875" style="16" customWidth="1"/>
    <col min="3322" max="3322" width="14.42578125" style="16" customWidth="1"/>
    <col min="3323" max="3323" width="7.42578125" style="16" customWidth="1"/>
    <col min="3324" max="3324" width="5.5703125" style="16" customWidth="1"/>
    <col min="3325" max="3325" width="9" style="16" customWidth="1"/>
    <col min="3326" max="3327" width="9.85546875" style="16" customWidth="1"/>
    <col min="3328" max="3328" width="11.140625" style="16" customWidth="1"/>
    <col min="3329" max="3329" width="2.85546875" style="16" customWidth="1"/>
    <col min="3330" max="3330" width="3.5703125" style="16" customWidth="1"/>
    <col min="3331" max="3575" width="9.140625" style="16"/>
    <col min="3576" max="3576" width="8.5703125" style="16" customWidth="1"/>
    <col min="3577" max="3577" width="9.85546875" style="16" customWidth="1"/>
    <col min="3578" max="3578" width="14.42578125" style="16" customWidth="1"/>
    <col min="3579" max="3579" width="7.42578125" style="16" customWidth="1"/>
    <col min="3580" max="3580" width="5.5703125" style="16" customWidth="1"/>
    <col min="3581" max="3581" width="9" style="16" customWidth="1"/>
    <col min="3582" max="3583" width="9.85546875" style="16" customWidth="1"/>
    <col min="3584" max="3584" width="11.140625" style="16" customWidth="1"/>
    <col min="3585" max="3585" width="2.85546875" style="16" customWidth="1"/>
    <col min="3586" max="3586" width="3.5703125" style="16" customWidth="1"/>
    <col min="3587" max="3831" width="9.140625" style="16"/>
    <col min="3832" max="3832" width="8.5703125" style="16" customWidth="1"/>
    <col min="3833" max="3833" width="9.85546875" style="16" customWidth="1"/>
    <col min="3834" max="3834" width="14.42578125" style="16" customWidth="1"/>
    <col min="3835" max="3835" width="7.42578125" style="16" customWidth="1"/>
    <col min="3836" max="3836" width="5.5703125" style="16" customWidth="1"/>
    <col min="3837" max="3837" width="9" style="16" customWidth="1"/>
    <col min="3838" max="3839" width="9.85546875" style="16" customWidth="1"/>
    <col min="3840" max="3840" width="11.140625" style="16" customWidth="1"/>
    <col min="3841" max="3841" width="2.85546875" style="16" customWidth="1"/>
    <col min="3842" max="3842" width="3.5703125" style="16" customWidth="1"/>
    <col min="3843" max="4087" width="9.140625" style="16"/>
    <col min="4088" max="4088" width="8.5703125" style="16" customWidth="1"/>
    <col min="4089" max="4089" width="9.85546875" style="16" customWidth="1"/>
    <col min="4090" max="4090" width="14.42578125" style="16" customWidth="1"/>
    <col min="4091" max="4091" width="7.42578125" style="16" customWidth="1"/>
    <col min="4092" max="4092" width="5.5703125" style="16" customWidth="1"/>
    <col min="4093" max="4093" width="9" style="16" customWidth="1"/>
    <col min="4094" max="4095" width="9.85546875" style="16" customWidth="1"/>
    <col min="4096" max="4096" width="11.140625" style="16" customWidth="1"/>
    <col min="4097" max="4097" width="2.85546875" style="16" customWidth="1"/>
    <col min="4098" max="4098" width="3.5703125" style="16" customWidth="1"/>
    <col min="4099" max="4343" width="9.140625" style="16"/>
    <col min="4344" max="4344" width="8.5703125" style="16" customWidth="1"/>
    <col min="4345" max="4345" width="9.85546875" style="16" customWidth="1"/>
    <col min="4346" max="4346" width="14.42578125" style="16" customWidth="1"/>
    <col min="4347" max="4347" width="7.42578125" style="16" customWidth="1"/>
    <col min="4348" max="4348" width="5.5703125" style="16" customWidth="1"/>
    <col min="4349" max="4349" width="9" style="16" customWidth="1"/>
    <col min="4350" max="4351" width="9.85546875" style="16" customWidth="1"/>
    <col min="4352" max="4352" width="11.140625" style="16" customWidth="1"/>
    <col min="4353" max="4353" width="2.85546875" style="16" customWidth="1"/>
    <col min="4354" max="4354" width="3.5703125" style="16" customWidth="1"/>
    <col min="4355" max="4599" width="9.140625" style="16"/>
    <col min="4600" max="4600" width="8.5703125" style="16" customWidth="1"/>
    <col min="4601" max="4601" width="9.85546875" style="16" customWidth="1"/>
    <col min="4602" max="4602" width="14.42578125" style="16" customWidth="1"/>
    <col min="4603" max="4603" width="7.42578125" style="16" customWidth="1"/>
    <col min="4604" max="4604" width="5.5703125" style="16" customWidth="1"/>
    <col min="4605" max="4605" width="9" style="16" customWidth="1"/>
    <col min="4606" max="4607" width="9.85546875" style="16" customWidth="1"/>
    <col min="4608" max="4608" width="11.140625" style="16" customWidth="1"/>
    <col min="4609" max="4609" width="2.85546875" style="16" customWidth="1"/>
    <col min="4610" max="4610" width="3.5703125" style="16" customWidth="1"/>
    <col min="4611" max="4855" width="9.140625" style="16"/>
    <col min="4856" max="4856" width="8.5703125" style="16" customWidth="1"/>
    <col min="4857" max="4857" width="9.85546875" style="16" customWidth="1"/>
    <col min="4858" max="4858" width="14.42578125" style="16" customWidth="1"/>
    <col min="4859" max="4859" width="7.42578125" style="16" customWidth="1"/>
    <col min="4860" max="4860" width="5.5703125" style="16" customWidth="1"/>
    <col min="4861" max="4861" width="9" style="16" customWidth="1"/>
    <col min="4862" max="4863" width="9.85546875" style="16" customWidth="1"/>
    <col min="4864" max="4864" width="11.140625" style="16" customWidth="1"/>
    <col min="4865" max="4865" width="2.85546875" style="16" customWidth="1"/>
    <col min="4866" max="4866" width="3.5703125" style="16" customWidth="1"/>
    <col min="4867" max="5111" width="9.140625" style="16"/>
    <col min="5112" max="5112" width="8.5703125" style="16" customWidth="1"/>
    <col min="5113" max="5113" width="9.85546875" style="16" customWidth="1"/>
    <col min="5114" max="5114" width="14.42578125" style="16" customWidth="1"/>
    <col min="5115" max="5115" width="7.42578125" style="16" customWidth="1"/>
    <col min="5116" max="5116" width="5.5703125" style="16" customWidth="1"/>
    <col min="5117" max="5117" width="9" style="16" customWidth="1"/>
    <col min="5118" max="5119" width="9.85546875" style="16" customWidth="1"/>
    <col min="5120" max="5120" width="11.140625" style="16" customWidth="1"/>
    <col min="5121" max="5121" width="2.85546875" style="16" customWidth="1"/>
    <col min="5122" max="5122" width="3.5703125" style="16" customWidth="1"/>
    <col min="5123" max="5367" width="9.140625" style="16"/>
    <col min="5368" max="5368" width="8.5703125" style="16" customWidth="1"/>
    <col min="5369" max="5369" width="9.85546875" style="16" customWidth="1"/>
    <col min="5370" max="5370" width="14.42578125" style="16" customWidth="1"/>
    <col min="5371" max="5371" width="7.42578125" style="16" customWidth="1"/>
    <col min="5372" max="5372" width="5.5703125" style="16" customWidth="1"/>
    <col min="5373" max="5373" width="9" style="16" customWidth="1"/>
    <col min="5374" max="5375" width="9.85546875" style="16" customWidth="1"/>
    <col min="5376" max="5376" width="11.140625" style="16" customWidth="1"/>
    <col min="5377" max="5377" width="2.85546875" style="16" customWidth="1"/>
    <col min="5378" max="5378" width="3.5703125" style="16" customWidth="1"/>
    <col min="5379" max="5623" width="9.140625" style="16"/>
    <col min="5624" max="5624" width="8.5703125" style="16" customWidth="1"/>
    <col min="5625" max="5625" width="9.85546875" style="16" customWidth="1"/>
    <col min="5626" max="5626" width="14.42578125" style="16" customWidth="1"/>
    <col min="5627" max="5627" width="7.42578125" style="16" customWidth="1"/>
    <col min="5628" max="5628" width="5.5703125" style="16" customWidth="1"/>
    <col min="5629" max="5629" width="9" style="16" customWidth="1"/>
    <col min="5630" max="5631" width="9.85546875" style="16" customWidth="1"/>
    <col min="5632" max="5632" width="11.140625" style="16" customWidth="1"/>
    <col min="5633" max="5633" width="2.85546875" style="16" customWidth="1"/>
    <col min="5634" max="5634" width="3.5703125" style="16" customWidth="1"/>
    <col min="5635" max="5879" width="9.140625" style="16"/>
    <col min="5880" max="5880" width="8.5703125" style="16" customWidth="1"/>
    <col min="5881" max="5881" width="9.85546875" style="16" customWidth="1"/>
    <col min="5882" max="5882" width="14.42578125" style="16" customWidth="1"/>
    <col min="5883" max="5883" width="7.42578125" style="16" customWidth="1"/>
    <col min="5884" max="5884" width="5.5703125" style="16" customWidth="1"/>
    <col min="5885" max="5885" width="9" style="16" customWidth="1"/>
    <col min="5886" max="5887" width="9.85546875" style="16" customWidth="1"/>
    <col min="5888" max="5888" width="11.140625" style="16" customWidth="1"/>
    <col min="5889" max="5889" width="2.85546875" style="16" customWidth="1"/>
    <col min="5890" max="5890" width="3.5703125" style="16" customWidth="1"/>
    <col min="5891" max="6135" width="9.140625" style="16"/>
    <col min="6136" max="6136" width="8.5703125" style="16" customWidth="1"/>
    <col min="6137" max="6137" width="9.85546875" style="16" customWidth="1"/>
    <col min="6138" max="6138" width="14.42578125" style="16" customWidth="1"/>
    <col min="6139" max="6139" width="7.42578125" style="16" customWidth="1"/>
    <col min="6140" max="6140" width="5.5703125" style="16" customWidth="1"/>
    <col min="6141" max="6141" width="9" style="16" customWidth="1"/>
    <col min="6142" max="6143" width="9.85546875" style="16" customWidth="1"/>
    <col min="6144" max="6144" width="11.140625" style="16" customWidth="1"/>
    <col min="6145" max="6145" width="2.85546875" style="16" customWidth="1"/>
    <col min="6146" max="6146" width="3.5703125" style="16" customWidth="1"/>
    <col min="6147" max="6391" width="9.140625" style="16"/>
    <col min="6392" max="6392" width="8.5703125" style="16" customWidth="1"/>
    <col min="6393" max="6393" width="9.85546875" style="16" customWidth="1"/>
    <col min="6394" max="6394" width="14.42578125" style="16" customWidth="1"/>
    <col min="6395" max="6395" width="7.42578125" style="16" customWidth="1"/>
    <col min="6396" max="6396" width="5.5703125" style="16" customWidth="1"/>
    <col min="6397" max="6397" width="9" style="16" customWidth="1"/>
    <col min="6398" max="6399" width="9.85546875" style="16" customWidth="1"/>
    <col min="6400" max="6400" width="11.140625" style="16" customWidth="1"/>
    <col min="6401" max="6401" width="2.85546875" style="16" customWidth="1"/>
    <col min="6402" max="6402" width="3.5703125" style="16" customWidth="1"/>
    <col min="6403" max="6647" width="9.140625" style="16"/>
    <col min="6648" max="6648" width="8.5703125" style="16" customWidth="1"/>
    <col min="6649" max="6649" width="9.85546875" style="16" customWidth="1"/>
    <col min="6650" max="6650" width="14.42578125" style="16" customWidth="1"/>
    <col min="6651" max="6651" width="7.42578125" style="16" customWidth="1"/>
    <col min="6652" max="6652" width="5.5703125" style="16" customWidth="1"/>
    <col min="6653" max="6653" width="9" style="16" customWidth="1"/>
    <col min="6654" max="6655" width="9.85546875" style="16" customWidth="1"/>
    <col min="6656" max="6656" width="11.140625" style="16" customWidth="1"/>
    <col min="6657" max="6657" width="2.85546875" style="16" customWidth="1"/>
    <col min="6658" max="6658" width="3.5703125" style="16" customWidth="1"/>
    <col min="6659" max="6903" width="9.140625" style="16"/>
    <col min="6904" max="6904" width="8.5703125" style="16" customWidth="1"/>
    <col min="6905" max="6905" width="9.85546875" style="16" customWidth="1"/>
    <col min="6906" max="6906" width="14.42578125" style="16" customWidth="1"/>
    <col min="6907" max="6907" width="7.42578125" style="16" customWidth="1"/>
    <col min="6908" max="6908" width="5.5703125" style="16" customWidth="1"/>
    <col min="6909" max="6909" width="9" style="16" customWidth="1"/>
    <col min="6910" max="6911" width="9.85546875" style="16" customWidth="1"/>
    <col min="6912" max="6912" width="11.140625" style="16" customWidth="1"/>
    <col min="6913" max="6913" width="2.85546875" style="16" customWidth="1"/>
    <col min="6914" max="6914" width="3.5703125" style="16" customWidth="1"/>
    <col min="6915" max="7159" width="9.140625" style="16"/>
    <col min="7160" max="7160" width="8.5703125" style="16" customWidth="1"/>
    <col min="7161" max="7161" width="9.85546875" style="16" customWidth="1"/>
    <col min="7162" max="7162" width="14.42578125" style="16" customWidth="1"/>
    <col min="7163" max="7163" width="7.42578125" style="16" customWidth="1"/>
    <col min="7164" max="7164" width="5.5703125" style="16" customWidth="1"/>
    <col min="7165" max="7165" width="9" style="16" customWidth="1"/>
    <col min="7166" max="7167" width="9.85546875" style="16" customWidth="1"/>
    <col min="7168" max="7168" width="11.140625" style="16" customWidth="1"/>
    <col min="7169" max="7169" width="2.85546875" style="16" customWidth="1"/>
    <col min="7170" max="7170" width="3.5703125" style="16" customWidth="1"/>
    <col min="7171" max="7415" width="9.140625" style="16"/>
    <col min="7416" max="7416" width="8.5703125" style="16" customWidth="1"/>
    <col min="7417" max="7417" width="9.85546875" style="16" customWidth="1"/>
    <col min="7418" max="7418" width="14.42578125" style="16" customWidth="1"/>
    <col min="7419" max="7419" width="7.42578125" style="16" customWidth="1"/>
    <col min="7420" max="7420" width="5.5703125" style="16" customWidth="1"/>
    <col min="7421" max="7421" width="9" style="16" customWidth="1"/>
    <col min="7422" max="7423" width="9.85546875" style="16" customWidth="1"/>
    <col min="7424" max="7424" width="11.140625" style="16" customWidth="1"/>
    <col min="7425" max="7425" width="2.85546875" style="16" customWidth="1"/>
    <col min="7426" max="7426" width="3.5703125" style="16" customWidth="1"/>
    <col min="7427" max="7671" width="9.140625" style="16"/>
    <col min="7672" max="7672" width="8.5703125" style="16" customWidth="1"/>
    <col min="7673" max="7673" width="9.85546875" style="16" customWidth="1"/>
    <col min="7674" max="7674" width="14.42578125" style="16" customWidth="1"/>
    <col min="7675" max="7675" width="7.42578125" style="16" customWidth="1"/>
    <col min="7676" max="7676" width="5.5703125" style="16" customWidth="1"/>
    <col min="7677" max="7677" width="9" style="16" customWidth="1"/>
    <col min="7678" max="7679" width="9.85546875" style="16" customWidth="1"/>
    <col min="7680" max="7680" width="11.140625" style="16" customWidth="1"/>
    <col min="7681" max="7681" width="2.85546875" style="16" customWidth="1"/>
    <col min="7682" max="7682" width="3.5703125" style="16" customWidth="1"/>
    <col min="7683" max="7927" width="9.140625" style="16"/>
    <col min="7928" max="7928" width="8.5703125" style="16" customWidth="1"/>
    <col min="7929" max="7929" width="9.85546875" style="16" customWidth="1"/>
    <col min="7930" max="7930" width="14.42578125" style="16" customWidth="1"/>
    <col min="7931" max="7931" width="7.42578125" style="16" customWidth="1"/>
    <col min="7932" max="7932" width="5.5703125" style="16" customWidth="1"/>
    <col min="7933" max="7933" width="9" style="16" customWidth="1"/>
    <col min="7934" max="7935" width="9.85546875" style="16" customWidth="1"/>
    <col min="7936" max="7936" width="11.140625" style="16" customWidth="1"/>
    <col min="7937" max="7937" width="2.85546875" style="16" customWidth="1"/>
    <col min="7938" max="7938" width="3.5703125" style="16" customWidth="1"/>
    <col min="7939" max="8183" width="9.140625" style="16"/>
    <col min="8184" max="8184" width="8.5703125" style="16" customWidth="1"/>
    <col min="8185" max="8185" width="9.85546875" style="16" customWidth="1"/>
    <col min="8186" max="8186" width="14.42578125" style="16" customWidth="1"/>
    <col min="8187" max="8187" width="7.42578125" style="16" customWidth="1"/>
    <col min="8188" max="8188" width="5.5703125" style="16" customWidth="1"/>
    <col min="8189" max="8189" width="9" style="16" customWidth="1"/>
    <col min="8190" max="8191" width="9.85546875" style="16" customWidth="1"/>
    <col min="8192" max="8192" width="11.140625" style="16" customWidth="1"/>
    <col min="8193" max="8193" width="2.85546875" style="16" customWidth="1"/>
    <col min="8194" max="8194" width="3.5703125" style="16" customWidth="1"/>
    <col min="8195" max="8439" width="9.140625" style="16"/>
    <col min="8440" max="8440" width="8.5703125" style="16" customWidth="1"/>
    <col min="8441" max="8441" width="9.85546875" style="16" customWidth="1"/>
    <col min="8442" max="8442" width="14.42578125" style="16" customWidth="1"/>
    <col min="8443" max="8443" width="7.42578125" style="16" customWidth="1"/>
    <col min="8444" max="8444" width="5.5703125" style="16" customWidth="1"/>
    <col min="8445" max="8445" width="9" style="16" customWidth="1"/>
    <col min="8446" max="8447" width="9.85546875" style="16" customWidth="1"/>
    <col min="8448" max="8448" width="11.140625" style="16" customWidth="1"/>
    <col min="8449" max="8449" width="2.85546875" style="16" customWidth="1"/>
    <col min="8450" max="8450" width="3.5703125" style="16" customWidth="1"/>
    <col min="8451" max="8695" width="9.140625" style="16"/>
    <col min="8696" max="8696" width="8.5703125" style="16" customWidth="1"/>
    <col min="8697" max="8697" width="9.85546875" style="16" customWidth="1"/>
    <col min="8698" max="8698" width="14.42578125" style="16" customWidth="1"/>
    <col min="8699" max="8699" width="7.42578125" style="16" customWidth="1"/>
    <col min="8700" max="8700" width="5.5703125" style="16" customWidth="1"/>
    <col min="8701" max="8701" width="9" style="16" customWidth="1"/>
    <col min="8702" max="8703" width="9.85546875" style="16" customWidth="1"/>
    <col min="8704" max="8704" width="11.140625" style="16" customWidth="1"/>
    <col min="8705" max="8705" width="2.85546875" style="16" customWidth="1"/>
    <col min="8706" max="8706" width="3.5703125" style="16" customWidth="1"/>
    <col min="8707" max="8951" width="9.140625" style="16"/>
    <col min="8952" max="8952" width="8.5703125" style="16" customWidth="1"/>
    <col min="8953" max="8953" width="9.85546875" style="16" customWidth="1"/>
    <col min="8954" max="8954" width="14.42578125" style="16" customWidth="1"/>
    <col min="8955" max="8955" width="7.42578125" style="16" customWidth="1"/>
    <col min="8956" max="8956" width="5.5703125" style="16" customWidth="1"/>
    <col min="8957" max="8957" width="9" style="16" customWidth="1"/>
    <col min="8958" max="8959" width="9.85546875" style="16" customWidth="1"/>
    <col min="8960" max="8960" width="11.140625" style="16" customWidth="1"/>
    <col min="8961" max="8961" width="2.85546875" style="16" customWidth="1"/>
    <col min="8962" max="8962" width="3.5703125" style="16" customWidth="1"/>
    <col min="8963" max="9207" width="9.140625" style="16"/>
    <col min="9208" max="9208" width="8.5703125" style="16" customWidth="1"/>
    <col min="9209" max="9209" width="9.85546875" style="16" customWidth="1"/>
    <col min="9210" max="9210" width="14.42578125" style="16" customWidth="1"/>
    <col min="9211" max="9211" width="7.42578125" style="16" customWidth="1"/>
    <col min="9212" max="9212" width="5.5703125" style="16" customWidth="1"/>
    <col min="9213" max="9213" width="9" style="16" customWidth="1"/>
    <col min="9214" max="9215" width="9.85546875" style="16" customWidth="1"/>
    <col min="9216" max="9216" width="11.140625" style="16" customWidth="1"/>
    <col min="9217" max="9217" width="2.85546875" style="16" customWidth="1"/>
    <col min="9218" max="9218" width="3.5703125" style="16" customWidth="1"/>
    <col min="9219" max="9463" width="9.140625" style="16"/>
    <col min="9464" max="9464" width="8.5703125" style="16" customWidth="1"/>
    <col min="9465" max="9465" width="9.85546875" style="16" customWidth="1"/>
    <col min="9466" max="9466" width="14.42578125" style="16" customWidth="1"/>
    <col min="9467" max="9467" width="7.42578125" style="16" customWidth="1"/>
    <col min="9468" max="9468" width="5.5703125" style="16" customWidth="1"/>
    <col min="9469" max="9469" width="9" style="16" customWidth="1"/>
    <col min="9470" max="9471" width="9.85546875" style="16" customWidth="1"/>
    <col min="9472" max="9472" width="11.140625" style="16" customWidth="1"/>
    <col min="9473" max="9473" width="2.85546875" style="16" customWidth="1"/>
    <col min="9474" max="9474" width="3.5703125" style="16" customWidth="1"/>
    <col min="9475" max="9719" width="9.140625" style="16"/>
    <col min="9720" max="9720" width="8.5703125" style="16" customWidth="1"/>
    <col min="9721" max="9721" width="9.85546875" style="16" customWidth="1"/>
    <col min="9722" max="9722" width="14.42578125" style="16" customWidth="1"/>
    <col min="9723" max="9723" width="7.42578125" style="16" customWidth="1"/>
    <col min="9724" max="9724" width="5.5703125" style="16" customWidth="1"/>
    <col min="9725" max="9725" width="9" style="16" customWidth="1"/>
    <col min="9726" max="9727" width="9.85546875" style="16" customWidth="1"/>
    <col min="9728" max="9728" width="11.140625" style="16" customWidth="1"/>
    <col min="9729" max="9729" width="2.85546875" style="16" customWidth="1"/>
    <col min="9730" max="9730" width="3.5703125" style="16" customWidth="1"/>
    <col min="9731" max="9975" width="9.140625" style="16"/>
    <col min="9976" max="9976" width="8.5703125" style="16" customWidth="1"/>
    <col min="9977" max="9977" width="9.85546875" style="16" customWidth="1"/>
    <col min="9978" max="9978" width="14.42578125" style="16" customWidth="1"/>
    <col min="9979" max="9979" width="7.42578125" style="16" customWidth="1"/>
    <col min="9980" max="9980" width="5.5703125" style="16" customWidth="1"/>
    <col min="9981" max="9981" width="9" style="16" customWidth="1"/>
    <col min="9982" max="9983" width="9.85546875" style="16" customWidth="1"/>
    <col min="9984" max="9984" width="11.140625" style="16" customWidth="1"/>
    <col min="9985" max="9985" width="2.85546875" style="16" customWidth="1"/>
    <col min="9986" max="9986" width="3.5703125" style="16" customWidth="1"/>
    <col min="9987" max="10231" width="9.140625" style="16"/>
    <col min="10232" max="10232" width="8.5703125" style="16" customWidth="1"/>
    <col min="10233" max="10233" width="9.85546875" style="16" customWidth="1"/>
    <col min="10234" max="10234" width="14.42578125" style="16" customWidth="1"/>
    <col min="10235" max="10235" width="7.42578125" style="16" customWidth="1"/>
    <col min="10236" max="10236" width="5.5703125" style="16" customWidth="1"/>
    <col min="10237" max="10237" width="9" style="16" customWidth="1"/>
    <col min="10238" max="10239" width="9.85546875" style="16" customWidth="1"/>
    <col min="10240" max="10240" width="11.140625" style="16" customWidth="1"/>
    <col min="10241" max="10241" width="2.85546875" style="16" customWidth="1"/>
    <col min="10242" max="10242" width="3.5703125" style="16" customWidth="1"/>
    <col min="10243" max="10487" width="9.140625" style="16"/>
    <col min="10488" max="10488" width="8.5703125" style="16" customWidth="1"/>
    <col min="10489" max="10489" width="9.85546875" style="16" customWidth="1"/>
    <col min="10490" max="10490" width="14.42578125" style="16" customWidth="1"/>
    <col min="10491" max="10491" width="7.42578125" style="16" customWidth="1"/>
    <col min="10492" max="10492" width="5.5703125" style="16" customWidth="1"/>
    <col min="10493" max="10493" width="9" style="16" customWidth="1"/>
    <col min="10494" max="10495" width="9.85546875" style="16" customWidth="1"/>
    <col min="10496" max="10496" width="11.140625" style="16" customWidth="1"/>
    <col min="10497" max="10497" width="2.85546875" style="16" customWidth="1"/>
    <col min="10498" max="10498" width="3.5703125" style="16" customWidth="1"/>
    <col min="10499" max="10743" width="9.140625" style="16"/>
    <col min="10744" max="10744" width="8.5703125" style="16" customWidth="1"/>
    <col min="10745" max="10745" width="9.85546875" style="16" customWidth="1"/>
    <col min="10746" max="10746" width="14.42578125" style="16" customWidth="1"/>
    <col min="10747" max="10747" width="7.42578125" style="16" customWidth="1"/>
    <col min="10748" max="10748" width="5.5703125" style="16" customWidth="1"/>
    <col min="10749" max="10749" width="9" style="16" customWidth="1"/>
    <col min="10750" max="10751" width="9.85546875" style="16" customWidth="1"/>
    <col min="10752" max="10752" width="11.140625" style="16" customWidth="1"/>
    <col min="10753" max="10753" width="2.85546875" style="16" customWidth="1"/>
    <col min="10754" max="10754" width="3.5703125" style="16" customWidth="1"/>
    <col min="10755" max="10999" width="9.140625" style="16"/>
    <col min="11000" max="11000" width="8.5703125" style="16" customWidth="1"/>
    <col min="11001" max="11001" width="9.85546875" style="16" customWidth="1"/>
    <col min="11002" max="11002" width="14.42578125" style="16" customWidth="1"/>
    <col min="11003" max="11003" width="7.42578125" style="16" customWidth="1"/>
    <col min="11004" max="11004" width="5.5703125" style="16" customWidth="1"/>
    <col min="11005" max="11005" width="9" style="16" customWidth="1"/>
    <col min="11006" max="11007" width="9.85546875" style="16" customWidth="1"/>
    <col min="11008" max="11008" width="11.140625" style="16" customWidth="1"/>
    <col min="11009" max="11009" width="2.85546875" style="16" customWidth="1"/>
    <col min="11010" max="11010" width="3.5703125" style="16" customWidth="1"/>
    <col min="11011" max="11255" width="9.140625" style="16"/>
    <col min="11256" max="11256" width="8.5703125" style="16" customWidth="1"/>
    <col min="11257" max="11257" width="9.85546875" style="16" customWidth="1"/>
    <col min="11258" max="11258" width="14.42578125" style="16" customWidth="1"/>
    <col min="11259" max="11259" width="7.42578125" style="16" customWidth="1"/>
    <col min="11260" max="11260" width="5.5703125" style="16" customWidth="1"/>
    <col min="11261" max="11261" width="9" style="16" customWidth="1"/>
    <col min="11262" max="11263" width="9.85546875" style="16" customWidth="1"/>
    <col min="11264" max="11264" width="11.140625" style="16" customWidth="1"/>
    <col min="11265" max="11265" width="2.85546875" style="16" customWidth="1"/>
    <col min="11266" max="11266" width="3.5703125" style="16" customWidth="1"/>
    <col min="11267" max="11511" width="9.140625" style="16"/>
    <col min="11512" max="11512" width="8.5703125" style="16" customWidth="1"/>
    <col min="11513" max="11513" width="9.85546875" style="16" customWidth="1"/>
    <col min="11514" max="11514" width="14.42578125" style="16" customWidth="1"/>
    <col min="11515" max="11515" width="7.42578125" style="16" customWidth="1"/>
    <col min="11516" max="11516" width="5.5703125" style="16" customWidth="1"/>
    <col min="11517" max="11517" width="9" style="16" customWidth="1"/>
    <col min="11518" max="11519" width="9.85546875" style="16" customWidth="1"/>
    <col min="11520" max="11520" width="11.140625" style="16" customWidth="1"/>
    <col min="11521" max="11521" width="2.85546875" style="16" customWidth="1"/>
    <col min="11522" max="11522" width="3.5703125" style="16" customWidth="1"/>
    <col min="11523" max="11767" width="9.140625" style="16"/>
    <col min="11768" max="11768" width="8.5703125" style="16" customWidth="1"/>
    <col min="11769" max="11769" width="9.85546875" style="16" customWidth="1"/>
    <col min="11770" max="11770" width="14.42578125" style="16" customWidth="1"/>
    <col min="11771" max="11771" width="7.42578125" style="16" customWidth="1"/>
    <col min="11772" max="11772" width="5.5703125" style="16" customWidth="1"/>
    <col min="11773" max="11773" width="9" style="16" customWidth="1"/>
    <col min="11774" max="11775" width="9.85546875" style="16" customWidth="1"/>
    <col min="11776" max="11776" width="11.140625" style="16" customWidth="1"/>
    <col min="11777" max="11777" width="2.85546875" style="16" customWidth="1"/>
    <col min="11778" max="11778" width="3.5703125" style="16" customWidth="1"/>
    <col min="11779" max="12023" width="9.140625" style="16"/>
    <col min="12024" max="12024" width="8.5703125" style="16" customWidth="1"/>
    <col min="12025" max="12025" width="9.85546875" style="16" customWidth="1"/>
    <col min="12026" max="12026" width="14.42578125" style="16" customWidth="1"/>
    <col min="12027" max="12027" width="7.42578125" style="16" customWidth="1"/>
    <col min="12028" max="12028" width="5.5703125" style="16" customWidth="1"/>
    <col min="12029" max="12029" width="9" style="16" customWidth="1"/>
    <col min="12030" max="12031" width="9.85546875" style="16" customWidth="1"/>
    <col min="12032" max="12032" width="11.140625" style="16" customWidth="1"/>
    <col min="12033" max="12033" width="2.85546875" style="16" customWidth="1"/>
    <col min="12034" max="12034" width="3.5703125" style="16" customWidth="1"/>
    <col min="12035" max="12279" width="9.140625" style="16"/>
    <col min="12280" max="12280" width="8.5703125" style="16" customWidth="1"/>
    <col min="12281" max="12281" width="9.85546875" style="16" customWidth="1"/>
    <col min="12282" max="12282" width="14.42578125" style="16" customWidth="1"/>
    <col min="12283" max="12283" width="7.42578125" style="16" customWidth="1"/>
    <col min="12284" max="12284" width="5.5703125" style="16" customWidth="1"/>
    <col min="12285" max="12285" width="9" style="16" customWidth="1"/>
    <col min="12286" max="12287" width="9.85546875" style="16" customWidth="1"/>
    <col min="12288" max="12288" width="11.140625" style="16" customWidth="1"/>
    <col min="12289" max="12289" width="2.85546875" style="16" customWidth="1"/>
    <col min="12290" max="12290" width="3.5703125" style="16" customWidth="1"/>
    <col min="12291" max="12535" width="9.140625" style="16"/>
    <col min="12536" max="12536" width="8.5703125" style="16" customWidth="1"/>
    <col min="12537" max="12537" width="9.85546875" style="16" customWidth="1"/>
    <col min="12538" max="12538" width="14.42578125" style="16" customWidth="1"/>
    <col min="12539" max="12539" width="7.42578125" style="16" customWidth="1"/>
    <col min="12540" max="12540" width="5.5703125" style="16" customWidth="1"/>
    <col min="12541" max="12541" width="9" style="16" customWidth="1"/>
    <col min="12542" max="12543" width="9.85546875" style="16" customWidth="1"/>
    <col min="12544" max="12544" width="11.140625" style="16" customWidth="1"/>
    <col min="12545" max="12545" width="2.85546875" style="16" customWidth="1"/>
    <col min="12546" max="12546" width="3.5703125" style="16" customWidth="1"/>
    <col min="12547" max="12791" width="9.140625" style="16"/>
    <col min="12792" max="12792" width="8.5703125" style="16" customWidth="1"/>
    <col min="12793" max="12793" width="9.85546875" style="16" customWidth="1"/>
    <col min="12794" max="12794" width="14.42578125" style="16" customWidth="1"/>
    <col min="12795" max="12795" width="7.42578125" style="16" customWidth="1"/>
    <col min="12796" max="12796" width="5.5703125" style="16" customWidth="1"/>
    <col min="12797" max="12797" width="9" style="16" customWidth="1"/>
    <col min="12798" max="12799" width="9.85546875" style="16" customWidth="1"/>
    <col min="12800" max="12800" width="11.140625" style="16" customWidth="1"/>
    <col min="12801" max="12801" width="2.85546875" style="16" customWidth="1"/>
    <col min="12802" max="12802" width="3.5703125" style="16" customWidth="1"/>
    <col min="12803" max="13047" width="9.140625" style="16"/>
    <col min="13048" max="13048" width="8.5703125" style="16" customWidth="1"/>
    <col min="13049" max="13049" width="9.85546875" style="16" customWidth="1"/>
    <col min="13050" max="13050" width="14.42578125" style="16" customWidth="1"/>
    <col min="13051" max="13051" width="7.42578125" style="16" customWidth="1"/>
    <col min="13052" max="13052" width="5.5703125" style="16" customWidth="1"/>
    <col min="13053" max="13053" width="9" style="16" customWidth="1"/>
    <col min="13054" max="13055" width="9.85546875" style="16" customWidth="1"/>
    <col min="13056" max="13056" width="11.140625" style="16" customWidth="1"/>
    <col min="13057" max="13057" width="2.85546875" style="16" customWidth="1"/>
    <col min="13058" max="13058" width="3.5703125" style="16" customWidth="1"/>
    <col min="13059" max="13303" width="9.140625" style="16"/>
    <col min="13304" max="13304" width="8.5703125" style="16" customWidth="1"/>
    <col min="13305" max="13305" width="9.85546875" style="16" customWidth="1"/>
    <col min="13306" max="13306" width="14.42578125" style="16" customWidth="1"/>
    <col min="13307" max="13307" width="7.42578125" style="16" customWidth="1"/>
    <col min="13308" max="13308" width="5.5703125" style="16" customWidth="1"/>
    <col min="13309" max="13309" width="9" style="16" customWidth="1"/>
    <col min="13310" max="13311" width="9.85546875" style="16" customWidth="1"/>
    <col min="13312" max="13312" width="11.140625" style="16" customWidth="1"/>
    <col min="13313" max="13313" width="2.85546875" style="16" customWidth="1"/>
    <col min="13314" max="13314" width="3.5703125" style="16" customWidth="1"/>
    <col min="13315" max="13559" width="9.140625" style="16"/>
    <col min="13560" max="13560" width="8.5703125" style="16" customWidth="1"/>
    <col min="13561" max="13561" width="9.85546875" style="16" customWidth="1"/>
    <col min="13562" max="13562" width="14.42578125" style="16" customWidth="1"/>
    <col min="13563" max="13563" width="7.42578125" style="16" customWidth="1"/>
    <col min="13564" max="13564" width="5.5703125" style="16" customWidth="1"/>
    <col min="13565" max="13565" width="9" style="16" customWidth="1"/>
    <col min="13566" max="13567" width="9.85546875" style="16" customWidth="1"/>
    <col min="13568" max="13568" width="11.140625" style="16" customWidth="1"/>
    <col min="13569" max="13569" width="2.85546875" style="16" customWidth="1"/>
    <col min="13570" max="13570" width="3.5703125" style="16" customWidth="1"/>
    <col min="13571" max="13815" width="9.140625" style="16"/>
    <col min="13816" max="13816" width="8.5703125" style="16" customWidth="1"/>
    <col min="13817" max="13817" width="9.85546875" style="16" customWidth="1"/>
    <col min="13818" max="13818" width="14.42578125" style="16" customWidth="1"/>
    <col min="13819" max="13819" width="7.42578125" style="16" customWidth="1"/>
    <col min="13820" max="13820" width="5.5703125" style="16" customWidth="1"/>
    <col min="13821" max="13821" width="9" style="16" customWidth="1"/>
    <col min="13822" max="13823" width="9.85546875" style="16" customWidth="1"/>
    <col min="13824" max="13824" width="11.140625" style="16" customWidth="1"/>
    <col min="13825" max="13825" width="2.85546875" style="16" customWidth="1"/>
    <col min="13826" max="13826" width="3.5703125" style="16" customWidth="1"/>
    <col min="13827" max="14071" width="9.140625" style="16"/>
    <col min="14072" max="14072" width="8.5703125" style="16" customWidth="1"/>
    <col min="14073" max="14073" width="9.85546875" style="16" customWidth="1"/>
    <col min="14074" max="14074" width="14.42578125" style="16" customWidth="1"/>
    <col min="14075" max="14075" width="7.42578125" style="16" customWidth="1"/>
    <col min="14076" max="14076" width="5.5703125" style="16" customWidth="1"/>
    <col min="14077" max="14077" width="9" style="16" customWidth="1"/>
    <col min="14078" max="14079" width="9.85546875" style="16" customWidth="1"/>
    <col min="14080" max="14080" width="11.140625" style="16" customWidth="1"/>
    <col min="14081" max="14081" width="2.85546875" style="16" customWidth="1"/>
    <col min="14082" max="14082" width="3.5703125" style="16" customWidth="1"/>
    <col min="14083" max="14327" width="9.140625" style="16"/>
    <col min="14328" max="14328" width="8.5703125" style="16" customWidth="1"/>
    <col min="14329" max="14329" width="9.85546875" style="16" customWidth="1"/>
    <col min="14330" max="14330" width="14.42578125" style="16" customWidth="1"/>
    <col min="14331" max="14331" width="7.42578125" style="16" customWidth="1"/>
    <col min="14332" max="14332" width="5.5703125" style="16" customWidth="1"/>
    <col min="14333" max="14333" width="9" style="16" customWidth="1"/>
    <col min="14334" max="14335" width="9.85546875" style="16" customWidth="1"/>
    <col min="14336" max="14336" width="11.140625" style="16" customWidth="1"/>
    <col min="14337" max="14337" width="2.85546875" style="16" customWidth="1"/>
    <col min="14338" max="14338" width="3.5703125" style="16" customWidth="1"/>
    <col min="14339" max="14583" width="9.140625" style="16"/>
    <col min="14584" max="14584" width="8.5703125" style="16" customWidth="1"/>
    <col min="14585" max="14585" width="9.85546875" style="16" customWidth="1"/>
    <col min="14586" max="14586" width="14.42578125" style="16" customWidth="1"/>
    <col min="14587" max="14587" width="7.42578125" style="16" customWidth="1"/>
    <col min="14588" max="14588" width="5.5703125" style="16" customWidth="1"/>
    <col min="14589" max="14589" width="9" style="16" customWidth="1"/>
    <col min="14590" max="14591" width="9.85546875" style="16" customWidth="1"/>
    <col min="14592" max="14592" width="11.140625" style="16" customWidth="1"/>
    <col min="14593" max="14593" width="2.85546875" style="16" customWidth="1"/>
    <col min="14594" max="14594" width="3.5703125" style="16" customWidth="1"/>
    <col min="14595" max="14839" width="9.140625" style="16"/>
    <col min="14840" max="14840" width="8.5703125" style="16" customWidth="1"/>
    <col min="14841" max="14841" width="9.85546875" style="16" customWidth="1"/>
    <col min="14842" max="14842" width="14.42578125" style="16" customWidth="1"/>
    <col min="14843" max="14843" width="7.42578125" style="16" customWidth="1"/>
    <col min="14844" max="14844" width="5.5703125" style="16" customWidth="1"/>
    <col min="14845" max="14845" width="9" style="16" customWidth="1"/>
    <col min="14846" max="14847" width="9.85546875" style="16" customWidth="1"/>
    <col min="14848" max="14848" width="11.140625" style="16" customWidth="1"/>
    <col min="14849" max="14849" width="2.85546875" style="16" customWidth="1"/>
    <col min="14850" max="14850" width="3.5703125" style="16" customWidth="1"/>
    <col min="14851" max="15095" width="9.140625" style="16"/>
    <col min="15096" max="15096" width="8.5703125" style="16" customWidth="1"/>
    <col min="15097" max="15097" width="9.85546875" style="16" customWidth="1"/>
    <col min="15098" max="15098" width="14.42578125" style="16" customWidth="1"/>
    <col min="15099" max="15099" width="7.42578125" style="16" customWidth="1"/>
    <col min="15100" max="15100" width="5.5703125" style="16" customWidth="1"/>
    <col min="15101" max="15101" width="9" style="16" customWidth="1"/>
    <col min="15102" max="15103" width="9.85546875" style="16" customWidth="1"/>
    <col min="15104" max="15104" width="11.140625" style="16" customWidth="1"/>
    <col min="15105" max="15105" width="2.85546875" style="16" customWidth="1"/>
    <col min="15106" max="15106" width="3.5703125" style="16" customWidth="1"/>
    <col min="15107" max="15351" width="9.140625" style="16"/>
    <col min="15352" max="15352" width="8.5703125" style="16" customWidth="1"/>
    <col min="15353" max="15353" width="9.85546875" style="16" customWidth="1"/>
    <col min="15354" max="15354" width="14.42578125" style="16" customWidth="1"/>
    <col min="15355" max="15355" width="7.42578125" style="16" customWidth="1"/>
    <col min="15356" max="15356" width="5.5703125" style="16" customWidth="1"/>
    <col min="15357" max="15357" width="9" style="16" customWidth="1"/>
    <col min="15358" max="15359" width="9.85546875" style="16" customWidth="1"/>
    <col min="15360" max="15360" width="11.140625" style="16" customWidth="1"/>
    <col min="15361" max="15361" width="2.85546875" style="16" customWidth="1"/>
    <col min="15362" max="15362" width="3.5703125" style="16" customWidth="1"/>
    <col min="15363" max="15607" width="9.140625" style="16"/>
    <col min="15608" max="15608" width="8.5703125" style="16" customWidth="1"/>
    <col min="15609" max="15609" width="9.85546875" style="16" customWidth="1"/>
    <col min="15610" max="15610" width="14.42578125" style="16" customWidth="1"/>
    <col min="15611" max="15611" width="7.42578125" style="16" customWidth="1"/>
    <col min="15612" max="15612" width="5.5703125" style="16" customWidth="1"/>
    <col min="15613" max="15613" width="9" style="16" customWidth="1"/>
    <col min="15614" max="15615" width="9.85546875" style="16" customWidth="1"/>
    <col min="15616" max="15616" width="11.140625" style="16" customWidth="1"/>
    <col min="15617" max="15617" width="2.85546875" style="16" customWidth="1"/>
    <col min="15618" max="15618" width="3.5703125" style="16" customWidth="1"/>
    <col min="15619" max="15863" width="9.140625" style="16"/>
    <col min="15864" max="15864" width="8.5703125" style="16" customWidth="1"/>
    <col min="15865" max="15865" width="9.85546875" style="16" customWidth="1"/>
    <col min="15866" max="15866" width="14.42578125" style="16" customWidth="1"/>
    <col min="15867" max="15867" width="7.42578125" style="16" customWidth="1"/>
    <col min="15868" max="15868" width="5.5703125" style="16" customWidth="1"/>
    <col min="15869" max="15869" width="9" style="16" customWidth="1"/>
    <col min="15870" max="15871" width="9.85546875" style="16" customWidth="1"/>
    <col min="15872" max="15872" width="11.140625" style="16" customWidth="1"/>
    <col min="15873" max="15873" width="2.85546875" style="16" customWidth="1"/>
    <col min="15874" max="15874" width="3.5703125" style="16" customWidth="1"/>
    <col min="15875" max="16119" width="9.140625" style="16"/>
    <col min="16120" max="16120" width="8.5703125" style="16" customWidth="1"/>
    <col min="16121" max="16121" width="9.85546875" style="16" customWidth="1"/>
    <col min="16122" max="16122" width="14.42578125" style="16" customWidth="1"/>
    <col min="16123" max="16123" width="7.42578125" style="16" customWidth="1"/>
    <col min="16124" max="16124" width="5.5703125" style="16" customWidth="1"/>
    <col min="16125" max="16125" width="9" style="16" customWidth="1"/>
    <col min="16126" max="16127" width="9.85546875" style="16" customWidth="1"/>
    <col min="16128" max="16128" width="11.140625" style="16" customWidth="1"/>
    <col min="16129" max="16129" width="2.85546875" style="16" customWidth="1"/>
    <col min="16130" max="16130" width="3.5703125" style="16" customWidth="1"/>
    <col min="16131" max="16384" width="9.140625" style="16"/>
  </cols>
  <sheetData>
    <row r="1" spans="1:26" ht="46.5" customHeight="1" x14ac:dyDescent="0.25">
      <c r="A1" s="162" t="s">
        <v>160</v>
      </c>
      <c r="B1" s="162"/>
      <c r="C1" s="162"/>
      <c r="D1" s="162"/>
      <c r="E1" s="162"/>
      <c r="F1" s="162"/>
      <c r="G1" s="162"/>
      <c r="H1" s="162"/>
    </row>
    <row r="2" spans="1:26" ht="16.5" customHeight="1" x14ac:dyDescent="0.25">
      <c r="A2" s="112" t="s">
        <v>0</v>
      </c>
      <c r="B2" s="112"/>
      <c r="C2" s="112"/>
      <c r="D2" s="112"/>
      <c r="E2" s="112"/>
      <c r="F2" s="112"/>
      <c r="G2" s="112"/>
      <c r="H2" s="112"/>
    </row>
    <row r="3" spans="1:26" x14ac:dyDescent="0.25">
      <c r="A3" s="163" t="s">
        <v>1</v>
      </c>
      <c r="B3" s="163"/>
      <c r="C3" s="163"/>
      <c r="D3" s="163"/>
      <c r="E3" s="163" t="str">
        <f ca="1">TEXT(TODAY(),"DD/MM/YYYY")</f>
        <v>17/09/2025</v>
      </c>
      <c r="F3" s="163"/>
      <c r="G3" s="163"/>
      <c r="H3" s="163"/>
    </row>
    <row r="4" spans="1:26" ht="15" customHeight="1" x14ac:dyDescent="0.25">
      <c r="A4" s="163" t="s">
        <v>2</v>
      </c>
      <c r="B4" s="163"/>
      <c r="C4" s="163"/>
      <c r="D4" s="163"/>
      <c r="E4" s="163" t="s">
        <v>226</v>
      </c>
      <c r="F4" s="163"/>
      <c r="G4" s="163"/>
      <c r="H4" s="163"/>
    </row>
    <row r="5" spans="1:26" x14ac:dyDescent="0.25">
      <c r="A5" s="163" t="s">
        <v>3</v>
      </c>
      <c r="B5" s="163"/>
      <c r="C5" s="163"/>
      <c r="D5" s="163"/>
      <c r="E5" s="165">
        <v>45912</v>
      </c>
      <c r="F5" s="163"/>
      <c r="G5" s="163"/>
      <c r="H5" s="163"/>
    </row>
    <row r="6" spans="1:26" ht="16.5" customHeight="1" x14ac:dyDescent="0.25">
      <c r="A6" s="163" t="s">
        <v>4</v>
      </c>
      <c r="B6" s="163"/>
      <c r="C6" s="163"/>
      <c r="D6" s="163"/>
      <c r="E6" s="163" t="s">
        <v>228</v>
      </c>
      <c r="F6" s="163"/>
      <c r="G6" s="163"/>
      <c r="H6" s="163"/>
    </row>
    <row r="7" spans="1:26" ht="15" customHeight="1" x14ac:dyDescent="0.25">
      <c r="A7" s="163" t="s">
        <v>5</v>
      </c>
      <c r="B7" s="163"/>
      <c r="C7" s="163"/>
      <c r="D7" s="163"/>
      <c r="E7" s="163" t="str">
        <f>E6</f>
        <v>Nexzone Fiscal Services Pvt Ltd</v>
      </c>
      <c r="F7" s="163"/>
      <c r="G7" s="163"/>
      <c r="H7" s="163"/>
    </row>
    <row r="8" spans="1:26" x14ac:dyDescent="0.25">
      <c r="A8" s="163" t="s">
        <v>6</v>
      </c>
      <c r="B8" s="163"/>
      <c r="C8" s="163"/>
      <c r="D8" s="163"/>
      <c r="E8" s="164" t="s">
        <v>227</v>
      </c>
      <c r="F8" s="164"/>
      <c r="G8" s="164"/>
      <c r="H8" s="164"/>
    </row>
    <row r="9" spans="1:26" x14ac:dyDescent="0.25">
      <c r="A9" s="163" t="s">
        <v>163</v>
      </c>
      <c r="B9" s="163"/>
      <c r="C9" s="163"/>
      <c r="D9" s="163"/>
      <c r="E9" s="163" t="s">
        <v>302</v>
      </c>
      <c r="F9" s="163"/>
      <c r="G9" s="163"/>
      <c r="H9" s="163"/>
    </row>
    <row r="10" spans="1:26" x14ac:dyDescent="0.25">
      <c r="A10" s="163" t="s">
        <v>164</v>
      </c>
      <c r="B10" s="163"/>
      <c r="C10" s="163"/>
      <c r="D10" s="163"/>
      <c r="E10" s="163" t="s">
        <v>301</v>
      </c>
      <c r="F10" s="163"/>
      <c r="G10" s="163"/>
      <c r="H10" s="163"/>
    </row>
    <row r="11" spans="1:26" x14ac:dyDescent="0.25">
      <c r="A11" s="163" t="s">
        <v>7</v>
      </c>
      <c r="B11" s="163"/>
      <c r="C11" s="163"/>
      <c r="D11" s="163"/>
      <c r="E11" s="163" t="s">
        <v>238</v>
      </c>
      <c r="F11" s="163"/>
      <c r="G11" s="163"/>
      <c r="H11" s="163"/>
    </row>
    <row r="12" spans="1:26" x14ac:dyDescent="0.25">
      <c r="A12" s="163" t="s">
        <v>290</v>
      </c>
      <c r="B12" s="163"/>
      <c r="C12" s="163"/>
      <c r="D12" s="163"/>
      <c r="E12" s="163" t="s">
        <v>291</v>
      </c>
      <c r="F12" s="163"/>
      <c r="G12" s="163"/>
      <c r="H12" s="163"/>
      <c r="S12" s="48" t="s">
        <v>173</v>
      </c>
      <c r="T12" s="48" t="s">
        <v>183</v>
      </c>
      <c r="U12" s="48" t="s">
        <v>166</v>
      </c>
      <c r="V12" s="48" t="s">
        <v>188</v>
      </c>
      <c r="W12" s="48" t="s">
        <v>206</v>
      </c>
      <c r="X12"/>
      <c r="Y12" t="s">
        <v>188</v>
      </c>
      <c r="Z12" t="e">
        <f ca="1">OFFSET($S$12,1,MATCH($G19,$S$12:$W$12,0)-1,15,1)</f>
        <v>#VALUE!</v>
      </c>
    </row>
    <row r="13" spans="1:26" x14ac:dyDescent="0.25">
      <c r="A13" s="163" t="s">
        <v>8</v>
      </c>
      <c r="B13" s="163"/>
      <c r="C13" s="163"/>
      <c r="D13" s="163"/>
      <c r="E13" s="166" t="s">
        <v>221</v>
      </c>
      <c r="F13" s="166"/>
      <c r="G13" s="166"/>
      <c r="H13" s="166"/>
      <c r="S13" s="48" t="s">
        <v>174</v>
      </c>
      <c r="T13" s="48" t="s">
        <v>181</v>
      </c>
      <c r="U13" s="48" t="s">
        <v>203</v>
      </c>
      <c r="V13" s="48" t="s">
        <v>189</v>
      </c>
      <c r="W13" s="48" t="s">
        <v>207</v>
      </c>
      <c r="X13"/>
      <c r="Y13"/>
      <c r="Z13"/>
    </row>
    <row r="14" spans="1:26" x14ac:dyDescent="0.25">
      <c r="A14" s="163" t="s">
        <v>9</v>
      </c>
      <c r="B14" s="163"/>
      <c r="C14" s="163"/>
      <c r="D14" s="163"/>
      <c r="E14" s="166" t="s">
        <v>229</v>
      </c>
      <c r="F14" s="163"/>
      <c r="G14" s="163"/>
      <c r="H14" s="163"/>
      <c r="I14" s="110" t="e">
        <f ca="1">OFFSET($D$4,1,MATCH($J12,$D$4:$H$4,0)-1,15,1)</f>
        <v>#N/A</v>
      </c>
      <c r="J14" s="111"/>
      <c r="K14" s="111"/>
      <c r="L14" s="111"/>
      <c r="M14" s="111"/>
      <c r="N14" s="111"/>
      <c r="O14" s="111"/>
      <c r="P14" s="111"/>
      <c r="S14" s="48" t="s">
        <v>175</v>
      </c>
      <c r="T14" s="48" t="s">
        <v>182</v>
      </c>
      <c r="U14" s="48" t="s">
        <v>204</v>
      </c>
      <c r="V14" s="48" t="s">
        <v>190</v>
      </c>
      <c r="W14" s="48" t="s">
        <v>220</v>
      </c>
      <c r="X14"/>
      <c r="Y14"/>
      <c r="Z14"/>
    </row>
    <row r="15" spans="1:26" ht="48.75" customHeight="1" x14ac:dyDescent="0.25">
      <c r="A15" s="166" t="s">
        <v>10</v>
      </c>
      <c r="B15" s="166"/>
      <c r="C15" s="166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Marathon Neovalley Narmada Wing B, CTS No.21 (Pt), 22 (Pt), 23 (Pt), 23/2 (Pt), 23/3 &amp; 24, 25 (Pt), near Navneet sadan Building, Tembhi Pada Road, Gadhav Naka, Kanjur, Bhandup (West), Kurla, Mumbai - 400078.</v>
      </c>
      <c r="D15" s="166"/>
      <c r="E15" s="166"/>
      <c r="F15" s="166"/>
      <c r="G15" s="166"/>
      <c r="H15" s="166"/>
      <c r="S15" s="48" t="s">
        <v>176</v>
      </c>
      <c r="T15" s="48" t="s">
        <v>184</v>
      </c>
      <c r="U15" s="48" t="s">
        <v>205</v>
      </c>
      <c r="V15" s="48" t="s">
        <v>191</v>
      </c>
      <c r="W15" s="48" t="s">
        <v>208</v>
      </c>
      <c r="X15"/>
      <c r="Y15"/>
      <c r="Z15"/>
    </row>
    <row r="16" spans="1:26" x14ac:dyDescent="0.25">
      <c r="A16" s="166" t="s">
        <v>170</v>
      </c>
      <c r="B16" s="166"/>
      <c r="C16" s="166" t="s">
        <v>230</v>
      </c>
      <c r="D16" s="166"/>
      <c r="E16" s="166"/>
      <c r="F16" s="166"/>
      <c r="G16" s="166"/>
      <c r="H16" s="166"/>
      <c r="S16" s="48" t="s">
        <v>177</v>
      </c>
      <c r="T16" s="48" t="s">
        <v>185</v>
      </c>
      <c r="U16" s="48"/>
      <c r="V16" s="48" t="s">
        <v>192</v>
      </c>
      <c r="W16" s="48" t="s">
        <v>209</v>
      </c>
      <c r="X16"/>
      <c r="Y16"/>
      <c r="Z16"/>
    </row>
    <row r="17" spans="1:26" ht="15.75" customHeight="1" x14ac:dyDescent="0.25">
      <c r="A17" s="166" t="s">
        <v>158</v>
      </c>
      <c r="B17" s="166"/>
      <c r="C17" s="166" t="s">
        <v>281</v>
      </c>
      <c r="D17" s="166"/>
      <c r="E17" s="166"/>
      <c r="F17" s="166"/>
      <c r="G17" s="166"/>
      <c r="H17" s="166"/>
      <c r="S17" s="48" t="s">
        <v>178</v>
      </c>
      <c r="T17" s="48" t="s">
        <v>183</v>
      </c>
      <c r="U17" s="48"/>
      <c r="V17" s="48" t="s">
        <v>193</v>
      </c>
      <c r="W17" s="48" t="s">
        <v>210</v>
      </c>
      <c r="X17"/>
      <c r="Y17"/>
      <c r="Z17"/>
    </row>
    <row r="18" spans="1:26" ht="15.75" customHeight="1" x14ac:dyDescent="0.25">
      <c r="A18" s="166" t="s">
        <v>11</v>
      </c>
      <c r="B18" s="166"/>
      <c r="C18" s="163" t="s">
        <v>232</v>
      </c>
      <c r="D18" s="163"/>
      <c r="E18" s="166" t="s">
        <v>72</v>
      </c>
      <c r="F18" s="166"/>
      <c r="G18" s="166" t="s">
        <v>231</v>
      </c>
      <c r="H18" s="166"/>
      <c r="S18" s="48" t="s">
        <v>179</v>
      </c>
      <c r="T18" s="48" t="s">
        <v>186</v>
      </c>
      <c r="U18" s="48"/>
      <c r="V18" s="48" t="s">
        <v>194</v>
      </c>
      <c r="W18" s="48" t="s">
        <v>211</v>
      </c>
      <c r="X18"/>
      <c r="Y18"/>
      <c r="Z18"/>
    </row>
    <row r="19" spans="1:26" x14ac:dyDescent="0.25">
      <c r="A19" s="163" t="s">
        <v>13</v>
      </c>
      <c r="B19" s="163"/>
      <c r="C19" s="166" t="s">
        <v>233</v>
      </c>
      <c r="D19" s="166"/>
      <c r="E19" s="166" t="s">
        <v>12</v>
      </c>
      <c r="F19" s="166"/>
      <c r="G19" s="167" t="s">
        <v>166</v>
      </c>
      <c r="H19" s="167"/>
      <c r="S19" s="48" t="s">
        <v>180</v>
      </c>
      <c r="T19" s="48" t="s">
        <v>187</v>
      </c>
      <c r="U19" s="48"/>
      <c r="V19" s="48" t="s">
        <v>195</v>
      </c>
      <c r="W19" s="48" t="s">
        <v>212</v>
      </c>
      <c r="X19"/>
      <c r="Y19"/>
      <c r="Z19"/>
    </row>
    <row r="20" spans="1:26" x14ac:dyDescent="0.25">
      <c r="A20" s="163" t="s">
        <v>73</v>
      </c>
      <c r="B20" s="163"/>
      <c r="C20" s="166" t="s">
        <v>205</v>
      </c>
      <c r="D20" s="166"/>
      <c r="E20" s="166" t="s">
        <v>14</v>
      </c>
      <c r="F20" s="166"/>
      <c r="G20" s="166">
        <v>400078</v>
      </c>
      <c r="H20" s="166"/>
      <c r="S20" s="48"/>
      <c r="T20" s="48"/>
      <c r="U20" s="48"/>
      <c r="V20" s="48" t="s">
        <v>196</v>
      </c>
      <c r="W20" s="48" t="s">
        <v>213</v>
      </c>
      <c r="X20"/>
      <c r="Y20"/>
      <c r="Z20"/>
    </row>
    <row r="21" spans="1:26" ht="48.75" customHeight="1" x14ac:dyDescent="0.25">
      <c r="A21" s="163" t="s">
        <v>118</v>
      </c>
      <c r="B21" s="163"/>
      <c r="C21" s="166" t="s">
        <v>239</v>
      </c>
      <c r="D21" s="166"/>
      <c r="E21" s="166" t="s">
        <v>15</v>
      </c>
      <c r="F21" s="166"/>
      <c r="G21" s="166" t="s">
        <v>248</v>
      </c>
      <c r="H21" s="166"/>
      <c r="S21" s="48"/>
      <c r="T21" s="48"/>
      <c r="U21" s="48"/>
      <c r="V21" s="48" t="s">
        <v>197</v>
      </c>
      <c r="W21" s="48" t="s">
        <v>214</v>
      </c>
      <c r="X21"/>
      <c r="Y21"/>
      <c r="Z21"/>
    </row>
    <row r="22" spans="1:26" ht="15" customHeight="1" x14ac:dyDescent="0.25">
      <c r="A22" s="118" t="s">
        <v>74</v>
      </c>
      <c r="B22" s="118"/>
      <c r="C22" s="118"/>
      <c r="D22" s="118"/>
      <c r="E22" s="113" t="s">
        <v>16</v>
      </c>
      <c r="F22" s="113"/>
      <c r="G22" s="113"/>
      <c r="H22" s="113"/>
      <c r="S22" s="48"/>
      <c r="T22" s="48"/>
      <c r="U22" s="48"/>
      <c r="V22" s="48" t="s">
        <v>198</v>
      </c>
      <c r="W22" s="48" t="s">
        <v>215</v>
      </c>
      <c r="X22"/>
      <c r="Y22"/>
      <c r="Z22"/>
    </row>
    <row r="23" spans="1:26" ht="18.75" customHeight="1" x14ac:dyDescent="0.25">
      <c r="A23" s="118"/>
      <c r="B23" s="118"/>
      <c r="C23" s="118"/>
      <c r="D23" s="118"/>
      <c r="E23" s="113"/>
      <c r="F23" s="113"/>
      <c r="G23" s="113"/>
      <c r="H23" s="113"/>
      <c r="S23" s="48"/>
      <c r="T23" s="48"/>
      <c r="U23" s="48"/>
      <c r="V23" s="48" t="s">
        <v>199</v>
      </c>
      <c r="W23" s="48" t="s">
        <v>216</v>
      </c>
      <c r="X23"/>
      <c r="Y23"/>
      <c r="Z23"/>
    </row>
    <row r="24" spans="1:26" ht="15" customHeight="1" x14ac:dyDescent="0.25">
      <c r="A24" s="118" t="s">
        <v>17</v>
      </c>
      <c r="B24" s="118"/>
      <c r="C24" s="118"/>
      <c r="D24" s="118"/>
      <c r="E24" s="128" t="s">
        <v>18</v>
      </c>
      <c r="F24" s="128"/>
      <c r="G24" s="128"/>
      <c r="H24" s="128"/>
      <c r="S24" s="48"/>
      <c r="T24" s="48"/>
      <c r="U24" s="48"/>
      <c r="V24" s="48" t="s">
        <v>200</v>
      </c>
      <c r="W24" s="48" t="s">
        <v>217</v>
      </c>
      <c r="X24"/>
      <c r="Y24"/>
      <c r="Z24"/>
    </row>
    <row r="25" spans="1:26" ht="15" customHeight="1" x14ac:dyDescent="0.25">
      <c r="A25" s="117" t="s">
        <v>19</v>
      </c>
      <c r="B25" s="117"/>
      <c r="C25" s="117"/>
      <c r="D25" s="117"/>
      <c r="E25" s="128" t="str">
        <f>IF(AND(G19="Mumbai"),"Upper Class","Middle Class")</f>
        <v>Upper Class</v>
      </c>
      <c r="F25" s="128"/>
      <c r="G25" s="128"/>
      <c r="H25" s="128"/>
      <c r="S25" s="48"/>
      <c r="T25" s="48"/>
      <c r="U25" s="48"/>
      <c r="V25" s="48" t="s">
        <v>201</v>
      </c>
      <c r="W25" s="48" t="s">
        <v>218</v>
      </c>
      <c r="X25"/>
      <c r="Y25"/>
      <c r="Z25"/>
    </row>
    <row r="26" spans="1:26" x14ac:dyDescent="0.25">
      <c r="A26" s="117" t="s">
        <v>20</v>
      </c>
      <c r="B26" s="117"/>
      <c r="C26" s="117"/>
      <c r="D26" s="117"/>
      <c r="E26" s="128" t="s">
        <v>21</v>
      </c>
      <c r="F26" s="128"/>
      <c r="G26" s="128"/>
      <c r="H26" s="128"/>
      <c r="S26" s="48"/>
      <c r="T26" s="48"/>
      <c r="U26" s="48"/>
      <c r="V26" s="48" t="s">
        <v>202</v>
      </c>
      <c r="W26" s="48" t="s">
        <v>219</v>
      </c>
      <c r="X26"/>
      <c r="Y26"/>
      <c r="Z26"/>
    </row>
    <row r="27" spans="1:26" ht="15.75" customHeight="1" x14ac:dyDescent="0.25">
      <c r="A27" s="117" t="s">
        <v>22</v>
      </c>
      <c r="B27" s="117"/>
      <c r="C27" s="117"/>
      <c r="D27" s="117"/>
      <c r="E27" s="128" t="str">
        <f>IF(AND(G19="Mumbai"),"Developed","Developing")</f>
        <v>Developed</v>
      </c>
      <c r="F27" s="128"/>
      <c r="G27" s="128"/>
      <c r="H27" s="128"/>
    </row>
    <row r="28" spans="1:26" x14ac:dyDescent="0.25">
      <c r="A28" s="117" t="s">
        <v>23</v>
      </c>
      <c r="B28" s="117"/>
      <c r="C28" s="117"/>
      <c r="D28" s="117"/>
      <c r="E28" s="128" t="s">
        <v>24</v>
      </c>
      <c r="F28" s="128"/>
      <c r="G28" s="128"/>
      <c r="H28" s="128"/>
    </row>
    <row r="29" spans="1:26" ht="15.75" customHeight="1" x14ac:dyDescent="0.25">
      <c r="A29" s="117" t="s">
        <v>79</v>
      </c>
      <c r="B29" s="117"/>
      <c r="C29" s="117"/>
      <c r="D29" s="117"/>
      <c r="E29" s="128" t="s">
        <v>80</v>
      </c>
      <c r="F29" s="128"/>
      <c r="G29" s="128"/>
      <c r="H29" s="128"/>
    </row>
    <row r="30" spans="1:26" ht="15" customHeight="1" x14ac:dyDescent="0.25">
      <c r="A30" s="117" t="s">
        <v>32</v>
      </c>
      <c r="B30" s="117"/>
      <c r="C30" s="117"/>
      <c r="D30" s="117"/>
      <c r="E30" s="128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30" s="128"/>
      <c r="G30" s="128"/>
      <c r="H30" s="128"/>
    </row>
    <row r="31" spans="1:26" ht="15.75" customHeight="1" x14ac:dyDescent="0.25">
      <c r="A31" s="117" t="s">
        <v>91</v>
      </c>
      <c r="B31" s="117"/>
      <c r="C31" s="117"/>
      <c r="D31" s="117"/>
      <c r="E31" s="128" t="s">
        <v>33</v>
      </c>
      <c r="F31" s="128"/>
      <c r="G31" s="128"/>
      <c r="H31" s="128"/>
    </row>
    <row r="32" spans="1:26" s="17" customFormat="1" x14ac:dyDescent="0.25">
      <c r="A32" s="171" t="s">
        <v>92</v>
      </c>
      <c r="B32" s="171"/>
      <c r="C32" s="170" t="s">
        <v>167</v>
      </c>
      <c r="D32" s="170"/>
      <c r="E32" s="170"/>
      <c r="F32" s="170" t="s">
        <v>30</v>
      </c>
      <c r="G32" s="170"/>
      <c r="H32" s="170"/>
    </row>
    <row r="33" spans="1:8" s="17" customFormat="1" x14ac:dyDescent="0.25">
      <c r="A33" s="168" t="s">
        <v>25</v>
      </c>
      <c r="B33" s="168" t="s">
        <v>29</v>
      </c>
      <c r="C33" s="169" t="s">
        <v>240</v>
      </c>
      <c r="D33" s="169"/>
      <c r="E33" s="169"/>
      <c r="F33" s="169" t="s">
        <v>237</v>
      </c>
      <c r="G33" s="169"/>
      <c r="H33" s="169"/>
    </row>
    <row r="34" spans="1:8" x14ac:dyDescent="0.25">
      <c r="A34" s="168" t="s">
        <v>26</v>
      </c>
      <c r="B34" s="168" t="s">
        <v>29</v>
      </c>
      <c r="C34" s="169" t="s">
        <v>242</v>
      </c>
      <c r="D34" s="169"/>
      <c r="E34" s="169"/>
      <c r="F34" s="169" t="s">
        <v>236</v>
      </c>
      <c r="G34" s="169"/>
      <c r="H34" s="169"/>
    </row>
    <row r="35" spans="1:8" s="17" customFormat="1" x14ac:dyDescent="0.25">
      <c r="A35" s="168" t="s">
        <v>28</v>
      </c>
      <c r="B35" s="168" t="s">
        <v>29</v>
      </c>
      <c r="C35" s="169" t="s">
        <v>240</v>
      </c>
      <c r="D35" s="169"/>
      <c r="E35" s="169"/>
      <c r="F35" s="169" t="s">
        <v>235</v>
      </c>
      <c r="G35" s="169"/>
      <c r="H35" s="169"/>
    </row>
    <row r="36" spans="1:8" x14ac:dyDescent="0.25">
      <c r="A36" s="168" t="s">
        <v>27</v>
      </c>
      <c r="B36" s="168" t="s">
        <v>29</v>
      </c>
      <c r="C36" s="169" t="s">
        <v>241</v>
      </c>
      <c r="D36" s="169"/>
      <c r="E36" s="169"/>
      <c r="F36" s="169" t="s">
        <v>239</v>
      </c>
      <c r="G36" s="169"/>
      <c r="H36" s="169"/>
    </row>
    <row r="37" spans="1:8" x14ac:dyDescent="0.25">
      <c r="A37" s="117" t="s">
        <v>31</v>
      </c>
      <c r="B37" s="117"/>
      <c r="C37" s="117"/>
      <c r="D37" s="117"/>
      <c r="E37" s="117"/>
      <c r="F37" s="117"/>
      <c r="G37" s="117"/>
      <c r="H37" s="117"/>
    </row>
    <row r="38" spans="1:8" ht="15.75" customHeight="1" x14ac:dyDescent="0.25">
      <c r="A38" s="117" t="s">
        <v>161</v>
      </c>
      <c r="B38" s="117"/>
      <c r="C38" s="176" t="s">
        <v>299</v>
      </c>
      <c r="D38" s="176"/>
      <c r="E38" s="176"/>
      <c r="F38" s="176"/>
      <c r="G38" s="176"/>
      <c r="H38" s="176"/>
    </row>
    <row r="39" spans="1:8" x14ac:dyDescent="0.25">
      <c r="A39" s="117" t="s">
        <v>157</v>
      </c>
      <c r="B39" s="117"/>
      <c r="C39" s="193" t="s">
        <v>234</v>
      </c>
      <c r="D39" s="128"/>
      <c r="E39" s="128"/>
      <c r="F39" s="128"/>
      <c r="G39" s="128"/>
      <c r="H39" s="128"/>
    </row>
    <row r="40" spans="1:8" x14ac:dyDescent="0.25">
      <c r="A40" s="103" t="s">
        <v>34</v>
      </c>
      <c r="B40" s="103"/>
      <c r="C40" s="103"/>
      <c r="D40" s="103"/>
      <c r="E40" s="103"/>
      <c r="F40" s="103"/>
      <c r="G40" s="103"/>
      <c r="H40" s="103"/>
    </row>
    <row r="41" spans="1:8" x14ac:dyDescent="0.25">
      <c r="A41" s="113" t="s">
        <v>35</v>
      </c>
      <c r="B41" s="113"/>
      <c r="C41" s="113"/>
      <c r="D41" s="113"/>
      <c r="E41" s="172">
        <v>6083.74</v>
      </c>
      <c r="F41" s="172"/>
      <c r="G41" s="172"/>
      <c r="H41" s="172"/>
    </row>
    <row r="42" spans="1:8" x14ac:dyDescent="0.25">
      <c r="A42" s="113" t="s">
        <v>36</v>
      </c>
      <c r="B42" s="113"/>
      <c r="C42" s="113"/>
      <c r="D42" s="113"/>
      <c r="E42" s="120">
        <v>3</v>
      </c>
      <c r="F42" s="120"/>
      <c r="G42" s="120"/>
      <c r="H42" s="120"/>
    </row>
    <row r="43" spans="1:8" x14ac:dyDescent="0.25">
      <c r="A43" s="113" t="s">
        <v>37</v>
      </c>
      <c r="B43" s="113"/>
      <c r="C43" s="113"/>
      <c r="D43" s="113"/>
      <c r="E43" s="120">
        <f>E45/E41-E42</f>
        <v>-3.8298809613825924E-3</v>
      </c>
      <c r="F43" s="120"/>
      <c r="G43" s="120"/>
      <c r="H43" s="120"/>
    </row>
    <row r="44" spans="1:8" x14ac:dyDescent="0.25">
      <c r="A44" s="113" t="s">
        <v>38</v>
      </c>
      <c r="B44" s="113"/>
      <c r="C44" s="113"/>
      <c r="D44" s="113"/>
      <c r="E44" s="120">
        <f>E42+E43</f>
        <v>2.9961701190386174</v>
      </c>
      <c r="F44" s="120"/>
      <c r="G44" s="120"/>
      <c r="H44" s="120"/>
    </row>
    <row r="45" spans="1:8" x14ac:dyDescent="0.25">
      <c r="A45" s="113" t="s">
        <v>90</v>
      </c>
      <c r="B45" s="113"/>
      <c r="C45" s="113"/>
      <c r="D45" s="113"/>
      <c r="E45" s="175">
        <v>18227.919999999998</v>
      </c>
      <c r="F45" s="175"/>
      <c r="G45" s="175"/>
      <c r="H45" s="175"/>
    </row>
    <row r="46" spans="1:8" x14ac:dyDescent="0.25">
      <c r="A46" s="113" t="s">
        <v>39</v>
      </c>
      <c r="B46" s="113"/>
      <c r="C46" s="113"/>
      <c r="D46" s="113"/>
      <c r="E46" s="113" t="s">
        <v>117</v>
      </c>
      <c r="F46" s="113"/>
      <c r="G46" s="113"/>
      <c r="H46" s="113"/>
    </row>
    <row r="47" spans="1:8" x14ac:dyDescent="0.25">
      <c r="A47" s="176" t="s">
        <v>40</v>
      </c>
      <c r="B47" s="176"/>
      <c r="C47" s="176"/>
      <c r="D47" s="176"/>
      <c r="E47" s="176"/>
      <c r="F47" s="176"/>
      <c r="G47" s="176"/>
      <c r="H47" s="176"/>
    </row>
    <row r="48" spans="1:8" ht="33.75" customHeight="1" x14ac:dyDescent="0.25">
      <c r="A48" s="123" t="s">
        <v>146</v>
      </c>
      <c r="B48" s="124"/>
      <c r="C48" s="194" t="s">
        <v>243</v>
      </c>
      <c r="D48" s="195"/>
      <c r="E48" s="195"/>
      <c r="F48" s="195"/>
      <c r="G48" s="195"/>
      <c r="H48" s="196"/>
    </row>
    <row r="49" spans="1:14" ht="30" customHeight="1" x14ac:dyDescent="0.25">
      <c r="A49" s="123" t="s">
        <v>41</v>
      </c>
      <c r="B49" s="124"/>
      <c r="C49" s="123" t="s">
        <v>246</v>
      </c>
      <c r="D49" s="125"/>
      <c r="E49" s="124"/>
      <c r="F49" s="53" t="s">
        <v>42</v>
      </c>
      <c r="G49" s="126">
        <v>45097</v>
      </c>
      <c r="H49" s="124"/>
    </row>
    <row r="50" spans="1:14" ht="29.25" customHeight="1" x14ac:dyDescent="0.25">
      <c r="A50" s="123" t="s">
        <v>43</v>
      </c>
      <c r="B50" s="124"/>
      <c r="C50" s="123" t="str">
        <f>C49</f>
        <v>SRA/ENG/S/PVT/0149/20181010/AP/C</v>
      </c>
      <c r="D50" s="125"/>
      <c r="E50" s="124"/>
      <c r="F50" s="53" t="s">
        <v>42</v>
      </c>
      <c r="G50" s="126">
        <f>G49</f>
        <v>45097</v>
      </c>
      <c r="H50" s="124"/>
    </row>
    <row r="51" spans="1:14" s="18" customFormat="1" ht="33.75" customHeight="1" x14ac:dyDescent="0.25">
      <c r="A51" s="131" t="s">
        <v>150</v>
      </c>
      <c r="B51" s="178"/>
      <c r="C51" s="123" t="s">
        <v>244</v>
      </c>
      <c r="D51" s="125"/>
      <c r="E51" s="124"/>
      <c r="F51" s="53" t="s">
        <v>42</v>
      </c>
      <c r="G51" s="126">
        <f>G50</f>
        <v>45097</v>
      </c>
      <c r="H51" s="124"/>
    </row>
    <row r="52" spans="1:14" s="18" customFormat="1" x14ac:dyDescent="0.25">
      <c r="A52" s="179"/>
      <c r="B52" s="180"/>
      <c r="C52" s="123" t="s">
        <v>245</v>
      </c>
      <c r="D52" s="125"/>
      <c r="E52" s="125"/>
      <c r="F52" s="125"/>
      <c r="G52" s="125"/>
      <c r="H52" s="124"/>
    </row>
    <row r="53" spans="1:14" x14ac:dyDescent="0.25">
      <c r="A53" s="114" t="s">
        <v>44</v>
      </c>
      <c r="B53" s="115"/>
      <c r="C53" s="114" t="s">
        <v>101</v>
      </c>
      <c r="D53" s="116"/>
      <c r="E53" s="115"/>
      <c r="F53" s="39" t="s">
        <v>42</v>
      </c>
      <c r="G53" s="129" t="s">
        <v>29</v>
      </c>
      <c r="H53" s="130"/>
    </row>
    <row r="54" spans="1:14" x14ac:dyDescent="0.25">
      <c r="A54" s="127" t="s">
        <v>46</v>
      </c>
      <c r="B54" s="127"/>
      <c r="C54" s="127"/>
      <c r="D54" s="127"/>
      <c r="E54" s="127"/>
      <c r="F54" s="127"/>
      <c r="G54" s="127"/>
      <c r="H54" s="127"/>
    </row>
    <row r="55" spans="1:14" x14ac:dyDescent="0.25">
      <c r="A55" s="118" t="s">
        <v>89</v>
      </c>
      <c r="B55" s="118"/>
      <c r="C55" s="118"/>
      <c r="D55" s="117">
        <f>E45</f>
        <v>18227.919999999998</v>
      </c>
      <c r="E55" s="117"/>
      <c r="F55" s="117"/>
      <c r="G55" s="117"/>
      <c r="H55" s="117"/>
    </row>
    <row r="56" spans="1:14" ht="32.25" customHeight="1" x14ac:dyDescent="0.25">
      <c r="A56" s="128" t="s">
        <v>47</v>
      </c>
      <c r="B56" s="113"/>
      <c r="C56" s="113"/>
      <c r="D56" s="128" t="s">
        <v>286</v>
      </c>
      <c r="E56" s="128"/>
      <c r="F56" s="128"/>
      <c r="G56" s="128"/>
      <c r="H56" s="128"/>
      <c r="I56" s="19"/>
    </row>
    <row r="57" spans="1:14" ht="32.25" customHeight="1" x14ac:dyDescent="0.25">
      <c r="A57" s="131" t="s">
        <v>48</v>
      </c>
      <c r="B57" s="132"/>
      <c r="C57" s="178"/>
      <c r="D57" s="160" t="s">
        <v>272</v>
      </c>
      <c r="E57" s="177"/>
      <c r="F57" s="177"/>
      <c r="G57" s="177"/>
      <c r="H57" s="177"/>
    </row>
    <row r="58" spans="1:14" ht="31.5" customHeight="1" x14ac:dyDescent="0.25">
      <c r="A58" s="131" t="s">
        <v>87</v>
      </c>
      <c r="B58" s="132"/>
      <c r="C58" s="132"/>
      <c r="D58" s="128" t="s">
        <v>272</v>
      </c>
      <c r="E58" s="113"/>
      <c r="F58" s="113"/>
      <c r="G58" s="113"/>
      <c r="H58" s="113"/>
    </row>
    <row r="59" spans="1:14" ht="15.75" customHeight="1" x14ac:dyDescent="0.25">
      <c r="A59" s="117" t="s">
        <v>45</v>
      </c>
      <c r="B59" s="117"/>
      <c r="C59" s="117"/>
      <c r="D59" s="173" t="s">
        <v>247</v>
      </c>
      <c r="E59" s="173"/>
      <c r="F59" s="173"/>
      <c r="G59" s="173"/>
      <c r="H59" s="173"/>
      <c r="J59" s="20"/>
      <c r="K59" s="19"/>
      <c r="N59" s="19"/>
    </row>
    <row r="60" spans="1:14" ht="15.75" customHeight="1" x14ac:dyDescent="0.25">
      <c r="A60" s="117" t="s">
        <v>85</v>
      </c>
      <c r="B60" s="117"/>
      <c r="C60" s="117"/>
      <c r="D60" s="174" t="str">
        <f>(IF(G53="NA","60 Years After Completion",IF(G53&lt;&gt;"NA",""&amp;60-ROUNDDOWN((E3-G53)/360,0)&amp;" Years"," ")))</f>
        <v>60 Years After Completion</v>
      </c>
      <c r="E60" s="174"/>
      <c r="F60" s="174"/>
      <c r="G60" s="174"/>
      <c r="H60" s="174"/>
      <c r="N60" s="19"/>
    </row>
    <row r="61" spans="1:14" ht="15.75" customHeight="1" x14ac:dyDescent="0.25">
      <c r="A61" s="117" t="s">
        <v>86</v>
      </c>
      <c r="B61" s="117"/>
      <c r="C61" s="117"/>
      <c r="D61" s="118" t="s">
        <v>24</v>
      </c>
      <c r="E61" s="118"/>
      <c r="F61" s="118"/>
      <c r="G61" s="118"/>
      <c r="H61" s="118"/>
      <c r="J61" s="21"/>
      <c r="K61" s="21"/>
    </row>
    <row r="62" spans="1:14" ht="34.5" customHeight="1" x14ac:dyDescent="0.25">
      <c r="A62" s="113" t="s">
        <v>250</v>
      </c>
      <c r="B62" s="113"/>
      <c r="C62" s="113"/>
      <c r="D62" s="128" t="s">
        <v>249</v>
      </c>
      <c r="E62" s="128"/>
      <c r="F62" s="128"/>
      <c r="G62" s="128"/>
      <c r="H62" s="128"/>
    </row>
    <row r="63" spans="1:14" x14ac:dyDescent="0.25">
      <c r="A63" s="118" t="s">
        <v>144</v>
      </c>
      <c r="B63" s="118"/>
      <c r="C63" s="118"/>
      <c r="D63" s="118" t="s">
        <v>29</v>
      </c>
      <c r="E63" s="118"/>
      <c r="F63" s="118"/>
      <c r="G63" s="118"/>
      <c r="H63" s="118"/>
      <c r="I63" s="22"/>
      <c r="J63" s="22"/>
      <c r="K63" s="22"/>
      <c r="L63" s="22"/>
      <c r="M63" s="22"/>
      <c r="N63" s="22"/>
    </row>
    <row r="64" spans="1:14" ht="15.75" customHeight="1" x14ac:dyDescent="0.25">
      <c r="A64" s="119" t="s">
        <v>84</v>
      </c>
      <c r="B64" s="119"/>
      <c r="C64" s="119"/>
      <c r="D64" s="160" t="str">
        <f ca="1">(IF(G70&gt;95%,"Nothing",IF(G70&gt;0%,"Cement, Aggregate, Steel, etc",IF(G70=0%,"Work not yet Started"))))</f>
        <v>Cement, Aggregate, Steel, etc</v>
      </c>
      <c r="E64" s="160"/>
      <c r="F64" s="160"/>
      <c r="G64" s="160"/>
      <c r="H64" s="160"/>
      <c r="J64" s="21"/>
    </row>
    <row r="65" spans="1:10" ht="33.75" customHeight="1" thickBot="1" x14ac:dyDescent="0.3">
      <c r="A65" s="159" t="s">
        <v>114</v>
      </c>
      <c r="B65" s="159"/>
      <c r="C65" s="159"/>
      <c r="D65" s="160" t="str">
        <f ca="1">(IF(D64="Nothing","Yes",IF(D64="Cement, Aggregate, Steel, etc","Under Construction",IF(D64="Work not yet Started","Work not yet Started"))))</f>
        <v>Under Construction</v>
      </c>
      <c r="E65" s="160"/>
      <c r="F65" s="160" t="str">
        <f ca="1">(IF(D64="Nothing","Yes",IF(D64="Cement, Aggregate, Steel, etc","Under Construction",IF(D64="Work not yet Started","Work not yet Started"))))</f>
        <v>Under Construction</v>
      </c>
      <c r="G65" s="160"/>
      <c r="H65" s="160"/>
    </row>
    <row r="66" spans="1:10" ht="15.75" customHeight="1" x14ac:dyDescent="0.25">
      <c r="A66" s="105" t="s">
        <v>136</v>
      </c>
      <c r="B66" s="106"/>
      <c r="C66" s="107" t="str">
        <f>D58</f>
        <v>Building No.1 (Sale Wing B) = 1B + Gr + 2P + 3rd to 22nd Floor</v>
      </c>
      <c r="D66" s="108"/>
      <c r="E66" s="108"/>
      <c r="F66" s="108"/>
      <c r="G66" s="108"/>
      <c r="H66" s="109"/>
      <c r="I66" s="41" t="str">
        <f ca="1">IF(D79=100%,"All work Completed. Possession granted to the Building.",IF(D78=100%,"All work Completed, Waiting for OC",I67&amp;""&amp;I68&amp;""&amp;J67&amp;""&amp;J66&amp;" "&amp;J68))</f>
        <v xml:space="preserve">Excavation, Plinth Completed </v>
      </c>
      <c r="J66" s="42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/>
      </c>
    </row>
    <row r="67" spans="1:10" x14ac:dyDescent="0.25">
      <c r="A67" s="56" t="s">
        <v>138</v>
      </c>
      <c r="B67" s="57">
        <f>IF(AND(ISNUMBER(SEARCH("1B",C66))),1,IF(AND(ISNUMBER(SEARCH("2B",C66))),2,IF(AND(ISNUMBER(SEARCH("3B",C66))),3,IF(AND(ISNUMBER(SEARCH("4B",C66))),4,IF(ISNUMBER(SEARCH("5B",C66)),5,0)))))</f>
        <v>1</v>
      </c>
      <c r="C67" s="57" t="s">
        <v>71</v>
      </c>
      <c r="D67" s="57">
        <v>1</v>
      </c>
      <c r="E67" s="57" t="s">
        <v>70</v>
      </c>
      <c r="F67" s="57">
        <v>0</v>
      </c>
      <c r="G67" s="57" t="s">
        <v>78</v>
      </c>
      <c r="H67" s="58">
        <f ca="1">--TRIM(RIGHT(SUBSTITUTE(LEFT(C66,_xlfn.AGGREGATE(16,6,FIND({0,1,2,3,4,5,6,7,8,9},C66,ROW(INDIRECT("1:"&amp;LEN(C66)))),1))," ",REPT(" ",LEN(C66))),LEN(C66)))</f>
        <v>22</v>
      </c>
      <c r="I67" s="43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</v>
      </c>
      <c r="J67" s="44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x14ac:dyDescent="0.25">
      <c r="A68" s="192" t="s">
        <v>88</v>
      </c>
      <c r="B68" s="164"/>
      <c r="C68" s="133" t="str">
        <f ca="1">I66</f>
        <v xml:space="preserve">Excavation, Plinth Completed </v>
      </c>
      <c r="D68" s="133"/>
      <c r="E68" s="133"/>
      <c r="F68" s="133"/>
      <c r="G68" s="133"/>
      <c r="H68" s="134"/>
      <c r="I68" s="43" t="str">
        <f ca="1">IF(I67&lt;&gt;""," Completed","")</f>
        <v xml:space="preserve"> Completed</v>
      </c>
      <c r="J68" s="44" t="str">
        <f ca="1">IF(J66&lt;&gt;"","Completed","")</f>
        <v/>
      </c>
    </row>
    <row r="69" spans="1:10" ht="15.75" customHeight="1" x14ac:dyDescent="0.25">
      <c r="A69" s="121" t="s">
        <v>49</v>
      </c>
      <c r="B69" s="122"/>
      <c r="C69" s="59" t="s">
        <v>135</v>
      </c>
      <c r="D69" s="59" t="s">
        <v>81</v>
      </c>
      <c r="E69" s="122" t="s">
        <v>83</v>
      </c>
      <c r="F69" s="122"/>
      <c r="G69" s="122" t="s">
        <v>82</v>
      </c>
      <c r="H69" s="161"/>
      <c r="I69" s="14" t="s">
        <v>137</v>
      </c>
      <c r="J69" s="23">
        <f ca="1">H67*25%</f>
        <v>5.5</v>
      </c>
    </row>
    <row r="70" spans="1:10" x14ac:dyDescent="0.25">
      <c r="A70" s="121" t="s">
        <v>124</v>
      </c>
      <c r="B70" s="122"/>
      <c r="C70" s="59">
        <f ca="1">J71</f>
        <v>22</v>
      </c>
      <c r="D70" s="54">
        <f ca="1">((100/H67)*C70)/100</f>
        <v>1.0000000000000002</v>
      </c>
      <c r="E70" s="181">
        <f ca="1">(((C71/H67*10)+(40/(D67+F67+H67)*C72)+(7.5/(H67)*C73)+(7.5/(H67)*C74)+(10/H67*C75)+(10/H67*C76)+(5/H67*C77)+(5/H67*C78)+(5/H67*C79))/100)</f>
        <v>0.1</v>
      </c>
      <c r="F70" s="182"/>
      <c r="G70" s="181">
        <f ca="1">((((C70/H67)*20)+((C71/H67)*25)+(30/(H67+F67+D67)*C72)+(5/H67*C73)+(5/H67*C74)+(5/H67*C75)+(5/H67*C76)+(0/H67*C77)+(0/H67*C78)+(5/H67*C79))/100)</f>
        <v>0.45</v>
      </c>
      <c r="H70" s="187"/>
      <c r="I70" s="14" t="s">
        <v>96</v>
      </c>
      <c r="J70" s="24">
        <f ca="1">H67*50%</f>
        <v>11</v>
      </c>
    </row>
    <row r="71" spans="1:10" x14ac:dyDescent="0.25">
      <c r="A71" s="121" t="s">
        <v>50</v>
      </c>
      <c r="B71" s="122"/>
      <c r="C71" s="75">
        <f ca="1">J79</f>
        <v>22</v>
      </c>
      <c r="D71" s="54">
        <f ca="1">((100/H67)*C71)/100</f>
        <v>1.0000000000000002</v>
      </c>
      <c r="E71" s="183"/>
      <c r="F71" s="184"/>
      <c r="G71" s="183"/>
      <c r="H71" s="188"/>
      <c r="I71" s="14" t="s">
        <v>97</v>
      </c>
      <c r="J71" s="24">
        <f ca="1">H67</f>
        <v>22</v>
      </c>
    </row>
    <row r="72" spans="1:10" ht="15.75" customHeight="1" x14ac:dyDescent="0.25">
      <c r="A72" s="121" t="s">
        <v>125</v>
      </c>
      <c r="B72" s="122"/>
      <c r="C72" s="59">
        <v>0</v>
      </c>
      <c r="D72" s="54">
        <f ca="1">((100/(D67+F67+H67))*C72)/100</f>
        <v>0</v>
      </c>
      <c r="E72" s="183"/>
      <c r="F72" s="184"/>
      <c r="G72" s="183"/>
      <c r="H72" s="188"/>
      <c r="I72" s="14" t="s">
        <v>98</v>
      </c>
      <c r="J72" s="25">
        <f ca="1">(IF(B67&gt;1,(H67/(B67+2)),H67/4))</f>
        <v>5.5</v>
      </c>
    </row>
    <row r="73" spans="1:10" ht="15.75" customHeight="1" x14ac:dyDescent="0.25">
      <c r="A73" s="121" t="s">
        <v>132</v>
      </c>
      <c r="B73" s="122" t="s">
        <v>126</v>
      </c>
      <c r="C73" s="59">
        <v>0</v>
      </c>
      <c r="D73" s="54">
        <f ca="1">((100/H67)*C73)/100</f>
        <v>0</v>
      </c>
      <c r="E73" s="183"/>
      <c r="F73" s="184"/>
      <c r="G73" s="183"/>
      <c r="H73" s="188"/>
      <c r="I73" s="14" t="s">
        <v>99</v>
      </c>
      <c r="J73" s="25">
        <f ca="1">(IF(B67&gt;1,(H67/(B67+2)+J72),H67/4+J72))</f>
        <v>11</v>
      </c>
    </row>
    <row r="74" spans="1:10" ht="15.75" customHeight="1" x14ac:dyDescent="0.25">
      <c r="A74" s="121" t="s">
        <v>133</v>
      </c>
      <c r="B74" s="122" t="s">
        <v>126</v>
      </c>
      <c r="C74" s="59">
        <v>0</v>
      </c>
      <c r="D74" s="54">
        <f ca="1">((100/H67)*C74)/100</f>
        <v>0</v>
      </c>
      <c r="E74" s="183"/>
      <c r="F74" s="184"/>
      <c r="G74" s="183"/>
      <c r="H74" s="188"/>
      <c r="I74" s="14" t="s">
        <v>142</v>
      </c>
      <c r="J74" s="25">
        <f>(IF(B67&gt;1,(H67/(B67+2)+J73),0))</f>
        <v>0</v>
      </c>
    </row>
    <row r="75" spans="1:10" ht="15" customHeight="1" x14ac:dyDescent="0.25">
      <c r="A75" s="121" t="s">
        <v>131</v>
      </c>
      <c r="B75" s="122" t="s">
        <v>128</v>
      </c>
      <c r="C75" s="59">
        <v>0</v>
      </c>
      <c r="D75" s="54">
        <f ca="1">((100/(H67))*C75)/100</f>
        <v>0</v>
      </c>
      <c r="E75" s="183"/>
      <c r="F75" s="184"/>
      <c r="G75" s="183"/>
      <c r="H75" s="188"/>
      <c r="I75" s="14" t="s">
        <v>139</v>
      </c>
      <c r="J75" s="25">
        <f>(IF(B67&gt;2,(H67/(B67+2)+J74),0))</f>
        <v>0</v>
      </c>
    </row>
    <row r="76" spans="1:10" ht="15.75" customHeight="1" x14ac:dyDescent="0.25">
      <c r="A76" s="121" t="s">
        <v>127</v>
      </c>
      <c r="B76" s="122" t="s">
        <v>127</v>
      </c>
      <c r="C76" s="59">
        <v>0</v>
      </c>
      <c r="D76" s="54">
        <f ca="1">((100/H67)*C76)/100</f>
        <v>0</v>
      </c>
      <c r="E76" s="183"/>
      <c r="F76" s="184"/>
      <c r="G76" s="183"/>
      <c r="H76" s="188"/>
      <c r="I76" s="14" t="s">
        <v>140</v>
      </c>
      <c r="J76" s="26">
        <f>(IF(B67&gt;3,(H67/(B67+2)+J75),0))</f>
        <v>0</v>
      </c>
    </row>
    <row r="77" spans="1:10" ht="15.75" customHeight="1" x14ac:dyDescent="0.25">
      <c r="A77" s="121" t="s">
        <v>134</v>
      </c>
      <c r="B77" s="122"/>
      <c r="C77" s="59">
        <v>0</v>
      </c>
      <c r="D77" s="54">
        <f ca="1">((100/H67)*C77)/100</f>
        <v>0</v>
      </c>
      <c r="E77" s="183"/>
      <c r="F77" s="184"/>
      <c r="G77" s="183"/>
      <c r="H77" s="188"/>
      <c r="I77" s="14" t="s">
        <v>141</v>
      </c>
      <c r="J77" s="25">
        <f>(IF(B67&gt;4,(H67/(B67+2)+J76),0))</f>
        <v>0</v>
      </c>
    </row>
    <row r="78" spans="1:10" ht="15.75" customHeight="1" x14ac:dyDescent="0.25">
      <c r="A78" s="121" t="s">
        <v>129</v>
      </c>
      <c r="B78" s="122" t="s">
        <v>129</v>
      </c>
      <c r="C78" s="59">
        <v>0</v>
      </c>
      <c r="D78" s="54">
        <f ca="1">((100/(H67))*C78)/100</f>
        <v>0</v>
      </c>
      <c r="E78" s="183"/>
      <c r="F78" s="184"/>
      <c r="G78" s="183"/>
      <c r="H78" s="188"/>
      <c r="I78" s="14" t="s">
        <v>143</v>
      </c>
      <c r="J78" s="25">
        <f ca="1">(IF(B67=1,(H67/(B67+3)+J73),IF(B67=0,(H67/4+J73),IF(B67&gt;1,0))))</f>
        <v>16.5</v>
      </c>
    </row>
    <row r="79" spans="1:10" ht="16.5" thickBot="1" x14ac:dyDescent="0.3">
      <c r="A79" s="190" t="s">
        <v>130</v>
      </c>
      <c r="B79" s="191"/>
      <c r="C79" s="60">
        <v>0</v>
      </c>
      <c r="D79" s="55">
        <f ca="1">((100/(H67))*C79)/100</f>
        <v>0</v>
      </c>
      <c r="E79" s="185"/>
      <c r="F79" s="186"/>
      <c r="G79" s="185"/>
      <c r="H79" s="189"/>
      <c r="I79" s="15" t="s">
        <v>100</v>
      </c>
      <c r="J79" s="27">
        <f ca="1">(IF(B67&gt;1.5,(H67/(B67+2)+J73+MAX(0,J74-J73)+MAX(0,J75-J74)+MAX(0,J76-J75)+MAX(0,J77-J76)+MAX(0,J78-J77)),IF(B67=1,(H67/(B67+3)+J78),IF(B67=0,H67/4+J78))))</f>
        <v>22</v>
      </c>
    </row>
    <row r="80" spans="1:10" x14ac:dyDescent="0.25">
      <c r="A80" s="197" t="s">
        <v>152</v>
      </c>
      <c r="B80" s="197"/>
      <c r="C80" s="197"/>
      <c r="D80" s="197"/>
      <c r="E80" s="197"/>
      <c r="F80" s="154" t="s">
        <v>156</v>
      </c>
      <c r="G80" s="154"/>
      <c r="H80" s="154"/>
    </row>
    <row r="81" spans="1:11" x14ac:dyDescent="0.25">
      <c r="A81" s="113" t="s">
        <v>154</v>
      </c>
      <c r="B81" s="113"/>
      <c r="C81" s="113"/>
      <c r="D81" s="113"/>
      <c r="E81" s="113"/>
      <c r="F81" s="104">
        <v>12500</v>
      </c>
      <c r="G81" s="104"/>
      <c r="H81" s="104"/>
      <c r="I81" s="66" t="s">
        <v>108</v>
      </c>
      <c r="J81" s="66" t="s">
        <v>284</v>
      </c>
    </row>
    <row r="82" spans="1:11" x14ac:dyDescent="0.25">
      <c r="A82" s="113" t="s">
        <v>153</v>
      </c>
      <c r="B82" s="113"/>
      <c r="C82" s="113"/>
      <c r="D82" s="113"/>
      <c r="E82" s="113"/>
      <c r="F82" s="104">
        <v>23000</v>
      </c>
      <c r="G82" s="104"/>
      <c r="H82" s="104"/>
      <c r="I82" s="31">
        <f>6800000/F186</f>
        <v>13429.749454594175</v>
      </c>
      <c r="J82" s="31">
        <f>3199000/F182</f>
        <v>12185.090264131924</v>
      </c>
    </row>
    <row r="83" spans="1:11" x14ac:dyDescent="0.25">
      <c r="A83" s="113" t="s">
        <v>155</v>
      </c>
      <c r="B83" s="113"/>
      <c r="C83" s="113"/>
      <c r="D83" s="113"/>
      <c r="E83" s="113"/>
      <c r="F83" s="104">
        <v>19000</v>
      </c>
      <c r="G83" s="104"/>
      <c r="H83" s="104"/>
      <c r="I83" s="31">
        <f>5000000/F191</f>
        <v>13458.245228930942</v>
      </c>
      <c r="J83" s="31">
        <f>4799000/F191</f>
        <v>12917.223770727918</v>
      </c>
    </row>
    <row r="84" spans="1:11" s="28" customFormat="1" hidden="1" x14ac:dyDescent="0.25">
      <c r="A84" s="113" t="s">
        <v>169</v>
      </c>
      <c r="B84" s="113"/>
      <c r="C84" s="113"/>
      <c r="D84" s="113"/>
      <c r="E84" s="113"/>
      <c r="F84" s="104"/>
      <c r="G84" s="104"/>
      <c r="H84" s="104"/>
      <c r="J84" s="67"/>
    </row>
    <row r="85" spans="1:11" s="28" customFormat="1" x14ac:dyDescent="0.25">
      <c r="A85" s="128" t="s">
        <v>298</v>
      </c>
      <c r="B85" s="113"/>
      <c r="C85" s="113"/>
      <c r="D85" s="113"/>
      <c r="E85" s="113"/>
      <c r="F85" s="104">
        <v>10000</v>
      </c>
      <c r="G85" s="104"/>
      <c r="H85" s="104"/>
      <c r="I85" s="73" t="s">
        <v>295</v>
      </c>
      <c r="J85" s="74">
        <v>45357</v>
      </c>
      <c r="K85" s="73" t="s">
        <v>296</v>
      </c>
    </row>
    <row r="86" spans="1:11" s="28" customFormat="1" x14ac:dyDescent="0.25">
      <c r="A86" s="113" t="s">
        <v>292</v>
      </c>
      <c r="B86" s="113"/>
      <c r="C86" s="113"/>
      <c r="D86" s="113"/>
      <c r="E86" s="113"/>
      <c r="F86" s="104">
        <v>75000</v>
      </c>
      <c r="G86" s="104"/>
      <c r="H86" s="104"/>
      <c r="J86" s="67"/>
    </row>
    <row r="87" spans="1:11" s="28" customFormat="1" x14ac:dyDescent="0.25">
      <c r="A87" s="113" t="s">
        <v>293</v>
      </c>
      <c r="B87" s="113"/>
      <c r="C87" s="113"/>
      <c r="D87" s="113"/>
      <c r="E87" s="113"/>
      <c r="F87" s="104">
        <v>42660</v>
      </c>
      <c r="G87" s="104"/>
      <c r="H87" s="104"/>
      <c r="J87" s="67"/>
    </row>
    <row r="88" spans="1:11" s="28" customFormat="1" x14ac:dyDescent="0.25">
      <c r="A88" s="113" t="s">
        <v>294</v>
      </c>
      <c r="B88" s="113"/>
      <c r="C88" s="113"/>
      <c r="D88" s="113"/>
      <c r="E88" s="113"/>
      <c r="F88" s="104">
        <v>16380</v>
      </c>
      <c r="G88" s="104"/>
      <c r="H88" s="104"/>
      <c r="J88" s="67"/>
    </row>
    <row r="89" spans="1:11" s="28" customFormat="1" hidden="1" x14ac:dyDescent="0.25">
      <c r="A89" s="113" t="s">
        <v>93</v>
      </c>
      <c r="B89" s="113"/>
      <c r="C89" s="113"/>
      <c r="D89" s="113"/>
      <c r="E89" s="113"/>
      <c r="F89" s="104"/>
      <c r="G89" s="104"/>
      <c r="H89" s="104"/>
      <c r="J89" s="67"/>
    </row>
    <row r="90" spans="1:11" s="28" customFormat="1" hidden="1" x14ac:dyDescent="0.25">
      <c r="A90" s="113" t="s">
        <v>94</v>
      </c>
      <c r="B90" s="113"/>
      <c r="C90" s="113"/>
      <c r="D90" s="113"/>
      <c r="E90" s="113"/>
      <c r="F90" s="104"/>
      <c r="G90" s="104"/>
      <c r="H90" s="104"/>
      <c r="J90" s="67"/>
    </row>
    <row r="91" spans="1:11" s="28" customFormat="1" hidden="1" x14ac:dyDescent="0.25">
      <c r="A91" s="113" t="s">
        <v>95</v>
      </c>
      <c r="B91" s="113"/>
      <c r="C91" s="113"/>
      <c r="D91" s="113"/>
      <c r="E91" s="113"/>
      <c r="F91" s="104"/>
      <c r="G91" s="104"/>
      <c r="H91" s="104"/>
      <c r="J91" s="67"/>
    </row>
    <row r="92" spans="1:11" x14ac:dyDescent="0.25">
      <c r="A92" s="113" t="s">
        <v>51</v>
      </c>
      <c r="B92" s="113"/>
      <c r="C92" s="113"/>
      <c r="D92" s="113"/>
      <c r="E92" s="113"/>
      <c r="F92" s="104">
        <v>500000</v>
      </c>
      <c r="G92" s="104"/>
      <c r="H92" s="104"/>
      <c r="I92" s="65">
        <f>AVERAGE(I82:I91)</f>
        <v>13443.997341762559</v>
      </c>
      <c r="J92" s="31">
        <f>4999000/Report!F188</f>
        <v>12199.065716042453</v>
      </c>
    </row>
    <row r="93" spans="1:11" s="29" customFormat="1" x14ac:dyDescent="0.25">
      <c r="A93" s="103" t="s">
        <v>52</v>
      </c>
      <c r="B93" s="103"/>
      <c r="C93" s="103"/>
      <c r="D93" s="103"/>
      <c r="E93" s="103"/>
      <c r="F93" s="104">
        <f>F81*0.8</f>
        <v>10000</v>
      </c>
      <c r="G93" s="104"/>
      <c r="H93" s="104"/>
      <c r="I93" s="31">
        <f>3200000/F122</f>
        <v>12919.915419773706</v>
      </c>
      <c r="J93" s="68">
        <f>AVERAGE(J82:J92)</f>
        <v>20664.594937725575</v>
      </c>
    </row>
    <row r="94" spans="1:11" s="30" customFormat="1" ht="15.75" customHeight="1" x14ac:dyDescent="0.25">
      <c r="A94" s="89" t="s">
        <v>274</v>
      </c>
      <c r="B94" s="89"/>
      <c r="C94" s="89"/>
      <c r="D94" s="89"/>
      <c r="E94" s="89"/>
      <c r="F94" s="89"/>
      <c r="G94" s="89"/>
      <c r="H94" s="89"/>
    </row>
    <row r="95" spans="1:11" s="30" customFormat="1" ht="15.75" customHeight="1" x14ac:dyDescent="0.25">
      <c r="A95" s="79" t="s">
        <v>53</v>
      </c>
      <c r="B95" s="79"/>
      <c r="C95" s="80" t="s">
        <v>76</v>
      </c>
      <c r="D95" s="80"/>
      <c r="E95" s="81" t="s">
        <v>54</v>
      </c>
      <c r="F95" s="81"/>
      <c r="G95" s="79" t="s">
        <v>55</v>
      </c>
      <c r="H95" s="79"/>
      <c r="I95" s="64" t="s">
        <v>282</v>
      </c>
    </row>
    <row r="96" spans="1:11" s="30" customFormat="1" x14ac:dyDescent="0.25">
      <c r="A96" s="82" t="s">
        <v>277</v>
      </c>
      <c r="B96" s="82"/>
      <c r="C96" s="86">
        <f>COUNT(D116:D124,D146:D147,D149:D155)+COUNT(D161,D169)</f>
        <v>20</v>
      </c>
      <c r="D96" s="87"/>
      <c r="E96" s="83">
        <f>SUM(D116:D124,D146:D147,D149:D155)+SUM(D161,D169)</f>
        <v>3949.5268799999999</v>
      </c>
      <c r="F96" s="88"/>
      <c r="G96" s="83">
        <f>SUM(F116:F124,F146:F147,F149:F155)+SUM(F161,F169)</f>
        <v>5924.2903199999992</v>
      </c>
      <c r="H96" s="88"/>
      <c r="I96" s="64" t="s">
        <v>283</v>
      </c>
    </row>
    <row r="97" spans="1:10" s="30" customFormat="1" ht="15.75" customHeight="1" x14ac:dyDescent="0.25">
      <c r="A97" s="89" t="s">
        <v>278</v>
      </c>
      <c r="B97" s="89"/>
      <c r="C97" s="89"/>
      <c r="D97" s="89"/>
      <c r="E97" s="89"/>
      <c r="F97" s="89"/>
      <c r="G97" s="89"/>
      <c r="H97" s="89"/>
    </row>
    <row r="98" spans="1:10" s="30" customFormat="1" ht="15.75" customHeight="1" x14ac:dyDescent="0.25">
      <c r="A98" s="79" t="s">
        <v>53</v>
      </c>
      <c r="B98" s="79"/>
      <c r="C98" s="80" t="s">
        <v>76</v>
      </c>
      <c r="D98" s="80"/>
      <c r="E98" s="81" t="s">
        <v>54</v>
      </c>
      <c r="F98" s="81"/>
      <c r="G98" s="79" t="s">
        <v>55</v>
      </c>
      <c r="H98" s="79"/>
      <c r="I98" s="30" t="s">
        <v>285</v>
      </c>
      <c r="J98" s="30">
        <v>11400</v>
      </c>
    </row>
    <row r="99" spans="1:10" s="30" customFormat="1" x14ac:dyDescent="0.25">
      <c r="A99" s="82" t="s">
        <v>277</v>
      </c>
      <c r="B99" s="82"/>
      <c r="C99" s="86">
        <f>COUNT(D125:D145,D148)</f>
        <v>22</v>
      </c>
      <c r="D99" s="87"/>
      <c r="E99" s="83">
        <f>SUM(D125:D145,D148)</f>
        <v>4890.7310399999997</v>
      </c>
      <c r="F99" s="88"/>
      <c r="G99" s="83">
        <f>SUM(F125:F145,F148)</f>
        <v>7336.0965599999981</v>
      </c>
      <c r="H99" s="88"/>
    </row>
    <row r="100" spans="1:10" s="30" customFormat="1" x14ac:dyDescent="0.25">
      <c r="A100" s="82" t="s">
        <v>279</v>
      </c>
      <c r="B100" s="82"/>
      <c r="C100" s="86">
        <f>COUNT(D157:D160,D162:D163)+COUNT(D165:D168,D170:D171)</f>
        <v>12</v>
      </c>
      <c r="D100" s="87"/>
      <c r="E100" s="83">
        <f>SUM(D157:D160,D162:D163)+SUM(D165:D168,D170:D171)</f>
        <v>6767.97264</v>
      </c>
      <c r="F100" s="88"/>
      <c r="G100" s="83">
        <f>SUM(F157:F160,F162:F163)+SUM(F165:F168,F170:F171)</f>
        <v>10151.95896</v>
      </c>
      <c r="H100" s="88"/>
    </row>
    <row r="101" spans="1:10" s="30" customFormat="1" x14ac:dyDescent="0.25">
      <c r="A101" s="89" t="s">
        <v>275</v>
      </c>
      <c r="B101" s="89"/>
      <c r="C101" s="89"/>
      <c r="D101" s="89"/>
      <c r="E101" s="89"/>
      <c r="F101" s="89"/>
      <c r="G101" s="89"/>
      <c r="H101" s="89"/>
    </row>
    <row r="102" spans="1:10" s="30" customFormat="1" ht="15.75" customHeight="1" x14ac:dyDescent="0.25">
      <c r="A102" s="79" t="s">
        <v>53</v>
      </c>
      <c r="B102" s="79"/>
      <c r="C102" s="80" t="s">
        <v>76</v>
      </c>
      <c r="D102" s="80"/>
      <c r="E102" s="81" t="s">
        <v>54</v>
      </c>
      <c r="F102" s="81"/>
      <c r="G102" s="79" t="s">
        <v>55</v>
      </c>
      <c r="H102" s="79"/>
    </row>
    <row r="103" spans="1:10" s="30" customFormat="1" x14ac:dyDescent="0.25">
      <c r="A103" s="82" t="s">
        <v>276</v>
      </c>
      <c r="B103" s="82"/>
      <c r="C103" s="83">
        <f>COUNT(D182:D192)+COUNT(D194:D204)*4+COUNT(D206:D210,D213:D216)+COUNT(D218:D228)*11+COUNT(D230:D240)+COUNT(D242:D252)+COUNT(D254:D258,D261:D264)</f>
        <v>216</v>
      </c>
      <c r="D103" s="83"/>
      <c r="E103" s="83">
        <f>SUM(D182:D192)+SUM(D194:D204)*4+SUM(D206:D210,D213:D216)+SUM(D218:D228)*11+SUM(D230:D240)+SUM(D242:D252)+SUM(D254:D258,D261:D264)</f>
        <v>64694.653919999997</v>
      </c>
      <c r="F103" s="83"/>
      <c r="G103" s="83">
        <f>SUM(D182:D192)+SUM(D194:D204)*4+SUM(D206:D210,D213:D216)+SUM(D218:D228)*11+SUM(D230:D240)+SUM(D242:D252)+SUM(D254:D258,D261:D264)</f>
        <v>64694.653919999997</v>
      </c>
      <c r="H103" s="83"/>
    </row>
    <row r="104" spans="1:10" s="30" customFormat="1" x14ac:dyDescent="0.25">
      <c r="A104" s="89" t="s">
        <v>280</v>
      </c>
      <c r="B104" s="89"/>
      <c r="C104" s="89"/>
      <c r="D104" s="89"/>
      <c r="E104" s="89"/>
      <c r="F104" s="89"/>
      <c r="G104" s="89"/>
      <c r="H104" s="89"/>
    </row>
    <row r="105" spans="1:10" s="30" customFormat="1" ht="15.75" customHeight="1" x14ac:dyDescent="0.25">
      <c r="A105" s="79" t="s">
        <v>53</v>
      </c>
      <c r="B105" s="79"/>
      <c r="C105" s="80" t="s">
        <v>76</v>
      </c>
      <c r="D105" s="80"/>
      <c r="E105" s="81" t="s">
        <v>54</v>
      </c>
      <c r="F105" s="81"/>
      <c r="G105" s="79" t="s">
        <v>55</v>
      </c>
      <c r="H105" s="79"/>
    </row>
    <row r="106" spans="1:10" s="30" customFormat="1" x14ac:dyDescent="0.25">
      <c r="A106" s="82" t="s">
        <v>276</v>
      </c>
      <c r="B106" s="82"/>
      <c r="C106" s="83">
        <f>COUNT(D178)+COUNT(D180)</f>
        <v>2</v>
      </c>
      <c r="D106" s="83"/>
      <c r="E106" s="83">
        <f>SUM(D178)+SUM(D180)</f>
        <v>600.20063999999991</v>
      </c>
      <c r="F106" s="83"/>
      <c r="G106" s="83">
        <f>SUM(F178)+SUM(F180)</f>
        <v>900.3009599999998</v>
      </c>
      <c r="H106" s="83"/>
    </row>
    <row r="107" spans="1:10" s="30" customFormat="1" x14ac:dyDescent="0.25">
      <c r="A107" s="89" t="s">
        <v>162</v>
      </c>
      <c r="B107" s="89"/>
      <c r="C107" s="101">
        <f>C96+C99+C100+C106+C103</f>
        <v>272</v>
      </c>
      <c r="D107" s="80"/>
      <c r="E107" s="102">
        <f>E968+E99+E100+E106+E103</f>
        <v>76953.558239999998</v>
      </c>
      <c r="F107" s="81"/>
      <c r="G107" s="79">
        <f>G96+G99+G100+G106+G103</f>
        <v>89007.300719999999</v>
      </c>
      <c r="H107" s="79"/>
    </row>
    <row r="108" spans="1:10" s="29" customFormat="1" x14ac:dyDescent="0.25">
      <c r="A108" s="112" t="s">
        <v>56</v>
      </c>
      <c r="B108" s="112"/>
      <c r="C108" s="112"/>
      <c r="D108" s="112"/>
      <c r="E108" s="112"/>
      <c r="F108" s="112"/>
      <c r="G108" s="112"/>
      <c r="H108" s="112"/>
    </row>
    <row r="109" spans="1:10" x14ac:dyDescent="0.25">
      <c r="A109" s="112" t="s">
        <v>168</v>
      </c>
      <c r="B109" s="112"/>
      <c r="C109" s="112"/>
      <c r="D109" s="112"/>
      <c r="E109" s="112"/>
      <c r="F109" s="112"/>
      <c r="G109" s="112"/>
      <c r="H109" s="112"/>
    </row>
    <row r="110" spans="1:10" ht="47.25" customHeight="1" x14ac:dyDescent="0.25">
      <c r="A110" s="136" t="s">
        <v>115</v>
      </c>
      <c r="B110" s="136" t="s">
        <v>171</v>
      </c>
      <c r="C110" s="136" t="s">
        <v>57</v>
      </c>
      <c r="D110" s="136" t="s">
        <v>58</v>
      </c>
      <c r="E110" s="138" t="s">
        <v>151</v>
      </c>
      <c r="F110" s="38" t="s">
        <v>145</v>
      </c>
      <c r="G110" s="140" t="s">
        <v>60</v>
      </c>
      <c r="H110" s="141"/>
    </row>
    <row r="111" spans="1:10" s="32" customFormat="1" x14ac:dyDescent="0.25">
      <c r="A111" s="137"/>
      <c r="B111" s="137"/>
      <c r="C111" s="137"/>
      <c r="D111" s="137"/>
      <c r="E111" s="139"/>
      <c r="F111" s="13">
        <v>0.5</v>
      </c>
      <c r="G111" s="142"/>
      <c r="H111" s="143"/>
    </row>
    <row r="112" spans="1:10" s="52" customFormat="1" x14ac:dyDescent="0.25">
      <c r="A112" s="96" t="s">
        <v>238</v>
      </c>
      <c r="B112" s="97"/>
      <c r="C112" s="97"/>
      <c r="D112" s="97"/>
      <c r="E112" s="97"/>
      <c r="F112" s="97"/>
      <c r="G112" s="97"/>
      <c r="H112" s="98"/>
      <c r="J112" s="31"/>
    </row>
    <row r="113" spans="1:14" s="52" customFormat="1" x14ac:dyDescent="0.25">
      <c r="A113" s="96" t="s">
        <v>271</v>
      </c>
      <c r="B113" s="97"/>
      <c r="C113" s="97"/>
      <c r="D113" s="97"/>
      <c r="E113" s="97"/>
      <c r="F113" s="97"/>
      <c r="G113" s="97"/>
      <c r="H113" s="98"/>
      <c r="J113" s="31"/>
    </row>
    <row r="114" spans="1:14" s="52" customFormat="1" x14ac:dyDescent="0.25">
      <c r="A114" s="96" t="s">
        <v>251</v>
      </c>
      <c r="B114" s="97"/>
      <c r="C114" s="97"/>
      <c r="D114" s="97"/>
      <c r="E114" s="97"/>
      <c r="F114" s="97"/>
      <c r="G114" s="97"/>
      <c r="H114" s="98"/>
      <c r="J114" s="31"/>
    </row>
    <row r="115" spans="1:14" s="52" customFormat="1" x14ac:dyDescent="0.25">
      <c r="A115" s="96" t="s">
        <v>288</v>
      </c>
      <c r="B115" s="97"/>
      <c r="C115" s="97"/>
      <c r="D115" s="97"/>
      <c r="E115" s="97"/>
      <c r="F115" s="97"/>
      <c r="G115" s="97"/>
      <c r="H115" s="98"/>
      <c r="J115" s="31"/>
    </row>
    <row r="116" spans="1:14" s="52" customFormat="1" x14ac:dyDescent="0.25">
      <c r="A116" s="50">
        <v>31</v>
      </c>
      <c r="B116" s="50" t="s">
        <v>255</v>
      </c>
      <c r="C116" s="50" t="s">
        <v>256</v>
      </c>
      <c r="D116" s="61">
        <f>(20.9)*10.764</f>
        <v>224.96759999999998</v>
      </c>
      <c r="E116" s="50">
        <v>0</v>
      </c>
      <c r="F116" s="50">
        <f>(D116+E116)*(($F$111)+1)</f>
        <v>337.45139999999998</v>
      </c>
      <c r="G116" s="84" t="str">
        <f>A115</f>
        <v>Ground floor for Commercial (Wing B + C)</v>
      </c>
      <c r="H116" s="85"/>
      <c r="I116" s="31"/>
      <c r="L116" s="100"/>
      <c r="M116" s="100"/>
      <c r="N116" s="31"/>
    </row>
    <row r="117" spans="1:14" s="52" customFormat="1" x14ac:dyDescent="0.25">
      <c r="A117" s="50">
        <v>32</v>
      </c>
      <c r="B117" s="50" t="s">
        <v>255</v>
      </c>
      <c r="C117" s="50" t="s">
        <v>256</v>
      </c>
      <c r="D117" s="61">
        <f>(20.9)*10.764</f>
        <v>224.96759999999998</v>
      </c>
      <c r="E117" s="50">
        <v>0</v>
      </c>
      <c r="F117" s="50">
        <f t="shared" ref="F117:F121" si="0">(D117+E117)*(($F$111)+1)</f>
        <v>337.45139999999998</v>
      </c>
      <c r="G117" s="84" t="str">
        <f t="shared" ref="G117:G155" si="1">G116</f>
        <v>Ground floor for Commercial (Wing B + C)</v>
      </c>
      <c r="H117" s="85"/>
      <c r="I117" s="61">
        <v>10.763999999999999</v>
      </c>
      <c r="L117" s="100"/>
      <c r="M117" s="100"/>
      <c r="N117" s="31"/>
    </row>
    <row r="118" spans="1:14" s="52" customFormat="1" x14ac:dyDescent="0.25">
      <c r="A118" s="50">
        <v>33</v>
      </c>
      <c r="B118" s="50" t="s">
        <v>255</v>
      </c>
      <c r="C118" s="50" t="s">
        <v>256</v>
      </c>
      <c r="D118" s="61">
        <f>(20.96)*10.764</f>
        <v>225.61344</v>
      </c>
      <c r="E118" s="50">
        <v>0</v>
      </c>
      <c r="F118" s="50">
        <f t="shared" si="0"/>
        <v>338.42016000000001</v>
      </c>
      <c r="G118" s="84" t="str">
        <f t="shared" si="1"/>
        <v>Ground floor for Commercial (Wing B + C)</v>
      </c>
      <c r="H118" s="85"/>
      <c r="I118" s="31"/>
      <c r="L118" s="100"/>
      <c r="M118" s="100"/>
      <c r="N118" s="31"/>
    </row>
    <row r="119" spans="1:14" s="52" customFormat="1" x14ac:dyDescent="0.25">
      <c r="A119" s="50">
        <v>34</v>
      </c>
      <c r="B119" s="50" t="s">
        <v>255</v>
      </c>
      <c r="C119" s="50" t="s">
        <v>256</v>
      </c>
      <c r="D119" s="61">
        <f>(6.8)*10.764</f>
        <v>73.1952</v>
      </c>
      <c r="E119" s="50">
        <v>0</v>
      </c>
      <c r="F119" s="50">
        <f t="shared" si="0"/>
        <v>109.7928</v>
      </c>
      <c r="G119" s="84" t="str">
        <f t="shared" si="1"/>
        <v>Ground floor for Commercial (Wing B + C)</v>
      </c>
      <c r="H119" s="85"/>
      <c r="I119" s="31"/>
      <c r="L119" s="100"/>
      <c r="M119" s="100"/>
      <c r="N119" s="31"/>
    </row>
    <row r="120" spans="1:14" s="52" customFormat="1" x14ac:dyDescent="0.25">
      <c r="A120" s="50">
        <v>35</v>
      </c>
      <c r="B120" s="50" t="s">
        <v>255</v>
      </c>
      <c r="C120" s="50" t="s">
        <v>256</v>
      </c>
      <c r="D120" s="61">
        <f>(18.85)*10.764</f>
        <v>202.9014</v>
      </c>
      <c r="E120" s="50">
        <v>0</v>
      </c>
      <c r="F120" s="50">
        <f t="shared" si="0"/>
        <v>304.35210000000001</v>
      </c>
      <c r="G120" s="84" t="str">
        <f t="shared" si="1"/>
        <v>Ground floor for Commercial (Wing B + C)</v>
      </c>
      <c r="H120" s="85"/>
      <c r="I120" s="31"/>
      <c r="L120" s="100"/>
      <c r="M120" s="100"/>
      <c r="N120" s="31"/>
    </row>
    <row r="121" spans="1:14" s="52" customFormat="1" x14ac:dyDescent="0.25">
      <c r="A121" s="50">
        <v>36</v>
      </c>
      <c r="B121" s="50" t="s">
        <v>255</v>
      </c>
      <c r="C121" s="50" t="s">
        <v>256</v>
      </c>
      <c r="D121" s="61">
        <f>(20.9)*10.764</f>
        <v>224.96759999999998</v>
      </c>
      <c r="E121" s="50">
        <v>0</v>
      </c>
      <c r="F121" s="50">
        <f t="shared" si="0"/>
        <v>337.45139999999998</v>
      </c>
      <c r="G121" s="84" t="str">
        <f t="shared" si="1"/>
        <v>Ground floor for Commercial (Wing B + C)</v>
      </c>
      <c r="H121" s="85"/>
      <c r="I121" s="31"/>
      <c r="L121" s="100"/>
      <c r="M121" s="100"/>
      <c r="N121" s="31"/>
    </row>
    <row r="122" spans="1:14" s="52" customFormat="1" x14ac:dyDescent="0.25">
      <c r="A122" s="50">
        <v>37</v>
      </c>
      <c r="B122" s="50" t="s">
        <v>255</v>
      </c>
      <c r="C122" s="50" t="s">
        <v>256</v>
      </c>
      <c r="D122" s="61">
        <f>(15.34)*10.764</f>
        <v>165.11975999999999</v>
      </c>
      <c r="E122" s="50">
        <v>0</v>
      </c>
      <c r="F122" s="50">
        <f>(D122+E122)*(($F$111)+1)</f>
        <v>247.67963999999998</v>
      </c>
      <c r="G122" s="84" t="str">
        <f t="shared" si="1"/>
        <v>Ground floor for Commercial (Wing B + C)</v>
      </c>
      <c r="H122" s="85"/>
      <c r="I122" s="31"/>
      <c r="L122" s="100"/>
      <c r="M122" s="100"/>
      <c r="N122" s="31"/>
    </row>
    <row r="123" spans="1:14" s="52" customFormat="1" x14ac:dyDescent="0.25">
      <c r="A123" s="50">
        <v>38</v>
      </c>
      <c r="B123" s="50" t="s">
        <v>255</v>
      </c>
      <c r="C123" s="50" t="s">
        <v>256</v>
      </c>
      <c r="D123" s="61">
        <f>(21)*10.764</f>
        <v>226.04399999999998</v>
      </c>
      <c r="E123" s="50">
        <v>0</v>
      </c>
      <c r="F123" s="50">
        <f t="shared" ref="F123:F132" si="2">(D123+E123)*(($F$111)+1)</f>
        <v>339.06599999999997</v>
      </c>
      <c r="G123" s="84" t="str">
        <f t="shared" si="1"/>
        <v>Ground floor for Commercial (Wing B + C)</v>
      </c>
      <c r="H123" s="85"/>
      <c r="I123" s="31"/>
      <c r="L123" s="100"/>
      <c r="M123" s="100"/>
      <c r="N123" s="31"/>
    </row>
    <row r="124" spans="1:14" s="52" customFormat="1" x14ac:dyDescent="0.25">
      <c r="A124" s="50">
        <v>39</v>
      </c>
      <c r="B124" s="50" t="s">
        <v>255</v>
      </c>
      <c r="C124" s="50" t="s">
        <v>256</v>
      </c>
      <c r="D124" s="61">
        <f>(1.9)*10.764</f>
        <v>20.451599999999999</v>
      </c>
      <c r="E124" s="50">
        <v>0</v>
      </c>
      <c r="F124" s="50">
        <f t="shared" si="2"/>
        <v>30.677399999999999</v>
      </c>
      <c r="G124" s="84" t="str">
        <f t="shared" si="1"/>
        <v>Ground floor for Commercial (Wing B + C)</v>
      </c>
      <c r="H124" s="85"/>
      <c r="I124" s="31"/>
      <c r="L124" s="100"/>
      <c r="M124" s="100"/>
      <c r="N124" s="31"/>
    </row>
    <row r="125" spans="1:14" s="52" customFormat="1" x14ac:dyDescent="0.25">
      <c r="A125" s="50">
        <v>40</v>
      </c>
      <c r="B125" s="51" t="s">
        <v>253</v>
      </c>
      <c r="C125" s="50" t="s">
        <v>256</v>
      </c>
      <c r="D125" s="61">
        <f>(27.7)*10.764</f>
        <v>298.16279999999995</v>
      </c>
      <c r="E125" s="50">
        <v>0</v>
      </c>
      <c r="F125" s="50">
        <f t="shared" si="2"/>
        <v>447.24419999999992</v>
      </c>
      <c r="G125" s="84" t="str">
        <f t="shared" si="1"/>
        <v>Ground floor for Commercial (Wing B + C)</v>
      </c>
      <c r="H125" s="85"/>
      <c r="I125" s="31"/>
      <c r="L125" s="100"/>
      <c r="M125" s="100"/>
      <c r="N125" s="31"/>
    </row>
    <row r="126" spans="1:14" s="52" customFormat="1" x14ac:dyDescent="0.25">
      <c r="A126" s="50">
        <v>41</v>
      </c>
      <c r="B126" s="51" t="s">
        <v>253</v>
      </c>
      <c r="C126" s="50" t="s">
        <v>256</v>
      </c>
      <c r="D126" s="61">
        <f>(43.14)*10.764</f>
        <v>464.35895999999997</v>
      </c>
      <c r="E126" s="50">
        <v>0</v>
      </c>
      <c r="F126" s="50">
        <f t="shared" si="2"/>
        <v>696.53843999999992</v>
      </c>
      <c r="G126" s="84" t="str">
        <f t="shared" si="1"/>
        <v>Ground floor for Commercial (Wing B + C)</v>
      </c>
      <c r="H126" s="85"/>
      <c r="I126" s="32"/>
      <c r="J126" s="31"/>
      <c r="L126" s="100"/>
      <c r="M126" s="100"/>
      <c r="N126" s="31"/>
    </row>
    <row r="127" spans="1:14" s="52" customFormat="1" x14ac:dyDescent="0.25">
      <c r="A127" s="50">
        <v>42</v>
      </c>
      <c r="B127" s="51" t="s">
        <v>253</v>
      </c>
      <c r="C127" s="50" t="s">
        <v>256</v>
      </c>
      <c r="D127" s="61">
        <f>(19.68)*10.764</f>
        <v>211.83551999999997</v>
      </c>
      <c r="E127" s="50">
        <v>0</v>
      </c>
      <c r="F127" s="50">
        <f t="shared" si="2"/>
        <v>317.75327999999996</v>
      </c>
      <c r="G127" s="84" t="str">
        <f t="shared" si="1"/>
        <v>Ground floor for Commercial (Wing B + C)</v>
      </c>
      <c r="H127" s="85"/>
      <c r="I127" s="31"/>
      <c r="J127" s="32"/>
      <c r="L127" s="100"/>
      <c r="M127" s="100"/>
      <c r="N127" s="31"/>
    </row>
    <row r="128" spans="1:14" s="52" customFormat="1" x14ac:dyDescent="0.25">
      <c r="A128" s="50">
        <v>43</v>
      </c>
      <c r="B128" s="51" t="s">
        <v>253</v>
      </c>
      <c r="C128" s="50" t="s">
        <v>256</v>
      </c>
      <c r="D128" s="61">
        <f>(20.7)*10.764</f>
        <v>222.81479999999999</v>
      </c>
      <c r="E128" s="50">
        <v>0</v>
      </c>
      <c r="F128" s="50">
        <f t="shared" si="2"/>
        <v>334.22219999999999</v>
      </c>
      <c r="G128" s="84" t="str">
        <f t="shared" si="1"/>
        <v>Ground floor for Commercial (Wing B + C)</v>
      </c>
      <c r="H128" s="85"/>
      <c r="I128" s="32"/>
      <c r="K128" s="100"/>
      <c r="L128" s="100"/>
      <c r="M128" s="31"/>
    </row>
    <row r="129" spans="1:14" s="52" customFormat="1" x14ac:dyDescent="0.25">
      <c r="A129" s="50">
        <v>44</v>
      </c>
      <c r="B129" s="51" t="s">
        <v>253</v>
      </c>
      <c r="C129" s="50" t="s">
        <v>256</v>
      </c>
      <c r="D129" s="61">
        <f>(16.29)*10.764</f>
        <v>175.34555999999998</v>
      </c>
      <c r="E129" s="50">
        <v>0</v>
      </c>
      <c r="F129" s="50">
        <f t="shared" si="2"/>
        <v>263.01833999999997</v>
      </c>
      <c r="G129" s="84" t="str">
        <f t="shared" si="1"/>
        <v>Ground floor for Commercial (Wing B + C)</v>
      </c>
      <c r="H129" s="85"/>
      <c r="I129" s="31"/>
      <c r="J129" s="32"/>
      <c r="L129" s="100"/>
      <c r="M129" s="100"/>
      <c r="N129" s="31"/>
    </row>
    <row r="130" spans="1:14" s="52" customFormat="1" x14ac:dyDescent="0.25">
      <c r="A130" s="50">
        <v>45</v>
      </c>
      <c r="B130" s="51" t="s">
        <v>253</v>
      </c>
      <c r="C130" s="50" t="s">
        <v>256</v>
      </c>
      <c r="D130" s="61">
        <f>(35.9)*10.764</f>
        <v>386.42759999999998</v>
      </c>
      <c r="E130" s="50">
        <v>0</v>
      </c>
      <c r="F130" s="50">
        <f t="shared" si="2"/>
        <v>579.64139999999998</v>
      </c>
      <c r="G130" s="84" t="str">
        <f t="shared" si="1"/>
        <v>Ground floor for Commercial (Wing B + C)</v>
      </c>
      <c r="H130" s="85"/>
      <c r="I130" s="31"/>
      <c r="J130" s="32"/>
      <c r="L130" s="100"/>
      <c r="M130" s="100"/>
      <c r="N130" s="31"/>
    </row>
    <row r="131" spans="1:14" s="52" customFormat="1" x14ac:dyDescent="0.25">
      <c r="A131" s="50">
        <v>46</v>
      </c>
      <c r="B131" s="51" t="s">
        <v>253</v>
      </c>
      <c r="C131" s="50" t="s">
        <v>256</v>
      </c>
      <c r="D131" s="61">
        <f>(17.89)*10.764</f>
        <v>192.56796</v>
      </c>
      <c r="E131" s="50">
        <v>0</v>
      </c>
      <c r="F131" s="50">
        <f t="shared" si="2"/>
        <v>288.85194000000001</v>
      </c>
      <c r="G131" s="84" t="str">
        <f t="shared" si="1"/>
        <v>Ground floor for Commercial (Wing B + C)</v>
      </c>
      <c r="H131" s="85"/>
      <c r="I131" s="31"/>
      <c r="L131" s="100"/>
      <c r="M131" s="100"/>
      <c r="N131" s="31"/>
    </row>
    <row r="132" spans="1:14" s="52" customFormat="1" x14ac:dyDescent="0.25">
      <c r="A132" s="50">
        <v>47</v>
      </c>
      <c r="B132" s="51" t="s">
        <v>253</v>
      </c>
      <c r="C132" s="50" t="s">
        <v>256</v>
      </c>
      <c r="D132" s="61">
        <f>(43.19)*10.764</f>
        <v>464.89715999999993</v>
      </c>
      <c r="E132" s="50">
        <v>0</v>
      </c>
      <c r="F132" s="50">
        <f t="shared" si="2"/>
        <v>697.34573999999986</v>
      </c>
      <c r="G132" s="84" t="str">
        <f t="shared" si="1"/>
        <v>Ground floor for Commercial (Wing B + C)</v>
      </c>
      <c r="H132" s="85"/>
      <c r="I132" s="31"/>
      <c r="L132" s="100"/>
      <c r="M132" s="100"/>
      <c r="N132" s="31"/>
    </row>
    <row r="133" spans="1:14" s="52" customFormat="1" x14ac:dyDescent="0.25">
      <c r="A133" s="50">
        <v>48</v>
      </c>
      <c r="B133" s="51" t="s">
        <v>253</v>
      </c>
      <c r="C133" s="50" t="s">
        <v>256</v>
      </c>
      <c r="D133" s="61">
        <f>(24.6)*10.764</f>
        <v>264.7944</v>
      </c>
      <c r="E133" s="50">
        <v>0</v>
      </c>
      <c r="F133" s="50">
        <f>(D133+E133)*(($F$111)+1)</f>
        <v>397.19159999999999</v>
      </c>
      <c r="G133" s="84" t="str">
        <f t="shared" si="1"/>
        <v>Ground floor for Commercial (Wing B + C)</v>
      </c>
      <c r="H133" s="85"/>
      <c r="I133" s="31"/>
      <c r="J133" s="32"/>
      <c r="L133" s="100"/>
      <c r="M133" s="100"/>
      <c r="N133" s="31"/>
    </row>
    <row r="134" spans="1:14" s="52" customFormat="1" x14ac:dyDescent="0.25">
      <c r="A134" s="50">
        <v>49</v>
      </c>
      <c r="B134" s="51" t="s">
        <v>253</v>
      </c>
      <c r="C134" s="50" t="s">
        <v>256</v>
      </c>
      <c r="D134" s="61">
        <f>(16.76)*10.764</f>
        <v>180.40464</v>
      </c>
      <c r="E134" s="50">
        <v>0</v>
      </c>
      <c r="F134" s="50">
        <f t="shared" ref="F134:F145" si="3">(D134+E134)*(($F$111)+1)</f>
        <v>270.60696000000002</v>
      </c>
      <c r="G134" s="84" t="str">
        <f t="shared" si="1"/>
        <v>Ground floor for Commercial (Wing B + C)</v>
      </c>
      <c r="H134" s="85"/>
      <c r="I134" s="31"/>
      <c r="J134" s="16"/>
      <c r="L134" s="100"/>
      <c r="M134" s="100"/>
      <c r="N134" s="31"/>
    </row>
    <row r="135" spans="1:14" s="52" customFormat="1" x14ac:dyDescent="0.25">
      <c r="A135" s="50">
        <v>50</v>
      </c>
      <c r="B135" s="51" t="s">
        <v>253</v>
      </c>
      <c r="C135" s="50" t="s">
        <v>256</v>
      </c>
      <c r="D135" s="61">
        <f>(12.98)*10.764</f>
        <v>139.71672000000001</v>
      </c>
      <c r="E135" s="50">
        <v>0</v>
      </c>
      <c r="F135" s="50">
        <f t="shared" si="3"/>
        <v>209.57508000000001</v>
      </c>
      <c r="G135" s="84" t="str">
        <f t="shared" si="1"/>
        <v>Ground floor for Commercial (Wing B + C)</v>
      </c>
      <c r="H135" s="85"/>
      <c r="I135" s="31"/>
      <c r="J135" s="32"/>
      <c r="L135" s="100"/>
      <c r="M135" s="100"/>
      <c r="N135" s="31"/>
    </row>
    <row r="136" spans="1:14" s="52" customFormat="1" x14ac:dyDescent="0.25">
      <c r="A136" s="50">
        <v>51</v>
      </c>
      <c r="B136" s="51" t="s">
        <v>253</v>
      </c>
      <c r="C136" s="50" t="s">
        <v>256</v>
      </c>
      <c r="D136" s="61">
        <f>(16.52)*10.764</f>
        <v>177.82127999999997</v>
      </c>
      <c r="E136" s="50">
        <v>0</v>
      </c>
      <c r="F136" s="50">
        <f t="shared" si="3"/>
        <v>266.73191999999995</v>
      </c>
      <c r="G136" s="84" t="str">
        <f t="shared" si="1"/>
        <v>Ground floor for Commercial (Wing B + C)</v>
      </c>
      <c r="H136" s="85"/>
      <c r="I136" s="32"/>
      <c r="J136" s="31"/>
      <c r="L136" s="100"/>
      <c r="M136" s="100"/>
      <c r="N136" s="31"/>
    </row>
    <row r="137" spans="1:14" s="52" customFormat="1" x14ac:dyDescent="0.25">
      <c r="A137" s="50">
        <v>52</v>
      </c>
      <c r="B137" s="51" t="s">
        <v>253</v>
      </c>
      <c r="C137" s="50" t="s">
        <v>256</v>
      </c>
      <c r="D137" s="61">
        <f>(17.56)*10.764</f>
        <v>189.01583999999997</v>
      </c>
      <c r="E137" s="50">
        <v>0</v>
      </c>
      <c r="F137" s="50">
        <f t="shared" si="3"/>
        <v>283.52375999999992</v>
      </c>
      <c r="G137" s="84" t="str">
        <f t="shared" si="1"/>
        <v>Ground floor for Commercial (Wing B + C)</v>
      </c>
      <c r="H137" s="85"/>
      <c r="I137" s="31"/>
      <c r="J137" s="32"/>
      <c r="L137" s="100"/>
      <c r="M137" s="100"/>
      <c r="N137" s="31"/>
    </row>
    <row r="138" spans="1:14" s="52" customFormat="1" x14ac:dyDescent="0.25">
      <c r="A138" s="50">
        <v>53</v>
      </c>
      <c r="B138" s="51" t="s">
        <v>253</v>
      </c>
      <c r="C138" s="50" t="s">
        <v>256</v>
      </c>
      <c r="D138" s="61">
        <f>(10.59)*10.764</f>
        <v>113.99075999999999</v>
      </c>
      <c r="E138" s="50">
        <v>0</v>
      </c>
      <c r="F138" s="50">
        <f t="shared" si="3"/>
        <v>170.98613999999998</v>
      </c>
      <c r="G138" s="84" t="str">
        <f t="shared" si="1"/>
        <v>Ground floor for Commercial (Wing B + C)</v>
      </c>
      <c r="H138" s="85"/>
      <c r="I138" s="31"/>
      <c r="J138" s="32"/>
      <c r="L138" s="100"/>
      <c r="M138" s="100"/>
      <c r="N138" s="31"/>
    </row>
    <row r="139" spans="1:14" s="52" customFormat="1" x14ac:dyDescent="0.25">
      <c r="A139" s="50">
        <v>54</v>
      </c>
      <c r="B139" s="51" t="s">
        <v>253</v>
      </c>
      <c r="C139" s="50" t="s">
        <v>256</v>
      </c>
      <c r="D139" s="61">
        <f>(10.44)*10.764</f>
        <v>112.37615999999998</v>
      </c>
      <c r="E139" s="50">
        <v>0</v>
      </c>
      <c r="F139" s="50">
        <f t="shared" si="3"/>
        <v>168.56423999999998</v>
      </c>
      <c r="G139" s="84" t="str">
        <f t="shared" si="1"/>
        <v>Ground floor for Commercial (Wing B + C)</v>
      </c>
      <c r="H139" s="85"/>
      <c r="I139" s="31"/>
      <c r="J139" s="32"/>
      <c r="L139" s="100"/>
      <c r="M139" s="100"/>
      <c r="N139" s="31"/>
    </row>
    <row r="140" spans="1:14" s="52" customFormat="1" x14ac:dyDescent="0.25">
      <c r="A140" s="50">
        <v>55</v>
      </c>
      <c r="B140" s="51" t="s">
        <v>253</v>
      </c>
      <c r="C140" s="50" t="s">
        <v>256</v>
      </c>
      <c r="D140" s="61">
        <f>(19.59)*10.764</f>
        <v>210.86676</v>
      </c>
      <c r="E140" s="50">
        <v>0</v>
      </c>
      <c r="F140" s="50">
        <f t="shared" si="3"/>
        <v>316.30014</v>
      </c>
      <c r="G140" s="84" t="str">
        <f t="shared" si="1"/>
        <v>Ground floor for Commercial (Wing B + C)</v>
      </c>
      <c r="H140" s="85"/>
      <c r="I140" s="31"/>
      <c r="J140" s="32"/>
      <c r="L140" s="100"/>
      <c r="M140" s="100"/>
      <c r="N140" s="31"/>
    </row>
    <row r="141" spans="1:14" s="52" customFormat="1" x14ac:dyDescent="0.25">
      <c r="A141" s="50">
        <v>56</v>
      </c>
      <c r="B141" s="51" t="s">
        <v>253</v>
      </c>
      <c r="C141" s="50" t="s">
        <v>256</v>
      </c>
      <c r="D141" s="61">
        <f>(15.43)*10.764</f>
        <v>166.08851999999999</v>
      </c>
      <c r="E141" s="50">
        <v>0</v>
      </c>
      <c r="F141" s="50">
        <f t="shared" si="3"/>
        <v>249.13277999999997</v>
      </c>
      <c r="G141" s="84" t="str">
        <f t="shared" si="1"/>
        <v>Ground floor for Commercial (Wing B + C)</v>
      </c>
      <c r="H141" s="85"/>
      <c r="I141" s="31"/>
      <c r="J141" s="32"/>
      <c r="L141" s="100"/>
      <c r="M141" s="100"/>
      <c r="N141" s="31"/>
    </row>
    <row r="142" spans="1:14" s="52" customFormat="1" x14ac:dyDescent="0.25">
      <c r="A142" s="50">
        <v>57</v>
      </c>
      <c r="B142" s="51" t="s">
        <v>253</v>
      </c>
      <c r="C142" s="50" t="s">
        <v>256</v>
      </c>
      <c r="D142" s="61">
        <f>(15.71)*10.764</f>
        <v>169.10244</v>
      </c>
      <c r="E142" s="50">
        <v>0</v>
      </c>
      <c r="F142" s="50">
        <f t="shared" si="3"/>
        <v>253.65366</v>
      </c>
      <c r="G142" s="84" t="str">
        <f t="shared" si="1"/>
        <v>Ground floor for Commercial (Wing B + C)</v>
      </c>
      <c r="H142" s="85"/>
      <c r="I142" s="31"/>
      <c r="J142" s="32"/>
      <c r="L142" s="100"/>
      <c r="M142" s="100"/>
      <c r="N142" s="31"/>
    </row>
    <row r="143" spans="1:14" s="52" customFormat="1" x14ac:dyDescent="0.25">
      <c r="A143" s="50">
        <v>58</v>
      </c>
      <c r="B143" s="51" t="s">
        <v>253</v>
      </c>
      <c r="C143" s="50" t="s">
        <v>256</v>
      </c>
      <c r="D143" s="61">
        <f>(25.82)*10.764</f>
        <v>277.92647999999997</v>
      </c>
      <c r="E143" s="50">
        <v>0</v>
      </c>
      <c r="F143" s="50">
        <f t="shared" si="3"/>
        <v>416.88971999999995</v>
      </c>
      <c r="G143" s="84" t="str">
        <f t="shared" si="1"/>
        <v>Ground floor for Commercial (Wing B + C)</v>
      </c>
      <c r="H143" s="85"/>
      <c r="I143" s="31"/>
      <c r="J143" s="32"/>
      <c r="L143" s="100"/>
      <c r="M143" s="100"/>
      <c r="N143" s="31"/>
    </row>
    <row r="144" spans="1:14" s="52" customFormat="1" x14ac:dyDescent="0.25">
      <c r="A144" s="50">
        <v>59</v>
      </c>
      <c r="B144" s="51" t="s">
        <v>253</v>
      </c>
      <c r="C144" s="50" t="s">
        <v>256</v>
      </c>
      <c r="D144" s="61">
        <f>(17.16)*10.764</f>
        <v>184.71024</v>
      </c>
      <c r="E144" s="50">
        <v>0</v>
      </c>
      <c r="F144" s="50">
        <f t="shared" si="3"/>
        <v>277.06536</v>
      </c>
      <c r="G144" s="84" t="str">
        <f t="shared" si="1"/>
        <v>Ground floor for Commercial (Wing B + C)</v>
      </c>
      <c r="H144" s="85"/>
      <c r="I144" s="31"/>
      <c r="J144" s="32"/>
      <c r="L144" s="100"/>
      <c r="M144" s="100"/>
      <c r="N144" s="31"/>
    </row>
    <row r="145" spans="1:14" s="52" customFormat="1" x14ac:dyDescent="0.25">
      <c r="A145" s="50">
        <v>60</v>
      </c>
      <c r="B145" s="51" t="s">
        <v>253</v>
      </c>
      <c r="C145" s="50" t="s">
        <v>256</v>
      </c>
      <c r="D145" s="61">
        <f>(15.64)*10.764</f>
        <v>168.34896000000001</v>
      </c>
      <c r="E145" s="50">
        <v>0</v>
      </c>
      <c r="F145" s="50">
        <f t="shared" si="3"/>
        <v>252.52343999999999</v>
      </c>
      <c r="G145" s="84" t="str">
        <f t="shared" si="1"/>
        <v>Ground floor for Commercial (Wing B + C)</v>
      </c>
      <c r="H145" s="85"/>
      <c r="I145" s="31"/>
      <c r="J145" s="32"/>
      <c r="L145" s="100"/>
      <c r="M145" s="100"/>
      <c r="N145" s="31"/>
    </row>
    <row r="146" spans="1:14" s="52" customFormat="1" x14ac:dyDescent="0.25">
      <c r="A146" s="50">
        <v>61</v>
      </c>
      <c r="B146" s="50" t="s">
        <v>255</v>
      </c>
      <c r="C146" s="50" t="s">
        <v>256</v>
      </c>
      <c r="D146" s="61">
        <f>(18.33)*10.764</f>
        <v>197.30411999999998</v>
      </c>
      <c r="E146" s="50">
        <v>0</v>
      </c>
      <c r="F146" s="50">
        <f>(D146+E146)*(($F$111)+1)</f>
        <v>295.95617999999996</v>
      </c>
      <c r="G146" s="84" t="str">
        <f t="shared" si="1"/>
        <v>Ground floor for Commercial (Wing B + C)</v>
      </c>
      <c r="H146" s="85"/>
      <c r="I146" s="31"/>
      <c r="J146" s="32"/>
      <c r="L146" s="100"/>
      <c r="M146" s="100"/>
      <c r="N146" s="31"/>
    </row>
    <row r="147" spans="1:14" s="52" customFormat="1" x14ac:dyDescent="0.25">
      <c r="A147" s="50">
        <v>62</v>
      </c>
      <c r="B147" s="50" t="s">
        <v>255</v>
      </c>
      <c r="C147" s="50" t="s">
        <v>256</v>
      </c>
      <c r="D147" s="61">
        <f>(20.91)*10.764</f>
        <v>225.07523999999998</v>
      </c>
      <c r="E147" s="50">
        <v>0</v>
      </c>
      <c r="F147" s="50">
        <f t="shared" ref="F147:F154" si="4">(D147+E147)*(($F$111)+1)</f>
        <v>337.61285999999996</v>
      </c>
      <c r="G147" s="84" t="str">
        <f t="shared" si="1"/>
        <v>Ground floor for Commercial (Wing B + C)</v>
      </c>
      <c r="H147" s="85"/>
      <c r="I147" s="31"/>
      <c r="J147" s="32"/>
      <c r="L147" s="100"/>
      <c r="M147" s="100"/>
      <c r="N147" s="31"/>
    </row>
    <row r="148" spans="1:14" s="52" customFormat="1" x14ac:dyDescent="0.25">
      <c r="A148" s="50">
        <v>63</v>
      </c>
      <c r="B148" s="51" t="s">
        <v>253</v>
      </c>
      <c r="C148" s="50" t="s">
        <v>256</v>
      </c>
      <c r="D148" s="61">
        <f>(11.07)*10.764</f>
        <v>119.15747999999999</v>
      </c>
      <c r="E148" s="50">
        <v>0</v>
      </c>
      <c r="F148" s="50">
        <f t="shared" si="4"/>
        <v>178.73622</v>
      </c>
      <c r="G148" s="84" t="str">
        <f t="shared" si="1"/>
        <v>Ground floor for Commercial (Wing B + C)</v>
      </c>
      <c r="H148" s="85"/>
      <c r="I148" s="31"/>
      <c r="J148" s="32"/>
      <c r="L148" s="100"/>
      <c r="M148" s="100"/>
      <c r="N148" s="31"/>
    </row>
    <row r="149" spans="1:14" s="52" customFormat="1" x14ac:dyDescent="0.25">
      <c r="A149" s="50">
        <v>64</v>
      </c>
      <c r="B149" s="50" t="s">
        <v>255</v>
      </c>
      <c r="C149" s="50" t="s">
        <v>256</v>
      </c>
      <c r="D149" s="61">
        <f>(19.38)*10.764</f>
        <v>208.60631999999998</v>
      </c>
      <c r="E149" s="50">
        <v>0</v>
      </c>
      <c r="F149" s="50">
        <f t="shared" si="4"/>
        <v>312.90947999999997</v>
      </c>
      <c r="G149" s="84" t="str">
        <f t="shared" si="1"/>
        <v>Ground floor for Commercial (Wing B + C)</v>
      </c>
      <c r="H149" s="85"/>
      <c r="I149" s="31"/>
      <c r="J149" s="32"/>
      <c r="L149" s="100"/>
      <c r="M149" s="100"/>
      <c r="N149" s="31"/>
    </row>
    <row r="150" spans="1:14" s="52" customFormat="1" x14ac:dyDescent="0.25">
      <c r="A150" s="50">
        <v>65</v>
      </c>
      <c r="B150" s="50" t="s">
        <v>255</v>
      </c>
      <c r="C150" s="50" t="s">
        <v>256</v>
      </c>
      <c r="D150" s="61">
        <f>(20.9)*10.764</f>
        <v>224.96759999999998</v>
      </c>
      <c r="E150" s="50">
        <v>0</v>
      </c>
      <c r="F150" s="50">
        <f t="shared" si="4"/>
        <v>337.45139999999998</v>
      </c>
      <c r="G150" s="84" t="str">
        <f t="shared" si="1"/>
        <v>Ground floor for Commercial (Wing B + C)</v>
      </c>
      <c r="H150" s="85"/>
      <c r="I150" s="31"/>
      <c r="J150" s="32"/>
      <c r="L150" s="100"/>
      <c r="M150" s="100"/>
      <c r="N150" s="31"/>
    </row>
    <row r="151" spans="1:14" s="52" customFormat="1" x14ac:dyDescent="0.25">
      <c r="A151" s="50">
        <v>66</v>
      </c>
      <c r="B151" s="50" t="s">
        <v>255</v>
      </c>
      <c r="C151" s="50" t="s">
        <v>256</v>
      </c>
      <c r="D151" s="61">
        <f>(9.43)*10.764</f>
        <v>101.50451999999999</v>
      </c>
      <c r="E151" s="50">
        <v>0</v>
      </c>
      <c r="F151" s="50">
        <f t="shared" si="4"/>
        <v>152.25677999999999</v>
      </c>
      <c r="G151" s="84" t="str">
        <f t="shared" si="1"/>
        <v>Ground floor for Commercial (Wing B + C)</v>
      </c>
      <c r="H151" s="85"/>
      <c r="I151" s="31"/>
      <c r="J151" s="32"/>
      <c r="L151" s="100"/>
      <c r="M151" s="100"/>
      <c r="N151" s="31"/>
    </row>
    <row r="152" spans="1:14" s="52" customFormat="1" x14ac:dyDescent="0.25">
      <c r="A152" s="50">
        <v>67</v>
      </c>
      <c r="B152" s="50" t="s">
        <v>255</v>
      </c>
      <c r="C152" s="50" t="s">
        <v>256</v>
      </c>
      <c r="D152" s="61">
        <f>(20.9)*10.764</f>
        <v>224.96759999999998</v>
      </c>
      <c r="E152" s="50">
        <v>0</v>
      </c>
      <c r="F152" s="50">
        <f t="shared" si="4"/>
        <v>337.45139999999998</v>
      </c>
      <c r="G152" s="84" t="str">
        <f t="shared" si="1"/>
        <v>Ground floor for Commercial (Wing B + C)</v>
      </c>
      <c r="H152" s="85"/>
      <c r="I152" s="31"/>
      <c r="J152" s="32"/>
      <c r="L152" s="100"/>
      <c r="M152" s="100"/>
      <c r="N152" s="31"/>
    </row>
    <row r="153" spans="1:14" s="52" customFormat="1" x14ac:dyDescent="0.25">
      <c r="A153" s="50">
        <v>68</v>
      </c>
      <c r="B153" s="50" t="s">
        <v>255</v>
      </c>
      <c r="C153" s="50" t="s">
        <v>256</v>
      </c>
      <c r="D153" s="61">
        <f>(19.46)*10.764</f>
        <v>209.46744000000001</v>
      </c>
      <c r="E153" s="50">
        <v>0</v>
      </c>
      <c r="F153" s="50">
        <f t="shared" si="4"/>
        <v>314.20116000000002</v>
      </c>
      <c r="G153" s="84" t="str">
        <f t="shared" si="1"/>
        <v>Ground floor for Commercial (Wing B + C)</v>
      </c>
      <c r="H153" s="85"/>
      <c r="I153" s="31">
        <f>14000000/F140</f>
        <v>44261.757203142559</v>
      </c>
      <c r="J153" s="32"/>
      <c r="L153" s="100"/>
      <c r="M153" s="100"/>
      <c r="N153" s="31"/>
    </row>
    <row r="154" spans="1:14" s="52" customFormat="1" x14ac:dyDescent="0.25">
      <c r="A154" s="50">
        <v>69</v>
      </c>
      <c r="B154" s="50" t="s">
        <v>255</v>
      </c>
      <c r="C154" s="50" t="s">
        <v>256</v>
      </c>
      <c r="D154" s="61">
        <f>(15.88)*10.764</f>
        <v>170.93232</v>
      </c>
      <c r="E154" s="50">
        <v>0</v>
      </c>
      <c r="F154" s="50">
        <f t="shared" si="4"/>
        <v>256.39848000000001</v>
      </c>
      <c r="G154" s="84" t="str">
        <f t="shared" si="1"/>
        <v>Ground floor for Commercial (Wing B + C)</v>
      </c>
      <c r="H154" s="85"/>
      <c r="I154" s="31"/>
      <c r="J154" s="32"/>
      <c r="L154" s="100"/>
      <c r="M154" s="100"/>
      <c r="N154" s="31"/>
    </row>
    <row r="155" spans="1:14" s="52" customFormat="1" x14ac:dyDescent="0.25">
      <c r="A155" s="50">
        <v>70</v>
      </c>
      <c r="B155" s="50" t="s">
        <v>255</v>
      </c>
      <c r="C155" s="50" t="s">
        <v>256</v>
      </c>
      <c r="D155" s="61">
        <f>(14.58)*10.764</f>
        <v>156.93912</v>
      </c>
      <c r="E155" s="50">
        <v>0</v>
      </c>
      <c r="F155" s="50">
        <f>(D155+E155)*(($F$111)+1)</f>
        <v>235.40868</v>
      </c>
      <c r="G155" s="84" t="str">
        <f t="shared" si="1"/>
        <v>Ground floor for Commercial (Wing B + C)</v>
      </c>
      <c r="H155" s="85"/>
      <c r="I155" s="31"/>
      <c r="J155" s="32"/>
      <c r="L155" s="100"/>
      <c r="M155" s="100"/>
      <c r="N155" s="31"/>
    </row>
    <row r="156" spans="1:14" s="32" customFormat="1" x14ac:dyDescent="0.25">
      <c r="A156" s="96" t="s">
        <v>252</v>
      </c>
      <c r="B156" s="97"/>
      <c r="C156" s="97"/>
      <c r="D156" s="97"/>
      <c r="E156" s="97"/>
      <c r="F156" s="97"/>
      <c r="G156" s="97"/>
      <c r="H156" s="98"/>
      <c r="I156" s="31"/>
    </row>
    <row r="157" spans="1:14" s="32" customFormat="1" x14ac:dyDescent="0.25">
      <c r="A157" s="50">
        <v>1</v>
      </c>
      <c r="B157" s="51" t="s">
        <v>253</v>
      </c>
      <c r="C157" s="37" t="s">
        <v>254</v>
      </c>
      <c r="D157" s="61">
        <f>(14.52)*10.764</f>
        <v>156.29327999999998</v>
      </c>
      <c r="E157" s="37">
        <v>0</v>
      </c>
      <c r="F157" s="37">
        <f>(D157+E157)*(($F$111)+1)</f>
        <v>234.43991999999997</v>
      </c>
      <c r="G157" s="84" t="str">
        <f>A156</f>
        <v>1st floor</v>
      </c>
      <c r="H157" s="85"/>
      <c r="I157" s="31"/>
      <c r="L157" s="100"/>
      <c r="M157" s="100"/>
      <c r="N157" s="31"/>
    </row>
    <row r="158" spans="1:14" s="32" customFormat="1" x14ac:dyDescent="0.25">
      <c r="A158" s="50">
        <f t="shared" ref="A158:A163" si="5">A157+1</f>
        <v>2</v>
      </c>
      <c r="B158" s="51" t="s">
        <v>253</v>
      </c>
      <c r="C158" s="50" t="s">
        <v>254</v>
      </c>
      <c r="D158" s="61">
        <f>(24.12)*10.764</f>
        <v>259.62768</v>
      </c>
      <c r="E158" s="37">
        <v>0</v>
      </c>
      <c r="F158" s="37">
        <f t="shared" ref="F158:F160" si="6">(D158+E158)*(($F$111)+1)</f>
        <v>389.44151999999997</v>
      </c>
      <c r="G158" s="84" t="str">
        <f t="shared" ref="G158:G163" si="7">G157</f>
        <v>1st floor</v>
      </c>
      <c r="H158" s="85"/>
      <c r="I158" s="31"/>
      <c r="L158" s="100"/>
      <c r="M158" s="100"/>
      <c r="N158" s="31"/>
    </row>
    <row r="159" spans="1:14" s="32" customFormat="1" x14ac:dyDescent="0.25">
      <c r="A159" s="50">
        <f t="shared" si="5"/>
        <v>3</v>
      </c>
      <c r="B159" s="51" t="s">
        <v>253</v>
      </c>
      <c r="C159" s="50" t="s">
        <v>254</v>
      </c>
      <c r="D159" s="61">
        <f>(24.34)*10.764</f>
        <v>261.99575999999996</v>
      </c>
      <c r="E159" s="37">
        <v>0</v>
      </c>
      <c r="F159" s="37">
        <f t="shared" si="6"/>
        <v>392.99363999999991</v>
      </c>
      <c r="G159" s="84" t="str">
        <f t="shared" si="7"/>
        <v>1st floor</v>
      </c>
      <c r="H159" s="85"/>
      <c r="I159" s="31"/>
      <c r="L159" s="100"/>
      <c r="M159" s="100"/>
      <c r="N159" s="31"/>
    </row>
    <row r="160" spans="1:14" s="32" customFormat="1" x14ac:dyDescent="0.25">
      <c r="A160" s="50">
        <f t="shared" si="5"/>
        <v>4</v>
      </c>
      <c r="B160" s="51" t="s">
        <v>253</v>
      </c>
      <c r="C160" s="50" t="s">
        <v>254</v>
      </c>
      <c r="D160" s="61">
        <f>(14.3)*10.764</f>
        <v>153.92519999999999</v>
      </c>
      <c r="E160" s="37">
        <v>0</v>
      </c>
      <c r="F160" s="37">
        <f t="shared" si="6"/>
        <v>230.88779999999997</v>
      </c>
      <c r="G160" s="84" t="str">
        <f t="shared" si="7"/>
        <v>1st floor</v>
      </c>
      <c r="H160" s="85"/>
      <c r="I160" s="31"/>
      <c r="L160" s="100"/>
      <c r="M160" s="100"/>
      <c r="N160" s="31"/>
    </row>
    <row r="161" spans="1:14" s="52" customFormat="1" x14ac:dyDescent="0.25">
      <c r="A161" s="50">
        <f t="shared" si="5"/>
        <v>5</v>
      </c>
      <c r="B161" s="50" t="s">
        <v>255</v>
      </c>
      <c r="C161" s="50" t="s">
        <v>256</v>
      </c>
      <c r="D161" s="61">
        <f>(29.8)*10.764</f>
        <v>320.7672</v>
      </c>
      <c r="E161" s="50">
        <v>0</v>
      </c>
      <c r="F161" s="50">
        <f t="shared" ref="F161:F162" si="8">(D161+E161)*(($F$111)+1)</f>
        <v>481.1508</v>
      </c>
      <c r="G161" s="84" t="str">
        <f t="shared" si="7"/>
        <v>1st floor</v>
      </c>
      <c r="H161" s="85"/>
      <c r="I161" s="31"/>
      <c r="J161" s="32"/>
      <c r="L161" s="100"/>
      <c r="M161" s="100"/>
      <c r="N161" s="31"/>
    </row>
    <row r="162" spans="1:14" s="52" customFormat="1" x14ac:dyDescent="0.25">
      <c r="A162" s="50">
        <f t="shared" si="5"/>
        <v>6</v>
      </c>
      <c r="B162" s="51" t="s">
        <v>253</v>
      </c>
      <c r="C162" s="50" t="s">
        <v>254</v>
      </c>
      <c r="D162" s="61">
        <f>(26.32)*10.764</f>
        <v>283.30847999999997</v>
      </c>
      <c r="E162" s="50">
        <v>0</v>
      </c>
      <c r="F162" s="50">
        <f t="shared" si="8"/>
        <v>424.96271999999999</v>
      </c>
      <c r="G162" s="84" t="str">
        <f t="shared" si="7"/>
        <v>1st floor</v>
      </c>
      <c r="H162" s="85"/>
      <c r="I162" s="30"/>
      <c r="J162" s="30"/>
      <c r="L162" s="100"/>
      <c r="M162" s="100"/>
      <c r="N162" s="31"/>
    </row>
    <row r="163" spans="1:14" s="52" customFormat="1" x14ac:dyDescent="0.25">
      <c r="A163" s="50">
        <f t="shared" si="5"/>
        <v>7</v>
      </c>
      <c r="B163" s="51" t="s">
        <v>253</v>
      </c>
      <c r="C163" s="50" t="s">
        <v>254</v>
      </c>
      <c r="D163" s="61">
        <f>(210.78)*10.764</f>
        <v>2268.83592</v>
      </c>
      <c r="E163" s="50">
        <v>0</v>
      </c>
      <c r="F163" s="50">
        <f t="shared" ref="F163" si="9">(D163+E163)*(($F$111)+1)</f>
        <v>3403.2538800000002</v>
      </c>
      <c r="G163" s="84" t="str">
        <f t="shared" si="7"/>
        <v>1st floor</v>
      </c>
      <c r="H163" s="85"/>
      <c r="I163" s="30"/>
      <c r="J163" s="30"/>
      <c r="L163" s="100"/>
      <c r="M163" s="100"/>
      <c r="N163" s="31"/>
    </row>
    <row r="164" spans="1:14" s="52" customFormat="1" x14ac:dyDescent="0.25">
      <c r="A164" s="96" t="s">
        <v>261</v>
      </c>
      <c r="B164" s="97"/>
      <c r="C164" s="97"/>
      <c r="D164" s="97"/>
      <c r="E164" s="97"/>
      <c r="F164" s="97"/>
      <c r="G164" s="97"/>
      <c r="H164" s="98"/>
      <c r="I164" s="31"/>
    </row>
    <row r="165" spans="1:14" s="52" customFormat="1" x14ac:dyDescent="0.25">
      <c r="A165" s="50">
        <v>1</v>
      </c>
      <c r="B165" s="51" t="s">
        <v>253</v>
      </c>
      <c r="C165" s="50" t="s">
        <v>254</v>
      </c>
      <c r="D165" s="61">
        <f>(14.52)*10.764</f>
        <v>156.29327999999998</v>
      </c>
      <c r="E165" s="50">
        <v>0</v>
      </c>
      <c r="F165" s="50">
        <f>(D165+E165)*(($F$111)+1)</f>
        <v>234.43991999999997</v>
      </c>
      <c r="G165" s="84" t="str">
        <f>A164</f>
        <v>2nd floor</v>
      </c>
      <c r="H165" s="85"/>
      <c r="I165" s="31"/>
      <c r="L165" s="100"/>
      <c r="M165" s="100"/>
      <c r="N165" s="31"/>
    </row>
    <row r="166" spans="1:14" s="52" customFormat="1" x14ac:dyDescent="0.25">
      <c r="A166" s="50">
        <f t="shared" ref="A166:A171" si="10">A165+1</f>
        <v>2</v>
      </c>
      <c r="B166" s="51" t="s">
        <v>253</v>
      </c>
      <c r="C166" s="50" t="s">
        <v>254</v>
      </c>
      <c r="D166" s="61">
        <f>(24.12)*10.764</f>
        <v>259.62768</v>
      </c>
      <c r="E166" s="50">
        <v>0</v>
      </c>
      <c r="F166" s="50">
        <f t="shared" ref="F166:F171" si="11">(D166+E166)*(($F$111)+1)</f>
        <v>389.44151999999997</v>
      </c>
      <c r="G166" s="84" t="str">
        <f t="shared" ref="G166:G171" si="12">G165</f>
        <v>2nd floor</v>
      </c>
      <c r="H166" s="85"/>
      <c r="I166" s="31"/>
      <c r="L166" s="100"/>
      <c r="M166" s="100"/>
      <c r="N166" s="31"/>
    </row>
    <row r="167" spans="1:14" s="52" customFormat="1" x14ac:dyDescent="0.25">
      <c r="A167" s="50">
        <f t="shared" si="10"/>
        <v>3</v>
      </c>
      <c r="B167" s="51" t="s">
        <v>253</v>
      </c>
      <c r="C167" s="50" t="s">
        <v>254</v>
      </c>
      <c r="D167" s="61">
        <f>(24.34)*10.764</f>
        <v>261.99575999999996</v>
      </c>
      <c r="E167" s="50">
        <v>0</v>
      </c>
      <c r="F167" s="50">
        <f t="shared" si="11"/>
        <v>392.99363999999991</v>
      </c>
      <c r="G167" s="84" t="str">
        <f t="shared" si="12"/>
        <v>2nd floor</v>
      </c>
      <c r="H167" s="85"/>
      <c r="I167" s="31"/>
      <c r="L167" s="100"/>
      <c r="M167" s="100"/>
      <c r="N167" s="31"/>
    </row>
    <row r="168" spans="1:14" s="52" customFormat="1" x14ac:dyDescent="0.25">
      <c r="A168" s="50">
        <f t="shared" si="10"/>
        <v>4</v>
      </c>
      <c r="B168" s="51" t="s">
        <v>253</v>
      </c>
      <c r="C168" s="50" t="s">
        <v>254</v>
      </c>
      <c r="D168" s="61">
        <f>(14.3)*10.764</f>
        <v>153.92519999999999</v>
      </c>
      <c r="E168" s="50">
        <v>0</v>
      </c>
      <c r="F168" s="50">
        <f t="shared" si="11"/>
        <v>230.88779999999997</v>
      </c>
      <c r="G168" s="84" t="str">
        <f t="shared" si="12"/>
        <v>2nd floor</v>
      </c>
      <c r="H168" s="85"/>
      <c r="I168" s="31"/>
      <c r="L168" s="100"/>
      <c r="M168" s="100"/>
      <c r="N168" s="31"/>
    </row>
    <row r="169" spans="1:14" s="52" customFormat="1" x14ac:dyDescent="0.25">
      <c r="A169" s="50">
        <f t="shared" si="10"/>
        <v>5</v>
      </c>
      <c r="B169" s="50" t="s">
        <v>255</v>
      </c>
      <c r="C169" s="50" t="s">
        <v>256</v>
      </c>
      <c r="D169" s="61">
        <f>(29.8)*10.764</f>
        <v>320.7672</v>
      </c>
      <c r="E169" s="50">
        <v>0</v>
      </c>
      <c r="F169" s="50">
        <f t="shared" si="11"/>
        <v>481.1508</v>
      </c>
      <c r="G169" s="84" t="str">
        <f t="shared" si="12"/>
        <v>2nd floor</v>
      </c>
      <c r="H169" s="85"/>
      <c r="I169" s="31"/>
      <c r="L169" s="100"/>
      <c r="M169" s="100"/>
      <c r="N169" s="31"/>
    </row>
    <row r="170" spans="1:14" s="52" customFormat="1" x14ac:dyDescent="0.25">
      <c r="A170" s="50">
        <f t="shared" si="10"/>
        <v>6</v>
      </c>
      <c r="B170" s="51" t="s">
        <v>253</v>
      </c>
      <c r="C170" s="50" t="s">
        <v>254</v>
      </c>
      <c r="D170" s="61">
        <f>(26.32)*10.764</f>
        <v>283.30847999999997</v>
      </c>
      <c r="E170" s="50">
        <v>0</v>
      </c>
      <c r="F170" s="50">
        <f t="shared" si="11"/>
        <v>424.96271999999999</v>
      </c>
      <c r="G170" s="84" t="str">
        <f t="shared" si="12"/>
        <v>2nd floor</v>
      </c>
      <c r="H170" s="85"/>
      <c r="I170" s="30"/>
      <c r="J170" s="30"/>
      <c r="L170" s="100"/>
      <c r="M170" s="100"/>
      <c r="N170" s="31"/>
    </row>
    <row r="171" spans="1:14" s="52" customFormat="1" x14ac:dyDescent="0.25">
      <c r="A171" s="50">
        <f t="shared" si="10"/>
        <v>7</v>
      </c>
      <c r="B171" s="51" t="s">
        <v>253</v>
      </c>
      <c r="C171" s="50" t="s">
        <v>254</v>
      </c>
      <c r="D171" s="61">
        <f>(210.78)*10.764</f>
        <v>2268.83592</v>
      </c>
      <c r="E171" s="50">
        <v>0</v>
      </c>
      <c r="F171" s="50">
        <f t="shared" si="11"/>
        <v>3403.2538800000002</v>
      </c>
      <c r="G171" s="84" t="str">
        <f t="shared" si="12"/>
        <v>2nd floor</v>
      </c>
      <c r="H171" s="85"/>
      <c r="I171" s="30"/>
      <c r="J171" s="30"/>
      <c r="L171" s="100"/>
      <c r="M171" s="100"/>
      <c r="N171" s="31"/>
    </row>
    <row r="172" spans="1:14" s="32" customFormat="1" x14ac:dyDescent="0.25">
      <c r="A172" s="84"/>
      <c r="B172" s="155"/>
      <c r="C172" s="155"/>
      <c r="D172" s="155"/>
      <c r="E172" s="155"/>
      <c r="F172" s="155"/>
      <c r="G172" s="155"/>
      <c r="H172" s="85"/>
      <c r="I172" s="30"/>
      <c r="J172" s="30"/>
      <c r="N172" s="31"/>
    </row>
    <row r="173" spans="1:14" ht="47.25" customHeight="1" x14ac:dyDescent="0.25">
      <c r="A173" s="140" t="s">
        <v>116</v>
      </c>
      <c r="B173" s="136" t="s">
        <v>172</v>
      </c>
      <c r="C173" s="136" t="s">
        <v>57</v>
      </c>
      <c r="D173" s="136" t="s">
        <v>58</v>
      </c>
      <c r="E173" s="138" t="s">
        <v>59</v>
      </c>
      <c r="F173" s="45" t="s">
        <v>145</v>
      </c>
      <c r="G173" s="140" t="s">
        <v>60</v>
      </c>
      <c r="H173" s="141"/>
      <c r="I173" s="30"/>
      <c r="J173" s="30"/>
    </row>
    <row r="174" spans="1:14" s="32" customFormat="1" x14ac:dyDescent="0.25">
      <c r="A174" s="142"/>
      <c r="B174" s="137"/>
      <c r="C174" s="137"/>
      <c r="D174" s="137"/>
      <c r="E174" s="139"/>
      <c r="F174" s="13">
        <v>0.5</v>
      </c>
      <c r="G174" s="142"/>
      <c r="H174" s="143"/>
      <c r="I174" s="30"/>
      <c r="J174" s="30"/>
    </row>
    <row r="175" spans="1:14" s="52" customFormat="1" x14ac:dyDescent="0.25">
      <c r="A175" s="96" t="s">
        <v>238</v>
      </c>
      <c r="B175" s="97"/>
      <c r="C175" s="97"/>
      <c r="D175" s="97"/>
      <c r="E175" s="97"/>
      <c r="F175" s="97"/>
      <c r="G175" s="97"/>
      <c r="H175" s="98"/>
      <c r="J175" s="31"/>
    </row>
    <row r="176" spans="1:14" s="52" customFormat="1" x14ac:dyDescent="0.25">
      <c r="A176" s="96" t="s">
        <v>271</v>
      </c>
      <c r="B176" s="97"/>
      <c r="C176" s="97"/>
      <c r="D176" s="97"/>
      <c r="E176" s="97"/>
      <c r="F176" s="97"/>
      <c r="G176" s="97"/>
      <c r="H176" s="98"/>
      <c r="J176" s="31"/>
    </row>
    <row r="177" spans="1:14" s="32" customFormat="1" x14ac:dyDescent="0.25">
      <c r="A177" s="96" t="s">
        <v>260</v>
      </c>
      <c r="B177" s="97"/>
      <c r="C177" s="97"/>
      <c r="D177" s="97"/>
      <c r="E177" s="97"/>
      <c r="F177" s="97"/>
      <c r="G177" s="97"/>
      <c r="H177" s="98"/>
      <c r="I177" s="30"/>
      <c r="J177" s="30"/>
    </row>
    <row r="178" spans="1:14" s="32" customFormat="1" x14ac:dyDescent="0.25">
      <c r="A178" s="50">
        <v>1</v>
      </c>
      <c r="B178" s="50" t="s">
        <v>257</v>
      </c>
      <c r="C178" s="49" t="s">
        <v>259</v>
      </c>
      <c r="D178" s="63">
        <f>(27.88)*10.764</f>
        <v>300.10031999999995</v>
      </c>
      <c r="E178" s="37">
        <v>0</v>
      </c>
      <c r="F178" s="37">
        <f>D178*(($F$174)+1)+(IF(E178&lt;101,E178,IF(E178&lt;201,E178/2,IF(E178&lt;=301,E178/3,E178/4))))</f>
        <v>450.1504799999999</v>
      </c>
      <c r="G178" s="84" t="str">
        <f>A177</f>
        <v>1st Floor for Residential (Part Fitness Center)</v>
      </c>
      <c r="H178" s="85"/>
      <c r="I178" s="63">
        <v>10.763999999999999</v>
      </c>
      <c r="J178" s="30"/>
      <c r="L178" s="100"/>
      <c r="M178" s="100"/>
      <c r="N178" s="31"/>
    </row>
    <row r="179" spans="1:14" s="52" customFormat="1" x14ac:dyDescent="0.25">
      <c r="A179" s="96" t="s">
        <v>270</v>
      </c>
      <c r="B179" s="97"/>
      <c r="C179" s="97"/>
      <c r="D179" s="97"/>
      <c r="E179" s="97"/>
      <c r="F179" s="97"/>
      <c r="G179" s="97"/>
      <c r="H179" s="98"/>
      <c r="I179" s="30"/>
      <c r="J179" s="30"/>
    </row>
    <row r="180" spans="1:14" s="52" customFormat="1" x14ac:dyDescent="0.25">
      <c r="A180" s="50">
        <v>1</v>
      </c>
      <c r="B180" s="50" t="s">
        <v>257</v>
      </c>
      <c r="C180" s="49" t="s">
        <v>259</v>
      </c>
      <c r="D180" s="63">
        <f>(27.88)*10.764</f>
        <v>300.10031999999995</v>
      </c>
      <c r="E180" s="50">
        <v>0</v>
      </c>
      <c r="F180" s="50">
        <f>D180*(($F$174)+1)+(IF(E180&lt;101,E180,IF(E180&lt;201,E180/2,IF(E180&lt;=301,E180/3,E180/4))))</f>
        <v>450.1504799999999</v>
      </c>
      <c r="G180" s="84" t="str">
        <f>A179</f>
        <v>2nd Floor for Fitness center &amp; Society Office</v>
      </c>
      <c r="H180" s="85"/>
      <c r="I180" s="30"/>
      <c r="K180" s="100"/>
      <c r="L180" s="100"/>
      <c r="M180" s="31"/>
    </row>
    <row r="181" spans="1:14" s="32" customFormat="1" x14ac:dyDescent="0.25">
      <c r="A181" s="158" t="s">
        <v>262</v>
      </c>
      <c r="B181" s="158"/>
      <c r="C181" s="158"/>
      <c r="D181" s="158"/>
      <c r="E181" s="158"/>
      <c r="F181" s="158"/>
      <c r="G181" s="158"/>
      <c r="H181" s="158"/>
      <c r="I181" s="30"/>
      <c r="J181" s="30"/>
      <c r="L181" s="100"/>
      <c r="M181" s="100"/>
    </row>
    <row r="182" spans="1:14" s="32" customFormat="1" x14ac:dyDescent="0.25">
      <c r="A182" s="84">
        <v>1</v>
      </c>
      <c r="B182" s="85"/>
      <c r="C182" s="49" t="s">
        <v>258</v>
      </c>
      <c r="D182" s="63">
        <f>(16.26)*10.764</f>
        <v>175.02264</v>
      </c>
      <c r="E182" s="37">
        <v>0</v>
      </c>
      <c r="F182" s="37">
        <f t="shared" ref="F182:F183" si="13">D182*(($F$174)+1)+(IF(E182&lt;101,E182,IF(E182&lt;201,E182/2,IF(E182&lt;=301,E182/3,E182/4))))</f>
        <v>262.53395999999998</v>
      </c>
      <c r="G182" s="99" t="str">
        <f>A181</f>
        <v>3rd Floor</v>
      </c>
      <c r="H182" s="99"/>
      <c r="I182" s="30"/>
      <c r="J182" s="30"/>
      <c r="N182" s="31"/>
    </row>
    <row r="183" spans="1:14" s="32" customFormat="1" x14ac:dyDescent="0.25">
      <c r="A183" s="84">
        <f>A182+1</f>
        <v>2</v>
      </c>
      <c r="B183" s="85"/>
      <c r="C183" s="49" t="s">
        <v>258</v>
      </c>
      <c r="D183" s="63">
        <f>(16.26)*10.764</f>
        <v>175.02264</v>
      </c>
      <c r="E183" s="37">
        <v>0</v>
      </c>
      <c r="F183" s="37">
        <f t="shared" si="13"/>
        <v>262.53395999999998</v>
      </c>
      <c r="G183" s="99" t="str">
        <f>G182</f>
        <v>3rd Floor</v>
      </c>
      <c r="H183" s="99"/>
      <c r="I183" s="30"/>
      <c r="J183" s="30"/>
      <c r="N183" s="31"/>
    </row>
    <row r="184" spans="1:14" s="32" customFormat="1" x14ac:dyDescent="0.25">
      <c r="A184" s="84">
        <f>A183+1</f>
        <v>3</v>
      </c>
      <c r="B184" s="85"/>
      <c r="C184" s="49" t="s">
        <v>259</v>
      </c>
      <c r="D184" s="63">
        <f>(33.18)*10.764</f>
        <v>357.14952</v>
      </c>
      <c r="E184" s="37">
        <v>0</v>
      </c>
      <c r="F184" s="37">
        <f>D184*(($F$174)+1)+(IF(E184&lt;101,E184,IF(E184&lt;201,E184/2,IF(E184&lt;=301,E184/3,E184/4))))</f>
        <v>535.72428000000002</v>
      </c>
      <c r="G184" s="99" t="str">
        <f>G183</f>
        <v>3rd Floor</v>
      </c>
      <c r="H184" s="99"/>
      <c r="I184" s="30"/>
      <c r="J184" s="30"/>
      <c r="N184" s="31"/>
    </row>
    <row r="185" spans="1:14" s="32" customFormat="1" x14ac:dyDescent="0.25">
      <c r="A185" s="84">
        <f>A184+1</f>
        <v>4</v>
      </c>
      <c r="B185" s="85"/>
      <c r="C185" s="49" t="s">
        <v>263</v>
      </c>
      <c r="D185" s="63">
        <f>(43.04)*10.764</f>
        <v>463.28255999999999</v>
      </c>
      <c r="E185" s="37">
        <v>0</v>
      </c>
      <c r="F185" s="37">
        <f>D185*(($F$174)+1)+(IF(E185&lt;101,E185,IF(E185&lt;201,E185/2,IF(E185&lt;=301,E185/3,E185/4))))</f>
        <v>694.92383999999993</v>
      </c>
      <c r="G185" s="99" t="str">
        <f>G184</f>
        <v>3rd Floor</v>
      </c>
      <c r="H185" s="99"/>
      <c r="I185" s="30"/>
      <c r="J185" s="30"/>
      <c r="N185" s="31"/>
    </row>
    <row r="186" spans="1:14" s="32" customFormat="1" x14ac:dyDescent="0.25">
      <c r="A186" s="84">
        <f>A185+1</f>
        <v>5</v>
      </c>
      <c r="B186" s="85"/>
      <c r="C186" s="49" t="s">
        <v>259</v>
      </c>
      <c r="D186" s="63">
        <f>(31.36)*10.764</f>
        <v>337.55903999999998</v>
      </c>
      <c r="E186" s="37">
        <v>0</v>
      </c>
      <c r="F186" s="37">
        <f>D186*(($F$174)+1)+(IF(E186&lt;101,E186,IF(E186&lt;201,E186/2,IF(E186&lt;=301,E186/3,E186/4))))</f>
        <v>506.33855999999997</v>
      </c>
      <c r="G186" s="99" t="str">
        <f>G185</f>
        <v>3rd Floor</v>
      </c>
      <c r="H186" s="99"/>
      <c r="I186" s="19"/>
      <c r="J186" s="16"/>
      <c r="N186" s="31"/>
    </row>
    <row r="187" spans="1:14" s="52" customFormat="1" x14ac:dyDescent="0.25">
      <c r="A187" s="84">
        <f t="shared" ref="A187:A191" si="14">A186+1</f>
        <v>6</v>
      </c>
      <c r="B187" s="85"/>
      <c r="C187" s="49" t="s">
        <v>259</v>
      </c>
      <c r="D187" s="63">
        <f>(25.38)*10.764</f>
        <v>273.19031999999999</v>
      </c>
      <c r="E187" s="50">
        <v>0</v>
      </c>
      <c r="F187" s="50">
        <f t="shared" ref="F187:F188" si="15">D187*(($F$174)+1)+(IF(E187&lt;101,E187,IF(E187&lt;201,E187/2,IF(E187&lt;=301,E187/3,E187/4))))</f>
        <v>409.78548000000001</v>
      </c>
      <c r="G187" s="99" t="str">
        <f t="shared" ref="G187:G192" si="16">G186</f>
        <v>3rd Floor</v>
      </c>
      <c r="H187" s="99"/>
      <c r="I187" s="62"/>
      <c r="J187" s="30"/>
      <c r="N187" s="31"/>
    </row>
    <row r="188" spans="1:14" s="52" customFormat="1" x14ac:dyDescent="0.25">
      <c r="A188" s="84">
        <f t="shared" si="14"/>
        <v>7</v>
      </c>
      <c r="B188" s="85"/>
      <c r="C188" s="49" t="s">
        <v>259</v>
      </c>
      <c r="D188" s="63">
        <f>(25.38)*10.764</f>
        <v>273.19031999999999</v>
      </c>
      <c r="E188" s="50">
        <v>0</v>
      </c>
      <c r="F188" s="50">
        <f t="shared" si="15"/>
        <v>409.78548000000001</v>
      </c>
      <c r="G188" s="99" t="str">
        <f t="shared" si="16"/>
        <v>3rd Floor</v>
      </c>
      <c r="H188" s="99"/>
      <c r="I188" s="62"/>
      <c r="J188" s="30"/>
      <c r="N188" s="31"/>
    </row>
    <row r="189" spans="1:14" s="52" customFormat="1" x14ac:dyDescent="0.25">
      <c r="A189" s="84">
        <f t="shared" si="14"/>
        <v>8</v>
      </c>
      <c r="B189" s="85"/>
      <c r="C189" s="49" t="s">
        <v>259</v>
      </c>
      <c r="D189" s="63">
        <f>(35.31)*10.764</f>
        <v>380.07684</v>
      </c>
      <c r="E189" s="50">
        <v>0</v>
      </c>
      <c r="F189" s="50">
        <f>D189*(($F$174)+1)+(IF(E189&lt;101,E189,IF(E189&lt;201,E189/2,IF(E189&lt;=301,E189/3,E189/4))))</f>
        <v>570.11526000000003</v>
      </c>
      <c r="G189" s="99" t="str">
        <f t="shared" si="16"/>
        <v>3rd Floor</v>
      </c>
      <c r="H189" s="99"/>
      <c r="I189" s="62"/>
      <c r="J189" s="30"/>
      <c r="N189" s="31"/>
    </row>
    <row r="190" spans="1:14" s="52" customFormat="1" x14ac:dyDescent="0.25">
      <c r="A190" s="84">
        <f t="shared" si="14"/>
        <v>9</v>
      </c>
      <c r="B190" s="85"/>
      <c r="C190" s="49" t="s">
        <v>259</v>
      </c>
      <c r="D190" s="63">
        <f>(33.4)*10.764</f>
        <v>359.51759999999996</v>
      </c>
      <c r="E190" s="50">
        <v>0</v>
      </c>
      <c r="F190" s="50">
        <f>D190*(($F$174)+1)+(IF(E190&lt;101,E190,IF(E190&lt;201,E190/2,IF(E190&lt;=301,E190/3,E190/4))))</f>
        <v>539.27639999999997</v>
      </c>
      <c r="G190" s="99" t="str">
        <f t="shared" si="16"/>
        <v>3rd Floor</v>
      </c>
      <c r="H190" s="99"/>
      <c r="I190" s="62"/>
      <c r="J190" s="30"/>
      <c r="N190" s="31"/>
    </row>
    <row r="191" spans="1:14" s="52" customFormat="1" x14ac:dyDescent="0.25">
      <c r="A191" s="84">
        <f t="shared" si="14"/>
        <v>10</v>
      </c>
      <c r="B191" s="85"/>
      <c r="C191" s="49" t="s">
        <v>259</v>
      </c>
      <c r="D191" s="63">
        <f>(23.01)*10.764</f>
        <v>247.67964000000001</v>
      </c>
      <c r="E191" s="50">
        <v>0</v>
      </c>
      <c r="F191" s="50">
        <f>D191*(($F$174)+1)+(IF(E191&lt;101,E191,IF(E191&lt;201,E191/2,IF(E191&lt;=301,E191/3,E191/4))))</f>
        <v>371.51945999999998</v>
      </c>
      <c r="G191" s="99" t="str">
        <f t="shared" si="16"/>
        <v>3rd Floor</v>
      </c>
      <c r="H191" s="99"/>
      <c r="I191" s="19"/>
      <c r="J191" s="16"/>
      <c r="N191" s="31"/>
    </row>
    <row r="192" spans="1:14" s="52" customFormat="1" x14ac:dyDescent="0.25">
      <c r="A192" s="84">
        <f t="shared" ref="A192" si="17">A191+1</f>
        <v>11</v>
      </c>
      <c r="B192" s="85"/>
      <c r="C192" s="49" t="s">
        <v>259</v>
      </c>
      <c r="D192" s="63">
        <f>(23.01)*10.764</f>
        <v>247.67964000000001</v>
      </c>
      <c r="E192" s="50">
        <v>0</v>
      </c>
      <c r="F192" s="50">
        <f>D192*(($F$174)+1)+(IF(E192&lt;101,E192,IF(E192&lt;201,E192/2,IF(E192&lt;=301,E192/3,E192/4))))</f>
        <v>371.51945999999998</v>
      </c>
      <c r="G192" s="99" t="str">
        <f t="shared" si="16"/>
        <v>3rd Floor</v>
      </c>
      <c r="H192" s="99"/>
      <c r="I192" s="16"/>
      <c r="J192" s="16"/>
      <c r="N192" s="31"/>
    </row>
    <row r="193" spans="1:10" s="32" customFormat="1" ht="15.75" customHeight="1" x14ac:dyDescent="0.25">
      <c r="A193" s="96" t="s">
        <v>268</v>
      </c>
      <c r="B193" s="97"/>
      <c r="C193" s="97"/>
      <c r="D193" s="97"/>
      <c r="E193" s="97"/>
      <c r="F193" s="97"/>
      <c r="G193" s="97"/>
      <c r="H193" s="98"/>
      <c r="I193" s="16">
        <v>4</v>
      </c>
      <c r="J193" s="16"/>
    </row>
    <row r="194" spans="1:10" s="32" customFormat="1" x14ac:dyDescent="0.25">
      <c r="A194" s="84">
        <v>1</v>
      </c>
      <c r="B194" s="85"/>
      <c r="C194" s="49" t="s">
        <v>258</v>
      </c>
      <c r="D194" s="63">
        <f>(16.26)*10.764</f>
        <v>175.02264</v>
      </c>
      <c r="E194" s="37">
        <v>0</v>
      </c>
      <c r="F194" s="37">
        <f t="shared" ref="F194:F204" si="18">D194*(($F$174)+1)+(IF(E194&lt;101,E194,IF(E194&lt;201,E194/2,IF(E194&lt;=301,E194/3,E194/4))))</f>
        <v>262.53395999999998</v>
      </c>
      <c r="G194" s="84" t="str">
        <f>A193</f>
        <v>4th to 7th Floor</v>
      </c>
      <c r="H194" s="85"/>
      <c r="I194" s="16"/>
      <c r="J194" s="16"/>
    </row>
    <row r="195" spans="1:10" s="32" customFormat="1" x14ac:dyDescent="0.25">
      <c r="A195" s="84">
        <v>2</v>
      </c>
      <c r="B195" s="85"/>
      <c r="C195" s="49" t="s">
        <v>258</v>
      </c>
      <c r="D195" s="63">
        <f>(16.26)*10.764</f>
        <v>175.02264</v>
      </c>
      <c r="E195" s="37">
        <v>0</v>
      </c>
      <c r="F195" s="37">
        <f t="shared" si="18"/>
        <v>262.53395999999998</v>
      </c>
      <c r="G195" s="84" t="str">
        <f>G194</f>
        <v>4th to 7th Floor</v>
      </c>
      <c r="H195" s="85"/>
      <c r="I195" s="16"/>
      <c r="J195" s="16"/>
    </row>
    <row r="196" spans="1:10" s="32" customFormat="1" ht="15.75" customHeight="1" x14ac:dyDescent="0.25">
      <c r="A196" s="84">
        <v>3</v>
      </c>
      <c r="B196" s="85"/>
      <c r="C196" s="49" t="s">
        <v>259</v>
      </c>
      <c r="D196" s="63">
        <f>(33.18)*10.764</f>
        <v>357.14952</v>
      </c>
      <c r="E196" s="37">
        <v>0</v>
      </c>
      <c r="F196" s="37">
        <f t="shared" si="18"/>
        <v>535.72428000000002</v>
      </c>
      <c r="G196" s="84" t="str">
        <f>G195</f>
        <v>4th to 7th Floor</v>
      </c>
      <c r="H196" s="85"/>
      <c r="I196" s="16"/>
      <c r="J196" s="16"/>
    </row>
    <row r="197" spans="1:10" s="32" customFormat="1" ht="15.75" customHeight="1" x14ac:dyDescent="0.25">
      <c r="A197" s="84">
        <v>4</v>
      </c>
      <c r="B197" s="85"/>
      <c r="C197" s="49" t="s">
        <v>263</v>
      </c>
      <c r="D197" s="63">
        <f>(43.04)*10.764</f>
        <v>463.28255999999999</v>
      </c>
      <c r="E197" s="37">
        <v>0</v>
      </c>
      <c r="F197" s="37">
        <f t="shared" si="18"/>
        <v>694.92383999999993</v>
      </c>
      <c r="G197" s="84" t="str">
        <f>G196</f>
        <v>4th to 7th Floor</v>
      </c>
      <c r="H197" s="85"/>
      <c r="I197" s="16"/>
      <c r="J197" s="16"/>
    </row>
    <row r="198" spans="1:10" s="32" customFormat="1" ht="15.75" customHeight="1" x14ac:dyDescent="0.25">
      <c r="A198" s="84">
        <v>5</v>
      </c>
      <c r="B198" s="85"/>
      <c r="C198" s="49" t="s">
        <v>259</v>
      </c>
      <c r="D198" s="63">
        <f>(31.36)*10.764</f>
        <v>337.55903999999998</v>
      </c>
      <c r="E198" s="37">
        <v>0</v>
      </c>
      <c r="F198" s="37">
        <f t="shared" si="18"/>
        <v>506.33855999999997</v>
      </c>
      <c r="G198" s="84" t="str">
        <f>G197</f>
        <v>4th to 7th Floor</v>
      </c>
      <c r="H198" s="85"/>
      <c r="I198" s="16"/>
      <c r="J198" s="16"/>
    </row>
    <row r="199" spans="1:10" s="52" customFormat="1" x14ac:dyDescent="0.25">
      <c r="A199" s="84">
        <v>6</v>
      </c>
      <c r="B199" s="85"/>
      <c r="C199" s="49" t="s">
        <v>259</v>
      </c>
      <c r="D199" s="63">
        <f>(25.38)*10.764</f>
        <v>273.19031999999999</v>
      </c>
      <c r="E199" s="50">
        <v>0</v>
      </c>
      <c r="F199" s="50">
        <f t="shared" si="18"/>
        <v>409.78548000000001</v>
      </c>
      <c r="G199" s="84" t="str">
        <f t="shared" ref="G199:G203" si="19">G198</f>
        <v>4th to 7th Floor</v>
      </c>
      <c r="H199" s="85"/>
      <c r="I199" s="16"/>
      <c r="J199" s="16"/>
    </row>
    <row r="200" spans="1:10" s="52" customFormat="1" x14ac:dyDescent="0.25">
      <c r="A200" s="84">
        <v>7</v>
      </c>
      <c r="B200" s="85"/>
      <c r="C200" s="49" t="s">
        <v>259</v>
      </c>
      <c r="D200" s="63">
        <f>(25.38)*10.764</f>
        <v>273.19031999999999</v>
      </c>
      <c r="E200" s="50">
        <v>0</v>
      </c>
      <c r="F200" s="50">
        <f t="shared" si="18"/>
        <v>409.78548000000001</v>
      </c>
      <c r="G200" s="84" t="str">
        <f t="shared" si="19"/>
        <v>4th to 7th Floor</v>
      </c>
      <c r="H200" s="85"/>
      <c r="I200" s="16"/>
      <c r="J200" s="16"/>
    </row>
    <row r="201" spans="1:10" s="52" customFormat="1" ht="15.75" customHeight="1" x14ac:dyDescent="0.25">
      <c r="A201" s="84">
        <v>8</v>
      </c>
      <c r="B201" s="85"/>
      <c r="C201" s="49" t="s">
        <v>259</v>
      </c>
      <c r="D201" s="63">
        <f>(35.31)*10.764</f>
        <v>380.07684</v>
      </c>
      <c r="E201" s="50">
        <v>0</v>
      </c>
      <c r="F201" s="50">
        <f t="shared" si="18"/>
        <v>570.11526000000003</v>
      </c>
      <c r="G201" s="84" t="str">
        <f t="shared" si="19"/>
        <v>4th to 7th Floor</v>
      </c>
      <c r="H201" s="85"/>
      <c r="I201" s="16"/>
      <c r="J201" s="16"/>
    </row>
    <row r="202" spans="1:10" s="52" customFormat="1" ht="15.75" customHeight="1" x14ac:dyDescent="0.25">
      <c r="A202" s="84">
        <v>9</v>
      </c>
      <c r="B202" s="85"/>
      <c r="C202" s="49" t="s">
        <v>259</v>
      </c>
      <c r="D202" s="63">
        <f>(33.4)*10.764</f>
        <v>359.51759999999996</v>
      </c>
      <c r="E202" s="50">
        <v>0</v>
      </c>
      <c r="F202" s="50">
        <f t="shared" si="18"/>
        <v>539.27639999999997</v>
      </c>
      <c r="G202" s="84" t="str">
        <f t="shared" si="19"/>
        <v>4th to 7th Floor</v>
      </c>
      <c r="H202" s="85"/>
      <c r="I202" s="16"/>
      <c r="J202" s="16"/>
    </row>
    <row r="203" spans="1:10" s="52" customFormat="1" ht="15.75" customHeight="1" x14ac:dyDescent="0.25">
      <c r="A203" s="84">
        <v>10</v>
      </c>
      <c r="B203" s="85"/>
      <c r="C203" s="49" t="s">
        <v>259</v>
      </c>
      <c r="D203" s="63">
        <f>(23.01)*10.764</f>
        <v>247.67964000000001</v>
      </c>
      <c r="E203" s="50">
        <v>0</v>
      </c>
      <c r="F203" s="50">
        <f t="shared" si="18"/>
        <v>371.51945999999998</v>
      </c>
      <c r="G203" s="84" t="str">
        <f t="shared" si="19"/>
        <v>4th to 7th Floor</v>
      </c>
      <c r="H203" s="85"/>
      <c r="I203" s="16"/>
      <c r="J203" s="16"/>
    </row>
    <row r="204" spans="1:10" s="52" customFormat="1" ht="15.75" customHeight="1" x14ac:dyDescent="0.25">
      <c r="A204" s="84">
        <v>11</v>
      </c>
      <c r="B204" s="85"/>
      <c r="C204" s="49" t="s">
        <v>259</v>
      </c>
      <c r="D204" s="63">
        <f>(23.01)*10.764</f>
        <v>247.67964000000001</v>
      </c>
      <c r="E204" s="50">
        <v>0</v>
      </c>
      <c r="F204" s="50">
        <f t="shared" si="18"/>
        <v>371.51945999999998</v>
      </c>
      <c r="G204" s="84" t="str">
        <f t="shared" ref="G204" si="20">G203</f>
        <v>4th to 7th Floor</v>
      </c>
      <c r="H204" s="85"/>
      <c r="I204" s="16"/>
      <c r="J204" s="16"/>
    </row>
    <row r="205" spans="1:10" s="32" customFormat="1" x14ac:dyDescent="0.25">
      <c r="A205" s="96" t="s">
        <v>264</v>
      </c>
      <c r="B205" s="97"/>
      <c r="C205" s="97"/>
      <c r="D205" s="97"/>
      <c r="E205" s="97"/>
      <c r="F205" s="97"/>
      <c r="G205" s="97"/>
      <c r="H205" s="98"/>
      <c r="I205" s="16"/>
      <c r="J205" s="16"/>
    </row>
    <row r="206" spans="1:10" s="32" customFormat="1" x14ac:dyDescent="0.25">
      <c r="A206" s="84">
        <v>1</v>
      </c>
      <c r="B206" s="85"/>
      <c r="C206" s="49" t="s">
        <v>258</v>
      </c>
      <c r="D206" s="63">
        <f>(16.26)*10.764</f>
        <v>175.02264</v>
      </c>
      <c r="E206" s="37">
        <v>0</v>
      </c>
      <c r="F206" s="37">
        <f>D206*(($F$174)+1)+(IF(E206&lt;101,E206,IF(E206&lt;201,E206/2,IF(E206&lt;=301,E206/3,E206/4))))</f>
        <v>262.53395999999998</v>
      </c>
      <c r="G206" s="84" t="str">
        <f>A205</f>
        <v>8th Floor (Part Refuge Area)</v>
      </c>
      <c r="H206" s="85"/>
      <c r="I206" s="16"/>
      <c r="J206" s="16"/>
    </row>
    <row r="207" spans="1:10" s="32" customFormat="1" x14ac:dyDescent="0.25">
      <c r="A207" s="84">
        <v>2</v>
      </c>
      <c r="B207" s="85"/>
      <c r="C207" s="49" t="s">
        <v>258</v>
      </c>
      <c r="D207" s="63">
        <f>(16.26)*10.764</f>
        <v>175.02264</v>
      </c>
      <c r="E207" s="37">
        <v>0</v>
      </c>
      <c r="F207" s="37">
        <f>D207*(($F$174)+1)+(IF(E207&lt;101,E207,IF(E207&lt;201,E207/2,IF(E207&lt;=301,E207/3,E207/4))))</f>
        <v>262.53395999999998</v>
      </c>
      <c r="G207" s="84" t="str">
        <f>G206</f>
        <v>8th Floor (Part Refuge Area)</v>
      </c>
      <c r="H207" s="85"/>
      <c r="I207" s="16"/>
      <c r="J207" s="16"/>
    </row>
    <row r="208" spans="1:10" s="32" customFormat="1" x14ac:dyDescent="0.25">
      <c r="A208" s="84">
        <v>3</v>
      </c>
      <c r="B208" s="85"/>
      <c r="C208" s="49" t="s">
        <v>259</v>
      </c>
      <c r="D208" s="63">
        <f>(33.18)*10.764</f>
        <v>357.14952</v>
      </c>
      <c r="E208" s="37">
        <v>0</v>
      </c>
      <c r="F208" s="37">
        <f>D208*(($F$174)+1)+(IF(E208&lt;101,E208,IF(E208&lt;201,E208/2,IF(E208&lt;=301,E208/3,E208/4))))</f>
        <v>535.72428000000002</v>
      </c>
      <c r="G208" s="84" t="str">
        <f>G207</f>
        <v>8th Floor (Part Refuge Area)</v>
      </c>
      <c r="H208" s="85"/>
      <c r="I208" s="16"/>
      <c r="J208" s="16"/>
    </row>
    <row r="209" spans="1:10" s="32" customFormat="1" x14ac:dyDescent="0.25">
      <c r="A209" s="84">
        <v>4</v>
      </c>
      <c r="B209" s="85"/>
      <c r="C209" s="49" t="s">
        <v>263</v>
      </c>
      <c r="D209" s="63">
        <f>(43.04)*10.764</f>
        <v>463.28255999999999</v>
      </c>
      <c r="E209" s="37">
        <v>0</v>
      </c>
      <c r="F209" s="37">
        <f>D209*(($F$174)+1)+(IF(E209&lt;101,E209,IF(E209&lt;201,E209/2,IF(E209&lt;=301,E209/3,E209/4))))</f>
        <v>694.92383999999993</v>
      </c>
      <c r="G209" s="84" t="str">
        <f>G208</f>
        <v>8th Floor (Part Refuge Area)</v>
      </c>
      <c r="H209" s="85"/>
      <c r="I209" s="16"/>
      <c r="J209" s="16"/>
    </row>
    <row r="210" spans="1:10" s="32" customFormat="1" x14ac:dyDescent="0.25">
      <c r="A210" s="84">
        <v>5</v>
      </c>
      <c r="B210" s="85"/>
      <c r="C210" s="49" t="s">
        <v>259</v>
      </c>
      <c r="D210" s="63">
        <f>(31.36)*10.764</f>
        <v>337.55903999999998</v>
      </c>
      <c r="E210" s="37">
        <v>0</v>
      </c>
      <c r="F210" s="37">
        <f>D210*(($F$174)+1)+(IF(E210&lt;101,E210,IF(E210&lt;201,E210/2,IF(E210&lt;=301,E210/3,E210/4))))</f>
        <v>506.33855999999997</v>
      </c>
      <c r="G210" s="84" t="str">
        <f>G209</f>
        <v>8th Floor (Part Refuge Area)</v>
      </c>
      <c r="H210" s="85"/>
      <c r="I210" s="16"/>
      <c r="J210" s="16"/>
    </row>
    <row r="211" spans="1:10" s="52" customFormat="1" x14ac:dyDescent="0.25">
      <c r="A211" s="84">
        <v>6</v>
      </c>
      <c r="B211" s="85"/>
      <c r="C211" s="90" t="s">
        <v>265</v>
      </c>
      <c r="D211" s="91"/>
      <c r="E211" s="91"/>
      <c r="F211" s="92"/>
      <c r="G211" s="84" t="str">
        <f t="shared" ref="G211:G216" si="21">G210</f>
        <v>8th Floor (Part Refuge Area)</v>
      </c>
      <c r="H211" s="85"/>
      <c r="I211" s="16"/>
      <c r="J211" s="16"/>
    </row>
    <row r="212" spans="1:10" s="52" customFormat="1" x14ac:dyDescent="0.25">
      <c r="A212" s="84">
        <v>7</v>
      </c>
      <c r="B212" s="85"/>
      <c r="C212" s="93"/>
      <c r="D212" s="94"/>
      <c r="E212" s="94"/>
      <c r="F212" s="95"/>
      <c r="G212" s="84" t="str">
        <f t="shared" si="21"/>
        <v>8th Floor (Part Refuge Area)</v>
      </c>
      <c r="H212" s="85"/>
      <c r="I212" s="16"/>
      <c r="J212" s="16"/>
    </row>
    <row r="213" spans="1:10" s="52" customFormat="1" x14ac:dyDescent="0.25">
      <c r="A213" s="84">
        <v>8</v>
      </c>
      <c r="B213" s="85"/>
      <c r="C213" s="49" t="s">
        <v>259</v>
      </c>
      <c r="D213" s="63">
        <f>(35.31)*10.764</f>
        <v>380.07684</v>
      </c>
      <c r="E213" s="50">
        <v>0</v>
      </c>
      <c r="F213" s="50">
        <f>D213*(($F$174)+1)+(IF(E213&lt;101,E213,IF(E213&lt;201,E213/2,IF(E213&lt;=301,E213/3,E213/4))))</f>
        <v>570.11526000000003</v>
      </c>
      <c r="G213" s="84" t="str">
        <f t="shared" si="21"/>
        <v>8th Floor (Part Refuge Area)</v>
      </c>
      <c r="H213" s="85"/>
      <c r="I213" s="16"/>
      <c r="J213" s="16"/>
    </row>
    <row r="214" spans="1:10" s="52" customFormat="1" x14ac:dyDescent="0.25">
      <c r="A214" s="84">
        <v>9</v>
      </c>
      <c r="B214" s="85"/>
      <c r="C214" s="49" t="s">
        <v>259</v>
      </c>
      <c r="D214" s="63">
        <f>(33.4)*10.764</f>
        <v>359.51759999999996</v>
      </c>
      <c r="E214" s="50">
        <v>0</v>
      </c>
      <c r="F214" s="50">
        <f>D214*(($F$174)+1)+(IF(E214&lt;101,E214,IF(E214&lt;201,E214/2,IF(E214&lt;=301,E214/3,E214/4))))</f>
        <v>539.27639999999997</v>
      </c>
      <c r="G214" s="84" t="str">
        <f t="shared" si="21"/>
        <v>8th Floor (Part Refuge Area)</v>
      </c>
      <c r="H214" s="85"/>
      <c r="I214" s="16"/>
      <c r="J214" s="16"/>
    </row>
    <row r="215" spans="1:10" s="52" customFormat="1" x14ac:dyDescent="0.25">
      <c r="A215" s="84">
        <v>10</v>
      </c>
      <c r="B215" s="85"/>
      <c r="C215" s="49" t="s">
        <v>259</v>
      </c>
      <c r="D215" s="63">
        <f>(23.01)*10.764</f>
        <v>247.67964000000001</v>
      </c>
      <c r="E215" s="50">
        <v>0</v>
      </c>
      <c r="F215" s="50">
        <f>D215*(($F$174)+1)+(IF(E215&lt;101,E215,IF(E215&lt;201,E215/2,IF(E215&lt;=301,E215/3,E215/4))))</f>
        <v>371.51945999999998</v>
      </c>
      <c r="G215" s="84" t="str">
        <f t="shared" si="21"/>
        <v>8th Floor (Part Refuge Area)</v>
      </c>
      <c r="H215" s="85"/>
      <c r="I215" s="16"/>
      <c r="J215" s="16"/>
    </row>
    <row r="216" spans="1:10" s="52" customFormat="1" x14ac:dyDescent="0.25">
      <c r="A216" s="84">
        <v>11</v>
      </c>
      <c r="B216" s="85"/>
      <c r="C216" s="49" t="s">
        <v>259</v>
      </c>
      <c r="D216" s="63">
        <f>(23.01)*10.764</f>
        <v>247.67964000000001</v>
      </c>
      <c r="E216" s="50">
        <v>0</v>
      </c>
      <c r="F216" s="50">
        <f>D216*(($F$174)+1)+(IF(E216&lt;101,E216,IF(E216&lt;201,E216/2,IF(E216&lt;=301,E216/3,E216/4))))</f>
        <v>371.51945999999998</v>
      </c>
      <c r="G216" s="84" t="str">
        <f t="shared" si="21"/>
        <v>8th Floor (Part Refuge Area)</v>
      </c>
      <c r="H216" s="85"/>
      <c r="I216" s="16"/>
      <c r="J216" s="16"/>
    </row>
    <row r="217" spans="1:10" s="32" customFormat="1" x14ac:dyDescent="0.25">
      <c r="A217" s="150" t="s">
        <v>287</v>
      </c>
      <c r="B217" s="151"/>
      <c r="C217" s="151"/>
      <c r="D217" s="151"/>
      <c r="E217" s="151"/>
      <c r="F217" s="151"/>
      <c r="G217" s="151"/>
      <c r="H217" s="152"/>
      <c r="I217" s="16"/>
      <c r="J217" s="16"/>
    </row>
    <row r="218" spans="1:10" s="32" customFormat="1" x14ac:dyDescent="0.25">
      <c r="A218" s="84">
        <v>1</v>
      </c>
      <c r="B218" s="85"/>
      <c r="C218" s="49" t="s">
        <v>258</v>
      </c>
      <c r="D218" s="63">
        <f>(16.26)*10.764</f>
        <v>175.02264</v>
      </c>
      <c r="E218" s="37">
        <v>0</v>
      </c>
      <c r="F218" s="37">
        <f t="shared" ref="F218:F228" si="22">D218*(($F$174)+1)+(IF(E218&lt;101,E218,IF(E218&lt;201,E218/2,IF(E218&lt;=301,E218/3,E218/4))))</f>
        <v>262.53395999999998</v>
      </c>
      <c r="G218" s="84" t="str">
        <f>A217</f>
        <v>11th to 14th, 16th to 22nd Floor</v>
      </c>
      <c r="H218" s="85"/>
      <c r="I218" s="16"/>
      <c r="J218" s="16"/>
    </row>
    <row r="219" spans="1:10" s="32" customFormat="1" x14ac:dyDescent="0.25">
      <c r="A219" s="84">
        <v>2</v>
      </c>
      <c r="B219" s="85"/>
      <c r="C219" s="49" t="s">
        <v>258</v>
      </c>
      <c r="D219" s="63">
        <f>(16.26)*10.764</f>
        <v>175.02264</v>
      </c>
      <c r="E219" s="37">
        <v>0</v>
      </c>
      <c r="F219" s="37">
        <f t="shared" si="22"/>
        <v>262.53395999999998</v>
      </c>
      <c r="G219" s="84" t="str">
        <f t="shared" ref="G219:G228" si="23">G218</f>
        <v>11th to 14th, 16th to 22nd Floor</v>
      </c>
      <c r="H219" s="85"/>
      <c r="I219" s="16"/>
      <c r="J219" s="16"/>
    </row>
    <row r="220" spans="1:10" s="32" customFormat="1" x14ac:dyDescent="0.25">
      <c r="A220" s="84">
        <v>3</v>
      </c>
      <c r="B220" s="85"/>
      <c r="C220" s="49" t="s">
        <v>259</v>
      </c>
      <c r="D220" s="63">
        <f>(33.18)*10.764</f>
        <v>357.14952</v>
      </c>
      <c r="E220" s="37">
        <v>0</v>
      </c>
      <c r="F220" s="37">
        <f t="shared" si="22"/>
        <v>535.72428000000002</v>
      </c>
      <c r="G220" s="84" t="str">
        <f t="shared" si="23"/>
        <v>11th to 14th, 16th to 22nd Floor</v>
      </c>
      <c r="H220" s="85"/>
      <c r="I220" s="16"/>
      <c r="J220" s="16"/>
    </row>
    <row r="221" spans="1:10" s="32" customFormat="1" x14ac:dyDescent="0.25">
      <c r="A221" s="84">
        <v>4</v>
      </c>
      <c r="B221" s="85"/>
      <c r="C221" s="49" t="s">
        <v>263</v>
      </c>
      <c r="D221" s="63">
        <f>(43.04)*10.764</f>
        <v>463.28255999999999</v>
      </c>
      <c r="E221" s="37">
        <v>0</v>
      </c>
      <c r="F221" s="37">
        <f t="shared" si="22"/>
        <v>694.92383999999993</v>
      </c>
      <c r="G221" s="84" t="str">
        <f t="shared" si="23"/>
        <v>11th to 14th, 16th to 22nd Floor</v>
      </c>
      <c r="H221" s="85"/>
      <c r="I221" s="16"/>
      <c r="J221" s="16"/>
    </row>
    <row r="222" spans="1:10" s="32" customFormat="1" x14ac:dyDescent="0.25">
      <c r="A222" s="84">
        <v>5</v>
      </c>
      <c r="B222" s="85"/>
      <c r="C222" s="49" t="s">
        <v>259</v>
      </c>
      <c r="D222" s="63">
        <f>(31.36)*10.764</f>
        <v>337.55903999999998</v>
      </c>
      <c r="E222" s="37">
        <v>0</v>
      </c>
      <c r="F222" s="37">
        <f t="shared" si="22"/>
        <v>506.33855999999997</v>
      </c>
      <c r="G222" s="84" t="str">
        <f t="shared" si="23"/>
        <v>11th to 14th, 16th to 22nd Floor</v>
      </c>
      <c r="H222" s="85"/>
      <c r="I222" s="16"/>
      <c r="J222" s="16"/>
    </row>
    <row r="223" spans="1:10" s="52" customFormat="1" x14ac:dyDescent="0.25">
      <c r="A223" s="84">
        <v>6</v>
      </c>
      <c r="B223" s="85"/>
      <c r="C223" s="69" t="s">
        <v>259</v>
      </c>
      <c r="D223" s="70">
        <f>(25.38)*10.764</f>
        <v>273.19031999999999</v>
      </c>
      <c r="E223" s="71">
        <v>0</v>
      </c>
      <c r="F223" s="71">
        <f t="shared" si="22"/>
        <v>409.78548000000001</v>
      </c>
      <c r="G223" s="84" t="str">
        <f t="shared" si="23"/>
        <v>11th to 14th, 16th to 22nd Floor</v>
      </c>
      <c r="H223" s="85"/>
      <c r="I223" s="16"/>
      <c r="J223" s="16"/>
    </row>
    <row r="224" spans="1:10" s="52" customFormat="1" x14ac:dyDescent="0.25">
      <c r="A224" s="84">
        <v>7</v>
      </c>
      <c r="B224" s="85"/>
      <c r="C224" s="69" t="s">
        <v>259</v>
      </c>
      <c r="D224" s="70">
        <f>(25.38)*10.764</f>
        <v>273.19031999999999</v>
      </c>
      <c r="E224" s="71">
        <v>0</v>
      </c>
      <c r="F224" s="71">
        <f t="shared" si="22"/>
        <v>409.78548000000001</v>
      </c>
      <c r="G224" s="84" t="str">
        <f t="shared" si="23"/>
        <v>11th to 14th, 16th to 22nd Floor</v>
      </c>
      <c r="H224" s="85"/>
      <c r="I224" s="16"/>
      <c r="J224" s="16"/>
    </row>
    <row r="225" spans="1:10" s="52" customFormat="1" x14ac:dyDescent="0.25">
      <c r="A225" s="84">
        <v>8</v>
      </c>
      <c r="B225" s="85"/>
      <c r="C225" s="69" t="s">
        <v>259</v>
      </c>
      <c r="D225" s="70">
        <f>(35.31)*10.764</f>
        <v>380.07684</v>
      </c>
      <c r="E225" s="71">
        <v>0</v>
      </c>
      <c r="F225" s="71">
        <f t="shared" si="22"/>
        <v>570.11526000000003</v>
      </c>
      <c r="G225" s="84" t="str">
        <f t="shared" si="23"/>
        <v>11th to 14th, 16th to 22nd Floor</v>
      </c>
      <c r="H225" s="85"/>
      <c r="I225" s="16"/>
      <c r="J225" s="16"/>
    </row>
    <row r="226" spans="1:10" s="52" customFormat="1" x14ac:dyDescent="0.25">
      <c r="A226" s="84">
        <v>9</v>
      </c>
      <c r="B226" s="85"/>
      <c r="C226" s="49" t="s">
        <v>259</v>
      </c>
      <c r="D226" s="63">
        <f>(33.4)*10.764</f>
        <v>359.51759999999996</v>
      </c>
      <c r="E226" s="50">
        <v>0</v>
      </c>
      <c r="F226" s="50">
        <f t="shared" si="22"/>
        <v>539.27639999999997</v>
      </c>
      <c r="G226" s="84" t="str">
        <f t="shared" si="23"/>
        <v>11th to 14th, 16th to 22nd Floor</v>
      </c>
      <c r="H226" s="85"/>
      <c r="I226" s="16"/>
      <c r="J226" s="16"/>
    </row>
    <row r="227" spans="1:10" s="52" customFormat="1" x14ac:dyDescent="0.25">
      <c r="A227" s="84">
        <v>10</v>
      </c>
      <c r="B227" s="85"/>
      <c r="C227" s="49" t="s">
        <v>259</v>
      </c>
      <c r="D227" s="63">
        <f>(23.01)*10.764</f>
        <v>247.67964000000001</v>
      </c>
      <c r="E227" s="50">
        <v>0</v>
      </c>
      <c r="F227" s="50">
        <f t="shared" si="22"/>
        <v>371.51945999999998</v>
      </c>
      <c r="G227" s="84" t="str">
        <f t="shared" si="23"/>
        <v>11th to 14th, 16th to 22nd Floor</v>
      </c>
      <c r="H227" s="85"/>
      <c r="I227" s="16"/>
      <c r="J227" s="16"/>
    </row>
    <row r="228" spans="1:10" s="52" customFormat="1" x14ac:dyDescent="0.25">
      <c r="A228" s="84">
        <v>11</v>
      </c>
      <c r="B228" s="85"/>
      <c r="C228" s="49" t="s">
        <v>259</v>
      </c>
      <c r="D228" s="63">
        <f>(23.01)*10.764</f>
        <v>247.67964000000001</v>
      </c>
      <c r="E228" s="50">
        <v>0</v>
      </c>
      <c r="F228" s="50">
        <f t="shared" si="22"/>
        <v>371.51945999999998</v>
      </c>
      <c r="G228" s="84" t="str">
        <f t="shared" si="23"/>
        <v>11th to 14th, 16th to 22nd Floor</v>
      </c>
      <c r="H228" s="85"/>
      <c r="I228" s="16"/>
      <c r="J228" s="16"/>
    </row>
    <row r="229" spans="1:10" s="52" customFormat="1" x14ac:dyDescent="0.25">
      <c r="A229" s="96" t="s">
        <v>266</v>
      </c>
      <c r="B229" s="97"/>
      <c r="C229" s="97"/>
      <c r="D229" s="97"/>
      <c r="E229" s="97"/>
      <c r="F229" s="97"/>
      <c r="G229" s="97"/>
      <c r="H229" s="98"/>
      <c r="I229" s="16"/>
      <c r="J229" s="16"/>
    </row>
    <row r="230" spans="1:10" s="52" customFormat="1" x14ac:dyDescent="0.25">
      <c r="A230" s="84">
        <v>1</v>
      </c>
      <c r="B230" s="85"/>
      <c r="C230" s="49" t="s">
        <v>258</v>
      </c>
      <c r="D230" s="63">
        <f>(16.26)*10.764</f>
        <v>175.02264</v>
      </c>
      <c r="E230" s="50">
        <v>0</v>
      </c>
      <c r="F230" s="50">
        <f t="shared" ref="F230:F240" si="24">D230*(($F$174)+1)+(IF(E230&lt;101,E230,IF(E230&lt;201,E230/2,IF(E230&lt;=301,E230/3,E230/4))))</f>
        <v>262.53395999999998</v>
      </c>
      <c r="G230" s="84" t="str">
        <f>A229</f>
        <v>9th Floor</v>
      </c>
      <c r="H230" s="85"/>
      <c r="I230" s="16"/>
      <c r="J230" s="16"/>
    </row>
    <row r="231" spans="1:10" s="52" customFormat="1" x14ac:dyDescent="0.25">
      <c r="A231" s="84">
        <v>2</v>
      </c>
      <c r="B231" s="85"/>
      <c r="C231" s="49" t="s">
        <v>258</v>
      </c>
      <c r="D231" s="63">
        <f>(16.26)*10.764</f>
        <v>175.02264</v>
      </c>
      <c r="E231" s="50">
        <v>0</v>
      </c>
      <c r="F231" s="50">
        <f t="shared" si="24"/>
        <v>262.53395999999998</v>
      </c>
      <c r="G231" s="84" t="str">
        <f t="shared" ref="G231:G240" si="25">G230</f>
        <v>9th Floor</v>
      </c>
      <c r="H231" s="85"/>
      <c r="I231" s="16"/>
      <c r="J231" s="16"/>
    </row>
    <row r="232" spans="1:10" s="52" customFormat="1" x14ac:dyDescent="0.25">
      <c r="A232" s="84">
        <v>3</v>
      </c>
      <c r="B232" s="85"/>
      <c r="C232" s="49" t="s">
        <v>259</v>
      </c>
      <c r="D232" s="63">
        <f>(33.18)*10.764</f>
        <v>357.14952</v>
      </c>
      <c r="E232" s="50">
        <v>0</v>
      </c>
      <c r="F232" s="50">
        <f t="shared" si="24"/>
        <v>535.72428000000002</v>
      </c>
      <c r="G232" s="84" t="str">
        <f t="shared" si="25"/>
        <v>9th Floor</v>
      </c>
      <c r="H232" s="85"/>
      <c r="I232" s="16"/>
      <c r="J232" s="16"/>
    </row>
    <row r="233" spans="1:10" s="52" customFormat="1" x14ac:dyDescent="0.25">
      <c r="A233" s="84">
        <v>4</v>
      </c>
      <c r="B233" s="85"/>
      <c r="C233" s="49" t="s">
        <v>263</v>
      </c>
      <c r="D233" s="63">
        <f>(43.04)*10.764</f>
        <v>463.28255999999999</v>
      </c>
      <c r="E233" s="50">
        <v>0</v>
      </c>
      <c r="F233" s="50">
        <f t="shared" si="24"/>
        <v>694.92383999999993</v>
      </c>
      <c r="G233" s="84" t="str">
        <f t="shared" si="25"/>
        <v>9th Floor</v>
      </c>
      <c r="H233" s="85"/>
      <c r="I233" s="16"/>
      <c r="J233" s="16"/>
    </row>
    <row r="234" spans="1:10" s="52" customFormat="1" x14ac:dyDescent="0.25">
      <c r="A234" s="84">
        <v>5</v>
      </c>
      <c r="B234" s="85"/>
      <c r="C234" s="49" t="s">
        <v>259</v>
      </c>
      <c r="D234" s="63">
        <f>(31.36)*10.764</f>
        <v>337.55903999999998</v>
      </c>
      <c r="E234" s="50">
        <v>0</v>
      </c>
      <c r="F234" s="50">
        <f t="shared" si="24"/>
        <v>506.33855999999997</v>
      </c>
      <c r="G234" s="84" t="str">
        <f t="shared" si="25"/>
        <v>9th Floor</v>
      </c>
      <c r="H234" s="85"/>
      <c r="I234" s="16"/>
      <c r="J234" s="16"/>
    </row>
    <row r="235" spans="1:10" s="52" customFormat="1" x14ac:dyDescent="0.25">
      <c r="A235" s="84">
        <v>6</v>
      </c>
      <c r="B235" s="85"/>
      <c r="C235" s="49" t="s">
        <v>259</v>
      </c>
      <c r="D235" s="63">
        <f>(25.38)*10.764</f>
        <v>273.19031999999999</v>
      </c>
      <c r="E235" s="50">
        <v>0</v>
      </c>
      <c r="F235" s="50">
        <f t="shared" si="24"/>
        <v>409.78548000000001</v>
      </c>
      <c r="G235" s="84" t="str">
        <f t="shared" si="25"/>
        <v>9th Floor</v>
      </c>
      <c r="H235" s="85"/>
      <c r="I235" s="16"/>
      <c r="J235" s="16"/>
    </row>
    <row r="236" spans="1:10" s="52" customFormat="1" x14ac:dyDescent="0.25">
      <c r="A236" s="84">
        <v>7</v>
      </c>
      <c r="B236" s="85"/>
      <c r="C236" s="49" t="s">
        <v>259</v>
      </c>
      <c r="D236" s="63">
        <f>(25.38)*10.764</f>
        <v>273.19031999999999</v>
      </c>
      <c r="E236" s="50">
        <v>0</v>
      </c>
      <c r="F236" s="50">
        <f t="shared" si="24"/>
        <v>409.78548000000001</v>
      </c>
      <c r="G236" s="84" t="str">
        <f t="shared" si="25"/>
        <v>9th Floor</v>
      </c>
      <c r="H236" s="85"/>
      <c r="I236" s="16"/>
      <c r="J236" s="16"/>
    </row>
    <row r="237" spans="1:10" s="52" customFormat="1" x14ac:dyDescent="0.25">
      <c r="A237" s="84">
        <v>8</v>
      </c>
      <c r="B237" s="85"/>
      <c r="C237" s="49" t="s">
        <v>259</v>
      </c>
      <c r="D237" s="63">
        <f>(35.31)*10.764</f>
        <v>380.07684</v>
      </c>
      <c r="E237" s="50">
        <v>0</v>
      </c>
      <c r="F237" s="50">
        <f t="shared" si="24"/>
        <v>570.11526000000003</v>
      </c>
      <c r="G237" s="84" t="str">
        <f t="shared" si="25"/>
        <v>9th Floor</v>
      </c>
      <c r="H237" s="85"/>
      <c r="I237" s="16"/>
      <c r="J237" s="16"/>
    </row>
    <row r="238" spans="1:10" s="52" customFormat="1" x14ac:dyDescent="0.25">
      <c r="A238" s="84">
        <v>9</v>
      </c>
      <c r="B238" s="85"/>
      <c r="C238" s="49" t="s">
        <v>259</v>
      </c>
      <c r="D238" s="63">
        <f>(33.4)*10.764</f>
        <v>359.51759999999996</v>
      </c>
      <c r="E238" s="50">
        <v>0</v>
      </c>
      <c r="F238" s="50">
        <f t="shared" si="24"/>
        <v>539.27639999999997</v>
      </c>
      <c r="G238" s="84" t="str">
        <f t="shared" si="25"/>
        <v>9th Floor</v>
      </c>
      <c r="H238" s="85"/>
      <c r="I238" s="16"/>
      <c r="J238" s="16"/>
    </row>
    <row r="239" spans="1:10" s="52" customFormat="1" x14ac:dyDescent="0.25">
      <c r="A239" s="84">
        <v>10</v>
      </c>
      <c r="B239" s="85"/>
      <c r="C239" s="49" t="s">
        <v>259</v>
      </c>
      <c r="D239" s="63">
        <f>(23.01)*10.764</f>
        <v>247.67964000000001</v>
      </c>
      <c r="E239" s="50">
        <v>0</v>
      </c>
      <c r="F239" s="50">
        <f t="shared" si="24"/>
        <v>371.51945999999998</v>
      </c>
      <c r="G239" s="84" t="str">
        <f t="shared" si="25"/>
        <v>9th Floor</v>
      </c>
      <c r="H239" s="85"/>
      <c r="I239" s="16"/>
      <c r="J239" s="16"/>
    </row>
    <row r="240" spans="1:10" s="52" customFormat="1" x14ac:dyDescent="0.25">
      <c r="A240" s="84">
        <v>11</v>
      </c>
      <c r="B240" s="85"/>
      <c r="C240" s="49" t="s">
        <v>259</v>
      </c>
      <c r="D240" s="63">
        <f>(23.01)*10.764</f>
        <v>247.67964000000001</v>
      </c>
      <c r="E240" s="50">
        <v>0</v>
      </c>
      <c r="F240" s="50">
        <f t="shared" si="24"/>
        <v>371.51945999999998</v>
      </c>
      <c r="G240" s="84" t="str">
        <f t="shared" si="25"/>
        <v>9th Floor</v>
      </c>
      <c r="H240" s="85"/>
      <c r="I240" s="16"/>
      <c r="J240" s="16"/>
    </row>
    <row r="241" spans="1:10" s="52" customFormat="1" x14ac:dyDescent="0.25">
      <c r="A241" s="96" t="s">
        <v>267</v>
      </c>
      <c r="B241" s="97"/>
      <c r="C241" s="97"/>
      <c r="D241" s="97"/>
      <c r="E241" s="97"/>
      <c r="F241" s="97"/>
      <c r="G241" s="97"/>
      <c r="H241" s="98"/>
      <c r="I241" s="16"/>
      <c r="J241" s="16"/>
    </row>
    <row r="242" spans="1:10" s="52" customFormat="1" x14ac:dyDescent="0.25">
      <c r="A242" s="84">
        <v>1</v>
      </c>
      <c r="B242" s="85"/>
      <c r="C242" s="49" t="s">
        <v>258</v>
      </c>
      <c r="D242" s="63">
        <f>(16.26)*10.764</f>
        <v>175.02264</v>
      </c>
      <c r="E242" s="50">
        <v>0</v>
      </c>
      <c r="F242" s="50">
        <f t="shared" ref="F242:F252" si="26">D242*(($F$174)+1)+(IF(E242&lt;101,E242,IF(E242&lt;201,E242/2,IF(E242&lt;=301,E242/3,E242/4))))</f>
        <v>262.53395999999998</v>
      </c>
      <c r="G242" s="84" t="str">
        <f>A241</f>
        <v>10th Floor</v>
      </c>
      <c r="H242" s="85"/>
      <c r="I242" s="16"/>
      <c r="J242" s="16"/>
    </row>
    <row r="243" spans="1:10" s="52" customFormat="1" x14ac:dyDescent="0.25">
      <c r="A243" s="84">
        <v>2</v>
      </c>
      <c r="B243" s="85"/>
      <c r="C243" s="49" t="s">
        <v>258</v>
      </c>
      <c r="D243" s="63">
        <f>(16.26)*10.764</f>
        <v>175.02264</v>
      </c>
      <c r="E243" s="50">
        <v>0</v>
      </c>
      <c r="F243" s="50">
        <f t="shared" si="26"/>
        <v>262.53395999999998</v>
      </c>
      <c r="G243" s="84" t="str">
        <f t="shared" ref="G243:G252" si="27">G242</f>
        <v>10th Floor</v>
      </c>
      <c r="H243" s="85"/>
      <c r="I243" s="16"/>
      <c r="J243" s="16"/>
    </row>
    <row r="244" spans="1:10" s="52" customFormat="1" x14ac:dyDescent="0.25">
      <c r="A244" s="84">
        <v>3</v>
      </c>
      <c r="B244" s="85"/>
      <c r="C244" s="49" t="s">
        <v>259</v>
      </c>
      <c r="D244" s="63">
        <f>(33.18)*10.764</f>
        <v>357.14952</v>
      </c>
      <c r="E244" s="50">
        <v>0</v>
      </c>
      <c r="F244" s="50">
        <f t="shared" si="26"/>
        <v>535.72428000000002</v>
      </c>
      <c r="G244" s="84" t="str">
        <f t="shared" si="27"/>
        <v>10th Floor</v>
      </c>
      <c r="H244" s="85"/>
      <c r="I244" s="16"/>
      <c r="J244" s="16"/>
    </row>
    <row r="245" spans="1:10" s="52" customFormat="1" x14ac:dyDescent="0.25">
      <c r="A245" s="84">
        <v>4</v>
      </c>
      <c r="B245" s="85"/>
      <c r="C245" s="49" t="s">
        <v>263</v>
      </c>
      <c r="D245" s="63">
        <f>(43.04)*10.764</f>
        <v>463.28255999999999</v>
      </c>
      <c r="E245" s="50">
        <v>0</v>
      </c>
      <c r="F245" s="50">
        <f t="shared" si="26"/>
        <v>694.92383999999993</v>
      </c>
      <c r="G245" s="84" t="str">
        <f t="shared" si="27"/>
        <v>10th Floor</v>
      </c>
      <c r="H245" s="85"/>
      <c r="I245" s="16"/>
      <c r="J245" s="16"/>
    </row>
    <row r="246" spans="1:10" s="52" customFormat="1" x14ac:dyDescent="0.25">
      <c r="A246" s="84">
        <v>5</v>
      </c>
      <c r="B246" s="85"/>
      <c r="C246" s="49" t="s">
        <v>259</v>
      </c>
      <c r="D246" s="63">
        <f>(31.36)*10.764</f>
        <v>337.55903999999998</v>
      </c>
      <c r="E246" s="50">
        <v>0</v>
      </c>
      <c r="F246" s="50">
        <f t="shared" si="26"/>
        <v>506.33855999999997</v>
      </c>
      <c r="G246" s="84" t="str">
        <f t="shared" si="27"/>
        <v>10th Floor</v>
      </c>
      <c r="H246" s="85"/>
      <c r="I246" s="16"/>
      <c r="J246" s="16"/>
    </row>
    <row r="247" spans="1:10" s="52" customFormat="1" x14ac:dyDescent="0.25">
      <c r="A247" s="84">
        <v>6</v>
      </c>
      <c r="B247" s="85"/>
      <c r="C247" s="49" t="s">
        <v>259</v>
      </c>
      <c r="D247" s="63">
        <f>(25.38)*10.764</f>
        <v>273.19031999999999</v>
      </c>
      <c r="E247" s="50">
        <v>0</v>
      </c>
      <c r="F247" s="50">
        <f t="shared" si="26"/>
        <v>409.78548000000001</v>
      </c>
      <c r="G247" s="84" t="str">
        <f t="shared" si="27"/>
        <v>10th Floor</v>
      </c>
      <c r="H247" s="85"/>
      <c r="I247" s="16"/>
      <c r="J247" s="16"/>
    </row>
    <row r="248" spans="1:10" s="52" customFormat="1" x14ac:dyDescent="0.25">
      <c r="A248" s="84">
        <v>7</v>
      </c>
      <c r="B248" s="85"/>
      <c r="C248" s="49" t="s">
        <v>259</v>
      </c>
      <c r="D248" s="63">
        <f>(25.38)*10.764</f>
        <v>273.19031999999999</v>
      </c>
      <c r="E248" s="50">
        <v>0</v>
      </c>
      <c r="F248" s="50">
        <f t="shared" si="26"/>
        <v>409.78548000000001</v>
      </c>
      <c r="G248" s="84" t="str">
        <f t="shared" si="27"/>
        <v>10th Floor</v>
      </c>
      <c r="H248" s="85"/>
      <c r="I248" s="16"/>
      <c r="J248" s="16"/>
    </row>
    <row r="249" spans="1:10" s="52" customFormat="1" x14ac:dyDescent="0.25">
      <c r="A249" s="84">
        <v>8</v>
      </c>
      <c r="B249" s="85"/>
      <c r="C249" s="49" t="s">
        <v>259</v>
      </c>
      <c r="D249" s="63">
        <f>(35.31)*10.764</f>
        <v>380.07684</v>
      </c>
      <c r="E249" s="50">
        <v>0</v>
      </c>
      <c r="F249" s="50">
        <f t="shared" si="26"/>
        <v>570.11526000000003</v>
      </c>
      <c r="G249" s="84" t="str">
        <f t="shared" si="27"/>
        <v>10th Floor</v>
      </c>
      <c r="H249" s="85"/>
      <c r="I249" s="16"/>
      <c r="J249" s="16"/>
    </row>
    <row r="250" spans="1:10" s="52" customFormat="1" x14ac:dyDescent="0.25">
      <c r="A250" s="84">
        <v>9</v>
      </c>
      <c r="B250" s="85"/>
      <c r="C250" s="49" t="s">
        <v>259</v>
      </c>
      <c r="D250" s="63">
        <f>(33.4)*10.764</f>
        <v>359.51759999999996</v>
      </c>
      <c r="E250" s="50">
        <v>0</v>
      </c>
      <c r="F250" s="50">
        <f t="shared" si="26"/>
        <v>539.27639999999997</v>
      </c>
      <c r="G250" s="84" t="str">
        <f t="shared" si="27"/>
        <v>10th Floor</v>
      </c>
      <c r="H250" s="85"/>
      <c r="I250" s="16"/>
      <c r="J250" s="16"/>
    </row>
    <row r="251" spans="1:10" s="52" customFormat="1" x14ac:dyDescent="0.25">
      <c r="A251" s="84">
        <v>10</v>
      </c>
      <c r="B251" s="85"/>
      <c r="C251" s="49" t="s">
        <v>259</v>
      </c>
      <c r="D251" s="63">
        <f>(23.01)*10.764</f>
        <v>247.67964000000001</v>
      </c>
      <c r="E251" s="50">
        <v>0</v>
      </c>
      <c r="F251" s="50">
        <f t="shared" si="26"/>
        <v>371.51945999999998</v>
      </c>
      <c r="G251" s="84" t="str">
        <f t="shared" si="27"/>
        <v>10th Floor</v>
      </c>
      <c r="H251" s="85"/>
      <c r="I251" s="16"/>
      <c r="J251" s="16"/>
    </row>
    <row r="252" spans="1:10" s="52" customFormat="1" x14ac:dyDescent="0.25">
      <c r="A252" s="84">
        <v>11</v>
      </c>
      <c r="B252" s="85"/>
      <c r="C252" s="49" t="s">
        <v>259</v>
      </c>
      <c r="D252" s="63">
        <f>(23.01)*10.764</f>
        <v>247.67964000000001</v>
      </c>
      <c r="E252" s="50">
        <v>0</v>
      </c>
      <c r="F252" s="50">
        <f t="shared" si="26"/>
        <v>371.51945999999998</v>
      </c>
      <c r="G252" s="84" t="str">
        <f t="shared" si="27"/>
        <v>10th Floor</v>
      </c>
      <c r="H252" s="85"/>
      <c r="I252" s="16"/>
      <c r="J252" s="16"/>
    </row>
    <row r="253" spans="1:10" s="52" customFormat="1" x14ac:dyDescent="0.25">
      <c r="A253" s="96" t="s">
        <v>269</v>
      </c>
      <c r="B253" s="97"/>
      <c r="C253" s="97"/>
      <c r="D253" s="97"/>
      <c r="E253" s="97"/>
      <c r="F253" s="97"/>
      <c r="G253" s="97"/>
      <c r="H253" s="98"/>
      <c r="I253" s="16"/>
      <c r="J253" s="16"/>
    </row>
    <row r="254" spans="1:10" s="52" customFormat="1" x14ac:dyDescent="0.25">
      <c r="A254" s="84">
        <v>1</v>
      </c>
      <c r="B254" s="85"/>
      <c r="C254" s="49" t="s">
        <v>258</v>
      </c>
      <c r="D254" s="63">
        <f>(16.26)*10.764</f>
        <v>175.02264</v>
      </c>
      <c r="E254" s="50">
        <v>0</v>
      </c>
      <c r="F254" s="50">
        <f>D254*(($F$174)+1)+(IF(E254&lt;101,E254,IF(E254&lt;201,E254/2,IF(E254&lt;=301,E254/3,E254/4))))</f>
        <v>262.53395999999998</v>
      </c>
      <c r="G254" s="84" t="str">
        <f>A253</f>
        <v>15th Floor (Part Refuge Area)</v>
      </c>
      <c r="H254" s="85"/>
      <c r="I254" s="16"/>
      <c r="J254" s="16"/>
    </row>
    <row r="255" spans="1:10" s="52" customFormat="1" x14ac:dyDescent="0.25">
      <c r="A255" s="84">
        <v>2</v>
      </c>
      <c r="B255" s="85"/>
      <c r="C255" s="49" t="s">
        <v>258</v>
      </c>
      <c r="D255" s="63">
        <f>(16.26)*10.764</f>
        <v>175.02264</v>
      </c>
      <c r="E255" s="50">
        <v>0</v>
      </c>
      <c r="F255" s="50">
        <f>D255*(($F$174)+1)+(IF(E255&lt;101,E255,IF(E255&lt;201,E255/2,IF(E255&lt;=301,E255/3,E255/4))))</f>
        <v>262.53395999999998</v>
      </c>
      <c r="G255" s="84" t="str">
        <f t="shared" ref="G255:G264" si="28">G254</f>
        <v>15th Floor (Part Refuge Area)</v>
      </c>
      <c r="H255" s="85"/>
      <c r="I255" s="16"/>
      <c r="J255" s="16"/>
    </row>
    <row r="256" spans="1:10" s="52" customFormat="1" x14ac:dyDescent="0.25">
      <c r="A256" s="84">
        <v>3</v>
      </c>
      <c r="B256" s="85"/>
      <c r="C256" s="49" t="s">
        <v>259</v>
      </c>
      <c r="D256" s="63">
        <f>(33.18)*10.764</f>
        <v>357.14952</v>
      </c>
      <c r="E256" s="50">
        <v>0</v>
      </c>
      <c r="F256" s="50">
        <f>D256*(($F$174)+1)+(IF(E256&lt;101,E256,IF(E256&lt;201,E256/2,IF(E256&lt;=301,E256/3,E256/4))))</f>
        <v>535.72428000000002</v>
      </c>
      <c r="G256" s="84" t="str">
        <f t="shared" si="28"/>
        <v>15th Floor (Part Refuge Area)</v>
      </c>
      <c r="H256" s="85"/>
      <c r="I256" s="16"/>
      <c r="J256" s="16"/>
    </row>
    <row r="257" spans="1:10" s="52" customFormat="1" x14ac:dyDescent="0.25">
      <c r="A257" s="84">
        <v>4</v>
      </c>
      <c r="B257" s="85"/>
      <c r="C257" s="49" t="s">
        <v>263</v>
      </c>
      <c r="D257" s="63">
        <f>(43.04)*10.764</f>
        <v>463.28255999999999</v>
      </c>
      <c r="E257" s="50">
        <v>0</v>
      </c>
      <c r="F257" s="50">
        <f>D257*(($F$174)+1)+(IF(E257&lt;101,E257,IF(E257&lt;201,E257/2,IF(E257&lt;=301,E257/3,E257/4))))</f>
        <v>694.92383999999993</v>
      </c>
      <c r="G257" s="84" t="str">
        <f t="shared" si="28"/>
        <v>15th Floor (Part Refuge Area)</v>
      </c>
      <c r="H257" s="85"/>
      <c r="I257" s="16"/>
      <c r="J257" s="16"/>
    </row>
    <row r="258" spans="1:10" s="52" customFormat="1" x14ac:dyDescent="0.25">
      <c r="A258" s="84">
        <v>5</v>
      </c>
      <c r="B258" s="85"/>
      <c r="C258" s="49" t="s">
        <v>259</v>
      </c>
      <c r="D258" s="63">
        <f>(31.36)*10.764</f>
        <v>337.55903999999998</v>
      </c>
      <c r="E258" s="50">
        <v>0</v>
      </c>
      <c r="F258" s="50">
        <f>D258*(($F$174)+1)+(IF(E258&lt;101,E258,IF(E258&lt;201,E258/2,IF(E258&lt;=301,E258/3,E258/4))))</f>
        <v>506.33855999999997</v>
      </c>
      <c r="G258" s="84" t="str">
        <f t="shared" si="28"/>
        <v>15th Floor (Part Refuge Area)</v>
      </c>
      <c r="H258" s="85"/>
      <c r="I258" s="16"/>
      <c r="J258" s="16"/>
    </row>
    <row r="259" spans="1:10" s="52" customFormat="1" x14ac:dyDescent="0.25">
      <c r="A259" s="84">
        <v>6</v>
      </c>
      <c r="B259" s="85"/>
      <c r="C259" s="90" t="s">
        <v>265</v>
      </c>
      <c r="D259" s="91"/>
      <c r="E259" s="91"/>
      <c r="F259" s="92"/>
      <c r="G259" s="84" t="str">
        <f t="shared" si="28"/>
        <v>15th Floor (Part Refuge Area)</v>
      </c>
      <c r="H259" s="85"/>
      <c r="I259" s="16"/>
      <c r="J259" s="16"/>
    </row>
    <row r="260" spans="1:10" s="52" customFormat="1" x14ac:dyDescent="0.25">
      <c r="A260" s="84">
        <v>7</v>
      </c>
      <c r="B260" s="85"/>
      <c r="C260" s="93"/>
      <c r="D260" s="94"/>
      <c r="E260" s="94"/>
      <c r="F260" s="95"/>
      <c r="G260" s="84" t="str">
        <f t="shared" si="28"/>
        <v>15th Floor (Part Refuge Area)</v>
      </c>
      <c r="H260" s="85"/>
      <c r="I260" s="16"/>
      <c r="J260" s="16"/>
    </row>
    <row r="261" spans="1:10" s="52" customFormat="1" x14ac:dyDescent="0.25">
      <c r="A261" s="84">
        <v>8</v>
      </c>
      <c r="B261" s="85"/>
      <c r="C261" s="49" t="s">
        <v>259</v>
      </c>
      <c r="D261" s="63">
        <f>(35.31)*10.764</f>
        <v>380.07684</v>
      </c>
      <c r="E261" s="50">
        <v>0</v>
      </c>
      <c r="F261" s="50">
        <f>D261*(($F$174)+1)+(IF(E261&lt;101,E261,IF(E261&lt;201,E261/2,IF(E261&lt;=301,E261/3,E261/4))))</f>
        <v>570.11526000000003</v>
      </c>
      <c r="G261" s="84" t="str">
        <f t="shared" si="28"/>
        <v>15th Floor (Part Refuge Area)</v>
      </c>
      <c r="H261" s="85"/>
      <c r="I261" s="16"/>
      <c r="J261" s="16"/>
    </row>
    <row r="262" spans="1:10" s="52" customFormat="1" x14ac:dyDescent="0.25">
      <c r="A262" s="84">
        <v>9</v>
      </c>
      <c r="B262" s="85"/>
      <c r="C262" s="49" t="s">
        <v>259</v>
      </c>
      <c r="D262" s="63">
        <f>(33.4)*10.764</f>
        <v>359.51759999999996</v>
      </c>
      <c r="E262" s="50">
        <v>0</v>
      </c>
      <c r="F262" s="50">
        <f>D262*(($F$174)+1)+(IF(E262&lt;101,E262,IF(E262&lt;201,E262/2,IF(E262&lt;=301,E262/3,E262/4))))</f>
        <v>539.27639999999997</v>
      </c>
      <c r="G262" s="84" t="str">
        <f t="shared" si="28"/>
        <v>15th Floor (Part Refuge Area)</v>
      </c>
      <c r="H262" s="85"/>
      <c r="I262" s="16"/>
      <c r="J262" s="16"/>
    </row>
    <row r="263" spans="1:10" s="52" customFormat="1" x14ac:dyDescent="0.25">
      <c r="A263" s="84">
        <v>10</v>
      </c>
      <c r="B263" s="85"/>
      <c r="C263" s="49" t="s">
        <v>259</v>
      </c>
      <c r="D263" s="63">
        <f>(23.01)*10.764</f>
        <v>247.67964000000001</v>
      </c>
      <c r="E263" s="50">
        <v>0</v>
      </c>
      <c r="F263" s="50">
        <f>D263*(($F$174)+1)+(IF(E263&lt;101,E263,IF(E263&lt;201,E263/2,IF(E263&lt;=301,E263/3,E263/4))))</f>
        <v>371.51945999999998</v>
      </c>
      <c r="G263" s="84" t="str">
        <f t="shared" si="28"/>
        <v>15th Floor (Part Refuge Area)</v>
      </c>
      <c r="H263" s="85"/>
      <c r="I263" s="16"/>
      <c r="J263" s="16"/>
    </row>
    <row r="264" spans="1:10" s="52" customFormat="1" x14ac:dyDescent="0.25">
      <c r="A264" s="84">
        <v>11</v>
      </c>
      <c r="B264" s="85"/>
      <c r="C264" s="49" t="s">
        <v>259</v>
      </c>
      <c r="D264" s="63">
        <f>(23.01)*10.764</f>
        <v>247.67964000000001</v>
      </c>
      <c r="E264" s="50">
        <v>0</v>
      </c>
      <c r="F264" s="50">
        <f>D264*(($F$174)+1)+(IF(E264&lt;101,E264,IF(E264&lt;201,E264/2,IF(E264&lt;=301,E264/3,E264/4))))</f>
        <v>371.51945999999998</v>
      </c>
      <c r="G264" s="84" t="str">
        <f t="shared" si="28"/>
        <v>15th Floor (Part Refuge Area)</v>
      </c>
      <c r="H264" s="85"/>
      <c r="I264" s="16"/>
      <c r="J264" s="16"/>
    </row>
    <row r="265" spans="1:10" s="30" customFormat="1" x14ac:dyDescent="0.25">
      <c r="A265" s="153" t="s">
        <v>68</v>
      </c>
      <c r="B265" s="153"/>
      <c r="C265" s="153"/>
      <c r="D265" s="153"/>
      <c r="E265" s="153"/>
      <c r="F265" s="153"/>
      <c r="G265" s="153"/>
      <c r="H265" s="153"/>
      <c r="I265" s="16"/>
      <c r="J265" s="16"/>
    </row>
    <row r="266" spans="1:10" s="30" customFormat="1" ht="31.5" customHeight="1" x14ac:dyDescent="0.25">
      <c r="A266" s="40" t="s">
        <v>148</v>
      </c>
      <c r="B266" s="147" t="s">
        <v>305</v>
      </c>
      <c r="C266" s="148"/>
      <c r="D266" s="148"/>
      <c r="E266" s="148"/>
      <c r="F266" s="148"/>
      <c r="G266" s="148"/>
      <c r="H266" s="149"/>
      <c r="I266" s="16"/>
      <c r="J266" s="16"/>
    </row>
    <row r="267" spans="1:10" s="30" customFormat="1" x14ac:dyDescent="0.25">
      <c r="A267" s="40" t="s">
        <v>148</v>
      </c>
      <c r="B267" s="147" t="str">
        <f>(IF(F173="Saleable area Loading :","We have considered Saleable area of Flats as per our Calculation.","We considered Saleable area of Flat as per Builder area Sheet."))</f>
        <v>We have considered Saleable area of Flats as per our Calculation.</v>
      </c>
      <c r="C267" s="148"/>
      <c r="D267" s="148"/>
      <c r="E267" s="148"/>
      <c r="F267" s="148"/>
      <c r="G267" s="148"/>
      <c r="H267" s="149"/>
      <c r="I267" s="16"/>
      <c r="J267" s="16"/>
    </row>
    <row r="268" spans="1:10" s="30" customFormat="1" x14ac:dyDescent="0.25">
      <c r="A268" s="40" t="s">
        <v>148</v>
      </c>
      <c r="B268" s="147" t="str">
        <f>(IF(F110="Saleable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68" s="148"/>
      <c r="D268" s="148"/>
      <c r="E268" s="148"/>
      <c r="F268" s="148"/>
      <c r="G268" s="148"/>
      <c r="H268" s="149"/>
      <c r="I268" s="16"/>
      <c r="J268" s="16"/>
    </row>
    <row r="269" spans="1:10" s="30" customFormat="1" x14ac:dyDescent="0.25">
      <c r="A269" s="40" t="s">
        <v>148</v>
      </c>
      <c r="B269" s="144" t="s">
        <v>119</v>
      </c>
      <c r="C269" s="145"/>
      <c r="D269" s="145"/>
      <c r="E269" s="145"/>
      <c r="F269" s="145"/>
      <c r="G269" s="145"/>
      <c r="H269" s="146"/>
      <c r="I269" s="16"/>
      <c r="J269" s="16"/>
    </row>
    <row r="270" spans="1:10" s="30" customFormat="1" x14ac:dyDescent="0.25">
      <c r="A270" s="40" t="s">
        <v>148</v>
      </c>
      <c r="B270" s="147" t="s">
        <v>273</v>
      </c>
      <c r="C270" s="148"/>
      <c r="D270" s="148"/>
      <c r="E270" s="148"/>
      <c r="F270" s="148"/>
      <c r="G270" s="148"/>
      <c r="H270" s="149"/>
      <c r="I270" s="16"/>
      <c r="J270" s="16"/>
    </row>
    <row r="271" spans="1:10" s="30" customFormat="1" x14ac:dyDescent="0.25">
      <c r="A271" s="40" t="s">
        <v>148</v>
      </c>
      <c r="B271" s="144" t="s">
        <v>147</v>
      </c>
      <c r="C271" s="145"/>
      <c r="D271" s="145"/>
      <c r="E271" s="145"/>
      <c r="F271" s="145"/>
      <c r="G271" s="145"/>
      <c r="H271" s="146"/>
      <c r="I271" s="16"/>
      <c r="J271" s="16"/>
    </row>
    <row r="272" spans="1:10" s="30" customFormat="1" x14ac:dyDescent="0.25">
      <c r="A272" s="40" t="s">
        <v>148</v>
      </c>
      <c r="B272" s="144" t="s">
        <v>120</v>
      </c>
      <c r="C272" s="145"/>
      <c r="D272" s="145"/>
      <c r="E272" s="145"/>
      <c r="F272" s="145"/>
      <c r="G272" s="145"/>
      <c r="H272" s="146"/>
      <c r="I272" s="16"/>
      <c r="J272" s="16"/>
    </row>
    <row r="273" spans="1:10" s="30" customFormat="1" ht="34.5" customHeight="1" x14ac:dyDescent="0.25">
      <c r="A273" s="40" t="s">
        <v>148</v>
      </c>
      <c r="B273" s="144" t="s">
        <v>149</v>
      </c>
      <c r="C273" s="145"/>
      <c r="D273" s="145"/>
      <c r="E273" s="145"/>
      <c r="F273" s="145"/>
      <c r="G273" s="145"/>
      <c r="H273" s="146"/>
      <c r="I273" s="16"/>
      <c r="J273" s="16"/>
    </row>
    <row r="274" spans="1:10" s="30" customFormat="1" x14ac:dyDescent="0.25">
      <c r="A274" s="40" t="s">
        <v>148</v>
      </c>
      <c r="B274" s="144" t="s">
        <v>121</v>
      </c>
      <c r="C274" s="145"/>
      <c r="D274" s="145"/>
      <c r="E274" s="145"/>
      <c r="F274" s="145"/>
      <c r="G274" s="145"/>
      <c r="H274" s="146"/>
      <c r="I274" s="16"/>
      <c r="J274" s="16"/>
    </row>
    <row r="275" spans="1:10" s="30" customFormat="1" ht="32.25" customHeight="1" x14ac:dyDescent="0.25">
      <c r="A275" s="46" t="s">
        <v>148</v>
      </c>
      <c r="B275" s="76" t="s">
        <v>289</v>
      </c>
      <c r="C275" s="77"/>
      <c r="D275" s="77"/>
      <c r="E275" s="77"/>
      <c r="F275" s="77"/>
      <c r="G275" s="77"/>
      <c r="H275" s="78"/>
      <c r="I275" s="16"/>
      <c r="J275" s="16"/>
    </row>
    <row r="276" spans="1:10" s="30" customFormat="1" x14ac:dyDescent="0.25">
      <c r="A276" s="72" t="s">
        <v>148</v>
      </c>
      <c r="B276" s="76" t="s">
        <v>297</v>
      </c>
      <c r="C276" s="77"/>
      <c r="D276" s="77"/>
      <c r="E276" s="77"/>
      <c r="F276" s="77"/>
      <c r="G276" s="77"/>
      <c r="H276" s="78"/>
      <c r="I276" s="16"/>
      <c r="J276" s="16"/>
    </row>
    <row r="277" spans="1:10" x14ac:dyDescent="0.25">
      <c r="A277" s="127" t="s">
        <v>61</v>
      </c>
      <c r="B277" s="127"/>
      <c r="C277" s="127"/>
      <c r="D277" s="127"/>
      <c r="E277" s="127"/>
      <c r="F277" s="127"/>
      <c r="G277" s="127"/>
      <c r="H277" s="127"/>
    </row>
    <row r="278" spans="1:10" x14ac:dyDescent="0.25">
      <c r="A278" s="117" t="s">
        <v>62</v>
      </c>
      <c r="B278" s="117"/>
      <c r="C278" s="117"/>
      <c r="D278" s="117"/>
      <c r="E278" s="117"/>
      <c r="F278" s="117"/>
      <c r="G278" s="117"/>
      <c r="H278" s="117"/>
    </row>
    <row r="279" spans="1:10" ht="15.75" customHeight="1" x14ac:dyDescent="0.25">
      <c r="A279" s="135" t="s">
        <v>63</v>
      </c>
      <c r="B279" s="135"/>
      <c r="C279" s="135"/>
      <c r="D279" s="135"/>
      <c r="E279" s="135"/>
      <c r="F279" s="135"/>
      <c r="G279" s="135"/>
      <c r="H279" s="135"/>
    </row>
    <row r="280" spans="1:10" x14ac:dyDescent="0.25">
      <c r="A280" s="117" t="s">
        <v>64</v>
      </c>
      <c r="B280" s="117"/>
      <c r="C280" s="117"/>
      <c r="D280" s="117"/>
      <c r="E280" s="117"/>
      <c r="F280" s="117"/>
      <c r="G280" s="117"/>
      <c r="H280" s="117"/>
    </row>
    <row r="281" spans="1:10" x14ac:dyDescent="0.25">
      <c r="A281" s="117" t="s">
        <v>65</v>
      </c>
      <c r="B281" s="117"/>
      <c r="C281" s="117"/>
      <c r="D281" s="117"/>
      <c r="E281" s="117"/>
      <c r="F281" s="117"/>
      <c r="G281" s="117"/>
      <c r="H281" s="117"/>
    </row>
    <row r="282" spans="1:10" x14ac:dyDescent="0.25">
      <c r="A282" s="117" t="s">
        <v>122</v>
      </c>
      <c r="B282" s="117"/>
      <c r="C282" s="117"/>
      <c r="D282" s="117"/>
      <c r="E282" s="117"/>
      <c r="F282" s="117"/>
      <c r="G282" s="117"/>
      <c r="H282" s="117"/>
    </row>
    <row r="283" spans="1:10" ht="33.950000000000003" customHeight="1" x14ac:dyDescent="0.25">
      <c r="A283" s="118" t="s">
        <v>123</v>
      </c>
      <c r="B283" s="118"/>
      <c r="C283" s="118"/>
      <c r="D283" s="118"/>
      <c r="E283" s="118"/>
      <c r="F283" s="118"/>
      <c r="G283" s="118"/>
      <c r="H283" s="118"/>
    </row>
    <row r="284" spans="1:10" x14ac:dyDescent="0.25">
      <c r="A284" s="157" t="s">
        <v>75</v>
      </c>
      <c r="B284" s="157"/>
      <c r="C284" s="157" t="s">
        <v>300</v>
      </c>
      <c r="D284" s="157"/>
      <c r="E284" s="157" t="s">
        <v>102</v>
      </c>
      <c r="F284" s="157"/>
      <c r="G284" s="157" t="s">
        <v>304</v>
      </c>
      <c r="H284" s="157"/>
    </row>
    <row r="285" spans="1:10" x14ac:dyDescent="0.25">
      <c r="A285" s="156" t="s">
        <v>77</v>
      </c>
      <c r="B285" s="156"/>
      <c r="C285" s="156"/>
      <c r="D285" s="156"/>
      <c r="E285" s="156"/>
      <c r="F285" s="156"/>
      <c r="G285" s="156"/>
      <c r="H285" s="156"/>
    </row>
    <row r="286" spans="1:10" x14ac:dyDescent="0.25">
      <c r="A286" s="156"/>
      <c r="B286" s="156"/>
      <c r="C286" s="156"/>
      <c r="D286" s="156"/>
      <c r="E286" s="156"/>
      <c r="F286" s="156"/>
      <c r="G286" s="156"/>
      <c r="H286" s="156"/>
    </row>
    <row r="287" spans="1:10" x14ac:dyDescent="0.25">
      <c r="A287" s="156"/>
      <c r="B287" s="156"/>
      <c r="C287" s="156"/>
      <c r="D287" s="156"/>
      <c r="E287" s="156"/>
      <c r="F287" s="156"/>
      <c r="G287" s="156"/>
      <c r="H287" s="156"/>
    </row>
    <row r="288" spans="1:10" x14ac:dyDescent="0.25">
      <c r="A288" s="156"/>
      <c r="B288" s="156"/>
      <c r="C288" s="156"/>
      <c r="D288" s="156"/>
      <c r="E288" s="156"/>
      <c r="F288" s="156"/>
      <c r="G288" s="156"/>
      <c r="H288" s="156"/>
    </row>
    <row r="289" spans="1:8" x14ac:dyDescent="0.25">
      <c r="A289" s="33" t="s">
        <v>66</v>
      </c>
      <c r="B289" s="34"/>
      <c r="C289" s="34"/>
      <c r="D289" s="33" t="str">
        <f>E8</f>
        <v>Marathon Neovalley Narmada Wing B</v>
      </c>
      <c r="F289" s="34"/>
      <c r="G289" s="34"/>
      <c r="H289" s="34"/>
    </row>
    <row r="290" spans="1:8" x14ac:dyDescent="0.25">
      <c r="A290" s="34"/>
      <c r="B290" s="34"/>
      <c r="C290" s="34"/>
      <c r="D290" s="34"/>
      <c r="E290" s="34"/>
      <c r="F290" s="34"/>
      <c r="G290" s="34"/>
      <c r="H290" s="34"/>
    </row>
    <row r="291" spans="1:8" x14ac:dyDescent="0.25">
      <c r="A291" s="34"/>
      <c r="B291" s="34"/>
      <c r="C291" s="34"/>
      <c r="D291" s="34"/>
      <c r="E291" s="34"/>
      <c r="F291" s="34"/>
      <c r="G291" s="34"/>
      <c r="H291" s="34"/>
    </row>
    <row r="292" spans="1:8" ht="15" customHeight="1" x14ac:dyDescent="0.25"/>
    <row r="321" spans="1:10" x14ac:dyDescent="0.25">
      <c r="J321" s="16" t="s">
        <v>303</v>
      </c>
    </row>
    <row r="331" spans="1:10" x14ac:dyDescent="0.25">
      <c r="A331" s="36" t="s">
        <v>159</v>
      </c>
    </row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spans="1:1" hidden="1" x14ac:dyDescent="0.25"/>
    <row r="370" spans="1:1" hidden="1" x14ac:dyDescent="0.25"/>
    <row r="371" spans="1:1" hidden="1" x14ac:dyDescent="0.25"/>
    <row r="372" spans="1:1" hidden="1" x14ac:dyDescent="0.25"/>
    <row r="373" spans="1:1" hidden="1" x14ac:dyDescent="0.25"/>
    <row r="374" spans="1:1" hidden="1" x14ac:dyDescent="0.25"/>
    <row r="375" spans="1:1" x14ac:dyDescent="0.25">
      <c r="A375" s="36" t="s">
        <v>67</v>
      </c>
    </row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</sheetData>
  <mergeCells count="555">
    <mergeCell ref="C52:H52"/>
    <mergeCell ref="A85:E85"/>
    <mergeCell ref="A39:B39"/>
    <mergeCell ref="C39:H39"/>
    <mergeCell ref="B273:H273"/>
    <mergeCell ref="A48:B48"/>
    <mergeCell ref="C48:H48"/>
    <mergeCell ref="B271:H271"/>
    <mergeCell ref="F82:H82"/>
    <mergeCell ref="A82:E82"/>
    <mergeCell ref="G195:H195"/>
    <mergeCell ref="G185:H185"/>
    <mergeCell ref="G182:H182"/>
    <mergeCell ref="D110:D111"/>
    <mergeCell ref="A84:E84"/>
    <mergeCell ref="A83:E83"/>
    <mergeCell ref="A80:E80"/>
    <mergeCell ref="F84:H84"/>
    <mergeCell ref="A186:B186"/>
    <mergeCell ref="A183:B183"/>
    <mergeCell ref="A184:B184"/>
    <mergeCell ref="A91:E91"/>
    <mergeCell ref="B110:B111"/>
    <mergeCell ref="A110:A111"/>
    <mergeCell ref="C173:C174"/>
    <mergeCell ref="L129:M129"/>
    <mergeCell ref="G178:H178"/>
    <mergeCell ref="L178:M178"/>
    <mergeCell ref="G127:H127"/>
    <mergeCell ref="L162:M162"/>
    <mergeCell ref="L116:M116"/>
    <mergeCell ref="L117:M117"/>
    <mergeCell ref="L118:M118"/>
    <mergeCell ref="L119:M119"/>
    <mergeCell ref="L120:M120"/>
    <mergeCell ref="L121:M121"/>
    <mergeCell ref="L122:M122"/>
    <mergeCell ref="L123:M123"/>
    <mergeCell ref="L124:M124"/>
    <mergeCell ref="L125:M125"/>
    <mergeCell ref="L126:M126"/>
    <mergeCell ref="L130:M130"/>
    <mergeCell ref="L127:M127"/>
    <mergeCell ref="G128:H128"/>
    <mergeCell ref="K128:L128"/>
    <mergeCell ref="G130:H130"/>
    <mergeCell ref="G131:H131"/>
    <mergeCell ref="G136:H136"/>
    <mergeCell ref="C38:H38"/>
    <mergeCell ref="A45:D45"/>
    <mergeCell ref="L160:M160"/>
    <mergeCell ref="L159:M159"/>
    <mergeCell ref="L158:M158"/>
    <mergeCell ref="L157:M157"/>
    <mergeCell ref="A77:B77"/>
    <mergeCell ref="C106:D106"/>
    <mergeCell ref="E106:F106"/>
    <mergeCell ref="G106:H106"/>
    <mergeCell ref="F87:H87"/>
    <mergeCell ref="A81:E81"/>
    <mergeCell ref="A156:H156"/>
    <mergeCell ref="E110:E111"/>
    <mergeCell ref="G110:H111"/>
    <mergeCell ref="E70:F79"/>
    <mergeCell ref="G70:H79"/>
    <mergeCell ref="A78:B78"/>
    <mergeCell ref="A79:B79"/>
    <mergeCell ref="A76:B76"/>
    <mergeCell ref="A69:B69"/>
    <mergeCell ref="A72:B72"/>
    <mergeCell ref="A68:B68"/>
    <mergeCell ref="C96:D96"/>
    <mergeCell ref="A37:H37"/>
    <mergeCell ref="A36:B36"/>
    <mergeCell ref="C36:E36"/>
    <mergeCell ref="A41:D41"/>
    <mergeCell ref="E41:H41"/>
    <mergeCell ref="A40:H40"/>
    <mergeCell ref="A59:C59"/>
    <mergeCell ref="A60:C60"/>
    <mergeCell ref="D59:H59"/>
    <mergeCell ref="D60:H60"/>
    <mergeCell ref="A43:D43"/>
    <mergeCell ref="E43:H43"/>
    <mergeCell ref="E44:H44"/>
    <mergeCell ref="E45:H45"/>
    <mergeCell ref="E46:H46"/>
    <mergeCell ref="A44:D44"/>
    <mergeCell ref="F36:H36"/>
    <mergeCell ref="A46:D46"/>
    <mergeCell ref="A47:H47"/>
    <mergeCell ref="D57:H57"/>
    <mergeCell ref="A57:C57"/>
    <mergeCell ref="G50:H50"/>
    <mergeCell ref="A51:B52"/>
    <mergeCell ref="A38:B38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F33:H33"/>
    <mergeCell ref="F34:H34"/>
    <mergeCell ref="E26:H26"/>
    <mergeCell ref="A28:D28"/>
    <mergeCell ref="E28:H28"/>
    <mergeCell ref="A25:D25"/>
    <mergeCell ref="E25:H25"/>
    <mergeCell ref="A24:D24"/>
    <mergeCell ref="E24:H24"/>
    <mergeCell ref="A29:D29"/>
    <mergeCell ref="E29:H29"/>
    <mergeCell ref="A26:D26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18:B18"/>
    <mergeCell ref="C18:D18"/>
    <mergeCell ref="E18:F18"/>
    <mergeCell ref="G18:H18"/>
    <mergeCell ref="A19:B19"/>
    <mergeCell ref="C19:D19"/>
    <mergeCell ref="A62:C62"/>
    <mergeCell ref="D62:H62"/>
    <mergeCell ref="A65:C65"/>
    <mergeCell ref="D65:H65"/>
    <mergeCell ref="A63:C63"/>
    <mergeCell ref="D64:H64"/>
    <mergeCell ref="A70:B70"/>
    <mergeCell ref="G69:H69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285:H288"/>
    <mergeCell ref="A284:B284"/>
    <mergeCell ref="E284:F284"/>
    <mergeCell ref="C284:D284"/>
    <mergeCell ref="G284:H284"/>
    <mergeCell ref="A94:H94"/>
    <mergeCell ref="A181:H181"/>
    <mergeCell ref="A106:B106"/>
    <mergeCell ref="A196:B196"/>
    <mergeCell ref="A96:B96"/>
    <mergeCell ref="A280:H280"/>
    <mergeCell ref="A104:H104"/>
    <mergeCell ref="A283:H283"/>
    <mergeCell ref="A281:H281"/>
    <mergeCell ref="A277:H277"/>
    <mergeCell ref="G105:H105"/>
    <mergeCell ref="G206:H206"/>
    <mergeCell ref="A198:B198"/>
    <mergeCell ref="C110:C111"/>
    <mergeCell ref="B173:B174"/>
    <mergeCell ref="E96:F96"/>
    <mergeCell ref="A108:H108"/>
    <mergeCell ref="G221:H221"/>
    <mergeCell ref="B266:H266"/>
    <mergeCell ref="B267:H267"/>
    <mergeCell ref="A206:B206"/>
    <mergeCell ref="A173:A174"/>
    <mergeCell ref="F80:H80"/>
    <mergeCell ref="F85:H85"/>
    <mergeCell ref="A86:E86"/>
    <mergeCell ref="F86:H86"/>
    <mergeCell ref="A87:E87"/>
    <mergeCell ref="A89:E89"/>
    <mergeCell ref="F83:H83"/>
    <mergeCell ref="A88:E88"/>
    <mergeCell ref="A172:H172"/>
    <mergeCell ref="G118:H118"/>
    <mergeCell ref="G119:H119"/>
    <mergeCell ref="G120:H120"/>
    <mergeCell ref="G121:H121"/>
    <mergeCell ref="G122:H122"/>
    <mergeCell ref="G123:H123"/>
    <mergeCell ref="G124:H124"/>
    <mergeCell ref="G125:H125"/>
    <mergeCell ref="G126:H126"/>
    <mergeCell ref="G107:H107"/>
    <mergeCell ref="A92:E92"/>
    <mergeCell ref="F92:H92"/>
    <mergeCell ref="B274:H274"/>
    <mergeCell ref="G159:H159"/>
    <mergeCell ref="G157:H157"/>
    <mergeCell ref="G158:H158"/>
    <mergeCell ref="G160:H160"/>
    <mergeCell ref="B272:H272"/>
    <mergeCell ref="B268:H268"/>
    <mergeCell ref="A220:B220"/>
    <mergeCell ref="G220:H220"/>
    <mergeCell ref="G219:H219"/>
    <mergeCell ref="A217:H217"/>
    <mergeCell ref="A218:B218"/>
    <mergeCell ref="A219:B219"/>
    <mergeCell ref="A222:B222"/>
    <mergeCell ref="G222:H222"/>
    <mergeCell ref="A221:B221"/>
    <mergeCell ref="G183:H183"/>
    <mergeCell ref="B269:H269"/>
    <mergeCell ref="B270:H270"/>
    <mergeCell ref="G218:H218"/>
    <mergeCell ref="G210:H210"/>
    <mergeCell ref="A265:H265"/>
    <mergeCell ref="A209:B209"/>
    <mergeCell ref="A210:B210"/>
    <mergeCell ref="A282:H282"/>
    <mergeCell ref="A279:H279"/>
    <mergeCell ref="G209:H209"/>
    <mergeCell ref="A182:B182"/>
    <mergeCell ref="A105:B105"/>
    <mergeCell ref="D173:D174"/>
    <mergeCell ref="E173:E174"/>
    <mergeCell ref="G173:H174"/>
    <mergeCell ref="F81:H81"/>
    <mergeCell ref="G96:H96"/>
    <mergeCell ref="F88:H88"/>
    <mergeCell ref="C95:D95"/>
    <mergeCell ref="A177:H177"/>
    <mergeCell ref="A197:B197"/>
    <mergeCell ref="A194:B194"/>
    <mergeCell ref="G129:H129"/>
    <mergeCell ref="G184:H184"/>
    <mergeCell ref="B275:H275"/>
    <mergeCell ref="G162:H162"/>
    <mergeCell ref="A115:H115"/>
    <mergeCell ref="G116:H116"/>
    <mergeCell ref="G117:H117"/>
    <mergeCell ref="A278:H278"/>
    <mergeCell ref="E105:F105"/>
    <mergeCell ref="E42:H42"/>
    <mergeCell ref="A42:D42"/>
    <mergeCell ref="A75:B75"/>
    <mergeCell ref="A49:B49"/>
    <mergeCell ref="C49:E49"/>
    <mergeCell ref="G49:H49"/>
    <mergeCell ref="G51:H51"/>
    <mergeCell ref="A50:B50"/>
    <mergeCell ref="A54:H54"/>
    <mergeCell ref="A55:C55"/>
    <mergeCell ref="A56:C56"/>
    <mergeCell ref="D56:H56"/>
    <mergeCell ref="G53:H53"/>
    <mergeCell ref="C51:E51"/>
    <mergeCell ref="A58:C58"/>
    <mergeCell ref="D58:H58"/>
    <mergeCell ref="C50:E50"/>
    <mergeCell ref="A74:B74"/>
    <mergeCell ref="A61:C61"/>
    <mergeCell ref="D61:H61"/>
    <mergeCell ref="C68:H68"/>
    <mergeCell ref="A71:B71"/>
    <mergeCell ref="A73:B73"/>
    <mergeCell ref="E69:F69"/>
    <mergeCell ref="A93:E93"/>
    <mergeCell ref="F93:H93"/>
    <mergeCell ref="A66:B66"/>
    <mergeCell ref="C66:H66"/>
    <mergeCell ref="I14:P14"/>
    <mergeCell ref="G207:H207"/>
    <mergeCell ref="F91:H91"/>
    <mergeCell ref="F89:H89"/>
    <mergeCell ref="A195:B195"/>
    <mergeCell ref="A109:H109"/>
    <mergeCell ref="G95:H95"/>
    <mergeCell ref="A90:E90"/>
    <mergeCell ref="A53:B53"/>
    <mergeCell ref="C53:E53"/>
    <mergeCell ref="D55:H55"/>
    <mergeCell ref="F90:H90"/>
    <mergeCell ref="E95:F95"/>
    <mergeCell ref="A95:B95"/>
    <mergeCell ref="C105:D105"/>
    <mergeCell ref="D63:H63"/>
    <mergeCell ref="A64:C64"/>
    <mergeCell ref="A114:H114"/>
    <mergeCell ref="G161:H161"/>
    <mergeCell ref="L161:M161"/>
    <mergeCell ref="A107:B107"/>
    <mergeCell ref="C107:D107"/>
    <mergeCell ref="E107:F107"/>
    <mergeCell ref="L131:M131"/>
    <mergeCell ref="G132:H132"/>
    <mergeCell ref="L132:M132"/>
    <mergeCell ref="G133:H133"/>
    <mergeCell ref="L133:M133"/>
    <mergeCell ref="G134:H134"/>
    <mergeCell ref="L134:M134"/>
    <mergeCell ref="G135:H135"/>
    <mergeCell ref="L135:M135"/>
    <mergeCell ref="L136:M136"/>
    <mergeCell ref="G137:H137"/>
    <mergeCell ref="L137:M137"/>
    <mergeCell ref="G138:H138"/>
    <mergeCell ref="L138:M138"/>
    <mergeCell ref="G139:H139"/>
    <mergeCell ref="L139:M139"/>
    <mergeCell ref="G140:H140"/>
    <mergeCell ref="L140:M140"/>
    <mergeCell ref="G141:H141"/>
    <mergeCell ref="L141:M141"/>
    <mergeCell ref="G142:H142"/>
    <mergeCell ref="L142:M142"/>
    <mergeCell ref="G143:H143"/>
    <mergeCell ref="L143:M143"/>
    <mergeCell ref="G144:H144"/>
    <mergeCell ref="L144:M144"/>
    <mergeCell ref="G145:H145"/>
    <mergeCell ref="L145:M145"/>
    <mergeCell ref="G146:H146"/>
    <mergeCell ref="L146:M146"/>
    <mergeCell ref="G147:H147"/>
    <mergeCell ref="L147:M147"/>
    <mergeCell ref="G148:H148"/>
    <mergeCell ref="L148:M148"/>
    <mergeCell ref="G149:H149"/>
    <mergeCell ref="L149:M149"/>
    <mergeCell ref="G150:H150"/>
    <mergeCell ref="L150:M150"/>
    <mergeCell ref="G163:H163"/>
    <mergeCell ref="L163:M163"/>
    <mergeCell ref="A164:H164"/>
    <mergeCell ref="G165:H165"/>
    <mergeCell ref="L165:M165"/>
    <mergeCell ref="G166:H166"/>
    <mergeCell ref="L166:M166"/>
    <mergeCell ref="G151:H151"/>
    <mergeCell ref="L151:M151"/>
    <mergeCell ref="G152:H152"/>
    <mergeCell ref="L152:M152"/>
    <mergeCell ref="G153:H153"/>
    <mergeCell ref="L153:M153"/>
    <mergeCell ref="G154:H154"/>
    <mergeCell ref="L154:M154"/>
    <mergeCell ref="G155:H155"/>
    <mergeCell ref="L155:M155"/>
    <mergeCell ref="G167:H167"/>
    <mergeCell ref="L167:M167"/>
    <mergeCell ref="G168:H168"/>
    <mergeCell ref="L168:M168"/>
    <mergeCell ref="G169:H169"/>
    <mergeCell ref="L169:M169"/>
    <mergeCell ref="G170:H170"/>
    <mergeCell ref="L170:M170"/>
    <mergeCell ref="G171:H171"/>
    <mergeCell ref="L171:M171"/>
    <mergeCell ref="A179:H179"/>
    <mergeCell ref="G180:H180"/>
    <mergeCell ref="K180:L180"/>
    <mergeCell ref="A187:B187"/>
    <mergeCell ref="G187:H187"/>
    <mergeCell ref="A188:B188"/>
    <mergeCell ref="G188:H188"/>
    <mergeCell ref="A189:B189"/>
    <mergeCell ref="G189:H189"/>
    <mergeCell ref="A185:B185"/>
    <mergeCell ref="G186:H186"/>
    <mergeCell ref="L181:M181"/>
    <mergeCell ref="A190:B190"/>
    <mergeCell ref="G190:H190"/>
    <mergeCell ref="A191:B191"/>
    <mergeCell ref="G191:H191"/>
    <mergeCell ref="A192:B192"/>
    <mergeCell ref="G192:H192"/>
    <mergeCell ref="A199:B199"/>
    <mergeCell ref="G199:H199"/>
    <mergeCell ref="A200:B200"/>
    <mergeCell ref="G200:H200"/>
    <mergeCell ref="A193:H193"/>
    <mergeCell ref="G196:H196"/>
    <mergeCell ref="G194:H194"/>
    <mergeCell ref="G198:H198"/>
    <mergeCell ref="G197:H197"/>
    <mergeCell ref="A201:B201"/>
    <mergeCell ref="G201:H201"/>
    <mergeCell ref="A202:B202"/>
    <mergeCell ref="G202:H202"/>
    <mergeCell ref="A203:B203"/>
    <mergeCell ref="G203:H203"/>
    <mergeCell ref="A204:B204"/>
    <mergeCell ref="G204:H204"/>
    <mergeCell ref="A211:B211"/>
    <mergeCell ref="G211:H211"/>
    <mergeCell ref="G208:H208"/>
    <mergeCell ref="A205:H205"/>
    <mergeCell ref="A207:B207"/>
    <mergeCell ref="A208:B208"/>
    <mergeCell ref="A212:B212"/>
    <mergeCell ref="G212:H212"/>
    <mergeCell ref="A213:B213"/>
    <mergeCell ref="G213:H213"/>
    <mergeCell ref="A214:B214"/>
    <mergeCell ref="G214:H214"/>
    <mergeCell ref="A215:B215"/>
    <mergeCell ref="G215:H215"/>
    <mergeCell ref="A216:B216"/>
    <mergeCell ref="G216:H216"/>
    <mergeCell ref="C211:F212"/>
    <mergeCell ref="A223:B223"/>
    <mergeCell ref="G223:H223"/>
    <mergeCell ref="A224:B224"/>
    <mergeCell ref="G224:H224"/>
    <mergeCell ref="A225:B225"/>
    <mergeCell ref="G225:H225"/>
    <mergeCell ref="A226:B226"/>
    <mergeCell ref="G226:H226"/>
    <mergeCell ref="A227:B227"/>
    <mergeCell ref="G227:H227"/>
    <mergeCell ref="A228:B228"/>
    <mergeCell ref="G228:H228"/>
    <mergeCell ref="A229:H229"/>
    <mergeCell ref="A230:B230"/>
    <mergeCell ref="G230:H230"/>
    <mergeCell ref="A231:B231"/>
    <mergeCell ref="G231:H231"/>
    <mergeCell ref="A232:B232"/>
    <mergeCell ref="G232:H232"/>
    <mergeCell ref="A233:B233"/>
    <mergeCell ref="G233:H233"/>
    <mergeCell ref="A234:B234"/>
    <mergeCell ref="G234:H234"/>
    <mergeCell ref="A235:B235"/>
    <mergeCell ref="G235:H235"/>
    <mergeCell ref="A236:B236"/>
    <mergeCell ref="G236:H236"/>
    <mergeCell ref="A237:B237"/>
    <mergeCell ref="G237:H237"/>
    <mergeCell ref="A238:B238"/>
    <mergeCell ref="G238:H238"/>
    <mergeCell ref="A239:B239"/>
    <mergeCell ref="G239:H239"/>
    <mergeCell ref="A240:B240"/>
    <mergeCell ref="G240:H240"/>
    <mergeCell ref="A241:H241"/>
    <mergeCell ref="A242:B242"/>
    <mergeCell ref="G242:H242"/>
    <mergeCell ref="A243:B243"/>
    <mergeCell ref="G243:H243"/>
    <mergeCell ref="A244:B244"/>
    <mergeCell ref="G244:H244"/>
    <mergeCell ref="A245:B245"/>
    <mergeCell ref="G245:H245"/>
    <mergeCell ref="A246:B246"/>
    <mergeCell ref="G246:H246"/>
    <mergeCell ref="A247:B247"/>
    <mergeCell ref="G247:H247"/>
    <mergeCell ref="A101:H101"/>
    <mergeCell ref="A263:B263"/>
    <mergeCell ref="G263:H263"/>
    <mergeCell ref="A264:B264"/>
    <mergeCell ref="G264:H264"/>
    <mergeCell ref="C259:F260"/>
    <mergeCell ref="A113:H113"/>
    <mergeCell ref="A112:H112"/>
    <mergeCell ref="A175:H175"/>
    <mergeCell ref="A176:H176"/>
    <mergeCell ref="A258:B258"/>
    <mergeCell ref="G258:H258"/>
    <mergeCell ref="A259:B259"/>
    <mergeCell ref="G259:H259"/>
    <mergeCell ref="A260:B260"/>
    <mergeCell ref="G260:H260"/>
    <mergeCell ref="A261:B261"/>
    <mergeCell ref="G261:H261"/>
    <mergeCell ref="A262:B262"/>
    <mergeCell ref="G262:H262"/>
    <mergeCell ref="A253:H253"/>
    <mergeCell ref="A254:B254"/>
    <mergeCell ref="G254:H254"/>
    <mergeCell ref="A255:B255"/>
    <mergeCell ref="A99:B99"/>
    <mergeCell ref="C99:D99"/>
    <mergeCell ref="E99:F99"/>
    <mergeCell ref="G99:H99"/>
    <mergeCell ref="A100:B100"/>
    <mergeCell ref="C100:D100"/>
    <mergeCell ref="E100:F100"/>
    <mergeCell ref="G100:H100"/>
    <mergeCell ref="A97:H97"/>
    <mergeCell ref="A98:B98"/>
    <mergeCell ref="C98:D98"/>
    <mergeCell ref="E98:F98"/>
    <mergeCell ref="G98:H98"/>
    <mergeCell ref="B276:H276"/>
    <mergeCell ref="A102:B102"/>
    <mergeCell ref="C102:D102"/>
    <mergeCell ref="E102:F102"/>
    <mergeCell ref="G102:H102"/>
    <mergeCell ref="A103:B103"/>
    <mergeCell ref="C103:D103"/>
    <mergeCell ref="E103:F103"/>
    <mergeCell ref="G103:H103"/>
    <mergeCell ref="G255:H255"/>
    <mergeCell ref="A256:B256"/>
    <mergeCell ref="G256:H256"/>
    <mergeCell ref="A257:B257"/>
    <mergeCell ref="G257:H257"/>
    <mergeCell ref="A248:B248"/>
    <mergeCell ref="G248:H248"/>
    <mergeCell ref="A249:B249"/>
    <mergeCell ref="G249:H249"/>
    <mergeCell ref="A250:B250"/>
    <mergeCell ref="G250:H250"/>
    <mergeCell ref="A251:B251"/>
    <mergeCell ref="G251:H251"/>
    <mergeCell ref="A252:B252"/>
    <mergeCell ref="G252:H252"/>
  </mergeCells>
  <dataValidations count="13">
    <dataValidation type="list" allowBlank="1" showInputMessage="1" showErrorMessage="1" sqref="E4:H4">
      <formula1>"Axis Goregaon,Axis Thane,Axis Badlapur,Axis Sanpada, PNB Thane"</formula1>
    </dataValidation>
    <dataValidation type="list" allowBlank="1" showInputMessage="1" showErrorMessage="1" sqref="A16:B16">
      <formula1>"CTS No,Survey No,Plot No,Gut No,FP No,"</formula1>
    </dataValidation>
    <dataValidation type="list" allowBlank="1" showInputMessage="1" showErrorMessage="1" sqref="G19:H19">
      <formula1>$S$12:$W$12</formula1>
    </dataValidation>
    <dataValidation type="list" allowBlank="1" showInputMessage="1" showErrorMessage="1" sqref="E110:E111">
      <formula1>"Attached Loft area,Attached Terrace area,Attached Mezzanine area"</formula1>
    </dataValidation>
    <dataValidation type="list" allowBlank="1" showInputMessage="1" showErrorMessage="1" sqref="F111 F174">
      <formula1>"45%,50%,55%,60%"</formula1>
    </dataValidation>
    <dataValidation type="list" allowBlank="1" showInputMessage="1" showErrorMessage="1" sqref="G284:H284">
      <formula1>"Kunal Kadam,Shruti Tathare,Pranita Mhatre,Shruti Fule,Pooja Kawale,Mansee Mohite,Anjali Kamble, Hitakshi Mhatre, Sachin Sawant"</formula1>
    </dataValidation>
    <dataValidation type="list" allowBlank="1" showInputMessage="1" showErrorMessage="1" sqref="F80:H80">
      <formula1>"On Saleable Area,On Builtup Area,On Carpet Area,On Plot Area"</formula1>
    </dataValidation>
    <dataValidation type="list" allowBlank="1" showInputMessage="1" showErrorMessage="1" sqref="F92:H92">
      <formula1>"100000,150000,200000,250000,300000,350000,400000,500000,600000,700000,800000,900000,1000000,1200000,1400000,1500000"</formula1>
    </dataValidation>
    <dataValidation type="list" allowBlank="1" showInputMessage="1" showErrorMessage="1" sqref="F110 F173">
      <formula1>"Saleable area Loading :,Builder Saleable area"</formula1>
    </dataValidation>
    <dataValidation type="list" allowBlank="1" showInputMessage="1" showErrorMessage="1" sqref="B110:B111">
      <formula1>"Shop No. (Sale Plan),Sale / Rehab,Sale / Mhada"</formula1>
    </dataValidation>
    <dataValidation type="list" allowBlank="1" showInputMessage="1" showErrorMessage="1" sqref="B173:B174">
      <formula1>"Flat No. (Sale Plan),Sale / Rehab,Sale / Mhada"</formula1>
    </dataValidation>
    <dataValidation type="list" allowBlank="1" showInputMessage="1" showErrorMessage="1" sqref="C20:D20">
      <formula1>OFFSET($S$12,1,MATCH($G19,$S$12:$W$12,0)-1,15,1)</formula1>
    </dataValidation>
    <dataValidation type="list" allowBlank="1" showInputMessage="1" showErrorMessage="1" sqref="Y12">
      <formula1>$D$4:$H$4</formula1>
    </dataValidation>
  </dataValidations>
  <hyperlinks>
    <hyperlink ref="C39" r:id="rId1"/>
    <hyperlink ref="I95" r:id="rId2" location="nav-amenities"/>
    <hyperlink ref="I96" r:id="rId3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4"/>
  <headerFooter>
    <oddHeader>&amp;C&amp;G</oddHeader>
    <oddFooter>&amp;L&amp;"Times New Roman,Bold"&amp;12Ref No: &amp;F&amp;C&amp;G&amp;R&amp;"Times New Roman,Bold"&amp;12&amp;P</oddFooter>
  </headerFooter>
  <rowBreaks count="5" manualBreakCount="5">
    <brk id="65" max="16383" man="1"/>
    <brk id="107" max="7" man="1"/>
    <brk id="288" max="16383" man="1"/>
    <brk id="330" max="16383" man="1"/>
    <brk id="374" max="16383" man="1"/>
  </rowBreaks>
  <drawing r:id="rId5"/>
  <legacyDrawing r:id="rId6"/>
  <legacyDrawingHF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10" zoomScale="85" zoomScaleNormal="85" workbookViewId="0">
      <selection activeCell="M26" sqref="M26"/>
    </sheetView>
  </sheetViews>
  <sheetFormatPr defaultColWidth="8.5703125" defaultRowHeight="15" x14ac:dyDescent="0.25"/>
  <cols>
    <col min="1" max="1" width="8.570312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570312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98" t="s">
        <v>103</v>
      </c>
      <c r="C3" s="198"/>
      <c r="D3" s="198"/>
      <c r="E3" s="198"/>
      <c r="F3" s="198"/>
      <c r="G3" s="198"/>
      <c r="H3" s="198"/>
    </row>
    <row r="4" spans="1:9" x14ac:dyDescent="0.25">
      <c r="A4" s="2"/>
      <c r="B4" s="3" t="s">
        <v>104</v>
      </c>
      <c r="C4" s="3" t="s">
        <v>105</v>
      </c>
      <c r="D4" s="3" t="s">
        <v>69</v>
      </c>
      <c r="E4" s="3" t="s">
        <v>106</v>
      </c>
      <c r="F4" s="3" t="s">
        <v>112</v>
      </c>
      <c r="G4" s="3" t="s">
        <v>113</v>
      </c>
      <c r="H4" s="3" t="s">
        <v>107</v>
      </c>
    </row>
    <row r="5" spans="1:9" ht="15" customHeight="1" x14ac:dyDescent="0.25">
      <c r="A5" s="2"/>
      <c r="B5" s="5" t="s">
        <v>108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108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108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108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108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109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109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110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111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5" x14ac:dyDescent="0.25"/>
  <cols>
    <col min="4" max="4" width="11" bestFit="1" customWidth="1"/>
    <col min="5" max="5" width="10.42578125" bestFit="1" customWidth="1"/>
    <col min="8" max="8" width="10.5703125" bestFit="1" customWidth="1"/>
  </cols>
  <sheetData>
    <row r="3" spans="2:11" x14ac:dyDescent="0.25">
      <c r="J3">
        <v>1</v>
      </c>
      <c r="K3">
        <v>2</v>
      </c>
    </row>
    <row r="4" spans="2:11" x14ac:dyDescent="0.25">
      <c r="B4" s="47"/>
      <c r="C4" s="47" t="s">
        <v>12</v>
      </c>
      <c r="D4" s="48" t="s">
        <v>173</v>
      </c>
      <c r="E4" s="48" t="s">
        <v>183</v>
      </c>
      <c r="F4" s="48" t="s">
        <v>166</v>
      </c>
      <c r="G4" s="48" t="s">
        <v>188</v>
      </c>
      <c r="H4" s="48" t="s">
        <v>206</v>
      </c>
      <c r="J4" t="s">
        <v>188</v>
      </c>
      <c r="K4" t="s">
        <v>204</v>
      </c>
    </row>
    <row r="5" spans="2:11" x14ac:dyDescent="0.25">
      <c r="B5" s="47"/>
      <c r="C5" s="47"/>
      <c r="D5" s="48" t="s">
        <v>174</v>
      </c>
      <c r="E5" s="48" t="s">
        <v>181</v>
      </c>
      <c r="F5" s="48" t="s">
        <v>203</v>
      </c>
      <c r="G5" s="48" t="s">
        <v>189</v>
      </c>
      <c r="H5" s="48" t="s">
        <v>207</v>
      </c>
    </row>
    <row r="6" spans="2:11" x14ac:dyDescent="0.25">
      <c r="B6" s="47"/>
      <c r="C6" s="47"/>
      <c r="D6" s="48" t="s">
        <v>175</v>
      </c>
      <c r="E6" s="48" t="s">
        <v>182</v>
      </c>
      <c r="F6" s="48" t="s">
        <v>204</v>
      </c>
      <c r="G6" s="48" t="s">
        <v>190</v>
      </c>
      <c r="H6" s="48" t="s">
        <v>220</v>
      </c>
    </row>
    <row r="7" spans="2:11" x14ac:dyDescent="0.25">
      <c r="B7" s="47"/>
      <c r="C7" s="47"/>
      <c r="D7" s="48" t="s">
        <v>176</v>
      </c>
      <c r="E7" s="48" t="s">
        <v>184</v>
      </c>
      <c r="F7" s="48" t="s">
        <v>205</v>
      </c>
      <c r="G7" s="48" t="s">
        <v>191</v>
      </c>
      <c r="H7" s="48" t="s">
        <v>208</v>
      </c>
    </row>
    <row r="8" spans="2:11" x14ac:dyDescent="0.25">
      <c r="B8" s="47"/>
      <c r="C8" s="47"/>
      <c r="D8" s="48" t="s">
        <v>177</v>
      </c>
      <c r="E8" s="48" t="s">
        <v>185</v>
      </c>
      <c r="F8" s="48"/>
      <c r="G8" s="48" t="s">
        <v>192</v>
      </c>
      <c r="H8" s="48" t="s">
        <v>209</v>
      </c>
    </row>
    <row r="9" spans="2:11" x14ac:dyDescent="0.25">
      <c r="B9" s="47"/>
      <c r="C9" s="47"/>
      <c r="D9" s="48" t="s">
        <v>178</v>
      </c>
      <c r="E9" s="48" t="s">
        <v>183</v>
      </c>
      <c r="F9" s="48"/>
      <c r="G9" s="48" t="s">
        <v>193</v>
      </c>
      <c r="H9" s="48" t="s">
        <v>210</v>
      </c>
    </row>
    <row r="10" spans="2:11" x14ac:dyDescent="0.25">
      <c r="B10" s="47"/>
      <c r="C10" s="47"/>
      <c r="D10" s="48" t="s">
        <v>179</v>
      </c>
      <c r="E10" s="48" t="s">
        <v>186</v>
      </c>
      <c r="F10" s="48"/>
      <c r="G10" s="48" t="s">
        <v>194</v>
      </c>
      <c r="H10" s="48" t="s">
        <v>211</v>
      </c>
    </row>
    <row r="11" spans="2:11" x14ac:dyDescent="0.25">
      <c r="B11" s="47"/>
      <c r="C11" s="47"/>
      <c r="D11" s="48" t="s">
        <v>180</v>
      </c>
      <c r="E11" s="48" t="s">
        <v>187</v>
      </c>
      <c r="F11" s="48"/>
      <c r="G11" s="48" t="s">
        <v>195</v>
      </c>
      <c r="H11" s="48" t="s">
        <v>212</v>
      </c>
    </row>
    <row r="12" spans="2:11" x14ac:dyDescent="0.25">
      <c r="B12" s="47"/>
      <c r="C12" s="47"/>
      <c r="D12" s="48"/>
      <c r="E12" s="48"/>
      <c r="F12" s="48"/>
      <c r="G12" s="48" t="s">
        <v>196</v>
      </c>
      <c r="H12" s="48" t="s">
        <v>213</v>
      </c>
    </row>
    <row r="13" spans="2:11" x14ac:dyDescent="0.25">
      <c r="B13" s="47"/>
      <c r="C13" s="47"/>
      <c r="D13" s="48"/>
      <c r="E13" s="48"/>
      <c r="F13" s="48"/>
      <c r="G13" s="48" t="s">
        <v>197</v>
      </c>
      <c r="H13" s="48" t="s">
        <v>214</v>
      </c>
    </row>
    <row r="14" spans="2:11" x14ac:dyDescent="0.25">
      <c r="B14" s="47"/>
      <c r="C14" s="47"/>
      <c r="D14" s="48"/>
      <c r="E14" s="48"/>
      <c r="F14" s="48"/>
      <c r="G14" s="48" t="s">
        <v>198</v>
      </c>
      <c r="H14" s="48" t="s">
        <v>215</v>
      </c>
    </row>
    <row r="15" spans="2:11" x14ac:dyDescent="0.25">
      <c r="B15" s="47"/>
      <c r="C15" s="47"/>
      <c r="D15" s="48"/>
      <c r="E15" s="48"/>
      <c r="F15" s="48"/>
      <c r="G15" s="48" t="s">
        <v>199</v>
      </c>
      <c r="H15" s="48" t="s">
        <v>216</v>
      </c>
    </row>
    <row r="16" spans="2:11" x14ac:dyDescent="0.25">
      <c r="B16" s="47"/>
      <c r="C16" s="47"/>
      <c r="D16" s="48"/>
      <c r="E16" s="48"/>
      <c r="F16" s="48"/>
      <c r="G16" s="48" t="s">
        <v>200</v>
      </c>
      <c r="H16" s="48" t="s">
        <v>217</v>
      </c>
    </row>
    <row r="17" spans="2:8" x14ac:dyDescent="0.25">
      <c r="B17" s="47"/>
      <c r="C17" s="47"/>
      <c r="D17" s="48"/>
      <c r="E17" s="48"/>
      <c r="F17" s="48"/>
      <c r="G17" s="48" t="s">
        <v>201</v>
      </c>
      <c r="H17" s="48" t="s">
        <v>218</v>
      </c>
    </row>
    <row r="18" spans="2:8" x14ac:dyDescent="0.25">
      <c r="B18" s="47"/>
      <c r="C18" s="47"/>
      <c r="D18" s="48"/>
      <c r="E18" s="48"/>
      <c r="F18" s="48"/>
      <c r="G18" s="48" t="s">
        <v>202</v>
      </c>
      <c r="H18" s="48" t="s">
        <v>219</v>
      </c>
    </row>
    <row r="24" spans="2:8" x14ac:dyDescent="0.25">
      <c r="C24" t="s">
        <v>165</v>
      </c>
    </row>
    <row r="25" spans="2:8" x14ac:dyDescent="0.25">
      <c r="C25" t="s">
        <v>221</v>
      </c>
    </row>
    <row r="26" spans="2:8" x14ac:dyDescent="0.25">
      <c r="C26" t="s">
        <v>222</v>
      </c>
    </row>
    <row r="27" spans="2:8" x14ac:dyDescent="0.25">
      <c r="C27" t="s">
        <v>223</v>
      </c>
    </row>
    <row r="28" spans="2:8" x14ac:dyDescent="0.25">
      <c r="C28" t="s">
        <v>224</v>
      </c>
    </row>
    <row r="29" spans="2:8" x14ac:dyDescent="0.25">
      <c r="C29" t="s">
        <v>225</v>
      </c>
    </row>
    <row r="30" spans="2:8" x14ac:dyDescent="0.25">
      <c r="C30" t="s">
        <v>165</v>
      </c>
    </row>
  </sheetData>
  <dataValidations count="2">
    <dataValidation type="list" allowBlank="1" showInputMessage="1" showErrorMessage="1" sqref="J4">
      <formula1>$D$4:$H$4</formula1>
    </dataValidation>
    <dataValidation type="list" allowBlank="1" showInputMessage="1" showErrorMessage="1" sqref="K4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Welcome</cp:lastModifiedBy>
  <cp:lastPrinted>2025-09-17T07:18:43Z</cp:lastPrinted>
  <dcterms:created xsi:type="dcterms:W3CDTF">2019-07-16T09:29:46Z</dcterms:created>
  <dcterms:modified xsi:type="dcterms:W3CDTF">2025-09-17T07:19:51Z</dcterms:modified>
</cp:coreProperties>
</file>