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Report!$A$1:$H$528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J221" i="1"/>
  <c r="D255" i="1"/>
  <c r="F255" i="1" s="1"/>
  <c r="H255" i="1" s="1"/>
  <c r="D191" i="1"/>
  <c r="D153" i="1"/>
  <c r="L117" i="1"/>
  <c r="D144" i="1"/>
  <c r="F144" i="1" s="1"/>
  <c r="H144" i="1" s="1"/>
  <c r="D143" i="1"/>
  <c r="F143" i="1" s="1"/>
  <c r="H143" i="1" s="1"/>
  <c r="D134" i="1"/>
  <c r="F134" i="1" s="1"/>
  <c r="H134" i="1" s="1"/>
  <c r="D133" i="1"/>
  <c r="F133" i="1" s="1"/>
  <c r="H133" i="1" s="1"/>
  <c r="D132" i="1"/>
  <c r="F132" i="1" s="1"/>
  <c r="H132" i="1" s="1"/>
  <c r="D127" i="1"/>
  <c r="D126" i="1"/>
  <c r="D125" i="1"/>
  <c r="D179" i="1"/>
  <c r="D178" i="1"/>
  <c r="D177" i="1"/>
  <c r="D175" i="1"/>
  <c r="D174" i="1"/>
  <c r="D173" i="1"/>
  <c r="A177" i="1"/>
  <c r="A178" i="1" s="1"/>
  <c r="A179" i="1" s="1"/>
  <c r="D170" i="1"/>
  <c r="D169" i="1"/>
  <c r="D167" i="1"/>
  <c r="D164" i="1"/>
  <c r="D155" i="1"/>
  <c r="D154" i="1"/>
  <c r="D151" i="1"/>
  <c r="F151" i="1" s="1"/>
  <c r="H151" i="1" s="1"/>
  <c r="D150" i="1"/>
  <c r="D147" i="1"/>
  <c r="D136" i="1"/>
  <c r="D298" i="1"/>
  <c r="F298" i="1" s="1"/>
  <c r="H298" i="1" s="1"/>
  <c r="D295" i="1"/>
  <c r="F295" i="1" s="1"/>
  <c r="H295" i="1" s="1"/>
  <c r="D299" i="1"/>
  <c r="F299" i="1" s="1"/>
  <c r="H299" i="1" s="1"/>
  <c r="D297" i="1"/>
  <c r="F297" i="1" s="1"/>
  <c r="H297" i="1" s="1"/>
  <c r="D296" i="1"/>
  <c r="F296" i="1" s="1"/>
  <c r="H296" i="1" s="1"/>
  <c r="A294" i="1"/>
  <c r="A295" i="1" s="1"/>
  <c r="A296" i="1" s="1"/>
  <c r="A297" i="1" s="1"/>
  <c r="A298" i="1" s="1"/>
  <c r="A299" i="1" s="1"/>
  <c r="D291" i="1"/>
  <c r="F291" i="1" s="1"/>
  <c r="H291" i="1" s="1"/>
  <c r="D290" i="1"/>
  <c r="F290" i="1" s="1"/>
  <c r="H290" i="1" s="1"/>
  <c r="D289" i="1"/>
  <c r="F289" i="1" s="1"/>
  <c r="H289" i="1" s="1"/>
  <c r="D288" i="1"/>
  <c r="F288" i="1" s="1"/>
  <c r="H288" i="1" s="1"/>
  <c r="D287" i="1"/>
  <c r="F287" i="1" s="1"/>
  <c r="H287" i="1" s="1"/>
  <c r="D286" i="1"/>
  <c r="F286" i="1" s="1"/>
  <c r="H286" i="1" s="1"/>
  <c r="A286" i="1"/>
  <c r="A287" i="1" s="1"/>
  <c r="A288" i="1" s="1"/>
  <c r="A289" i="1" s="1"/>
  <c r="A290" i="1" s="1"/>
  <c r="A291" i="1" s="1"/>
  <c r="D285" i="1"/>
  <c r="F285" i="1" s="1"/>
  <c r="H285" i="1" s="1"/>
  <c r="D283" i="1"/>
  <c r="F283" i="1" s="1"/>
  <c r="H283" i="1" s="1"/>
  <c r="D282" i="1"/>
  <c r="F282" i="1" s="1"/>
  <c r="H282" i="1" s="1"/>
  <c r="D281" i="1"/>
  <c r="F281" i="1" s="1"/>
  <c r="H281" i="1" s="1"/>
  <c r="D280" i="1"/>
  <c r="F280" i="1" s="1"/>
  <c r="H280" i="1" s="1"/>
  <c r="D279" i="1"/>
  <c r="F279" i="1" s="1"/>
  <c r="H279" i="1" s="1"/>
  <c r="D278" i="1"/>
  <c r="F278" i="1" s="1"/>
  <c r="H278" i="1" s="1"/>
  <c r="A278" i="1"/>
  <c r="A279" i="1" s="1"/>
  <c r="A280" i="1" s="1"/>
  <c r="A281" i="1" s="1"/>
  <c r="A282" i="1" s="1"/>
  <c r="A283" i="1" s="1"/>
  <c r="D277" i="1"/>
  <c r="F277" i="1" s="1"/>
  <c r="H277" i="1" s="1"/>
  <c r="D275" i="1"/>
  <c r="F275" i="1" s="1"/>
  <c r="H275" i="1" s="1"/>
  <c r="D274" i="1"/>
  <c r="F274" i="1" s="1"/>
  <c r="H274" i="1" s="1"/>
  <c r="D273" i="1"/>
  <c r="F273" i="1" s="1"/>
  <c r="H273" i="1" s="1"/>
  <c r="D272" i="1"/>
  <c r="F272" i="1" s="1"/>
  <c r="H272" i="1" s="1"/>
  <c r="D271" i="1"/>
  <c r="F271" i="1" s="1"/>
  <c r="H271" i="1" s="1"/>
  <c r="D270" i="1"/>
  <c r="F270" i="1" s="1"/>
  <c r="H270" i="1" s="1"/>
  <c r="D269" i="1"/>
  <c r="F269" i="1" s="1"/>
  <c r="H269" i="1" s="1"/>
  <c r="D268" i="1"/>
  <c r="F268" i="1" s="1"/>
  <c r="H268" i="1" s="1"/>
  <c r="A268" i="1"/>
  <c r="A269" i="1" s="1"/>
  <c r="A270" i="1" s="1"/>
  <c r="A271" i="1" s="1"/>
  <c r="A272" i="1" s="1"/>
  <c r="A273" i="1" s="1"/>
  <c r="A274" i="1" s="1"/>
  <c r="A275" i="1" s="1"/>
  <c r="D267" i="1"/>
  <c r="F267" i="1" s="1"/>
  <c r="H267" i="1" s="1"/>
  <c r="D262" i="1"/>
  <c r="D261" i="1"/>
  <c r="D260" i="1"/>
  <c r="D259" i="1"/>
  <c r="D258" i="1"/>
  <c r="D257" i="1"/>
  <c r="D254" i="1"/>
  <c r="D253" i="1"/>
  <c r="D252" i="1"/>
  <c r="D251" i="1"/>
  <c r="D250" i="1"/>
  <c r="D249" i="1"/>
  <c r="D248" i="1"/>
  <c r="D247" i="1"/>
  <c r="D232" i="1"/>
  <c r="D231" i="1"/>
  <c r="D230" i="1"/>
  <c r="D229" i="1"/>
  <c r="D228" i="1"/>
  <c r="D227" i="1"/>
  <c r="D225" i="1"/>
  <c r="D245" i="1"/>
  <c r="D244" i="1"/>
  <c r="D224" i="1"/>
  <c r="D223" i="1"/>
  <c r="D243" i="1"/>
  <c r="D242" i="1"/>
  <c r="D222" i="1"/>
  <c r="D221" i="1"/>
  <c r="D241" i="1"/>
  <c r="D240" i="1"/>
  <c r="D220" i="1"/>
  <c r="D219" i="1"/>
  <c r="D239" i="1"/>
  <c r="D218" i="1"/>
  <c r="D238" i="1"/>
  <c r="D237" i="1"/>
  <c r="D217" i="1"/>
  <c r="D197" i="1"/>
  <c r="F197" i="1" s="1"/>
  <c r="H197" i="1" s="1"/>
  <c r="D196" i="1"/>
  <c r="F196" i="1" s="1"/>
  <c r="H196" i="1" s="1"/>
  <c r="D194" i="1"/>
  <c r="F194" i="1" s="1"/>
  <c r="H194" i="1" s="1"/>
  <c r="D193" i="1"/>
  <c r="F193" i="1" s="1"/>
  <c r="H193" i="1" s="1"/>
  <c r="D192" i="1"/>
  <c r="F192" i="1" s="1"/>
  <c r="H192" i="1" s="1"/>
  <c r="F191" i="1"/>
  <c r="H191" i="1" s="1"/>
  <c r="I191" i="1"/>
  <c r="D195" i="1"/>
  <c r="F195" i="1" s="1"/>
  <c r="H195" i="1" s="1"/>
  <c r="I192" i="1"/>
  <c r="A192" i="1"/>
  <c r="A193" i="1" s="1"/>
  <c r="A194" i="1" s="1"/>
  <c r="A195" i="1" s="1"/>
  <c r="A196" i="1" s="1"/>
  <c r="A197" i="1" s="1"/>
  <c r="J191" i="1"/>
  <c r="I184" i="1"/>
  <c r="D184" i="1"/>
  <c r="D183" i="1"/>
  <c r="F183" i="1" s="1"/>
  <c r="H183" i="1" s="1"/>
  <c r="D182" i="1"/>
  <c r="J182" i="1"/>
  <c r="I182" i="1"/>
  <c r="A136" i="1"/>
  <c r="A137" i="1" s="1"/>
  <c r="A138" i="1" s="1"/>
  <c r="A139" i="1" s="1"/>
  <c r="A140" i="1" s="1"/>
  <c r="A141" i="1" s="1"/>
  <c r="E130" i="1" l="1"/>
  <c r="D130" i="1"/>
  <c r="E128" i="1"/>
  <c r="I128" i="1"/>
  <c r="E127" i="1"/>
  <c r="E126" i="1"/>
  <c r="E125" i="1"/>
  <c r="J126" i="1"/>
  <c r="K125" i="1"/>
  <c r="J125" i="1"/>
  <c r="I43" i="1"/>
  <c r="L88" i="1" l="1"/>
  <c r="K91" i="1"/>
  <c r="L113" i="1"/>
  <c r="I88" i="1" l="1"/>
  <c r="F262" i="1"/>
  <c r="H262" i="1" s="1"/>
  <c r="F261" i="1"/>
  <c r="H261" i="1" s="1"/>
  <c r="F260" i="1"/>
  <c r="H260" i="1" s="1"/>
  <c r="F259" i="1"/>
  <c r="H259" i="1" s="1"/>
  <c r="F258" i="1"/>
  <c r="H258" i="1" s="1"/>
  <c r="F257" i="1"/>
  <c r="H257" i="1" s="1"/>
  <c r="F254" i="1"/>
  <c r="H254" i="1" s="1"/>
  <c r="F253" i="1"/>
  <c r="H253" i="1" s="1"/>
  <c r="F252" i="1"/>
  <c r="H252" i="1" s="1"/>
  <c r="F251" i="1"/>
  <c r="H251" i="1" s="1"/>
  <c r="F250" i="1"/>
  <c r="H250" i="1" s="1"/>
  <c r="F249" i="1"/>
  <c r="H249" i="1" s="1"/>
  <c r="F248" i="1"/>
  <c r="H248" i="1" s="1"/>
  <c r="F247" i="1"/>
  <c r="H247" i="1" s="1"/>
  <c r="F245" i="1"/>
  <c r="H245" i="1" s="1"/>
  <c r="F244" i="1"/>
  <c r="H244" i="1" s="1"/>
  <c r="F243" i="1"/>
  <c r="H243" i="1" s="1"/>
  <c r="F241" i="1"/>
  <c r="H241" i="1" s="1"/>
  <c r="F240" i="1"/>
  <c r="H240" i="1" s="1"/>
  <c r="F239" i="1"/>
  <c r="H239" i="1" s="1"/>
  <c r="F238" i="1"/>
  <c r="F237" i="1"/>
  <c r="H237" i="1" s="1"/>
  <c r="F232" i="1"/>
  <c r="H232" i="1" s="1"/>
  <c r="F231" i="1"/>
  <c r="H231" i="1" s="1"/>
  <c r="F230" i="1"/>
  <c r="H230" i="1" s="1"/>
  <c r="F229" i="1"/>
  <c r="H229" i="1" s="1"/>
  <c r="F228" i="1"/>
  <c r="H228" i="1" s="1"/>
  <c r="F227" i="1"/>
  <c r="H227" i="1" s="1"/>
  <c r="F225" i="1"/>
  <c r="H225" i="1" s="1"/>
  <c r="F223" i="1"/>
  <c r="H223" i="1" s="1"/>
  <c r="F222" i="1"/>
  <c r="H222" i="1" s="1"/>
  <c r="F221" i="1"/>
  <c r="H221" i="1" s="1"/>
  <c r="F220" i="1"/>
  <c r="H220" i="1" s="1"/>
  <c r="F218" i="1"/>
  <c r="H218" i="1" s="1"/>
  <c r="F217" i="1"/>
  <c r="D211" i="1"/>
  <c r="F211" i="1" s="1"/>
  <c r="H211" i="1" s="1"/>
  <c r="D210" i="1"/>
  <c r="F210" i="1" s="1"/>
  <c r="H210" i="1" s="1"/>
  <c r="D209" i="1"/>
  <c r="F209" i="1" s="1"/>
  <c r="H209" i="1" s="1"/>
  <c r="D208" i="1"/>
  <c r="F208" i="1" s="1"/>
  <c r="H208" i="1" s="1"/>
  <c r="D207" i="1"/>
  <c r="F207" i="1" s="1"/>
  <c r="H207" i="1" s="1"/>
  <c r="D206" i="1"/>
  <c r="D205" i="1"/>
  <c r="F205" i="1" s="1"/>
  <c r="H205" i="1" s="1"/>
  <c r="D203" i="1"/>
  <c r="F203" i="1" s="1"/>
  <c r="H203" i="1" s="1"/>
  <c r="D202" i="1"/>
  <c r="F202" i="1" s="1"/>
  <c r="H202" i="1" s="1"/>
  <c r="D201" i="1"/>
  <c r="F201" i="1" s="1"/>
  <c r="H201" i="1" s="1"/>
  <c r="D200" i="1"/>
  <c r="F200" i="1" s="1"/>
  <c r="H200" i="1" s="1"/>
  <c r="D199" i="1"/>
  <c r="F199" i="1" s="1"/>
  <c r="H199" i="1" s="1"/>
  <c r="D189" i="1"/>
  <c r="F189" i="1" s="1"/>
  <c r="D188" i="1"/>
  <c r="F188" i="1" s="1"/>
  <c r="H188" i="1" s="1"/>
  <c r="D187" i="1"/>
  <c r="F187" i="1" s="1"/>
  <c r="H187" i="1" s="1"/>
  <c r="D186" i="1"/>
  <c r="F186" i="1" s="1"/>
  <c r="H186" i="1" s="1"/>
  <c r="D185" i="1"/>
  <c r="F185" i="1" s="1"/>
  <c r="H185" i="1" s="1"/>
  <c r="F184" i="1"/>
  <c r="H184" i="1" s="1"/>
  <c r="F182" i="1"/>
  <c r="D180" i="1"/>
  <c r="F180" i="1" s="1"/>
  <c r="H180" i="1" s="1"/>
  <c r="F179" i="1"/>
  <c r="H179" i="1" s="1"/>
  <c r="F178" i="1"/>
  <c r="H178" i="1" s="1"/>
  <c r="F177" i="1"/>
  <c r="H177" i="1" s="1"/>
  <c r="D176" i="1"/>
  <c r="F176" i="1" s="1"/>
  <c r="H176" i="1" s="1"/>
  <c r="F175" i="1"/>
  <c r="H175" i="1" s="1"/>
  <c r="F174" i="1"/>
  <c r="H174" i="1" s="1"/>
  <c r="F173" i="1"/>
  <c r="H173" i="1" s="1"/>
  <c r="D171" i="1"/>
  <c r="F171" i="1" s="1"/>
  <c r="H171" i="1" s="1"/>
  <c r="F170" i="1"/>
  <c r="H170" i="1" s="1"/>
  <c r="F169" i="1"/>
  <c r="H169" i="1" s="1"/>
  <c r="D168" i="1"/>
  <c r="F168" i="1" s="1"/>
  <c r="H168" i="1" s="1"/>
  <c r="F167" i="1"/>
  <c r="H167" i="1" s="1"/>
  <c r="D166" i="1"/>
  <c r="F166" i="1" s="1"/>
  <c r="H166" i="1" s="1"/>
  <c r="D165" i="1"/>
  <c r="F165" i="1" s="1"/>
  <c r="H165" i="1" s="1"/>
  <c r="F164" i="1"/>
  <c r="H164" i="1" s="1"/>
  <c r="D162" i="1"/>
  <c r="F162" i="1" s="1"/>
  <c r="H162" i="1" s="1"/>
  <c r="D161" i="1"/>
  <c r="F161" i="1" s="1"/>
  <c r="H161" i="1" s="1"/>
  <c r="D160" i="1"/>
  <c r="F160" i="1" s="1"/>
  <c r="H160" i="1" s="1"/>
  <c r="D159" i="1"/>
  <c r="F159" i="1" s="1"/>
  <c r="H159" i="1" s="1"/>
  <c r="D158" i="1"/>
  <c r="F158" i="1" s="1"/>
  <c r="H158" i="1" s="1"/>
  <c r="D157" i="1"/>
  <c r="F157" i="1" s="1"/>
  <c r="H157" i="1" s="1"/>
  <c r="D156" i="1"/>
  <c r="F156" i="1" s="1"/>
  <c r="H156" i="1" s="1"/>
  <c r="F155" i="1"/>
  <c r="H155" i="1" s="1"/>
  <c r="F154" i="1"/>
  <c r="H154" i="1" s="1"/>
  <c r="F153" i="1"/>
  <c r="H153" i="1" s="1"/>
  <c r="F150" i="1"/>
  <c r="H150" i="1" s="1"/>
  <c r="D149" i="1"/>
  <c r="F149" i="1" s="1"/>
  <c r="H149" i="1" s="1"/>
  <c r="D148" i="1"/>
  <c r="F148" i="1" s="1"/>
  <c r="H148" i="1" s="1"/>
  <c r="F147" i="1"/>
  <c r="H147" i="1" s="1"/>
  <c r="D146" i="1"/>
  <c r="F146" i="1" s="1"/>
  <c r="H146" i="1" s="1"/>
  <c r="D145" i="1"/>
  <c r="F145" i="1" s="1"/>
  <c r="H145" i="1" s="1"/>
  <c r="D141" i="1"/>
  <c r="F141" i="1" s="1"/>
  <c r="D140" i="1"/>
  <c r="F140" i="1" s="1"/>
  <c r="H140" i="1" s="1"/>
  <c r="D139" i="1"/>
  <c r="F139" i="1" s="1"/>
  <c r="H139" i="1" s="1"/>
  <c r="D138" i="1"/>
  <c r="F138" i="1" s="1"/>
  <c r="H138" i="1" s="1"/>
  <c r="D137" i="1"/>
  <c r="F137" i="1" s="1"/>
  <c r="F136" i="1"/>
  <c r="H136" i="1" s="1"/>
  <c r="D135" i="1"/>
  <c r="F135" i="1" s="1"/>
  <c r="D129" i="1"/>
  <c r="D128" i="1"/>
  <c r="A258" i="1"/>
  <c r="A259" i="1" s="1"/>
  <c r="A260" i="1" s="1"/>
  <c r="A261" i="1" s="1"/>
  <c r="A262" i="1" s="1"/>
  <c r="A263" i="1" s="1"/>
  <c r="A264" i="1" s="1"/>
  <c r="A265" i="1" s="1"/>
  <c r="A248" i="1"/>
  <c r="A249" i="1" s="1"/>
  <c r="A250" i="1" s="1"/>
  <c r="A251" i="1" s="1"/>
  <c r="A252" i="1" s="1"/>
  <c r="A253" i="1" s="1"/>
  <c r="A254" i="1" s="1"/>
  <c r="A255" i="1" s="1"/>
  <c r="A228" i="1"/>
  <c r="A229" i="1" s="1"/>
  <c r="A230" i="1" s="1"/>
  <c r="A231" i="1" s="1"/>
  <c r="A232" i="1" s="1"/>
  <c r="A233" i="1" s="1"/>
  <c r="A234" i="1" s="1"/>
  <c r="A235" i="1" s="1"/>
  <c r="F242" i="1"/>
  <c r="H242" i="1" s="1"/>
  <c r="A238" i="1"/>
  <c r="A239" i="1" s="1"/>
  <c r="A240" i="1" s="1"/>
  <c r="A241" i="1" s="1"/>
  <c r="A242" i="1" s="1"/>
  <c r="A243" i="1" s="1"/>
  <c r="A244" i="1" s="1"/>
  <c r="A245" i="1" s="1"/>
  <c r="F224" i="1"/>
  <c r="H224" i="1" s="1"/>
  <c r="F219" i="1"/>
  <c r="H219" i="1" s="1"/>
  <c r="I217" i="1"/>
  <c r="A218" i="1"/>
  <c r="A219" i="1" s="1"/>
  <c r="A220" i="1" s="1"/>
  <c r="A221" i="1" s="1"/>
  <c r="A222" i="1" s="1"/>
  <c r="A223" i="1" s="1"/>
  <c r="A224" i="1" s="1"/>
  <c r="A225" i="1" s="1"/>
  <c r="F206" i="1"/>
  <c r="A206" i="1"/>
  <c r="A207" i="1" s="1"/>
  <c r="A208" i="1" s="1"/>
  <c r="A209" i="1" s="1"/>
  <c r="A210" i="1" s="1"/>
  <c r="A211" i="1" s="1"/>
  <c r="A200" i="1"/>
  <c r="A201" i="1" s="1"/>
  <c r="A202" i="1" s="1"/>
  <c r="A203" i="1" s="1"/>
  <c r="A184" i="1"/>
  <c r="A185" i="1" s="1"/>
  <c r="A186" i="1" s="1"/>
  <c r="A187" i="1" s="1"/>
  <c r="A188" i="1" s="1"/>
  <c r="A189" i="1" s="1"/>
  <c r="A174" i="1"/>
  <c r="A180" i="1" s="1"/>
  <c r="A165" i="1"/>
  <c r="A166" i="1" s="1"/>
  <c r="A167" i="1" s="1"/>
  <c r="A168" i="1" s="1"/>
  <c r="A169" i="1" s="1"/>
  <c r="A170" i="1" s="1"/>
  <c r="A171" i="1" s="1"/>
  <c r="A154" i="1"/>
  <c r="A155" i="1" s="1"/>
  <c r="A156" i="1" s="1"/>
  <c r="A157" i="1" s="1"/>
  <c r="A158" i="1" s="1"/>
  <c r="A159" i="1" s="1"/>
  <c r="A160" i="1" s="1"/>
  <c r="A161" i="1" s="1"/>
  <c r="A162" i="1" s="1"/>
  <c r="A146" i="1"/>
  <c r="A147" i="1" s="1"/>
  <c r="A148" i="1" s="1"/>
  <c r="A149" i="1" s="1"/>
  <c r="A150" i="1" s="1"/>
  <c r="A151" i="1" s="1"/>
  <c r="C104" i="1" l="1"/>
  <c r="C116" i="1"/>
  <c r="C112" i="1"/>
  <c r="E104" i="1"/>
  <c r="H238" i="1"/>
  <c r="G112" i="1" s="1"/>
  <c r="E112" i="1"/>
  <c r="E116" i="1"/>
  <c r="E117" i="1" s="1"/>
  <c r="C117" i="1"/>
  <c r="H135" i="1"/>
  <c r="H137" i="1"/>
  <c r="H189" i="1"/>
  <c r="H206" i="1"/>
  <c r="H217" i="1"/>
  <c r="G116" i="1" s="1"/>
  <c r="G117" i="1" s="1"/>
  <c r="H141" i="1"/>
  <c r="H182" i="1"/>
  <c r="G104" i="1" s="1"/>
  <c r="F130" i="1"/>
  <c r="C103" i="1" s="1"/>
  <c r="F129" i="1"/>
  <c r="H129" i="1" s="1"/>
  <c r="E103" i="1" l="1"/>
  <c r="G113" i="1"/>
  <c r="C113" i="1"/>
  <c r="J110" i="1" s="1"/>
  <c r="E113" i="1"/>
  <c r="H130" i="1"/>
  <c r="G103" i="1" s="1"/>
  <c r="F126" i="1"/>
  <c r="H126" i="1" s="1"/>
  <c r="F127" i="1"/>
  <c r="H127" i="1" s="1"/>
  <c r="F128" i="1"/>
  <c r="H128" i="1" s="1"/>
  <c r="F125" i="1"/>
  <c r="C108" i="1" s="1"/>
  <c r="E108" i="1" l="1"/>
  <c r="E109" i="1" s="1"/>
  <c r="C109" i="1"/>
  <c r="C105" i="1"/>
  <c r="C118" i="1" s="1"/>
  <c r="E105" i="1"/>
  <c r="H125" i="1"/>
  <c r="G108" i="1" s="1"/>
  <c r="G109" i="1" s="1"/>
  <c r="B331" i="1"/>
  <c r="E118" i="1" l="1"/>
  <c r="J103" i="1"/>
  <c r="G105" i="1"/>
  <c r="G118" i="1" s="1"/>
  <c r="G58" i="1"/>
  <c r="C58" i="1"/>
  <c r="G56" i="1"/>
  <c r="C56" i="1"/>
  <c r="S33" i="1" l="1"/>
  <c r="F11" i="5" l="1"/>
  <c r="G11" i="5" s="1"/>
  <c r="F10" i="5"/>
  <c r="G10" i="5" s="1"/>
  <c r="F9" i="5"/>
  <c r="G9" i="5" s="1"/>
  <c r="F8" i="5"/>
  <c r="G8" i="5" s="1"/>
  <c r="F7" i="5"/>
  <c r="G7" i="5" s="1"/>
  <c r="F6" i="5"/>
  <c r="G6" i="5" s="1"/>
  <c r="F5" i="5"/>
  <c r="G5" i="5" s="1"/>
  <c r="G12" i="5" s="1"/>
  <c r="D357" i="1"/>
  <c r="B332" i="1"/>
  <c r="F328" i="1"/>
  <c r="H328" i="1" s="1"/>
  <c r="F327" i="1"/>
  <c r="H327" i="1" s="1"/>
  <c r="F326" i="1"/>
  <c r="H326" i="1" s="1"/>
  <c r="F325" i="1"/>
  <c r="H325" i="1" s="1"/>
  <c r="F324" i="1"/>
  <c r="H324" i="1" s="1"/>
  <c r="F322" i="1"/>
  <c r="H322" i="1" s="1"/>
  <c r="F321" i="1"/>
  <c r="H321" i="1" s="1"/>
  <c r="F320" i="1"/>
  <c r="H320" i="1" s="1"/>
  <c r="F319" i="1"/>
  <c r="H319" i="1" s="1"/>
  <c r="F318" i="1"/>
  <c r="H318" i="1" s="1"/>
  <c r="F316" i="1"/>
  <c r="H316" i="1" s="1"/>
  <c r="F315" i="1"/>
  <c r="H315" i="1" s="1"/>
  <c r="F314" i="1"/>
  <c r="H314" i="1" s="1"/>
  <c r="F313" i="1"/>
  <c r="H313" i="1" s="1"/>
  <c r="F312" i="1"/>
  <c r="H312" i="1" s="1"/>
  <c r="F310" i="1"/>
  <c r="H310" i="1" s="1"/>
  <c r="F309" i="1"/>
  <c r="H309" i="1" s="1"/>
  <c r="F308" i="1"/>
  <c r="H308" i="1" s="1"/>
  <c r="F307" i="1"/>
  <c r="H307" i="1" s="1"/>
  <c r="F306" i="1"/>
  <c r="H306" i="1" s="1"/>
  <c r="A306" i="1"/>
  <c r="A307" i="1" s="1"/>
  <c r="A308" i="1" s="1"/>
  <c r="A309" i="1" s="1"/>
  <c r="A310" i="1" s="1"/>
  <c r="F304" i="1"/>
  <c r="H304" i="1" s="1"/>
  <c r="F303" i="1"/>
  <c r="H303" i="1" s="1"/>
  <c r="F302" i="1"/>
  <c r="H302" i="1" s="1"/>
  <c r="A302" i="1"/>
  <c r="A303" i="1" s="1"/>
  <c r="A304" i="1" s="1"/>
  <c r="F301" i="1"/>
  <c r="H301" i="1" s="1"/>
  <c r="A126" i="1"/>
  <c r="A127" i="1" s="1"/>
  <c r="A128" i="1" s="1"/>
  <c r="A129" i="1" s="1"/>
  <c r="A130" i="1" s="1"/>
  <c r="F100" i="1"/>
  <c r="C73" i="1"/>
  <c r="D67" i="1"/>
  <c r="D62" i="1"/>
  <c r="G51" i="1"/>
  <c r="C51" i="1"/>
  <c r="E44" i="1"/>
  <c r="E45" i="1" s="1"/>
  <c r="E31" i="1"/>
  <c r="E28" i="1"/>
  <c r="E26" i="1"/>
  <c r="C16" i="1"/>
  <c r="I15" i="1"/>
  <c r="Z13" i="1"/>
  <c r="E8" i="1"/>
  <c r="E3" i="1"/>
  <c r="H74" i="1"/>
  <c r="A318" i="1"/>
  <c r="A312" i="1"/>
  <c r="A324" i="1"/>
  <c r="J73" i="1" l="1"/>
  <c r="J75" i="1" s="1"/>
  <c r="J76" i="1"/>
  <c r="J77" i="1"/>
  <c r="J78" i="1"/>
  <c r="C77" i="1" s="1"/>
  <c r="D81" i="1"/>
  <c r="D83" i="1"/>
  <c r="D82" i="1"/>
  <c r="D86" i="1"/>
  <c r="D80" i="1"/>
  <c r="D85" i="1"/>
  <c r="D79" i="1"/>
  <c r="D84" i="1"/>
  <c r="B74" i="1"/>
  <c r="J79" i="1" s="1"/>
  <c r="A319" i="1"/>
  <c r="A313" i="1"/>
  <c r="A325" i="1"/>
  <c r="D77" i="1" l="1"/>
  <c r="J83" i="1"/>
  <c r="J82" i="1"/>
  <c r="J80" i="1"/>
  <c r="J85" i="1" s="1"/>
  <c r="J84" i="1"/>
  <c r="A314" i="1"/>
  <c r="A320" i="1"/>
  <c r="A326" i="1"/>
  <c r="J81" i="1" l="1"/>
  <c r="J86" i="1" s="1"/>
  <c r="C78" i="1" s="1"/>
  <c r="A327" i="1"/>
  <c r="A321" i="1"/>
  <c r="A315" i="1"/>
  <c r="D78" i="1" l="1"/>
  <c r="I74" i="1" s="1"/>
  <c r="I75" i="1" s="1"/>
  <c r="J74" i="1"/>
  <c r="G77" i="1"/>
  <c r="D71" i="1" s="1"/>
  <c r="D72" i="1" s="1"/>
  <c r="E77" i="1"/>
  <c r="A328" i="1"/>
  <c r="A316" i="1"/>
  <c r="A322" i="1"/>
  <c r="I73" i="1" l="1"/>
  <c r="C75" i="1" s="1"/>
  <c r="F7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1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<sst xmlns="http://schemas.openxmlformats.org/spreadsheetml/2006/main" count="852" uniqueCount="385">
  <si>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</si>
  <si>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</si>
  <si>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</si>
  <si>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</si>
  <si>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</si>
  <si>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</si>
  <si>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</si>
  <si>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</si>
  <si>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</si>
  <si>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</si>
  <si>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</si>
  <si>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</si>
  <si>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</si>
  <si>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</si>
  <si>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</si>
  <si>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</si>
  <si>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</si>
  <si>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</si>
  <si>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</si>
  <si>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</si>
  <si>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</si>
  <si>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</si>
  <si>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</si>
  <si>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</si>
  <si>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</si>
  <si>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</si>
  <si>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</si>
  <si>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</si>
  <si>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</si>
  <si>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</si>
  <si>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</si>
  <si>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</si>
  <si>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</si>
  <si>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</si>
  <si>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</si>
  <si>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</si>
  <si>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</si>
  <si>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</si>
  <si>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</si>
  <si>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</si>
  <si>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</si>
  <si>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</si>
  <si>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</si>
  <si>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</si>
  <si>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</si>
  <si>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</si>
  <si>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</si>
  <si>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</si>
  <si>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</si>
  <si>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</si>
  <si>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</si>
  <si>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</si>
  <si>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</si>
  <si>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</si>
  <si>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</si>
  <si>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</si>
  <si>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</si>
  <si>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</si>
  <si>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</si>
  <si>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</si>
  <si>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</si>
  <si>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</si>
  <si>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</si>
  <si>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</si>
  <si>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</si>
  <si>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</si>
  <si>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</si>
  <si>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</si>
  <si>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</si>
  <si>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</si>
  <si>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</si>
  <si>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</si>
  <si>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</si>
  <si>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</si>
  <si>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</si>
  <si>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</si>
  <si>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</si>
  <si>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</si>
  <si>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</si>
  <si>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</si>
  <si>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</si>
  <si>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</si>
  <si>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</si>
  <si>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</si>
  <si>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</si>
  <si>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</si>
  <si>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</si>
  <si>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</si>
  <si>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</si>
  <si>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</si>
  <si>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</si>
  <si>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</si>
  <si>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</si>
  <si>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</si>
  <si>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</si>
  <si>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</si>
  <si>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</si>
  <si>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</si>
  <si>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</si>
  <si>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</si>
  <si>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</si>
  <si>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</si>
  <si>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</si>
  <si>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</si>
  <si>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</si>
  <si>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</si>
  <si>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</si>
  <si>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</si>
  <si>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</si>
  <si>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</si>
  <si>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</si>
  <si>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</si>
  <si>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</si>
  <si>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</si>
  <si>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</si>
  <si>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</si>
  <si>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</si>
  <si>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</si>
  <si>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</si>
  <si>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</si>
  <si>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</si>
  <si>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</si>
  <si>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</si>
  <si>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</si>
  <si>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</si>
  <si>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</si>
  <si>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</si>
  <si>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</si>
  <si>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</si>
  <si>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</si>
  <si>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</si>
  <si>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</si>
  <si>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</si>
  <si>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</si>
  <si>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</si>
  <si>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</si>
  <si>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</si>
  <si>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</si>
  <si>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</si>
  <si>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</si>
  <si>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</si>
  <si>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</si>
  <si>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</si>
  <si>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</si>
  <si>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</si>
  <si>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</si>
  <si>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</si>
  <si>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</si>
  <si>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</si>
  <si>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</si>
  <si>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</si>
  <si>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</si>
  <si>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</si>
  <si>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</si>
  <si>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</si>
  <si>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</si>
  <si>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</si>
  <si>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</si>
  <si>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</si>
  <si>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</si>
  <si>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</si>
  <si>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</si>
  <si>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</si>
  <si>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</si>
  <si>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</si>
  <si>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</si>
  <si>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</si>
  <si>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</si>
  <si>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</si>
  <si>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</si>
  <si>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</si>
  <si>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</si>
  <si>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</si>
  <si>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</si>
  <si>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</si>
  <si>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</si>
  <si>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</si>
  <si>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</si>
  <si>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</si>
  <si>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</si>
  <si>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</si>
  <si>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</si>
  <si>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</si>
  <si>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</si>
  <si>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</si>
  <si>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</si>
  <si>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</si>
  <si>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</si>
  <si>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</si>
  <si>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</si>
  <si>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</si>
  <si>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</si>
  <si>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</si>
  <si>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</si>
  <si>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</si>
  <si>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</si>
  <si>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</si>
  <si>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</si>
  <si>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</si>
  <si>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</si>
  <si>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</si>
  <si>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</si>
  <si>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</si>
  <si>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</si>
  <si>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</si>
  <si>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</si>
  <si>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</si>
  <si>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</si>
  <si>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</si>
  <si>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</si>
  <si>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</si>
  <si>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</si>
  <si>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</si>
  <si>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</si>
  <si>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</si>
  <si>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</si>
  <si>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</si>
  <si>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</si>
  <si>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</si>
  <si>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</si>
  <si>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</si>
  <si>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</si>
  <si>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</si>
  <si>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</si>
  <si>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</si>
  <si>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</si>
  <si>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</si>
  <si>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</si>
  <si>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</si>
  <si>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</si>
  <si>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</si>
  <si>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</si>
  <si>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</si>
  <si>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</si>
  <si>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</si>
  <si>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</si>
  <si>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</si>
  <si>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</si>
  <si>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</si>
  <si>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</si>
  <si>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</si>
  <si>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</si>
  <si>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</si>
  <si>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</si>
  <si>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</si>
  <si>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</si>
  <si>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</si>
  <si>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</si>
  <si>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</si>
  <si>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</si>
  <si>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</si>
  <si>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</si>
  <si>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</si>
  <si>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</si>
  <si>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</si>
  <si>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</si>
  <si>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</si>
  <si>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</si>
  <si>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</si>
  <si>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</si>
  <si>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</si>
  <si>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</si>
  <si>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</si>
  <si>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</si>
  <si>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</si>
  <si>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</si>
  <si>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</si>
  <si>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</si>
  <si>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</si>
  <si>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</si>
  <si>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</si>
  <si>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</si>
  <si>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</si>
  <si>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</si>
  <si>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</si>
  <si>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</si>
  <si>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</si>
  <si>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</si>
  <si>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</si>
  <si>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</si>
  <si>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</si>
  <si>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</si>
  <si>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</si>
  <si>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</si>
  <si>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</si>
  <si>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</si>
  <si>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</si>
  <si>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</si>
  <si>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</si>
  <si>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</si>
  <si>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</si>
  <si>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</si>
  <si>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</si>
  <si>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</si>
  <si>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</si>
  <si>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</si>
  <si>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</si>
  <si>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</si>
  <si>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Qaswa Enterprises</t>
  </si>
  <si>
    <t>La Belleza</t>
  </si>
  <si>
    <t>Mr. Suban Sheikh : 9004404006</t>
  </si>
  <si>
    <t>Kashinath Building</t>
  </si>
  <si>
    <t>P51900050398</t>
  </si>
  <si>
    <t>1048 &amp; Redevelopment of building "Kashinath Building"</t>
  </si>
  <si>
    <t>Shaikh Memon Street</t>
  </si>
  <si>
    <t>https://maps.app.goo.gl/ai2NA8atL231DPwJA</t>
  </si>
  <si>
    <t>18.9481262,72.8332189</t>
  </si>
  <si>
    <t>1.0 KM from Masjid Railway Station</t>
  </si>
  <si>
    <t>Kalbadevi</t>
  </si>
  <si>
    <t>Abdus Salam Masjid</t>
  </si>
  <si>
    <t>Masjid (West)</t>
  </si>
  <si>
    <t>Dubash Market</t>
  </si>
  <si>
    <t>Existing Building</t>
  </si>
  <si>
    <t>Other Plot</t>
  </si>
  <si>
    <t>EB/6980/C/A/FCC/1/New</t>
  </si>
  <si>
    <t>As per RERA - 28/10/2028</t>
  </si>
  <si>
    <t>2nd to 1st Basement Floor for Parking</t>
  </si>
  <si>
    <t>Sale / Rehab</t>
  </si>
  <si>
    <t>Rehab</t>
  </si>
  <si>
    <t>Sale</t>
  </si>
  <si>
    <t>N.R.</t>
  </si>
  <si>
    <t>Ground Floor for Commercial &amp; Parking</t>
  </si>
  <si>
    <t>1st Floor</t>
  </si>
  <si>
    <t>3rd Floor</t>
  </si>
  <si>
    <t>4th Floor</t>
  </si>
  <si>
    <t>5th Floor</t>
  </si>
  <si>
    <t>8th Floor (Part Refuge Area)</t>
  </si>
  <si>
    <t>9th Floor</t>
  </si>
  <si>
    <t>Service Floor between 9th &amp; 10th Floor</t>
  </si>
  <si>
    <t>1BHK</t>
  </si>
  <si>
    <t>20th Floor</t>
  </si>
  <si>
    <t>15th Floor (Part Refuge Area)</t>
  </si>
  <si>
    <t>1.5BHK</t>
  </si>
  <si>
    <t>M.P. Room</t>
  </si>
  <si>
    <t>Refuge Area</t>
  </si>
  <si>
    <t>21st Floor</t>
  </si>
  <si>
    <t>We considered Gross carpet area = Net carpet.</t>
  </si>
  <si>
    <r>
      <t xml:space="preserve">Flat No.
</t>
    </r>
    <r>
      <rPr>
        <b/>
        <sz val="11"/>
        <rFont val="Times New Roman"/>
        <family val="1"/>
      </rPr>
      <t>(Approved Plan)</t>
    </r>
  </si>
  <si>
    <t>N.R. Units</t>
  </si>
  <si>
    <t>Flats</t>
  </si>
  <si>
    <t>M.P.Room with Prof. Office</t>
  </si>
  <si>
    <r>
      <t xml:space="preserve">Shop No.
</t>
    </r>
    <r>
      <rPr>
        <b/>
        <sz val="11"/>
        <rFont val="Times New Roman"/>
        <family val="1"/>
      </rPr>
      <t>(Approved Plan)</t>
    </r>
  </si>
  <si>
    <t>2B + Gr/Stilt + 1st to 9th Floor + Service Floor + 10th to 29th Floor</t>
  </si>
  <si>
    <r>
      <t xml:space="preserve">Proposed Amenities :                                                                                                                                                                                                                         </t>
    </r>
    <r>
      <rPr>
        <b/>
        <sz val="12"/>
        <rFont val="Times New Roman"/>
        <family val="1"/>
      </rPr>
      <t xml:space="preserve">                                               </t>
    </r>
  </si>
  <si>
    <t>CCTV, Fire Fighting System, Security access, Parking Area, Basement Stack Parking, Rooftop Garden</t>
  </si>
  <si>
    <t>Validity of CC is expired on 13/08/2022. Please provide latest CC.</t>
  </si>
  <si>
    <t>Online</t>
  </si>
  <si>
    <t>MIS</t>
  </si>
  <si>
    <t>Builder</t>
  </si>
  <si>
    <t>Recommended rate of the N.R units (Non-residential) Per Sq. Ft.</t>
  </si>
  <si>
    <t>Karan Misal</t>
  </si>
  <si>
    <t>We have updated CC Revalidation (On 29/03/2025).</t>
  </si>
  <si>
    <t>EB/6980/C/A/337/3/AMEND</t>
  </si>
  <si>
    <t xml:space="preserve"> </t>
  </si>
  <si>
    <t>1A</t>
  </si>
  <si>
    <t>2A</t>
  </si>
  <si>
    <t>3A</t>
  </si>
  <si>
    <t>-</t>
  </si>
  <si>
    <t>6th Floor</t>
  </si>
  <si>
    <t>7th &amp; 9th Floor</t>
  </si>
  <si>
    <t>10th to 14th &amp; 16th to 19th Floor for Residential</t>
  </si>
  <si>
    <t>22nd Floor (Part Refuge Area)</t>
  </si>
  <si>
    <t>23rd Floor</t>
  </si>
  <si>
    <t>24th Floor</t>
  </si>
  <si>
    <t>2BHK</t>
  </si>
  <si>
    <t>25th Floor</t>
  </si>
  <si>
    <t>26th Floor (Part Terrace Area)</t>
  </si>
  <si>
    <t>Terrace Area</t>
  </si>
  <si>
    <t>2B</t>
  </si>
  <si>
    <t>1B</t>
  </si>
  <si>
    <t>2B + Gr/Stilt + 1st to 9th Floor + Service Floor + 10th to 26th Floor</t>
  </si>
  <si>
    <t>Commercial Area Details : (Sale Units)</t>
  </si>
  <si>
    <t>Commercial Area Details : (Rehab Units)</t>
  </si>
  <si>
    <t>Residential Area Details : (Sale Units)</t>
  </si>
  <si>
    <t>Residential Area Details : (Rehab Units)</t>
  </si>
  <si>
    <t>Sale Flats - 32, Sale N.R. Units - 14, Sale MP Room with Prof. Office - 27, 
Rehab Flats - 107, Rehab N.R. Units - 37</t>
  </si>
  <si>
    <t>We have updated latest approved floor plans (On 05/04/2025).</t>
  </si>
  <si>
    <t>CC is hereby endorsed and further extended up to the top of 21st upper floor as per the last approved plans dated 26.02.2021.</t>
  </si>
  <si>
    <t>Please provide revised approved CC.</t>
  </si>
  <si>
    <t>As per the approved 6th floor plan, the unit number is not given for one sale M.P. room with a prof. office, which comes between unit no. 1 &amp; 2. Please provide sale plan for it</t>
  </si>
  <si>
    <t>In the latest layout &amp; approved floor plan, the layout/approved floor plan number is not mentioned. So we have considered it from the Amended Plan Approval Letter. Letter attached below.</t>
  </si>
  <si>
    <t>Remark No. 13 :</t>
  </si>
  <si>
    <t>Hassin 9967607864</t>
  </si>
  <si>
    <t>Shruti Tathare</t>
  </si>
  <si>
    <t>Construction work is in process at the time of Visit. Internal photos was not allowed.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</si>
</sst>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5"/>
      <name val="Times New Roman"/>
      <family val="1"/>
    </font>
    <font>
      <b/>
      <sz val="11"/>
      <name val="Times New Roman"/>
      <family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0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1"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10" xfId="1" applyFont="1" applyBorder="1"/>
    <xf numFmtId="0" fontId="15"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0" borderId="26" xfId="0" applyFont="1" applyBorder="1"/>
    <xf numFmtId="0" fontId="22" fillId="0" borderId="5"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1" fontId="7"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10"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0" fontId="13" fillId="0" borderId="0" xfId="1" applyFont="1" applyAlignment="1">
      <alignment horizontal="center" vertical="center"/>
    </xf>
    <xf numFmtId="0" fontId="26" fillId="0" borderId="0" xfId="1" applyFont="1" applyAlignment="1">
      <alignment horizontal="center" vertical="center"/>
    </xf>
    <xf numFmtId="0" fontId="13" fillId="0" borderId="0" xfId="2" applyFont="1" applyAlignment="1">
      <alignment horizontal="center" vertical="center"/>
    </xf>
    <xf numFmtId="1" fontId="11" fillId="0" borderId="1" xfId="1" applyNumberFormat="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2" fontId="6" fillId="0" borderId="0" xfId="1" applyNumberFormat="1" applyFont="1" applyAlignment="1">
      <alignment horizontal="center" vertical="center"/>
    </xf>
    <xf numFmtId="1" fontId="10" fillId="0" borderId="1" xfId="1" applyNumberFormat="1" applyFont="1" applyBorder="1" applyAlignment="1">
      <alignment horizontal="center" vertical="center"/>
    </xf>
    <xf numFmtId="0" fontId="21" fillId="2" borderId="13" xfId="0" applyFont="1" applyFill="1" applyBorder="1"/>
    <xf numFmtId="0" fontId="22" fillId="0" borderId="9" xfId="0" applyFont="1" applyBorder="1"/>
    <xf numFmtId="1" fontId="6" fillId="0" borderId="0" xfId="0" applyNumberFormat="1" applyFont="1" applyAlignment="1">
      <alignment horizontal="center" vertical="center"/>
    </xf>
    <xf numFmtId="1" fontId="11" fillId="0" borderId="1" xfId="1" applyNumberFormat="1" applyFont="1" applyBorder="1" applyAlignment="1" applyProtection="1">
      <alignment horizontal="center" vertical="top" wrapText="1"/>
      <protection locked="0"/>
    </xf>
    <xf numFmtId="1" fontId="11" fillId="0" borderId="8" xfId="0" applyNumberFormat="1" applyFont="1" applyBorder="1" applyAlignment="1" applyProtection="1">
      <alignment vertical="top" wrapText="1"/>
      <protection locked="0"/>
    </xf>
    <xf numFmtId="1" fontId="11" fillId="0" borderId="19"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8" xfId="0" applyNumberFormat="1" applyFont="1" applyBorder="1" applyAlignment="1" applyProtection="1">
      <alignment horizontal="center" vertical="center" wrapText="1"/>
      <protection locked="0"/>
    </xf>
    <xf numFmtId="1" fontId="5" fillId="0" borderId="9" xfId="0" applyNumberFormat="1" applyFont="1" applyBorder="1" applyAlignment="1" applyProtection="1">
      <alignment horizontal="center" vertical="center" wrapText="1"/>
      <protection locked="0"/>
    </xf>
    <xf numFmtId="1" fontId="10" fillId="0" borderId="8" xfId="0" applyNumberFormat="1" applyFont="1" applyBorder="1" applyAlignment="1" applyProtection="1">
      <alignment horizontal="center" vertical="center" wrapText="1"/>
      <protection locked="0"/>
    </xf>
    <xf numFmtId="1" fontId="10" fillId="0" borderId="9"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15"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0" xfId="1" applyNumberFormat="1" applyFont="1" applyAlignment="1" applyProtection="1">
      <alignment horizontal="center" vertical="center" wrapText="1"/>
      <protection locked="0"/>
    </xf>
    <xf numFmtId="1" fontId="5" fillId="0" borderId="22"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15"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67" fontId="10"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11" fillId="0" borderId="3"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 fontId="11" fillId="0" borderId="1" xfId="1" applyNumberFormat="1" applyFont="1" applyBorder="1" applyAlignment="1" applyProtection="1">
      <alignment horizontal="center" vertical="top" wrapText="1"/>
      <protection locked="0"/>
    </xf>
    <xf numFmtId="0" fontId="7" fillId="0" borderId="14" xfId="1" applyFont="1" applyBorder="1" applyAlignment="1" applyProtection="1">
      <alignment horizontal="left" vertical="top"/>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23" fillId="0" borderId="1" xfId="10" applyFill="1" applyBorder="1" applyAlignment="1" applyProtection="1">
      <alignment horizontal="left" vertical="top" wrapText="1"/>
      <protection locked="0"/>
    </xf>
    <xf numFmtId="1" fontId="29" fillId="0" borderId="1" xfId="1" applyNumberFormat="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0" fillId="0" borderId="3" xfId="1" applyFont="1" applyBorder="1" applyAlignment="1" applyProtection="1">
      <alignment horizontal="left" vertical="top"/>
      <protection locked="0"/>
    </xf>
    <xf numFmtId="0" fontId="10" fillId="0" borderId="15"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10" fillId="0" borderId="16" xfId="1" applyFont="1" applyBorder="1" applyAlignment="1" applyProtection="1">
      <alignment horizontal="left" vertical="top" wrapText="1"/>
      <protection locked="0"/>
    </xf>
    <xf numFmtId="9" fontId="10" fillId="0" borderId="15" xfId="8" applyFont="1" applyFill="1" applyBorder="1" applyAlignment="1" applyProtection="1">
      <alignment horizontal="center" vertical="center" wrapText="1"/>
      <protection locked="0"/>
    </xf>
    <xf numFmtId="9" fontId="10" fillId="0" borderId="16" xfId="8" applyFont="1" applyFill="1" applyBorder="1" applyAlignment="1" applyProtection="1">
      <alignment horizontal="center" vertical="center" wrapText="1"/>
      <protection locked="0"/>
    </xf>
    <xf numFmtId="9" fontId="10" fillId="0" borderId="21" xfId="8" applyFont="1" applyFill="1" applyBorder="1" applyAlignment="1" applyProtection="1">
      <alignment horizontal="center" vertical="center" wrapText="1"/>
      <protection locked="0"/>
    </xf>
    <xf numFmtId="9" fontId="10" fillId="0" borderId="22"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3"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10" fillId="0" borderId="1" xfId="1" applyFont="1" applyBorder="1" applyAlignment="1" applyProtection="1">
      <alignment horizontal="center"/>
      <protection locked="0"/>
    </xf>
    <xf numFmtId="0" fontId="10" fillId="0" borderId="8" xfId="1" applyFont="1" applyBorder="1" applyAlignment="1" applyProtection="1">
      <alignment horizontal="center" vertical="top"/>
      <protection locked="0"/>
    </xf>
    <xf numFmtId="0" fontId="10" fillId="0" borderId="19"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1" fontId="10"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11" fillId="0" borderId="8" xfId="1" applyFont="1" applyBorder="1" applyAlignment="1" applyProtection="1">
      <alignment horizontal="center" vertical="top"/>
      <protection locked="0"/>
    </xf>
    <xf numFmtId="0" fontId="11" fillId="0" borderId="19"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28"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10" fillId="0" borderId="1" xfId="1" applyNumberFormat="1" applyFont="1" applyBorder="1" applyAlignment="1" applyProtection="1">
      <alignment horizontal="left" vertical="top"/>
      <protection locked="0"/>
    </xf>
    <xf numFmtId="0" fontId="10" fillId="0" borderId="5"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left" vertical="top" wrapText="1"/>
      <protection locked="0"/>
    </xf>
    <xf numFmtId="0" fontId="7" fillId="0" borderId="14" xfId="1" applyFont="1" applyBorder="1" applyAlignment="1" applyProtection="1">
      <alignment horizontal="center" vertical="top"/>
      <protection locked="0"/>
    </xf>
    <xf numFmtId="1" fontId="11"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6" fillId="0" borderId="21"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263395</xdr:colOff>
      <xdr:row>506</xdr:row>
      <xdr:rowOff>110473</xdr:rowOff>
    </xdr:from>
    <xdr:to>
      <xdr:col>6</xdr:col>
      <xdr:colOff>511567</xdr:colOff>
      <xdr:row>526</xdr:row>
      <xdr:rowOff>181802</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063495" y="68461873"/>
          <a:ext cx="4534422" cy="4008329"/>
        </a:xfrm>
        <a:prstGeom prst="rect">
          <a:avLst/>
        </a:prstGeom>
        <a:ln>
          <a:solidFill>
            <a:schemeClr val="tx1"/>
          </a:solidFill>
        </a:ln>
      </xdr:spPr>
    </xdr:pic>
    <xdr:clientData/>
  </xdr:twoCellAnchor>
  <xdr:twoCellAnchor editAs="oneCell">
    <xdr:from>
      <xdr:col>1</xdr:col>
      <xdr:colOff>25400</xdr:colOff>
      <xdr:row>486</xdr:row>
      <xdr:rowOff>114300</xdr:rowOff>
    </xdr:from>
    <xdr:to>
      <xdr:col>6</xdr:col>
      <xdr:colOff>730512</xdr:colOff>
      <xdr:row>505</xdr:row>
      <xdr:rowOff>94380</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825500" y="64528700"/>
          <a:ext cx="5010412" cy="3720230"/>
        </a:xfrm>
        <a:prstGeom prst="rect">
          <a:avLst/>
        </a:prstGeom>
        <a:ln>
          <a:solidFill>
            <a:schemeClr val="tx1"/>
          </a:solidFill>
        </a:ln>
      </xdr:spPr>
    </xdr:pic>
    <xdr:clientData/>
  </xdr:twoCellAnchor>
  <xdr:twoCellAnchor>
    <xdr:from>
      <xdr:col>2</xdr:col>
      <xdr:colOff>798846</xdr:colOff>
      <xdr:row>514</xdr:row>
      <xdr:rowOff>107234</xdr:rowOff>
    </xdr:from>
    <xdr:to>
      <xdr:col>4</xdr:col>
      <xdr:colOff>461641</xdr:colOff>
      <xdr:row>519</xdr:row>
      <xdr:rowOff>8975</xdr:rowOff>
    </xdr:to>
    <xdr:sp macro="" textlink="">
      <xdr:nvSpPr>
        <xdr:cNvPr id="4" name="Rectangle 3">
          <a:extLst>
            <a:ext uri="{FF2B5EF4-FFF2-40B4-BE49-F238E27FC236}">
              <a16:creationId xmlns="" xmlns:a16="http://schemas.microsoft.com/office/drawing/2014/main" id="{00000000-0008-0000-0000-000004000000}"/>
            </a:ext>
          </a:extLst>
        </xdr:cNvPr>
        <xdr:cNvSpPr/>
      </xdr:nvSpPr>
      <xdr:spPr>
        <a:xfrm rot="20047169">
          <a:off x="2437146" y="70033434"/>
          <a:ext cx="1510645" cy="88599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2</xdr:col>
      <xdr:colOff>204941</xdr:colOff>
      <xdr:row>400</xdr:row>
      <xdr:rowOff>165100</xdr:rowOff>
    </xdr:from>
    <xdr:to>
      <xdr:col>5</xdr:col>
      <xdr:colOff>594292</xdr:colOff>
      <xdr:row>416</xdr:row>
      <xdr:rowOff>71851</xdr:rowOff>
    </xdr:to>
    <xdr:pic>
      <xdr:nvPicPr>
        <xdr:cNvPr id="5" name="Picture 4">
          <a:extLst>
            <a:ext uri="{FF2B5EF4-FFF2-40B4-BE49-F238E27FC236}">
              <a16:creationId xmlns=""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843241" y="55918100"/>
          <a:ext cx="3056351" cy="3056351"/>
        </a:xfrm>
        <a:prstGeom prst="rect">
          <a:avLst/>
        </a:prstGeom>
        <a:ln>
          <a:solidFill>
            <a:schemeClr val="tx1"/>
          </a:solidFill>
        </a:ln>
      </xdr:spPr>
    </xdr:pic>
    <xdr:clientData/>
  </xdr:twoCellAnchor>
  <xdr:twoCellAnchor editAs="oneCell">
    <xdr:from>
      <xdr:col>1</xdr:col>
      <xdr:colOff>711200</xdr:colOff>
      <xdr:row>417</xdr:row>
      <xdr:rowOff>87944</xdr:rowOff>
    </xdr:from>
    <xdr:to>
      <xdr:col>6</xdr:col>
      <xdr:colOff>145181</xdr:colOff>
      <xdr:row>436</xdr:row>
      <xdr:rowOff>118129</xdr:rowOff>
    </xdr:to>
    <xdr:pic>
      <xdr:nvPicPr>
        <xdr:cNvPr id="6" name="Picture 5">
          <a:extLst>
            <a:ext uri="{FF2B5EF4-FFF2-40B4-BE49-F238E27FC236}">
              <a16:creationId xmlns=""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511300" y="59187394"/>
          <a:ext cx="3720231" cy="3770335"/>
        </a:xfrm>
        <a:prstGeom prst="rect">
          <a:avLst/>
        </a:prstGeom>
        <a:ln>
          <a:solidFill>
            <a:schemeClr val="tx1"/>
          </a:solidFill>
        </a:ln>
      </xdr:spPr>
    </xdr:pic>
    <xdr:clientData/>
  </xdr:twoCellAnchor>
  <xdr:twoCellAnchor editAs="oneCell">
    <xdr:from>
      <xdr:col>8</xdr:col>
      <xdr:colOff>441325</xdr:colOff>
      <xdr:row>43</xdr:row>
      <xdr:rowOff>95250</xdr:rowOff>
    </xdr:from>
    <xdr:to>
      <xdr:col>14</xdr:col>
      <xdr:colOff>418425</xdr:colOff>
      <xdr:row>62</xdr:row>
      <xdr:rowOff>596892</xdr:rowOff>
    </xdr:to>
    <xdr:pic>
      <xdr:nvPicPr>
        <xdr:cNvPr id="28" name="Picture 27">
          <a:extLst>
            <a:ext uri="{FF2B5EF4-FFF2-40B4-BE49-F238E27FC236}">
              <a16:creationId xmlns="" xmlns:a16="http://schemas.microsoft.com/office/drawing/2014/main" id="{00000000-0008-0000-0000-00001C000000}"/>
            </a:ext>
          </a:extLst>
        </xdr:cNvPr>
        <xdr:cNvPicPr>
          <a:picLocks noChangeAspect="1"/>
        </xdr:cNvPicPr>
      </xdr:nvPicPr>
      <xdr:blipFill>
        <a:blip xmlns:r="http://schemas.openxmlformats.org/officeDocument/2006/relationships" r:embed="rId5"/>
        <a:stretch>
          <a:fillRect/>
        </a:stretch>
      </xdr:blipFill>
      <xdr:spPr>
        <a:xfrm>
          <a:off x="6756400" y="9505950"/>
          <a:ext cx="5158700" cy="3959217"/>
        </a:xfrm>
        <a:prstGeom prst="rect">
          <a:avLst/>
        </a:prstGeom>
        <a:ln>
          <a:solidFill>
            <a:schemeClr val="tx1"/>
          </a:solidFill>
        </a:ln>
      </xdr:spPr>
    </xdr:pic>
    <xdr:clientData/>
  </xdr:twoCellAnchor>
  <xdr:twoCellAnchor editAs="oneCell">
    <xdr:from>
      <xdr:col>0</xdr:col>
      <xdr:colOff>317500</xdr:colOff>
      <xdr:row>443</xdr:row>
      <xdr:rowOff>127000</xdr:rowOff>
    </xdr:from>
    <xdr:to>
      <xdr:col>7</xdr:col>
      <xdr:colOff>222800</xdr:colOff>
      <xdr:row>466</xdr:row>
      <xdr:rowOff>138379</xdr:rowOff>
    </xdr:to>
    <xdr:pic>
      <xdr:nvPicPr>
        <xdr:cNvPr id="31" name="Picture 30">
          <a:extLst>
            <a:ext uri="{FF2B5EF4-FFF2-40B4-BE49-F238E27FC236}">
              <a16:creationId xmlns="" xmlns:a16="http://schemas.microsoft.com/office/drawing/2014/main" id="{00000000-0008-0000-0000-00001F000000}"/>
            </a:ext>
          </a:extLst>
        </xdr:cNvPr>
        <xdr:cNvPicPr>
          <a:picLocks noChangeAspect="1"/>
        </xdr:cNvPicPr>
      </xdr:nvPicPr>
      <xdr:blipFill>
        <a:blip xmlns:r="http://schemas.openxmlformats.org/officeDocument/2006/relationships" r:embed="rId6"/>
        <a:stretch>
          <a:fillRect/>
        </a:stretch>
      </xdr:blipFill>
      <xdr:spPr>
        <a:xfrm>
          <a:off x="317500" y="90049350"/>
          <a:ext cx="5760000" cy="4538929"/>
        </a:xfrm>
        <a:prstGeom prst="rect">
          <a:avLst/>
        </a:prstGeom>
        <a:ln>
          <a:solidFill>
            <a:schemeClr val="tx1"/>
          </a:solidFill>
        </a:ln>
      </xdr:spPr>
    </xdr:pic>
    <xdr:clientData/>
  </xdr:twoCellAnchor>
  <xdr:twoCellAnchor editAs="oneCell">
    <xdr:from>
      <xdr:col>0</xdr:col>
      <xdr:colOff>317500</xdr:colOff>
      <xdr:row>467</xdr:row>
      <xdr:rowOff>112494</xdr:rowOff>
    </xdr:from>
    <xdr:to>
      <xdr:col>7</xdr:col>
      <xdr:colOff>222800</xdr:colOff>
      <xdr:row>482</xdr:row>
      <xdr:rowOff>39744</xdr:rowOff>
    </xdr:to>
    <xdr:pic>
      <xdr:nvPicPr>
        <xdr:cNvPr id="32" name="Picture 31">
          <a:extLst>
            <a:ext uri="{FF2B5EF4-FFF2-40B4-BE49-F238E27FC236}">
              <a16:creationId xmlns="" xmlns:a16="http://schemas.microsoft.com/office/drawing/2014/main" id="{00000000-0008-0000-0000-000020000000}"/>
            </a:ext>
          </a:extLst>
        </xdr:cNvPr>
        <xdr:cNvPicPr>
          <a:picLocks noChangeAspect="1"/>
        </xdr:cNvPicPr>
      </xdr:nvPicPr>
      <xdr:blipFill>
        <a:blip xmlns:r="http://schemas.openxmlformats.org/officeDocument/2006/relationships" r:embed="rId7"/>
        <a:stretch>
          <a:fillRect/>
        </a:stretch>
      </xdr:blipFill>
      <xdr:spPr>
        <a:xfrm>
          <a:off x="317500" y="94759244"/>
          <a:ext cx="5760000" cy="2880000"/>
        </a:xfrm>
        <a:prstGeom prst="rect">
          <a:avLst/>
        </a:prstGeom>
        <a:ln>
          <a:solidFill>
            <a:schemeClr val="tx1"/>
          </a:solidFill>
        </a:ln>
      </xdr:spPr>
    </xdr:pic>
    <xdr:clientData/>
  </xdr:twoCellAnchor>
  <xdr:twoCellAnchor>
    <xdr:from>
      <xdr:col>0</xdr:col>
      <xdr:colOff>428625</xdr:colOff>
      <xdr:row>357</xdr:row>
      <xdr:rowOff>66675</xdr:rowOff>
    </xdr:from>
    <xdr:to>
      <xdr:col>7</xdr:col>
      <xdr:colOff>411496</xdr:colOff>
      <xdr:row>398</xdr:row>
      <xdr:rowOff>112125</xdr:rowOff>
    </xdr:to>
    <xdr:grpSp>
      <xdr:nvGrpSpPr>
        <xdr:cNvPr id="7" name="Group 6"/>
        <xdr:cNvGrpSpPr/>
      </xdr:nvGrpSpPr>
      <xdr:grpSpPr>
        <a:xfrm>
          <a:off x="428625" y="74495025"/>
          <a:ext cx="5564521" cy="8236950"/>
          <a:chOff x="428625" y="74495025"/>
          <a:chExt cx="5564521" cy="8236950"/>
        </a:xfrm>
      </xdr:grpSpPr>
      <xdr:pic>
        <xdr:nvPicPr>
          <xdr:cNvPr id="25" name="Picture 24" descr="https://vsjcllp.vsjadon.com/upload/insp-247618-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162300" y="805719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7618-843.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609600" y="78228825"/>
            <a:ext cx="1698442" cy="2266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7618-86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28625" y="74495025"/>
            <a:ext cx="2726071" cy="3638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7618-87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409825" y="78219300"/>
            <a:ext cx="1698442" cy="2266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7618-874.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267075" y="74495025"/>
            <a:ext cx="2726071" cy="3638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7618-9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447800" y="805719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7618-849.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191000" y="78219300"/>
            <a:ext cx="1698442" cy="2266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ai2NA8atL231DPwJ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86"/>
  <sheetViews>
    <sheetView tabSelected="1" view="pageBreakPreview" zoomScaleNormal="100" zoomScaleSheetLayoutView="100" zoomScalePageLayoutView="85" workbookViewId="0">
      <selection activeCell="J7" sqref="J7"/>
    </sheetView>
  </sheetViews>
  <sheetFormatPr defaultColWidth="9.140625" defaultRowHeight="15.75" x14ac:dyDescent="0.25"/>
  <cols>
    <col min="1" max="1" width="11.42578125" style="35" customWidth="1"/>
    <col min="2" max="2" width="12" style="35" customWidth="1"/>
    <col min="3" max="3" width="12.7109375" style="35" customWidth="1"/>
    <col min="4" max="4" width="13.7109375" style="35" customWidth="1"/>
    <col min="5" max="5" width="11.7109375" style="35" customWidth="1"/>
    <col min="6" max="6" width="11.140625" style="35" customWidth="1"/>
    <col min="7" max="8" width="11" style="35" customWidth="1"/>
    <col min="9" max="9" width="17.42578125" style="16" customWidth="1"/>
    <col min="10" max="10" width="11.42578125" style="16" customWidth="1"/>
    <col min="11" max="11" width="10.5703125" style="16" bestFit="1" customWidth="1"/>
    <col min="12" max="12" width="13.85546875" style="16" bestFit="1" customWidth="1"/>
    <col min="13" max="13" width="11.85546875" style="16" customWidth="1"/>
    <col min="14" max="14" width="12.5703125" style="16" customWidth="1"/>
    <col min="15" max="15" width="12.140625" style="16" customWidth="1"/>
    <col min="16" max="16" width="11.7109375" style="16" customWidth="1"/>
    <col min="17" max="18" width="9.140625" style="16"/>
    <col min="19" max="19" width="10.85546875" style="16" bestFit="1" customWidth="1"/>
    <col min="20" max="20" width="10.7109375" style="16" customWidth="1"/>
    <col min="21" max="247" width="9.140625" style="16"/>
    <col min="248" max="248" width="8.7109375" style="16" customWidth="1"/>
    <col min="249" max="249" width="9.85546875" style="16" customWidth="1"/>
    <col min="250" max="250" width="14.42578125" style="16" customWidth="1"/>
    <col min="251" max="251" width="7.28515625" style="16" customWidth="1"/>
    <col min="252" max="252" width="5.5703125" style="16" customWidth="1"/>
    <col min="253" max="253" width="9" style="16" customWidth="1"/>
    <col min="254" max="255" width="9.85546875" style="16" customWidth="1"/>
    <col min="256" max="256" width="11.140625" style="16" customWidth="1"/>
    <col min="257" max="257" width="2.85546875" style="16" customWidth="1"/>
    <col min="258" max="258" width="3.5703125" style="16" customWidth="1"/>
    <col min="259" max="503" width="9.140625" style="16"/>
    <col min="504" max="504" width="8.7109375" style="16" customWidth="1"/>
    <col min="505" max="505" width="9.85546875" style="16" customWidth="1"/>
    <col min="506" max="506" width="14.42578125" style="16" customWidth="1"/>
    <col min="507" max="507" width="7.28515625" style="16" customWidth="1"/>
    <col min="508" max="508" width="5.5703125" style="16" customWidth="1"/>
    <col min="509" max="509" width="9" style="16" customWidth="1"/>
    <col min="510" max="511" width="9.85546875" style="16" customWidth="1"/>
    <col min="512" max="512" width="11.140625" style="16" customWidth="1"/>
    <col min="513" max="513" width="2.85546875" style="16" customWidth="1"/>
    <col min="514" max="514" width="3.5703125" style="16" customWidth="1"/>
    <col min="515" max="759" width="9.140625" style="16"/>
    <col min="760" max="760" width="8.7109375" style="16" customWidth="1"/>
    <col min="761" max="761" width="9.85546875" style="16" customWidth="1"/>
    <col min="762" max="762" width="14.42578125" style="16" customWidth="1"/>
    <col min="763" max="763" width="7.28515625" style="16" customWidth="1"/>
    <col min="764" max="764" width="5.5703125" style="16" customWidth="1"/>
    <col min="765" max="765" width="9" style="16" customWidth="1"/>
    <col min="766" max="767" width="9.85546875" style="16" customWidth="1"/>
    <col min="768" max="768" width="11.140625" style="16" customWidth="1"/>
    <col min="769" max="769" width="2.85546875" style="16" customWidth="1"/>
    <col min="770" max="770" width="3.5703125" style="16" customWidth="1"/>
    <col min="771" max="1015" width="9.140625" style="16"/>
    <col min="1016" max="1016" width="8.7109375" style="16" customWidth="1"/>
    <col min="1017" max="1017" width="9.85546875" style="16" customWidth="1"/>
    <col min="1018" max="1018" width="14.42578125" style="16" customWidth="1"/>
    <col min="1019" max="1019" width="7.28515625" style="16" customWidth="1"/>
    <col min="1020" max="1020" width="5.5703125" style="16" customWidth="1"/>
    <col min="1021" max="1021" width="9" style="16" customWidth="1"/>
    <col min="1022" max="1023" width="9.85546875" style="16" customWidth="1"/>
    <col min="1024" max="1024" width="11.140625" style="16" customWidth="1"/>
    <col min="1025" max="1025" width="2.85546875" style="16" customWidth="1"/>
    <col min="1026" max="1026" width="3.5703125" style="16" customWidth="1"/>
    <col min="1027" max="1271" width="9.140625" style="16"/>
    <col min="1272" max="1272" width="8.7109375" style="16" customWidth="1"/>
    <col min="1273" max="1273" width="9.85546875" style="16" customWidth="1"/>
    <col min="1274" max="1274" width="14.42578125" style="16" customWidth="1"/>
    <col min="1275" max="1275" width="7.28515625" style="16" customWidth="1"/>
    <col min="1276" max="1276" width="5.5703125" style="16" customWidth="1"/>
    <col min="1277" max="1277" width="9" style="16" customWidth="1"/>
    <col min="1278" max="1279" width="9.85546875" style="16" customWidth="1"/>
    <col min="1280" max="1280" width="11.140625" style="16" customWidth="1"/>
    <col min="1281" max="1281" width="2.85546875" style="16" customWidth="1"/>
    <col min="1282" max="1282" width="3.5703125" style="16" customWidth="1"/>
    <col min="1283" max="1527" width="9.140625" style="16"/>
    <col min="1528" max="1528" width="8.7109375" style="16" customWidth="1"/>
    <col min="1529" max="1529" width="9.85546875" style="16" customWidth="1"/>
    <col min="1530" max="1530" width="14.42578125" style="16" customWidth="1"/>
    <col min="1531" max="1531" width="7.28515625" style="16" customWidth="1"/>
    <col min="1532" max="1532" width="5.5703125" style="16" customWidth="1"/>
    <col min="1533" max="1533" width="9" style="16" customWidth="1"/>
    <col min="1534" max="1535" width="9.85546875" style="16" customWidth="1"/>
    <col min="1536" max="1536" width="11.140625" style="16" customWidth="1"/>
    <col min="1537" max="1537" width="2.85546875" style="16" customWidth="1"/>
    <col min="1538" max="1538" width="3.5703125" style="16" customWidth="1"/>
    <col min="1539" max="1783" width="9.140625" style="16"/>
    <col min="1784" max="1784" width="8.7109375" style="16" customWidth="1"/>
    <col min="1785" max="1785" width="9.85546875" style="16" customWidth="1"/>
    <col min="1786" max="1786" width="14.42578125" style="16" customWidth="1"/>
    <col min="1787" max="1787" width="7.28515625" style="16" customWidth="1"/>
    <col min="1788" max="1788" width="5.5703125" style="16" customWidth="1"/>
    <col min="1789" max="1789" width="9" style="16" customWidth="1"/>
    <col min="1790" max="1791" width="9.85546875" style="16" customWidth="1"/>
    <col min="1792" max="1792" width="11.140625" style="16" customWidth="1"/>
    <col min="1793" max="1793" width="2.85546875" style="16" customWidth="1"/>
    <col min="1794" max="1794" width="3.5703125" style="16" customWidth="1"/>
    <col min="1795" max="2039" width="9.140625" style="16"/>
    <col min="2040" max="2040" width="8.7109375" style="16" customWidth="1"/>
    <col min="2041" max="2041" width="9.85546875" style="16" customWidth="1"/>
    <col min="2042" max="2042" width="14.42578125" style="16" customWidth="1"/>
    <col min="2043" max="2043" width="7.28515625" style="16" customWidth="1"/>
    <col min="2044" max="2044" width="5.5703125" style="16" customWidth="1"/>
    <col min="2045" max="2045" width="9" style="16" customWidth="1"/>
    <col min="2046" max="2047" width="9.85546875" style="16" customWidth="1"/>
    <col min="2048" max="2048" width="11.140625" style="16" customWidth="1"/>
    <col min="2049" max="2049" width="2.85546875" style="16" customWidth="1"/>
    <col min="2050" max="2050" width="3.5703125" style="16" customWidth="1"/>
    <col min="2051" max="2295" width="9.140625" style="16"/>
    <col min="2296" max="2296" width="8.7109375" style="16" customWidth="1"/>
    <col min="2297" max="2297" width="9.85546875" style="16" customWidth="1"/>
    <col min="2298" max="2298" width="14.42578125" style="16" customWidth="1"/>
    <col min="2299" max="2299" width="7.28515625" style="16" customWidth="1"/>
    <col min="2300" max="2300" width="5.5703125" style="16" customWidth="1"/>
    <col min="2301" max="2301" width="9" style="16" customWidth="1"/>
    <col min="2302" max="2303" width="9.85546875" style="16" customWidth="1"/>
    <col min="2304" max="2304" width="11.140625" style="16" customWidth="1"/>
    <col min="2305" max="2305" width="2.85546875" style="16" customWidth="1"/>
    <col min="2306" max="2306" width="3.5703125" style="16" customWidth="1"/>
    <col min="2307" max="2551" width="9.140625" style="16"/>
    <col min="2552" max="2552" width="8.7109375" style="16" customWidth="1"/>
    <col min="2553" max="2553" width="9.85546875" style="16" customWidth="1"/>
    <col min="2554" max="2554" width="14.42578125" style="16" customWidth="1"/>
    <col min="2555" max="2555" width="7.28515625" style="16" customWidth="1"/>
    <col min="2556" max="2556" width="5.5703125" style="16" customWidth="1"/>
    <col min="2557" max="2557" width="9" style="16" customWidth="1"/>
    <col min="2558" max="2559" width="9.85546875" style="16" customWidth="1"/>
    <col min="2560" max="2560" width="11.140625" style="16" customWidth="1"/>
    <col min="2561" max="2561" width="2.85546875" style="16" customWidth="1"/>
    <col min="2562" max="2562" width="3.5703125" style="16" customWidth="1"/>
    <col min="2563" max="2807" width="9.140625" style="16"/>
    <col min="2808" max="2808" width="8.7109375" style="16" customWidth="1"/>
    <col min="2809" max="2809" width="9.85546875" style="16" customWidth="1"/>
    <col min="2810" max="2810" width="14.42578125" style="16" customWidth="1"/>
    <col min="2811" max="2811" width="7.28515625" style="16" customWidth="1"/>
    <col min="2812" max="2812" width="5.5703125" style="16" customWidth="1"/>
    <col min="2813" max="2813" width="9" style="16" customWidth="1"/>
    <col min="2814" max="2815" width="9.85546875" style="16" customWidth="1"/>
    <col min="2816" max="2816" width="11.140625" style="16" customWidth="1"/>
    <col min="2817" max="2817" width="2.85546875" style="16" customWidth="1"/>
    <col min="2818" max="2818" width="3.5703125" style="16" customWidth="1"/>
    <col min="2819" max="3063" width="9.140625" style="16"/>
    <col min="3064" max="3064" width="8.7109375" style="16" customWidth="1"/>
    <col min="3065" max="3065" width="9.85546875" style="16" customWidth="1"/>
    <col min="3066" max="3066" width="14.42578125" style="16" customWidth="1"/>
    <col min="3067" max="3067" width="7.28515625" style="16" customWidth="1"/>
    <col min="3068" max="3068" width="5.5703125" style="16" customWidth="1"/>
    <col min="3069" max="3069" width="9" style="16" customWidth="1"/>
    <col min="3070" max="3071" width="9.85546875" style="16" customWidth="1"/>
    <col min="3072" max="3072" width="11.140625" style="16" customWidth="1"/>
    <col min="3073" max="3073" width="2.85546875" style="16" customWidth="1"/>
    <col min="3074" max="3074" width="3.5703125" style="16" customWidth="1"/>
    <col min="3075" max="3319" width="9.140625" style="16"/>
    <col min="3320" max="3320" width="8.7109375" style="16" customWidth="1"/>
    <col min="3321" max="3321" width="9.85546875" style="16" customWidth="1"/>
    <col min="3322" max="3322" width="14.42578125" style="16" customWidth="1"/>
    <col min="3323" max="3323" width="7.28515625" style="16" customWidth="1"/>
    <col min="3324" max="3324" width="5.5703125" style="16" customWidth="1"/>
    <col min="3325" max="3325" width="9" style="16" customWidth="1"/>
    <col min="3326" max="3327" width="9.85546875" style="16" customWidth="1"/>
    <col min="3328" max="3328" width="11.140625" style="16" customWidth="1"/>
    <col min="3329" max="3329" width="2.85546875" style="16" customWidth="1"/>
    <col min="3330" max="3330" width="3.5703125" style="16" customWidth="1"/>
    <col min="3331" max="3575" width="9.140625" style="16"/>
    <col min="3576" max="3576" width="8.7109375" style="16" customWidth="1"/>
    <col min="3577" max="3577" width="9.85546875" style="16" customWidth="1"/>
    <col min="3578" max="3578" width="14.42578125" style="16" customWidth="1"/>
    <col min="3579" max="3579" width="7.28515625" style="16" customWidth="1"/>
    <col min="3580" max="3580" width="5.5703125" style="16" customWidth="1"/>
    <col min="3581" max="3581" width="9" style="16" customWidth="1"/>
    <col min="3582" max="3583" width="9.85546875" style="16" customWidth="1"/>
    <col min="3584" max="3584" width="11.140625" style="16" customWidth="1"/>
    <col min="3585" max="3585" width="2.85546875" style="16" customWidth="1"/>
    <col min="3586" max="3586" width="3.5703125" style="16" customWidth="1"/>
    <col min="3587" max="3831" width="9.140625" style="16"/>
    <col min="3832" max="3832" width="8.7109375" style="16" customWidth="1"/>
    <col min="3833" max="3833" width="9.85546875" style="16" customWidth="1"/>
    <col min="3834" max="3834" width="14.42578125" style="16" customWidth="1"/>
    <col min="3835" max="3835" width="7.28515625" style="16" customWidth="1"/>
    <col min="3836" max="3836" width="5.5703125" style="16" customWidth="1"/>
    <col min="3837" max="3837" width="9" style="16" customWidth="1"/>
    <col min="3838" max="3839" width="9.85546875" style="16" customWidth="1"/>
    <col min="3840" max="3840" width="11.140625" style="16" customWidth="1"/>
    <col min="3841" max="3841" width="2.85546875" style="16" customWidth="1"/>
    <col min="3842" max="3842" width="3.5703125" style="16" customWidth="1"/>
    <col min="3843" max="4087" width="9.140625" style="16"/>
    <col min="4088" max="4088" width="8.7109375" style="16" customWidth="1"/>
    <col min="4089" max="4089" width="9.85546875" style="16" customWidth="1"/>
    <col min="4090" max="4090" width="14.42578125" style="16" customWidth="1"/>
    <col min="4091" max="4091" width="7.28515625" style="16" customWidth="1"/>
    <col min="4092" max="4092" width="5.5703125" style="16" customWidth="1"/>
    <col min="4093" max="4093" width="9" style="16" customWidth="1"/>
    <col min="4094" max="4095" width="9.85546875" style="16" customWidth="1"/>
    <col min="4096" max="4096" width="11.140625" style="16" customWidth="1"/>
    <col min="4097" max="4097" width="2.85546875" style="16" customWidth="1"/>
    <col min="4098" max="4098" width="3.5703125" style="16" customWidth="1"/>
    <col min="4099" max="4343" width="9.140625" style="16"/>
    <col min="4344" max="4344" width="8.7109375" style="16" customWidth="1"/>
    <col min="4345" max="4345" width="9.85546875" style="16" customWidth="1"/>
    <col min="4346" max="4346" width="14.42578125" style="16" customWidth="1"/>
    <col min="4347" max="4347" width="7.28515625" style="16" customWidth="1"/>
    <col min="4348" max="4348" width="5.5703125" style="16" customWidth="1"/>
    <col min="4349" max="4349" width="9" style="16" customWidth="1"/>
    <col min="4350" max="4351" width="9.85546875" style="16" customWidth="1"/>
    <col min="4352" max="4352" width="11.140625" style="16" customWidth="1"/>
    <col min="4353" max="4353" width="2.85546875" style="16" customWidth="1"/>
    <col min="4354" max="4354" width="3.5703125" style="16" customWidth="1"/>
    <col min="4355" max="4599" width="9.140625" style="16"/>
    <col min="4600" max="4600" width="8.7109375" style="16" customWidth="1"/>
    <col min="4601" max="4601" width="9.85546875" style="16" customWidth="1"/>
    <col min="4602" max="4602" width="14.42578125" style="16" customWidth="1"/>
    <col min="4603" max="4603" width="7.28515625" style="16" customWidth="1"/>
    <col min="4604" max="4604" width="5.5703125" style="16" customWidth="1"/>
    <col min="4605" max="4605" width="9" style="16" customWidth="1"/>
    <col min="4606" max="4607" width="9.85546875" style="16" customWidth="1"/>
    <col min="4608" max="4608" width="11.140625" style="16" customWidth="1"/>
    <col min="4609" max="4609" width="2.85546875" style="16" customWidth="1"/>
    <col min="4610" max="4610" width="3.5703125" style="16" customWidth="1"/>
    <col min="4611" max="4855" width="9.140625" style="16"/>
    <col min="4856" max="4856" width="8.7109375" style="16" customWidth="1"/>
    <col min="4857" max="4857" width="9.85546875" style="16" customWidth="1"/>
    <col min="4858" max="4858" width="14.42578125" style="16" customWidth="1"/>
    <col min="4859" max="4859" width="7.28515625" style="16" customWidth="1"/>
    <col min="4860" max="4860" width="5.5703125" style="16" customWidth="1"/>
    <col min="4861" max="4861" width="9" style="16" customWidth="1"/>
    <col min="4862" max="4863" width="9.85546875" style="16" customWidth="1"/>
    <col min="4864" max="4864" width="11.140625" style="16" customWidth="1"/>
    <col min="4865" max="4865" width="2.85546875" style="16" customWidth="1"/>
    <col min="4866" max="4866" width="3.5703125" style="16" customWidth="1"/>
    <col min="4867" max="5111" width="9.140625" style="16"/>
    <col min="5112" max="5112" width="8.7109375" style="16" customWidth="1"/>
    <col min="5113" max="5113" width="9.85546875" style="16" customWidth="1"/>
    <col min="5114" max="5114" width="14.42578125" style="16" customWidth="1"/>
    <col min="5115" max="5115" width="7.28515625" style="16" customWidth="1"/>
    <col min="5116" max="5116" width="5.5703125" style="16" customWidth="1"/>
    <col min="5117" max="5117" width="9" style="16" customWidth="1"/>
    <col min="5118" max="5119" width="9.85546875" style="16" customWidth="1"/>
    <col min="5120" max="5120" width="11.140625" style="16" customWidth="1"/>
    <col min="5121" max="5121" width="2.85546875" style="16" customWidth="1"/>
    <col min="5122" max="5122" width="3.5703125" style="16" customWidth="1"/>
    <col min="5123" max="5367" width="9.140625" style="16"/>
    <col min="5368" max="5368" width="8.7109375" style="16" customWidth="1"/>
    <col min="5369" max="5369" width="9.85546875" style="16" customWidth="1"/>
    <col min="5370" max="5370" width="14.42578125" style="16" customWidth="1"/>
    <col min="5371" max="5371" width="7.28515625" style="16" customWidth="1"/>
    <col min="5372" max="5372" width="5.5703125" style="16" customWidth="1"/>
    <col min="5373" max="5373" width="9" style="16" customWidth="1"/>
    <col min="5374" max="5375" width="9.85546875" style="16" customWidth="1"/>
    <col min="5376" max="5376" width="11.140625" style="16" customWidth="1"/>
    <col min="5377" max="5377" width="2.85546875" style="16" customWidth="1"/>
    <col min="5378" max="5378" width="3.5703125" style="16" customWidth="1"/>
    <col min="5379" max="5623" width="9.140625" style="16"/>
    <col min="5624" max="5624" width="8.7109375" style="16" customWidth="1"/>
    <col min="5625" max="5625" width="9.85546875" style="16" customWidth="1"/>
    <col min="5626" max="5626" width="14.42578125" style="16" customWidth="1"/>
    <col min="5627" max="5627" width="7.28515625" style="16" customWidth="1"/>
    <col min="5628" max="5628" width="5.5703125" style="16" customWidth="1"/>
    <col min="5629" max="5629" width="9" style="16" customWidth="1"/>
    <col min="5630" max="5631" width="9.85546875" style="16" customWidth="1"/>
    <col min="5632" max="5632" width="11.140625" style="16" customWidth="1"/>
    <col min="5633" max="5633" width="2.85546875" style="16" customWidth="1"/>
    <col min="5634" max="5634" width="3.5703125" style="16" customWidth="1"/>
    <col min="5635" max="5879" width="9.140625" style="16"/>
    <col min="5880" max="5880" width="8.7109375" style="16" customWidth="1"/>
    <col min="5881" max="5881" width="9.85546875" style="16" customWidth="1"/>
    <col min="5882" max="5882" width="14.42578125" style="16" customWidth="1"/>
    <col min="5883" max="5883" width="7.28515625" style="16" customWidth="1"/>
    <col min="5884" max="5884" width="5.5703125" style="16" customWidth="1"/>
    <col min="5885" max="5885" width="9" style="16" customWidth="1"/>
    <col min="5886" max="5887" width="9.85546875" style="16" customWidth="1"/>
    <col min="5888" max="5888" width="11.140625" style="16" customWidth="1"/>
    <col min="5889" max="5889" width="2.85546875" style="16" customWidth="1"/>
    <col min="5890" max="5890" width="3.5703125" style="16" customWidth="1"/>
    <col min="5891" max="6135" width="9.140625" style="16"/>
    <col min="6136" max="6136" width="8.7109375" style="16" customWidth="1"/>
    <col min="6137" max="6137" width="9.85546875" style="16" customWidth="1"/>
    <col min="6138" max="6138" width="14.42578125" style="16" customWidth="1"/>
    <col min="6139" max="6139" width="7.28515625" style="16" customWidth="1"/>
    <col min="6140" max="6140" width="5.5703125" style="16" customWidth="1"/>
    <col min="6141" max="6141" width="9" style="16" customWidth="1"/>
    <col min="6142" max="6143" width="9.85546875" style="16" customWidth="1"/>
    <col min="6144" max="6144" width="11.140625" style="16" customWidth="1"/>
    <col min="6145" max="6145" width="2.85546875" style="16" customWidth="1"/>
    <col min="6146" max="6146" width="3.5703125" style="16" customWidth="1"/>
    <col min="6147" max="6391" width="9.140625" style="16"/>
    <col min="6392" max="6392" width="8.7109375" style="16" customWidth="1"/>
    <col min="6393" max="6393" width="9.85546875" style="16" customWidth="1"/>
    <col min="6394" max="6394" width="14.42578125" style="16" customWidth="1"/>
    <col min="6395" max="6395" width="7.28515625" style="16" customWidth="1"/>
    <col min="6396" max="6396" width="5.5703125" style="16" customWidth="1"/>
    <col min="6397" max="6397" width="9" style="16" customWidth="1"/>
    <col min="6398" max="6399" width="9.85546875" style="16" customWidth="1"/>
    <col min="6400" max="6400" width="11.140625" style="16" customWidth="1"/>
    <col min="6401" max="6401" width="2.85546875" style="16" customWidth="1"/>
    <col min="6402" max="6402" width="3.5703125" style="16" customWidth="1"/>
    <col min="6403" max="6647" width="9.140625" style="16"/>
    <col min="6648" max="6648" width="8.7109375" style="16" customWidth="1"/>
    <col min="6649" max="6649" width="9.85546875" style="16" customWidth="1"/>
    <col min="6650" max="6650" width="14.42578125" style="16" customWidth="1"/>
    <col min="6651" max="6651" width="7.28515625" style="16" customWidth="1"/>
    <col min="6652" max="6652" width="5.5703125" style="16" customWidth="1"/>
    <col min="6653" max="6653" width="9" style="16" customWidth="1"/>
    <col min="6654" max="6655" width="9.85546875" style="16" customWidth="1"/>
    <col min="6656" max="6656" width="11.140625" style="16" customWidth="1"/>
    <col min="6657" max="6657" width="2.85546875" style="16" customWidth="1"/>
    <col min="6658" max="6658" width="3.5703125" style="16" customWidth="1"/>
    <col min="6659" max="6903" width="9.140625" style="16"/>
    <col min="6904" max="6904" width="8.7109375" style="16" customWidth="1"/>
    <col min="6905" max="6905" width="9.85546875" style="16" customWidth="1"/>
    <col min="6906" max="6906" width="14.42578125" style="16" customWidth="1"/>
    <col min="6907" max="6907" width="7.28515625" style="16" customWidth="1"/>
    <col min="6908" max="6908" width="5.5703125" style="16" customWidth="1"/>
    <col min="6909" max="6909" width="9" style="16" customWidth="1"/>
    <col min="6910" max="6911" width="9.85546875" style="16" customWidth="1"/>
    <col min="6912" max="6912" width="11.140625" style="16" customWidth="1"/>
    <col min="6913" max="6913" width="2.85546875" style="16" customWidth="1"/>
    <col min="6914" max="6914" width="3.5703125" style="16" customWidth="1"/>
    <col min="6915" max="7159" width="9.140625" style="16"/>
    <col min="7160" max="7160" width="8.7109375" style="16" customWidth="1"/>
    <col min="7161" max="7161" width="9.85546875" style="16" customWidth="1"/>
    <col min="7162" max="7162" width="14.42578125" style="16" customWidth="1"/>
    <col min="7163" max="7163" width="7.28515625" style="16" customWidth="1"/>
    <col min="7164" max="7164" width="5.5703125" style="16" customWidth="1"/>
    <col min="7165" max="7165" width="9" style="16" customWidth="1"/>
    <col min="7166" max="7167" width="9.85546875" style="16" customWidth="1"/>
    <col min="7168" max="7168" width="11.140625" style="16" customWidth="1"/>
    <col min="7169" max="7169" width="2.85546875" style="16" customWidth="1"/>
    <col min="7170" max="7170" width="3.5703125" style="16" customWidth="1"/>
    <col min="7171" max="7415" width="9.140625" style="16"/>
    <col min="7416" max="7416" width="8.7109375" style="16" customWidth="1"/>
    <col min="7417" max="7417" width="9.85546875" style="16" customWidth="1"/>
    <col min="7418" max="7418" width="14.42578125" style="16" customWidth="1"/>
    <col min="7419" max="7419" width="7.28515625" style="16" customWidth="1"/>
    <col min="7420" max="7420" width="5.5703125" style="16" customWidth="1"/>
    <col min="7421" max="7421" width="9" style="16" customWidth="1"/>
    <col min="7422" max="7423" width="9.85546875" style="16" customWidth="1"/>
    <col min="7424" max="7424" width="11.140625" style="16" customWidth="1"/>
    <col min="7425" max="7425" width="2.85546875" style="16" customWidth="1"/>
    <col min="7426" max="7426" width="3.5703125" style="16" customWidth="1"/>
    <col min="7427" max="7671" width="9.140625" style="16"/>
    <col min="7672" max="7672" width="8.7109375" style="16" customWidth="1"/>
    <col min="7673" max="7673" width="9.85546875" style="16" customWidth="1"/>
    <col min="7674" max="7674" width="14.42578125" style="16" customWidth="1"/>
    <col min="7675" max="7675" width="7.28515625" style="16" customWidth="1"/>
    <col min="7676" max="7676" width="5.5703125" style="16" customWidth="1"/>
    <col min="7677" max="7677" width="9" style="16" customWidth="1"/>
    <col min="7678" max="7679" width="9.85546875" style="16" customWidth="1"/>
    <col min="7680" max="7680" width="11.140625" style="16" customWidth="1"/>
    <col min="7681" max="7681" width="2.85546875" style="16" customWidth="1"/>
    <col min="7682" max="7682" width="3.5703125" style="16" customWidth="1"/>
    <col min="7683" max="7927" width="9.140625" style="16"/>
    <col min="7928" max="7928" width="8.7109375" style="16" customWidth="1"/>
    <col min="7929" max="7929" width="9.85546875" style="16" customWidth="1"/>
    <col min="7930" max="7930" width="14.42578125" style="16" customWidth="1"/>
    <col min="7931" max="7931" width="7.28515625" style="16" customWidth="1"/>
    <col min="7932" max="7932" width="5.5703125" style="16" customWidth="1"/>
    <col min="7933" max="7933" width="9" style="16" customWidth="1"/>
    <col min="7934" max="7935" width="9.85546875" style="16" customWidth="1"/>
    <col min="7936" max="7936" width="11.140625" style="16" customWidth="1"/>
    <col min="7937" max="7937" width="2.85546875" style="16" customWidth="1"/>
    <col min="7938" max="7938" width="3.5703125" style="16" customWidth="1"/>
    <col min="7939" max="8183" width="9.140625" style="16"/>
    <col min="8184" max="8184" width="8.7109375" style="16" customWidth="1"/>
    <col min="8185" max="8185" width="9.85546875" style="16" customWidth="1"/>
    <col min="8186" max="8186" width="14.42578125" style="16" customWidth="1"/>
    <col min="8187" max="8187" width="7.28515625" style="16" customWidth="1"/>
    <col min="8188" max="8188" width="5.5703125" style="16" customWidth="1"/>
    <col min="8189" max="8189" width="9" style="16" customWidth="1"/>
    <col min="8190" max="8191" width="9.85546875" style="16" customWidth="1"/>
    <col min="8192" max="8192" width="11.140625" style="16" customWidth="1"/>
    <col min="8193" max="8193" width="2.85546875" style="16" customWidth="1"/>
    <col min="8194" max="8194" width="3.5703125" style="16" customWidth="1"/>
    <col min="8195" max="8439" width="9.140625" style="16"/>
    <col min="8440" max="8440" width="8.7109375" style="16" customWidth="1"/>
    <col min="8441" max="8441" width="9.85546875" style="16" customWidth="1"/>
    <col min="8442" max="8442" width="14.42578125" style="16" customWidth="1"/>
    <col min="8443" max="8443" width="7.28515625" style="16" customWidth="1"/>
    <col min="8444" max="8444" width="5.5703125" style="16" customWidth="1"/>
    <col min="8445" max="8445" width="9" style="16" customWidth="1"/>
    <col min="8446" max="8447" width="9.85546875" style="16" customWidth="1"/>
    <col min="8448" max="8448" width="11.140625" style="16" customWidth="1"/>
    <col min="8449" max="8449" width="2.85546875" style="16" customWidth="1"/>
    <col min="8450" max="8450" width="3.5703125" style="16" customWidth="1"/>
    <col min="8451" max="8695" width="9.140625" style="16"/>
    <col min="8696" max="8696" width="8.7109375" style="16" customWidth="1"/>
    <col min="8697" max="8697" width="9.85546875" style="16" customWidth="1"/>
    <col min="8698" max="8698" width="14.42578125" style="16" customWidth="1"/>
    <col min="8699" max="8699" width="7.28515625" style="16" customWidth="1"/>
    <col min="8700" max="8700" width="5.5703125" style="16" customWidth="1"/>
    <col min="8701" max="8701" width="9" style="16" customWidth="1"/>
    <col min="8702" max="8703" width="9.85546875" style="16" customWidth="1"/>
    <col min="8704" max="8704" width="11.140625" style="16" customWidth="1"/>
    <col min="8705" max="8705" width="2.85546875" style="16" customWidth="1"/>
    <col min="8706" max="8706" width="3.5703125" style="16" customWidth="1"/>
    <col min="8707" max="8951" width="9.140625" style="16"/>
    <col min="8952" max="8952" width="8.7109375" style="16" customWidth="1"/>
    <col min="8953" max="8953" width="9.85546875" style="16" customWidth="1"/>
    <col min="8954" max="8954" width="14.42578125" style="16" customWidth="1"/>
    <col min="8955" max="8955" width="7.28515625" style="16" customWidth="1"/>
    <col min="8956" max="8956" width="5.5703125" style="16" customWidth="1"/>
    <col min="8957" max="8957" width="9" style="16" customWidth="1"/>
    <col min="8958" max="8959" width="9.85546875" style="16" customWidth="1"/>
    <col min="8960" max="8960" width="11.140625" style="16" customWidth="1"/>
    <col min="8961" max="8961" width="2.85546875" style="16" customWidth="1"/>
    <col min="8962" max="8962" width="3.5703125" style="16" customWidth="1"/>
    <col min="8963" max="9207" width="9.140625" style="16"/>
    <col min="9208" max="9208" width="8.7109375" style="16" customWidth="1"/>
    <col min="9209" max="9209" width="9.85546875" style="16" customWidth="1"/>
    <col min="9210" max="9210" width="14.42578125" style="16" customWidth="1"/>
    <col min="9211" max="9211" width="7.28515625" style="16" customWidth="1"/>
    <col min="9212" max="9212" width="5.5703125" style="16" customWidth="1"/>
    <col min="9213" max="9213" width="9" style="16" customWidth="1"/>
    <col min="9214" max="9215" width="9.85546875" style="16" customWidth="1"/>
    <col min="9216" max="9216" width="11.140625" style="16" customWidth="1"/>
    <col min="9217" max="9217" width="2.85546875" style="16" customWidth="1"/>
    <col min="9218" max="9218" width="3.5703125" style="16" customWidth="1"/>
    <col min="9219" max="9463" width="9.140625" style="16"/>
    <col min="9464" max="9464" width="8.7109375" style="16" customWidth="1"/>
    <col min="9465" max="9465" width="9.85546875" style="16" customWidth="1"/>
    <col min="9466" max="9466" width="14.42578125" style="16" customWidth="1"/>
    <col min="9467" max="9467" width="7.28515625" style="16" customWidth="1"/>
    <col min="9468" max="9468" width="5.5703125" style="16" customWidth="1"/>
    <col min="9469" max="9469" width="9" style="16" customWidth="1"/>
    <col min="9470" max="9471" width="9.85546875" style="16" customWidth="1"/>
    <col min="9472" max="9472" width="11.140625" style="16" customWidth="1"/>
    <col min="9473" max="9473" width="2.85546875" style="16" customWidth="1"/>
    <col min="9474" max="9474" width="3.5703125" style="16" customWidth="1"/>
    <col min="9475" max="9719" width="9.140625" style="16"/>
    <col min="9720" max="9720" width="8.7109375" style="16" customWidth="1"/>
    <col min="9721" max="9721" width="9.85546875" style="16" customWidth="1"/>
    <col min="9722" max="9722" width="14.42578125" style="16" customWidth="1"/>
    <col min="9723" max="9723" width="7.28515625" style="16" customWidth="1"/>
    <col min="9724" max="9724" width="5.5703125" style="16" customWidth="1"/>
    <col min="9725" max="9725" width="9" style="16" customWidth="1"/>
    <col min="9726" max="9727" width="9.85546875" style="16" customWidth="1"/>
    <col min="9728" max="9728" width="11.140625" style="16" customWidth="1"/>
    <col min="9729" max="9729" width="2.85546875" style="16" customWidth="1"/>
    <col min="9730" max="9730" width="3.5703125" style="16" customWidth="1"/>
    <col min="9731" max="9975" width="9.140625" style="16"/>
    <col min="9976" max="9976" width="8.7109375" style="16" customWidth="1"/>
    <col min="9977" max="9977" width="9.85546875" style="16" customWidth="1"/>
    <col min="9978" max="9978" width="14.42578125" style="16" customWidth="1"/>
    <col min="9979" max="9979" width="7.28515625" style="16" customWidth="1"/>
    <col min="9980" max="9980" width="5.5703125" style="16" customWidth="1"/>
    <col min="9981" max="9981" width="9" style="16" customWidth="1"/>
    <col min="9982" max="9983" width="9.85546875" style="16" customWidth="1"/>
    <col min="9984" max="9984" width="11.140625" style="16" customWidth="1"/>
    <col min="9985" max="9985" width="2.85546875" style="16" customWidth="1"/>
    <col min="9986" max="9986" width="3.5703125" style="16" customWidth="1"/>
    <col min="9987" max="10231" width="9.140625" style="16"/>
    <col min="10232" max="10232" width="8.7109375" style="16" customWidth="1"/>
    <col min="10233" max="10233" width="9.85546875" style="16" customWidth="1"/>
    <col min="10234" max="10234" width="14.42578125" style="16" customWidth="1"/>
    <col min="10235" max="10235" width="7.28515625" style="16" customWidth="1"/>
    <col min="10236" max="10236" width="5.5703125" style="16" customWidth="1"/>
    <col min="10237" max="10237" width="9" style="16" customWidth="1"/>
    <col min="10238" max="10239" width="9.85546875" style="16" customWidth="1"/>
    <col min="10240" max="10240" width="11.140625" style="16" customWidth="1"/>
    <col min="10241" max="10241" width="2.85546875" style="16" customWidth="1"/>
    <col min="10242" max="10242" width="3.5703125" style="16" customWidth="1"/>
    <col min="10243" max="10487" width="9.140625" style="16"/>
    <col min="10488" max="10488" width="8.7109375" style="16" customWidth="1"/>
    <col min="10489" max="10489" width="9.85546875" style="16" customWidth="1"/>
    <col min="10490" max="10490" width="14.42578125" style="16" customWidth="1"/>
    <col min="10491" max="10491" width="7.28515625" style="16" customWidth="1"/>
    <col min="10492" max="10492" width="5.5703125" style="16" customWidth="1"/>
    <col min="10493" max="10493" width="9" style="16" customWidth="1"/>
    <col min="10494" max="10495" width="9.85546875" style="16" customWidth="1"/>
    <col min="10496" max="10496" width="11.140625" style="16" customWidth="1"/>
    <col min="10497" max="10497" width="2.85546875" style="16" customWidth="1"/>
    <col min="10498" max="10498" width="3.5703125" style="16" customWidth="1"/>
    <col min="10499" max="10743" width="9.140625" style="16"/>
    <col min="10744" max="10744" width="8.7109375" style="16" customWidth="1"/>
    <col min="10745" max="10745" width="9.85546875" style="16" customWidth="1"/>
    <col min="10746" max="10746" width="14.42578125" style="16" customWidth="1"/>
    <col min="10747" max="10747" width="7.28515625" style="16" customWidth="1"/>
    <col min="10748" max="10748" width="5.5703125" style="16" customWidth="1"/>
    <col min="10749" max="10749" width="9" style="16" customWidth="1"/>
    <col min="10750" max="10751" width="9.85546875" style="16" customWidth="1"/>
    <col min="10752" max="10752" width="11.140625" style="16" customWidth="1"/>
    <col min="10753" max="10753" width="2.85546875" style="16" customWidth="1"/>
    <col min="10754" max="10754" width="3.5703125" style="16" customWidth="1"/>
    <col min="10755" max="10999" width="9.140625" style="16"/>
    <col min="11000" max="11000" width="8.7109375" style="16" customWidth="1"/>
    <col min="11001" max="11001" width="9.85546875" style="16" customWidth="1"/>
    <col min="11002" max="11002" width="14.42578125" style="16" customWidth="1"/>
    <col min="11003" max="11003" width="7.28515625" style="16" customWidth="1"/>
    <col min="11004" max="11004" width="5.5703125" style="16" customWidth="1"/>
    <col min="11005" max="11005" width="9" style="16" customWidth="1"/>
    <col min="11006" max="11007" width="9.85546875" style="16" customWidth="1"/>
    <col min="11008" max="11008" width="11.140625" style="16" customWidth="1"/>
    <col min="11009" max="11009" width="2.85546875" style="16" customWidth="1"/>
    <col min="11010" max="11010" width="3.5703125" style="16" customWidth="1"/>
    <col min="11011" max="11255" width="9.140625" style="16"/>
    <col min="11256" max="11256" width="8.7109375" style="16" customWidth="1"/>
    <col min="11257" max="11257" width="9.85546875" style="16" customWidth="1"/>
    <col min="11258" max="11258" width="14.42578125" style="16" customWidth="1"/>
    <col min="11259" max="11259" width="7.28515625" style="16" customWidth="1"/>
    <col min="11260" max="11260" width="5.5703125" style="16" customWidth="1"/>
    <col min="11261" max="11261" width="9" style="16" customWidth="1"/>
    <col min="11262" max="11263" width="9.85546875" style="16" customWidth="1"/>
    <col min="11264" max="11264" width="11.140625" style="16" customWidth="1"/>
    <col min="11265" max="11265" width="2.85546875" style="16" customWidth="1"/>
    <col min="11266" max="11266" width="3.5703125" style="16" customWidth="1"/>
    <col min="11267" max="11511" width="9.140625" style="16"/>
    <col min="11512" max="11512" width="8.7109375" style="16" customWidth="1"/>
    <col min="11513" max="11513" width="9.85546875" style="16" customWidth="1"/>
    <col min="11514" max="11514" width="14.42578125" style="16" customWidth="1"/>
    <col min="11515" max="11515" width="7.28515625" style="16" customWidth="1"/>
    <col min="11516" max="11516" width="5.5703125" style="16" customWidth="1"/>
    <col min="11517" max="11517" width="9" style="16" customWidth="1"/>
    <col min="11518" max="11519" width="9.85546875" style="16" customWidth="1"/>
    <col min="11520" max="11520" width="11.140625" style="16" customWidth="1"/>
    <col min="11521" max="11521" width="2.85546875" style="16" customWidth="1"/>
    <col min="11522" max="11522" width="3.5703125" style="16" customWidth="1"/>
    <col min="11523" max="11767" width="9.140625" style="16"/>
    <col min="11768" max="11768" width="8.7109375" style="16" customWidth="1"/>
    <col min="11769" max="11769" width="9.85546875" style="16" customWidth="1"/>
    <col min="11770" max="11770" width="14.42578125" style="16" customWidth="1"/>
    <col min="11771" max="11771" width="7.28515625" style="16" customWidth="1"/>
    <col min="11772" max="11772" width="5.5703125" style="16" customWidth="1"/>
    <col min="11773" max="11773" width="9" style="16" customWidth="1"/>
    <col min="11774" max="11775" width="9.85546875" style="16" customWidth="1"/>
    <col min="11776" max="11776" width="11.140625" style="16" customWidth="1"/>
    <col min="11777" max="11777" width="2.85546875" style="16" customWidth="1"/>
    <col min="11778" max="11778" width="3.5703125" style="16" customWidth="1"/>
    <col min="11779" max="12023" width="9.140625" style="16"/>
    <col min="12024" max="12024" width="8.7109375" style="16" customWidth="1"/>
    <col min="12025" max="12025" width="9.85546875" style="16" customWidth="1"/>
    <col min="12026" max="12026" width="14.42578125" style="16" customWidth="1"/>
    <col min="12027" max="12027" width="7.28515625" style="16" customWidth="1"/>
    <col min="12028" max="12028" width="5.5703125" style="16" customWidth="1"/>
    <col min="12029" max="12029" width="9" style="16" customWidth="1"/>
    <col min="12030" max="12031" width="9.85546875" style="16" customWidth="1"/>
    <col min="12032" max="12032" width="11.140625" style="16" customWidth="1"/>
    <col min="12033" max="12033" width="2.85546875" style="16" customWidth="1"/>
    <col min="12034" max="12034" width="3.5703125" style="16" customWidth="1"/>
    <col min="12035" max="12279" width="9.140625" style="16"/>
    <col min="12280" max="12280" width="8.7109375" style="16" customWidth="1"/>
    <col min="12281" max="12281" width="9.85546875" style="16" customWidth="1"/>
    <col min="12282" max="12282" width="14.42578125" style="16" customWidth="1"/>
    <col min="12283" max="12283" width="7.28515625" style="16" customWidth="1"/>
    <col min="12284" max="12284" width="5.5703125" style="16" customWidth="1"/>
    <col min="12285" max="12285" width="9" style="16" customWidth="1"/>
    <col min="12286" max="12287" width="9.85546875" style="16" customWidth="1"/>
    <col min="12288" max="12288" width="11.140625" style="16" customWidth="1"/>
    <col min="12289" max="12289" width="2.85546875" style="16" customWidth="1"/>
    <col min="12290" max="12290" width="3.5703125" style="16" customWidth="1"/>
    <col min="12291" max="12535" width="9.140625" style="16"/>
    <col min="12536" max="12536" width="8.7109375" style="16" customWidth="1"/>
    <col min="12537" max="12537" width="9.85546875" style="16" customWidth="1"/>
    <col min="12538" max="12538" width="14.42578125" style="16" customWidth="1"/>
    <col min="12539" max="12539" width="7.28515625" style="16" customWidth="1"/>
    <col min="12540" max="12540" width="5.5703125" style="16" customWidth="1"/>
    <col min="12541" max="12541" width="9" style="16" customWidth="1"/>
    <col min="12542" max="12543" width="9.85546875" style="16" customWidth="1"/>
    <col min="12544" max="12544" width="11.140625" style="16" customWidth="1"/>
    <col min="12545" max="12545" width="2.85546875" style="16" customWidth="1"/>
    <col min="12546" max="12546" width="3.5703125" style="16" customWidth="1"/>
    <col min="12547" max="12791" width="9.140625" style="16"/>
    <col min="12792" max="12792" width="8.7109375" style="16" customWidth="1"/>
    <col min="12793" max="12793" width="9.85546875" style="16" customWidth="1"/>
    <col min="12794" max="12794" width="14.42578125" style="16" customWidth="1"/>
    <col min="12795" max="12795" width="7.28515625" style="16" customWidth="1"/>
    <col min="12796" max="12796" width="5.5703125" style="16" customWidth="1"/>
    <col min="12797" max="12797" width="9" style="16" customWidth="1"/>
    <col min="12798" max="12799" width="9.85546875" style="16" customWidth="1"/>
    <col min="12800" max="12800" width="11.140625" style="16" customWidth="1"/>
    <col min="12801" max="12801" width="2.85546875" style="16" customWidth="1"/>
    <col min="12802" max="12802" width="3.5703125" style="16" customWidth="1"/>
    <col min="12803" max="13047" width="9.140625" style="16"/>
    <col min="13048" max="13048" width="8.7109375" style="16" customWidth="1"/>
    <col min="13049" max="13049" width="9.85546875" style="16" customWidth="1"/>
    <col min="13050" max="13050" width="14.42578125" style="16" customWidth="1"/>
    <col min="13051" max="13051" width="7.28515625" style="16" customWidth="1"/>
    <col min="13052" max="13052" width="5.5703125" style="16" customWidth="1"/>
    <col min="13053" max="13053" width="9" style="16" customWidth="1"/>
    <col min="13054" max="13055" width="9.85546875" style="16" customWidth="1"/>
    <col min="13056" max="13056" width="11.140625" style="16" customWidth="1"/>
    <col min="13057" max="13057" width="2.85546875" style="16" customWidth="1"/>
    <col min="13058" max="13058" width="3.5703125" style="16" customWidth="1"/>
    <col min="13059" max="13303" width="9.140625" style="16"/>
    <col min="13304" max="13304" width="8.7109375" style="16" customWidth="1"/>
    <col min="13305" max="13305" width="9.85546875" style="16" customWidth="1"/>
    <col min="13306" max="13306" width="14.42578125" style="16" customWidth="1"/>
    <col min="13307" max="13307" width="7.28515625" style="16" customWidth="1"/>
    <col min="13308" max="13308" width="5.5703125" style="16" customWidth="1"/>
    <col min="13309" max="13309" width="9" style="16" customWidth="1"/>
    <col min="13310" max="13311" width="9.85546875" style="16" customWidth="1"/>
    <col min="13312" max="13312" width="11.140625" style="16" customWidth="1"/>
    <col min="13313" max="13313" width="2.85546875" style="16" customWidth="1"/>
    <col min="13314" max="13314" width="3.5703125" style="16" customWidth="1"/>
    <col min="13315" max="13559" width="9.140625" style="16"/>
    <col min="13560" max="13560" width="8.7109375" style="16" customWidth="1"/>
    <col min="13561" max="13561" width="9.85546875" style="16" customWidth="1"/>
    <col min="13562" max="13562" width="14.42578125" style="16" customWidth="1"/>
    <col min="13563" max="13563" width="7.28515625" style="16" customWidth="1"/>
    <col min="13564" max="13564" width="5.5703125" style="16" customWidth="1"/>
    <col min="13565" max="13565" width="9" style="16" customWidth="1"/>
    <col min="13566" max="13567" width="9.85546875" style="16" customWidth="1"/>
    <col min="13568" max="13568" width="11.140625" style="16" customWidth="1"/>
    <col min="13569" max="13569" width="2.85546875" style="16" customWidth="1"/>
    <col min="13570" max="13570" width="3.5703125" style="16" customWidth="1"/>
    <col min="13571" max="13815" width="9.140625" style="16"/>
    <col min="13816" max="13816" width="8.7109375" style="16" customWidth="1"/>
    <col min="13817" max="13817" width="9.85546875" style="16" customWidth="1"/>
    <col min="13818" max="13818" width="14.42578125" style="16" customWidth="1"/>
    <col min="13819" max="13819" width="7.28515625" style="16" customWidth="1"/>
    <col min="13820" max="13820" width="5.5703125" style="16" customWidth="1"/>
    <col min="13821" max="13821" width="9" style="16" customWidth="1"/>
    <col min="13822" max="13823" width="9.85546875" style="16" customWidth="1"/>
    <col min="13824" max="13824" width="11.140625" style="16" customWidth="1"/>
    <col min="13825" max="13825" width="2.85546875" style="16" customWidth="1"/>
    <col min="13826" max="13826" width="3.5703125" style="16" customWidth="1"/>
    <col min="13827" max="14071" width="9.140625" style="16"/>
    <col min="14072" max="14072" width="8.7109375" style="16" customWidth="1"/>
    <col min="14073" max="14073" width="9.85546875" style="16" customWidth="1"/>
    <col min="14074" max="14074" width="14.42578125" style="16" customWidth="1"/>
    <col min="14075" max="14075" width="7.28515625" style="16" customWidth="1"/>
    <col min="14076" max="14076" width="5.5703125" style="16" customWidth="1"/>
    <col min="14077" max="14077" width="9" style="16" customWidth="1"/>
    <col min="14078" max="14079" width="9.85546875" style="16" customWidth="1"/>
    <col min="14080" max="14080" width="11.140625" style="16" customWidth="1"/>
    <col min="14081" max="14081" width="2.85546875" style="16" customWidth="1"/>
    <col min="14082" max="14082" width="3.5703125" style="16" customWidth="1"/>
    <col min="14083" max="14327" width="9.140625" style="16"/>
    <col min="14328" max="14328" width="8.7109375" style="16" customWidth="1"/>
    <col min="14329" max="14329" width="9.85546875" style="16" customWidth="1"/>
    <col min="14330" max="14330" width="14.42578125" style="16" customWidth="1"/>
    <col min="14331" max="14331" width="7.28515625" style="16" customWidth="1"/>
    <col min="14332" max="14332" width="5.5703125" style="16" customWidth="1"/>
    <col min="14333" max="14333" width="9" style="16" customWidth="1"/>
    <col min="14334" max="14335" width="9.85546875" style="16" customWidth="1"/>
    <col min="14336" max="14336" width="11.140625" style="16" customWidth="1"/>
    <col min="14337" max="14337" width="2.85546875" style="16" customWidth="1"/>
    <col min="14338" max="14338" width="3.5703125" style="16" customWidth="1"/>
    <col min="14339" max="14583" width="9.140625" style="16"/>
    <col min="14584" max="14584" width="8.7109375" style="16" customWidth="1"/>
    <col min="14585" max="14585" width="9.85546875" style="16" customWidth="1"/>
    <col min="14586" max="14586" width="14.42578125" style="16" customWidth="1"/>
    <col min="14587" max="14587" width="7.28515625" style="16" customWidth="1"/>
    <col min="14588" max="14588" width="5.5703125" style="16" customWidth="1"/>
    <col min="14589" max="14589" width="9" style="16" customWidth="1"/>
    <col min="14590" max="14591" width="9.85546875" style="16" customWidth="1"/>
    <col min="14592" max="14592" width="11.140625" style="16" customWidth="1"/>
    <col min="14593" max="14593" width="2.85546875" style="16" customWidth="1"/>
    <col min="14594" max="14594" width="3.5703125" style="16" customWidth="1"/>
    <col min="14595" max="14839" width="9.140625" style="16"/>
    <col min="14840" max="14840" width="8.7109375" style="16" customWidth="1"/>
    <col min="14841" max="14841" width="9.85546875" style="16" customWidth="1"/>
    <col min="14842" max="14842" width="14.42578125" style="16" customWidth="1"/>
    <col min="14843" max="14843" width="7.28515625" style="16" customWidth="1"/>
    <col min="14844" max="14844" width="5.5703125" style="16" customWidth="1"/>
    <col min="14845" max="14845" width="9" style="16" customWidth="1"/>
    <col min="14846" max="14847" width="9.85546875" style="16" customWidth="1"/>
    <col min="14848" max="14848" width="11.140625" style="16" customWidth="1"/>
    <col min="14849" max="14849" width="2.85546875" style="16" customWidth="1"/>
    <col min="14850" max="14850" width="3.5703125" style="16" customWidth="1"/>
    <col min="14851" max="15095" width="9.140625" style="16"/>
    <col min="15096" max="15096" width="8.7109375" style="16" customWidth="1"/>
    <col min="15097" max="15097" width="9.85546875" style="16" customWidth="1"/>
    <col min="15098" max="15098" width="14.42578125" style="16" customWidth="1"/>
    <col min="15099" max="15099" width="7.28515625" style="16" customWidth="1"/>
    <col min="15100" max="15100" width="5.5703125" style="16" customWidth="1"/>
    <col min="15101" max="15101" width="9" style="16" customWidth="1"/>
    <col min="15102" max="15103" width="9.85546875" style="16" customWidth="1"/>
    <col min="15104" max="15104" width="11.140625" style="16" customWidth="1"/>
    <col min="15105" max="15105" width="2.85546875" style="16" customWidth="1"/>
    <col min="15106" max="15106" width="3.5703125" style="16" customWidth="1"/>
    <col min="15107" max="15351" width="9.140625" style="16"/>
    <col min="15352" max="15352" width="8.7109375" style="16" customWidth="1"/>
    <col min="15353" max="15353" width="9.85546875" style="16" customWidth="1"/>
    <col min="15354" max="15354" width="14.42578125" style="16" customWidth="1"/>
    <col min="15355" max="15355" width="7.28515625" style="16" customWidth="1"/>
    <col min="15356" max="15356" width="5.5703125" style="16" customWidth="1"/>
    <col min="15357" max="15357" width="9" style="16" customWidth="1"/>
    <col min="15358" max="15359" width="9.85546875" style="16" customWidth="1"/>
    <col min="15360" max="15360" width="11.140625" style="16" customWidth="1"/>
    <col min="15361" max="15361" width="2.85546875" style="16" customWidth="1"/>
    <col min="15362" max="15362" width="3.5703125" style="16" customWidth="1"/>
    <col min="15363" max="15607" width="9.140625" style="16"/>
    <col min="15608" max="15608" width="8.7109375" style="16" customWidth="1"/>
    <col min="15609" max="15609" width="9.85546875" style="16" customWidth="1"/>
    <col min="15610" max="15610" width="14.42578125" style="16" customWidth="1"/>
    <col min="15611" max="15611" width="7.28515625" style="16" customWidth="1"/>
    <col min="15612" max="15612" width="5.5703125" style="16" customWidth="1"/>
    <col min="15613" max="15613" width="9" style="16" customWidth="1"/>
    <col min="15614" max="15615" width="9.85546875" style="16" customWidth="1"/>
    <col min="15616" max="15616" width="11.140625" style="16" customWidth="1"/>
    <col min="15617" max="15617" width="2.85546875" style="16" customWidth="1"/>
    <col min="15618" max="15618" width="3.5703125" style="16" customWidth="1"/>
    <col min="15619" max="15863" width="9.140625" style="16"/>
    <col min="15864" max="15864" width="8.7109375" style="16" customWidth="1"/>
    <col min="15865" max="15865" width="9.85546875" style="16" customWidth="1"/>
    <col min="15866" max="15866" width="14.42578125" style="16" customWidth="1"/>
    <col min="15867" max="15867" width="7.28515625" style="16" customWidth="1"/>
    <col min="15868" max="15868" width="5.5703125" style="16" customWidth="1"/>
    <col min="15869" max="15869" width="9" style="16" customWidth="1"/>
    <col min="15870" max="15871" width="9.85546875" style="16" customWidth="1"/>
    <col min="15872" max="15872" width="11.140625" style="16" customWidth="1"/>
    <col min="15873" max="15873" width="2.85546875" style="16" customWidth="1"/>
    <col min="15874" max="15874" width="3.5703125" style="16" customWidth="1"/>
    <col min="15875" max="16119" width="9.140625" style="16"/>
    <col min="16120" max="16120" width="8.7109375" style="16" customWidth="1"/>
    <col min="16121" max="16121" width="9.85546875" style="16" customWidth="1"/>
    <col min="16122" max="16122" width="14.42578125" style="16" customWidth="1"/>
    <col min="16123" max="16123" width="7.28515625" style="16" customWidth="1"/>
    <col min="16124" max="16124" width="5.5703125" style="16" customWidth="1"/>
    <col min="16125" max="16125" width="9" style="16" customWidth="1"/>
    <col min="16126" max="16127" width="9.85546875" style="16" customWidth="1"/>
    <col min="16128" max="16128" width="11.140625" style="16" customWidth="1"/>
    <col min="16129" max="16129" width="2.85546875" style="16" customWidth="1"/>
    <col min="16130" max="16130" width="3.5703125" style="16" customWidth="1"/>
    <col min="16131" max="16384" width="9.140625" style="16"/>
  </cols>
  <sheetData>
    <row r="1" spans="1:26" ht="46.5" customHeight="1" x14ac:dyDescent="0.25">
      <c r="A1" s="182" t="s">
        <v>165</v>
      </c>
      <c r="B1" s="182"/>
      <c r="C1" s="182"/>
      <c r="D1" s="182"/>
      <c r="E1" s="182"/>
      <c r="F1" s="182"/>
      <c r="G1" s="182"/>
      <c r="H1" s="182"/>
    </row>
    <row r="2" spans="1:26" ht="16.5" customHeight="1" x14ac:dyDescent="0.25">
      <c r="A2" s="183" t="s">
        <v>0</v>
      </c>
      <c r="B2" s="183"/>
      <c r="C2" s="183"/>
      <c r="D2" s="183"/>
      <c r="E2" s="183"/>
      <c r="F2" s="183"/>
      <c r="G2" s="183"/>
      <c r="H2" s="183"/>
    </row>
    <row r="3" spans="1:26" x14ac:dyDescent="0.25">
      <c r="A3" s="132" t="s">
        <v>1</v>
      </c>
      <c r="B3" s="132"/>
      <c r="C3" s="132"/>
      <c r="D3" s="132"/>
      <c r="E3" s="132" t="str">
        <f ca="1">TEXT(TODAY(),"DD/MM/YYYY")</f>
        <v>16/09/2025</v>
      </c>
      <c r="F3" s="132"/>
      <c r="G3" s="132"/>
      <c r="H3" s="132"/>
      <c r="K3" s="45" t="s">
        <v>236</v>
      </c>
      <c r="L3" s="44" t="s">
        <v>234</v>
      </c>
      <c r="M3" s="44" t="s">
        <v>239</v>
      </c>
      <c r="N3" s="44" t="s">
        <v>237</v>
      </c>
      <c r="O3" s="44" t="s">
        <v>238</v>
      </c>
      <c r="P3" s="44" t="s">
        <v>240</v>
      </c>
    </row>
    <row r="4" spans="1:26" ht="15" customHeight="1" x14ac:dyDescent="0.25">
      <c r="A4" s="132" t="s">
        <v>233</v>
      </c>
      <c r="B4" s="132"/>
      <c r="C4" s="132"/>
      <c r="D4" s="132"/>
      <c r="E4" s="132" t="s">
        <v>234</v>
      </c>
      <c r="F4" s="132"/>
      <c r="G4" s="132"/>
      <c r="H4" s="132"/>
      <c r="K4" s="43" t="s">
        <v>235</v>
      </c>
      <c r="L4" s="44" t="s">
        <v>171</v>
      </c>
      <c r="M4" s="44" t="s">
        <v>244</v>
      </c>
      <c r="N4" s="44" t="s">
        <v>246</v>
      </c>
      <c r="O4" s="44" t="s">
        <v>248</v>
      </c>
      <c r="P4" s="44"/>
    </row>
    <row r="5" spans="1:26" ht="15" customHeight="1" x14ac:dyDescent="0.25">
      <c r="A5" s="132" t="s">
        <v>2</v>
      </c>
      <c r="B5" s="132"/>
      <c r="C5" s="132"/>
      <c r="D5" s="132"/>
      <c r="E5" s="132" t="s">
        <v>241</v>
      </c>
      <c r="F5" s="132"/>
      <c r="G5" s="132"/>
      <c r="H5" s="132"/>
      <c r="K5" s="43"/>
      <c r="L5" s="44" t="s">
        <v>241</v>
      </c>
      <c r="M5" s="44" t="s">
        <v>245</v>
      </c>
      <c r="N5" s="44" t="s">
        <v>247</v>
      </c>
      <c r="O5" s="44" t="s">
        <v>249</v>
      </c>
      <c r="P5" s="44"/>
    </row>
    <row r="6" spans="1:26" x14ac:dyDescent="0.25">
      <c r="A6" s="132" t="s">
        <v>3</v>
      </c>
      <c r="B6" s="132"/>
      <c r="C6" s="132"/>
      <c r="D6" s="132"/>
      <c r="E6" s="184">
        <v>45912</v>
      </c>
      <c r="F6" s="132"/>
      <c r="G6" s="132"/>
      <c r="H6" s="132"/>
      <c r="K6" s="43"/>
      <c r="L6" s="44" t="s">
        <v>242</v>
      </c>
      <c r="M6" s="44"/>
      <c r="N6" s="44"/>
      <c r="O6" s="44" t="s">
        <v>250</v>
      </c>
      <c r="P6" s="44"/>
    </row>
    <row r="7" spans="1:26" ht="16.5" customHeight="1" x14ac:dyDescent="0.25">
      <c r="A7" s="132" t="s">
        <v>4</v>
      </c>
      <c r="B7" s="132"/>
      <c r="C7" s="132"/>
      <c r="D7" s="132"/>
      <c r="E7" s="132" t="s">
        <v>298</v>
      </c>
      <c r="F7" s="132"/>
      <c r="G7" s="132"/>
      <c r="H7" s="132"/>
      <c r="K7" s="43"/>
      <c r="L7" s="44" t="s">
        <v>243</v>
      </c>
      <c r="M7" s="44"/>
      <c r="N7" s="44"/>
      <c r="O7" s="44" t="s">
        <v>250</v>
      </c>
      <c r="P7" s="44"/>
    </row>
    <row r="8" spans="1:26" ht="15" customHeight="1" x14ac:dyDescent="0.25">
      <c r="A8" s="132" t="s">
        <v>5</v>
      </c>
      <c r="B8" s="132"/>
      <c r="C8" s="132"/>
      <c r="D8" s="132"/>
      <c r="E8" s="132" t="str">
        <f>E7</f>
        <v>Qaswa Enterprises</v>
      </c>
      <c r="F8" s="132"/>
      <c r="G8" s="132"/>
      <c r="H8" s="132"/>
      <c r="K8" s="43"/>
      <c r="L8" s="44"/>
      <c r="M8" s="44"/>
      <c r="N8" s="44"/>
      <c r="O8" s="44" t="s">
        <v>251</v>
      </c>
      <c r="P8" s="44"/>
    </row>
    <row r="9" spans="1:26" x14ac:dyDescent="0.25">
      <c r="A9" s="132" t="s">
        <v>6</v>
      </c>
      <c r="B9" s="132"/>
      <c r="C9" s="132"/>
      <c r="D9" s="132"/>
      <c r="E9" s="130" t="s">
        <v>299</v>
      </c>
      <c r="F9" s="130"/>
      <c r="G9" s="130"/>
      <c r="H9" s="130"/>
      <c r="K9" s="43"/>
      <c r="L9" s="44"/>
      <c r="M9" s="44"/>
      <c r="N9" s="44"/>
      <c r="O9" s="44" t="s">
        <v>252</v>
      </c>
      <c r="P9" s="44"/>
    </row>
    <row r="10" spans="1:26" x14ac:dyDescent="0.25">
      <c r="A10" s="132" t="s">
        <v>168</v>
      </c>
      <c r="B10" s="132"/>
      <c r="C10" s="132"/>
      <c r="D10" s="132"/>
      <c r="E10" s="132" t="s">
        <v>382</v>
      </c>
      <c r="F10" s="132"/>
      <c r="G10" s="132"/>
      <c r="H10" s="132"/>
      <c r="K10" s="43"/>
      <c r="L10" s="44"/>
      <c r="M10" s="44"/>
      <c r="N10" s="44"/>
      <c r="O10" s="44"/>
      <c r="P10" s="44"/>
    </row>
    <row r="11" spans="1:26" hidden="1" x14ac:dyDescent="0.25">
      <c r="A11" s="132" t="s">
        <v>169</v>
      </c>
      <c r="B11" s="132"/>
      <c r="C11" s="132"/>
      <c r="D11" s="132"/>
      <c r="E11" s="132" t="s">
        <v>300</v>
      </c>
      <c r="F11" s="132"/>
      <c r="G11" s="132"/>
      <c r="H11" s="132"/>
    </row>
    <row r="12" spans="1:26" x14ac:dyDescent="0.25">
      <c r="A12" s="132" t="s">
        <v>7</v>
      </c>
      <c r="B12" s="132"/>
      <c r="C12" s="132"/>
      <c r="D12" s="132"/>
      <c r="E12" s="132" t="s">
        <v>117</v>
      </c>
      <c r="F12" s="132"/>
      <c r="G12" s="132"/>
      <c r="H12" s="132"/>
    </row>
    <row r="13" spans="1:26" x14ac:dyDescent="0.25">
      <c r="A13" s="132" t="s">
        <v>172</v>
      </c>
      <c r="B13" s="132"/>
      <c r="C13" s="132"/>
      <c r="D13" s="132"/>
      <c r="E13" s="132" t="s">
        <v>301</v>
      </c>
      <c r="F13" s="132"/>
      <c r="G13" s="132"/>
      <c r="H13" s="132"/>
      <c r="S13" s="44" t="s">
        <v>178</v>
      </c>
      <c r="T13" s="44" t="s">
        <v>188</v>
      </c>
      <c r="U13" s="44" t="s">
        <v>173</v>
      </c>
      <c r="V13" s="44" t="s">
        <v>193</v>
      </c>
      <c r="W13" s="44" t="s">
        <v>211</v>
      </c>
      <c r="X13"/>
      <c r="Y13" t="s">
        <v>193</v>
      </c>
      <c r="Z13" t="e">
        <f ca="1">OFFSET($S$13,1,MATCH($G20,$S$13:$W$13,0)-1,15,1)</f>
        <v>#VALUE!</v>
      </c>
    </row>
    <row r="14" spans="1:26" x14ac:dyDescent="0.25">
      <c r="A14" s="132" t="s">
        <v>279</v>
      </c>
      <c r="B14" s="132"/>
      <c r="C14" s="132"/>
      <c r="D14" s="132"/>
      <c r="E14" s="133" t="s">
        <v>227</v>
      </c>
      <c r="F14" s="133"/>
      <c r="G14" s="133"/>
      <c r="H14" s="133"/>
      <c r="S14" s="44" t="s">
        <v>179</v>
      </c>
      <c r="T14" s="44" t="s">
        <v>186</v>
      </c>
      <c r="U14" s="44" t="s">
        <v>208</v>
      </c>
      <c r="V14" s="44" t="s">
        <v>194</v>
      </c>
      <c r="W14" s="44" t="s">
        <v>212</v>
      </c>
      <c r="X14"/>
      <c r="Y14"/>
      <c r="Z14"/>
    </row>
    <row r="15" spans="1:26" x14ac:dyDescent="0.25">
      <c r="A15" s="132" t="s">
        <v>8</v>
      </c>
      <c r="B15" s="132"/>
      <c r="C15" s="132"/>
      <c r="D15" s="132"/>
      <c r="E15" s="133" t="s">
        <v>302</v>
      </c>
      <c r="F15" s="132"/>
      <c r="G15" s="132"/>
      <c r="H15" s="132"/>
      <c r="I15" s="198" t="e">
        <f ca="1">OFFSET($D$5,1,MATCH($J13,$D$5:$H$5,0)-1,15,1)</f>
        <v>#N/A</v>
      </c>
      <c r="J15" s="199"/>
      <c r="K15" s="199"/>
      <c r="L15" s="199"/>
      <c r="M15" s="199"/>
      <c r="N15" s="199"/>
      <c r="O15" s="199"/>
      <c r="P15" s="199"/>
      <c r="S15" s="44" t="s">
        <v>180</v>
      </c>
      <c r="T15" s="44" t="s">
        <v>187</v>
      </c>
      <c r="U15" s="44" t="s">
        <v>209</v>
      </c>
      <c r="V15" s="44" t="s">
        <v>195</v>
      </c>
      <c r="W15" s="44" t="s">
        <v>225</v>
      </c>
      <c r="X15"/>
      <c r="Y15"/>
      <c r="Z15"/>
    </row>
    <row r="16" spans="1:26" ht="48.75" customHeight="1" x14ac:dyDescent="0.25">
      <c r="A16" s="133" t="s">
        <v>9</v>
      </c>
      <c r="B16" s="133"/>
      <c r="C16" s="133" t="str">
        <f>CONCATENATE((IF(OR(E9="",E9="NA"),"",E9)),", ",(IF(OR(A17="",A17="NA"),"",A17)),".",(IF(OR(C17="",C17="NA"),"",C17)),", near ",(IF(OR(C22="",C22="NA"),"",C22)),", ",(IF(OR(C19="",C19="NA"),"",C19)),", ",(IF(OR(C18="",C18="NA"),"",C18)),", ",(IF(OR(G19="",G19="NA"),"",G19)),", ",(IF(OR(C20="",C20="NA"),"",C20)),", ",(IF(OR(C21="",C21="NA"),"",C21)),", ",(IF(OR(G20="",G20="NA"),"",G20))," - ",(IF(OR(G21="",G21="NA"),"",G21)),".")</f>
        <v>La Belleza, CTS No.1048 &amp; Redevelopment of building "Kashinath Building", near Abdus Salam Masjid, Shaikh Memon Street, , Kalbadevi, Masjid (West), Mumbai, Mumbai - 400002.</v>
      </c>
      <c r="D16" s="133"/>
      <c r="E16" s="133"/>
      <c r="F16" s="133"/>
      <c r="G16" s="133"/>
      <c r="H16" s="133"/>
      <c r="S16" s="44" t="s">
        <v>181</v>
      </c>
      <c r="T16" s="44" t="s">
        <v>189</v>
      </c>
      <c r="U16" s="44" t="s">
        <v>210</v>
      </c>
      <c r="V16" s="44" t="s">
        <v>196</v>
      </c>
      <c r="W16" s="44" t="s">
        <v>213</v>
      </c>
      <c r="X16"/>
      <c r="Y16"/>
      <c r="Z16"/>
    </row>
    <row r="17" spans="1:26" x14ac:dyDescent="0.25">
      <c r="A17" s="133" t="s">
        <v>177</v>
      </c>
      <c r="B17" s="133"/>
      <c r="C17" s="133" t="s">
        <v>303</v>
      </c>
      <c r="D17" s="133"/>
      <c r="E17" s="133"/>
      <c r="F17" s="133"/>
      <c r="G17" s="133"/>
      <c r="H17" s="133"/>
      <c r="S17" s="44" t="s">
        <v>182</v>
      </c>
      <c r="T17" s="44" t="s">
        <v>190</v>
      </c>
      <c r="U17" s="44" t="s">
        <v>173</v>
      </c>
      <c r="V17" s="44" t="s">
        <v>197</v>
      </c>
      <c r="W17" s="44" t="s">
        <v>214</v>
      </c>
      <c r="X17"/>
      <c r="Y17"/>
      <c r="Z17"/>
    </row>
    <row r="18" spans="1:26" ht="15.75" customHeight="1" x14ac:dyDescent="0.25">
      <c r="A18" s="133" t="s">
        <v>163</v>
      </c>
      <c r="B18" s="133"/>
      <c r="C18" s="133" t="s">
        <v>28</v>
      </c>
      <c r="D18" s="133"/>
      <c r="E18" s="133"/>
      <c r="F18" s="133"/>
      <c r="G18" s="133"/>
      <c r="H18" s="133"/>
      <c r="S18" s="44" t="s">
        <v>183</v>
      </c>
      <c r="T18" s="44" t="s">
        <v>188</v>
      </c>
      <c r="U18" s="44"/>
      <c r="V18" s="44" t="s">
        <v>198</v>
      </c>
      <c r="W18" s="44" t="s">
        <v>215</v>
      </c>
      <c r="X18"/>
      <c r="Y18"/>
      <c r="Z18"/>
    </row>
    <row r="19" spans="1:26" ht="15.75" customHeight="1" x14ac:dyDescent="0.25">
      <c r="A19" s="133" t="s">
        <v>10</v>
      </c>
      <c r="B19" s="133"/>
      <c r="C19" s="132" t="s">
        <v>304</v>
      </c>
      <c r="D19" s="132"/>
      <c r="E19" s="133" t="s">
        <v>69</v>
      </c>
      <c r="F19" s="133"/>
      <c r="G19" s="133" t="s">
        <v>308</v>
      </c>
      <c r="H19" s="133"/>
      <c r="S19" s="44" t="s">
        <v>184</v>
      </c>
      <c r="T19" s="44" t="s">
        <v>191</v>
      </c>
      <c r="U19" s="44"/>
      <c r="V19" s="44" t="s">
        <v>199</v>
      </c>
      <c r="W19" s="44" t="s">
        <v>216</v>
      </c>
      <c r="X19"/>
      <c r="Y19"/>
      <c r="Z19"/>
    </row>
    <row r="20" spans="1:26" x14ac:dyDescent="0.25">
      <c r="A20" s="132" t="s">
        <v>12</v>
      </c>
      <c r="B20" s="132"/>
      <c r="C20" s="133" t="s">
        <v>310</v>
      </c>
      <c r="D20" s="133"/>
      <c r="E20" s="133" t="s">
        <v>11</v>
      </c>
      <c r="F20" s="133"/>
      <c r="G20" s="181" t="s">
        <v>173</v>
      </c>
      <c r="H20" s="181"/>
      <c r="S20" s="44" t="s">
        <v>185</v>
      </c>
      <c r="T20" s="44" t="s">
        <v>192</v>
      </c>
      <c r="U20" s="44"/>
      <c r="V20" s="44" t="s">
        <v>200</v>
      </c>
      <c r="W20" s="44" t="s">
        <v>217</v>
      </c>
      <c r="X20"/>
      <c r="Y20"/>
      <c r="Z20"/>
    </row>
    <row r="21" spans="1:26" x14ac:dyDescent="0.25">
      <c r="A21" s="132" t="s">
        <v>70</v>
      </c>
      <c r="B21" s="132"/>
      <c r="C21" s="133" t="s">
        <v>173</v>
      </c>
      <c r="D21" s="133"/>
      <c r="E21" s="133" t="s">
        <v>13</v>
      </c>
      <c r="F21" s="133"/>
      <c r="G21" s="133">
        <v>400002</v>
      </c>
      <c r="H21" s="133"/>
      <c r="S21" s="44"/>
      <c r="T21" s="44"/>
      <c r="U21" s="44"/>
      <c r="V21" s="44" t="s">
        <v>201</v>
      </c>
      <c r="W21" s="44" t="s">
        <v>218</v>
      </c>
      <c r="X21"/>
      <c r="Y21"/>
      <c r="Z21"/>
    </row>
    <row r="22" spans="1:26" ht="32.25" customHeight="1" x14ac:dyDescent="0.25">
      <c r="A22" s="132" t="s">
        <v>119</v>
      </c>
      <c r="B22" s="132"/>
      <c r="C22" s="133" t="s">
        <v>309</v>
      </c>
      <c r="D22" s="133"/>
      <c r="E22" s="133" t="s">
        <v>14</v>
      </c>
      <c r="F22" s="133"/>
      <c r="G22" s="133" t="s">
        <v>307</v>
      </c>
      <c r="H22" s="133"/>
      <c r="S22" s="44"/>
      <c r="T22" s="44"/>
      <c r="U22" s="44"/>
      <c r="V22" s="44" t="s">
        <v>202</v>
      </c>
      <c r="W22" s="44" t="s">
        <v>219</v>
      </c>
      <c r="X22"/>
      <c r="Y22"/>
      <c r="Z22"/>
    </row>
    <row r="23" spans="1:26" ht="15" customHeight="1" x14ac:dyDescent="0.25">
      <c r="A23" s="139" t="s">
        <v>71</v>
      </c>
      <c r="B23" s="139"/>
      <c r="C23" s="139"/>
      <c r="D23" s="139"/>
      <c r="E23" s="132" t="s">
        <v>15</v>
      </c>
      <c r="F23" s="132"/>
      <c r="G23" s="132"/>
      <c r="H23" s="132"/>
      <c r="S23" s="44"/>
      <c r="T23" s="44"/>
      <c r="U23" s="44"/>
      <c r="V23" s="44" t="s">
        <v>203</v>
      </c>
      <c r="W23" s="44" t="s">
        <v>220</v>
      </c>
      <c r="X23"/>
      <c r="Y23"/>
      <c r="Z23"/>
    </row>
    <row r="24" spans="1:26" ht="18.75" customHeight="1" x14ac:dyDescent="0.25">
      <c r="A24" s="139"/>
      <c r="B24" s="139"/>
      <c r="C24" s="139"/>
      <c r="D24" s="139"/>
      <c r="E24" s="132"/>
      <c r="F24" s="132"/>
      <c r="G24" s="132"/>
      <c r="H24" s="132"/>
      <c r="S24" s="44"/>
      <c r="T24" s="44"/>
      <c r="U24" s="44"/>
      <c r="V24" s="44" t="s">
        <v>204</v>
      </c>
      <c r="W24" s="44" t="s">
        <v>221</v>
      </c>
      <c r="X24"/>
      <c r="Y24"/>
      <c r="Z24"/>
    </row>
    <row r="25" spans="1:26" ht="15" customHeight="1" x14ac:dyDescent="0.25">
      <c r="A25" s="139" t="s">
        <v>16</v>
      </c>
      <c r="B25" s="139"/>
      <c r="C25" s="139"/>
      <c r="D25" s="139"/>
      <c r="E25" s="133" t="s">
        <v>17</v>
      </c>
      <c r="F25" s="133"/>
      <c r="G25" s="133"/>
      <c r="H25" s="133"/>
      <c r="S25" s="44"/>
      <c r="T25" s="44"/>
      <c r="U25" s="44"/>
      <c r="V25" s="44" t="s">
        <v>205</v>
      </c>
      <c r="W25" s="44" t="s">
        <v>222</v>
      </c>
      <c r="X25"/>
      <c r="Y25"/>
      <c r="Z25"/>
    </row>
    <row r="26" spans="1:26" ht="15" customHeight="1" x14ac:dyDescent="0.25">
      <c r="A26" s="113" t="s">
        <v>18</v>
      </c>
      <c r="B26" s="113"/>
      <c r="C26" s="113"/>
      <c r="D26" s="113"/>
      <c r="E26" s="133" t="str">
        <f>IF(AND(G20="Mumbai"),"Upper Class","Middle Class")</f>
        <v>Upper Class</v>
      </c>
      <c r="F26" s="133"/>
      <c r="G26" s="133"/>
      <c r="H26" s="133"/>
      <c r="S26" s="44"/>
      <c r="T26" s="44"/>
      <c r="U26" s="44"/>
      <c r="V26" s="44" t="s">
        <v>206</v>
      </c>
      <c r="W26" s="44" t="s">
        <v>223</v>
      </c>
      <c r="X26"/>
      <c r="Y26"/>
      <c r="Z26"/>
    </row>
    <row r="27" spans="1:26" x14ac:dyDescent="0.25">
      <c r="A27" s="113" t="s">
        <v>19</v>
      </c>
      <c r="B27" s="113"/>
      <c r="C27" s="113"/>
      <c r="D27" s="113"/>
      <c r="E27" s="133" t="s">
        <v>20</v>
      </c>
      <c r="F27" s="133"/>
      <c r="G27" s="133"/>
      <c r="H27" s="133"/>
      <c r="S27" s="44"/>
      <c r="T27" s="44"/>
      <c r="U27" s="44"/>
      <c r="V27" s="44" t="s">
        <v>207</v>
      </c>
      <c r="W27" s="44" t="s">
        <v>224</v>
      </c>
      <c r="X27"/>
      <c r="Y27"/>
      <c r="Z27"/>
    </row>
    <row r="28" spans="1:26" ht="15.75" customHeight="1" x14ac:dyDescent="0.25">
      <c r="A28" s="113" t="s">
        <v>21</v>
      </c>
      <c r="B28" s="113"/>
      <c r="C28" s="113"/>
      <c r="D28" s="113"/>
      <c r="E28" s="133" t="str">
        <f>IF(AND(G20="Mumbai"),"Developed","Developing")</f>
        <v>Developed</v>
      </c>
      <c r="F28" s="133"/>
      <c r="G28" s="133"/>
      <c r="H28" s="133"/>
    </row>
    <row r="29" spans="1:26" x14ac:dyDescent="0.25">
      <c r="A29" s="113" t="s">
        <v>22</v>
      </c>
      <c r="B29" s="113"/>
      <c r="C29" s="113"/>
      <c r="D29" s="113"/>
      <c r="E29" s="133" t="s">
        <v>23</v>
      </c>
      <c r="F29" s="133"/>
      <c r="G29" s="133"/>
      <c r="H29" s="133"/>
    </row>
    <row r="30" spans="1:26" ht="15.75" customHeight="1" x14ac:dyDescent="0.25">
      <c r="A30" s="113" t="s">
        <v>76</v>
      </c>
      <c r="B30" s="113"/>
      <c r="C30" s="113"/>
      <c r="D30" s="113"/>
      <c r="E30" s="133" t="s">
        <v>77</v>
      </c>
      <c r="F30" s="133"/>
      <c r="G30" s="133"/>
      <c r="H30" s="133"/>
    </row>
    <row r="31" spans="1:26" ht="15" customHeight="1" x14ac:dyDescent="0.25">
      <c r="A31" s="113" t="s">
        <v>30</v>
      </c>
      <c r="B31" s="113"/>
      <c r="C31" s="113"/>
      <c r="D31" s="113"/>
      <c r="E31" s="13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3"/>
      <c r="G31" s="133"/>
      <c r="H31" s="133"/>
    </row>
    <row r="32" spans="1:26" ht="15.75" customHeight="1" x14ac:dyDescent="0.25">
      <c r="A32" s="113" t="s">
        <v>88</v>
      </c>
      <c r="B32" s="113"/>
      <c r="C32" s="113"/>
      <c r="D32" s="113"/>
      <c r="E32" s="133" t="s">
        <v>31</v>
      </c>
      <c r="F32" s="133"/>
      <c r="G32" s="133"/>
      <c r="H32" s="133"/>
    </row>
    <row r="33" spans="1:19" s="17" customFormat="1" x14ac:dyDescent="0.25">
      <c r="A33" s="180" t="s">
        <v>89</v>
      </c>
      <c r="B33" s="180"/>
      <c r="C33" s="177" t="s">
        <v>174</v>
      </c>
      <c r="D33" s="178"/>
      <c r="E33" s="179"/>
      <c r="F33" s="177" t="s">
        <v>29</v>
      </c>
      <c r="G33" s="178"/>
      <c r="H33" s="179"/>
      <c r="S33" s="17" t="e">
        <f ca="1">OFFSET($S$13,1,MATCH($G20,$S$13:$W$13,0)-1,15,1)</f>
        <v>#VALUE!</v>
      </c>
    </row>
    <row r="34" spans="1:19" s="17" customFormat="1" x14ac:dyDescent="0.25">
      <c r="A34" s="154" t="s">
        <v>24</v>
      </c>
      <c r="B34" s="154" t="s">
        <v>28</v>
      </c>
      <c r="C34" s="155" t="s">
        <v>313</v>
      </c>
      <c r="D34" s="156"/>
      <c r="E34" s="157"/>
      <c r="F34" s="155" t="s">
        <v>309</v>
      </c>
      <c r="G34" s="156"/>
      <c r="H34" s="157"/>
    </row>
    <row r="35" spans="1:19" x14ac:dyDescent="0.25">
      <c r="A35" s="154" t="s">
        <v>25</v>
      </c>
      <c r="B35" s="154" t="s">
        <v>28</v>
      </c>
      <c r="C35" s="155" t="s">
        <v>304</v>
      </c>
      <c r="D35" s="156"/>
      <c r="E35" s="157"/>
      <c r="F35" s="155" t="s">
        <v>304</v>
      </c>
      <c r="G35" s="156"/>
      <c r="H35" s="157"/>
    </row>
    <row r="36" spans="1:19" s="17" customFormat="1" x14ac:dyDescent="0.25">
      <c r="A36" s="154" t="s">
        <v>27</v>
      </c>
      <c r="B36" s="154" t="s">
        <v>28</v>
      </c>
      <c r="C36" s="155" t="s">
        <v>313</v>
      </c>
      <c r="D36" s="156"/>
      <c r="E36" s="157"/>
      <c r="F36" s="155" t="s">
        <v>311</v>
      </c>
      <c r="G36" s="156"/>
      <c r="H36" s="157"/>
    </row>
    <row r="37" spans="1:19" x14ac:dyDescent="0.25">
      <c r="A37" s="154" t="s">
        <v>26</v>
      </c>
      <c r="B37" s="154" t="s">
        <v>28</v>
      </c>
      <c r="C37" s="155" t="s">
        <v>313</v>
      </c>
      <c r="D37" s="156"/>
      <c r="E37" s="157"/>
      <c r="F37" s="155" t="s">
        <v>312</v>
      </c>
      <c r="G37" s="156"/>
      <c r="H37" s="157"/>
    </row>
    <row r="38" spans="1:19" x14ac:dyDescent="0.25">
      <c r="A38" s="113" t="s">
        <v>280</v>
      </c>
      <c r="B38" s="113"/>
      <c r="C38" s="113"/>
      <c r="D38" s="113"/>
      <c r="E38" s="113"/>
      <c r="F38" s="113"/>
      <c r="G38" s="113"/>
      <c r="H38" s="113"/>
    </row>
    <row r="39" spans="1:19" ht="15.75" customHeight="1" x14ac:dyDescent="0.25">
      <c r="A39" s="113" t="s">
        <v>166</v>
      </c>
      <c r="B39" s="113"/>
      <c r="C39" s="140" t="s">
        <v>306</v>
      </c>
      <c r="D39" s="140"/>
      <c r="E39" s="140"/>
      <c r="F39" s="140"/>
      <c r="G39" s="140"/>
      <c r="H39" s="140"/>
    </row>
    <row r="40" spans="1:19" x14ac:dyDescent="0.25">
      <c r="A40" s="113" t="s">
        <v>162</v>
      </c>
      <c r="B40" s="113"/>
      <c r="C40" s="135" t="s">
        <v>305</v>
      </c>
      <c r="D40" s="133"/>
      <c r="E40" s="133"/>
      <c r="F40" s="133"/>
      <c r="G40" s="133"/>
      <c r="H40" s="133"/>
    </row>
    <row r="41" spans="1:19" x14ac:dyDescent="0.25">
      <c r="A41" s="140" t="s">
        <v>32</v>
      </c>
      <c r="B41" s="140"/>
      <c r="C41" s="140"/>
      <c r="D41" s="140"/>
      <c r="E41" s="140"/>
      <c r="F41" s="140"/>
      <c r="G41" s="140"/>
      <c r="H41" s="140"/>
    </row>
    <row r="42" spans="1:19" x14ac:dyDescent="0.25">
      <c r="A42" s="113" t="s">
        <v>33</v>
      </c>
      <c r="B42" s="113"/>
      <c r="C42" s="113"/>
      <c r="D42" s="113"/>
      <c r="E42" s="158">
        <v>684.96</v>
      </c>
      <c r="F42" s="158"/>
      <c r="G42" s="158"/>
      <c r="H42" s="158"/>
    </row>
    <row r="43" spans="1:19" x14ac:dyDescent="0.25">
      <c r="A43" s="113" t="s">
        <v>34</v>
      </c>
      <c r="B43" s="113"/>
      <c r="C43" s="113"/>
      <c r="D43" s="113"/>
      <c r="E43" s="161">
        <v>3</v>
      </c>
      <c r="F43" s="161"/>
      <c r="G43" s="161"/>
      <c r="H43" s="161"/>
      <c r="I43" s="16">
        <f>9261.68/E42</f>
        <v>13.521490306003271</v>
      </c>
    </row>
    <row r="44" spans="1:19" x14ac:dyDescent="0.25">
      <c r="A44" s="113" t="s">
        <v>35</v>
      </c>
      <c r="B44" s="113"/>
      <c r="C44" s="113"/>
      <c r="D44" s="113"/>
      <c r="E44" s="161">
        <f>E46/E42-E43</f>
        <v>9.2125671572062604</v>
      </c>
      <c r="F44" s="161"/>
      <c r="G44" s="161"/>
      <c r="H44" s="161"/>
    </row>
    <row r="45" spans="1:19" x14ac:dyDescent="0.25">
      <c r="A45" s="113" t="s">
        <v>36</v>
      </c>
      <c r="B45" s="113"/>
      <c r="C45" s="113"/>
      <c r="D45" s="113"/>
      <c r="E45" s="161">
        <f>E43+E44</f>
        <v>12.21256715720626</v>
      </c>
      <c r="F45" s="161"/>
      <c r="G45" s="161"/>
      <c r="H45" s="161"/>
    </row>
    <row r="46" spans="1:19" x14ac:dyDescent="0.25">
      <c r="A46" s="113" t="s">
        <v>87</v>
      </c>
      <c r="B46" s="113"/>
      <c r="C46" s="113"/>
      <c r="D46" s="113"/>
      <c r="E46" s="162">
        <v>8365.1200000000008</v>
      </c>
      <c r="F46" s="162"/>
      <c r="G46" s="162"/>
      <c r="H46" s="162"/>
    </row>
    <row r="47" spans="1:19" x14ac:dyDescent="0.25">
      <c r="A47" s="132" t="s">
        <v>37</v>
      </c>
      <c r="B47" s="132"/>
      <c r="C47" s="132"/>
      <c r="D47" s="132"/>
      <c r="E47" s="132" t="s">
        <v>117</v>
      </c>
      <c r="F47" s="132"/>
      <c r="G47" s="132"/>
      <c r="H47" s="132"/>
    </row>
    <row r="48" spans="1:19" x14ac:dyDescent="0.25">
      <c r="A48" s="140" t="s">
        <v>38</v>
      </c>
      <c r="B48" s="140"/>
      <c r="C48" s="140"/>
      <c r="D48" s="140"/>
      <c r="E48" s="140"/>
      <c r="F48" s="140"/>
      <c r="G48" s="140"/>
      <c r="H48" s="140"/>
    </row>
    <row r="49" spans="1:24" ht="33.75" customHeight="1" x14ac:dyDescent="0.25">
      <c r="A49" s="121" t="s">
        <v>151</v>
      </c>
      <c r="B49" s="122"/>
      <c r="C49" s="123" t="s">
        <v>255</v>
      </c>
      <c r="D49" s="124"/>
      <c r="E49" s="124"/>
      <c r="F49" s="124"/>
      <c r="G49" s="124"/>
      <c r="H49" s="125"/>
      <c r="R49" t="s">
        <v>253</v>
      </c>
      <c r="S49" t="s">
        <v>173</v>
      </c>
      <c r="T49" t="s">
        <v>178</v>
      </c>
      <c r="U49" t="s">
        <v>193</v>
      </c>
      <c r="V49" t="s">
        <v>188</v>
      </c>
    </row>
    <row r="50" spans="1:24" ht="15.75" customHeight="1" x14ac:dyDescent="0.25">
      <c r="A50" s="121" t="s">
        <v>39</v>
      </c>
      <c r="B50" s="122"/>
      <c r="C50" s="121" t="s">
        <v>352</v>
      </c>
      <c r="D50" s="172"/>
      <c r="E50" s="122"/>
      <c r="F50" s="15" t="s">
        <v>40</v>
      </c>
      <c r="G50" s="166">
        <v>45744</v>
      </c>
      <c r="H50" s="167"/>
      <c r="R50"/>
      <c r="S50" t="s">
        <v>254</v>
      </c>
      <c r="T50" t="s">
        <v>259</v>
      </c>
      <c r="U50" t="s">
        <v>270</v>
      </c>
      <c r="V50" t="s">
        <v>275</v>
      </c>
    </row>
    <row r="51" spans="1:24" x14ac:dyDescent="0.25">
      <c r="A51" s="121" t="s">
        <v>41</v>
      </c>
      <c r="B51" s="122"/>
      <c r="C51" s="121" t="str">
        <f>C50</f>
        <v>EB/6980/C/A/337/3/AMEND</v>
      </c>
      <c r="D51" s="172"/>
      <c r="E51" s="122"/>
      <c r="F51" s="15" t="s">
        <v>40</v>
      </c>
      <c r="G51" s="166">
        <f>G50</f>
        <v>45744</v>
      </c>
      <c r="H51" s="167"/>
      <c r="R51"/>
      <c r="S51" t="s">
        <v>255</v>
      </c>
      <c r="T51" t="s">
        <v>260</v>
      </c>
      <c r="U51" t="s">
        <v>268</v>
      </c>
      <c r="V51" t="s">
        <v>276</v>
      </c>
    </row>
    <row r="52" spans="1:24" s="18" customFormat="1" ht="15.75" customHeight="1" x14ac:dyDescent="0.25">
      <c r="A52" s="173" t="s">
        <v>155</v>
      </c>
      <c r="B52" s="174"/>
      <c r="C52" s="121" t="s">
        <v>314</v>
      </c>
      <c r="D52" s="172"/>
      <c r="E52" s="122"/>
      <c r="F52" s="15" t="s">
        <v>40</v>
      </c>
      <c r="G52" s="166">
        <v>45538</v>
      </c>
      <c r="H52" s="167"/>
      <c r="R52"/>
      <c r="S52" t="s">
        <v>256</v>
      </c>
      <c r="T52" t="s">
        <v>261</v>
      </c>
      <c r="U52" t="s">
        <v>258</v>
      </c>
      <c r="V52" t="s">
        <v>277</v>
      </c>
    </row>
    <row r="53" spans="1:24" s="18" customFormat="1" ht="65.25" customHeight="1" x14ac:dyDescent="0.25">
      <c r="A53" s="175"/>
      <c r="B53" s="176"/>
      <c r="C53" s="121" t="s">
        <v>377</v>
      </c>
      <c r="D53" s="172"/>
      <c r="E53" s="122"/>
      <c r="F53" s="15" t="s">
        <v>118</v>
      </c>
      <c r="G53" s="166">
        <v>45882</v>
      </c>
      <c r="H53" s="167"/>
      <c r="R53"/>
      <c r="S53" t="s">
        <v>257</v>
      </c>
      <c r="T53" t="s">
        <v>264</v>
      </c>
      <c r="U53" t="s">
        <v>271</v>
      </c>
    </row>
    <row r="54" spans="1:24" s="18" customFormat="1" hidden="1" x14ac:dyDescent="0.25">
      <c r="A54" s="168" t="s">
        <v>281</v>
      </c>
      <c r="B54" s="169"/>
      <c r="C54" s="121"/>
      <c r="D54" s="172"/>
      <c r="E54" s="122"/>
      <c r="F54" s="15" t="s">
        <v>40</v>
      </c>
      <c r="G54" s="121"/>
      <c r="H54" s="122"/>
      <c r="R54"/>
      <c r="S54" t="s">
        <v>256</v>
      </c>
      <c r="T54" t="s">
        <v>261</v>
      </c>
      <c r="U54" t="s">
        <v>258</v>
      </c>
      <c r="V54" t="s">
        <v>277</v>
      </c>
    </row>
    <row r="55" spans="1:24" s="18" customFormat="1" ht="32.25" hidden="1" customHeight="1" x14ac:dyDescent="0.25">
      <c r="A55" s="170"/>
      <c r="B55" s="171"/>
      <c r="C55" s="163"/>
      <c r="D55" s="164"/>
      <c r="E55" s="164"/>
      <c r="F55" s="164"/>
      <c r="G55" s="164"/>
      <c r="H55" s="165"/>
      <c r="R55"/>
      <c r="S55" t="s">
        <v>258</v>
      </c>
      <c r="T55" t="s">
        <v>262</v>
      </c>
      <c r="U55" t="s">
        <v>272</v>
      </c>
      <c r="V55" s="16"/>
      <c r="W55" s="16"/>
      <c r="X55" s="16"/>
    </row>
    <row r="56" spans="1:24" s="18" customFormat="1" ht="34.5" hidden="1" customHeight="1" x14ac:dyDescent="0.25">
      <c r="A56" s="168" t="s">
        <v>282</v>
      </c>
      <c r="B56" s="169"/>
      <c r="C56" s="121">
        <f>C55</f>
        <v>0</v>
      </c>
      <c r="D56" s="172"/>
      <c r="E56" s="122"/>
      <c r="F56" s="15" t="s">
        <v>40</v>
      </c>
      <c r="G56" s="121">
        <f>G55</f>
        <v>0</v>
      </c>
      <c r="H56" s="122"/>
      <c r="R56"/>
      <c r="S56" s="16"/>
      <c r="T56" t="s">
        <v>263</v>
      </c>
      <c r="U56" t="s">
        <v>273</v>
      </c>
      <c r="V56" s="16"/>
      <c r="W56" s="16"/>
      <c r="X56" s="16"/>
    </row>
    <row r="57" spans="1:24" s="18" customFormat="1" ht="41.25" hidden="1" customHeight="1" x14ac:dyDescent="0.25">
      <c r="A57" s="170"/>
      <c r="B57" s="171"/>
      <c r="C57" s="121"/>
      <c r="D57" s="172"/>
      <c r="E57" s="172"/>
      <c r="F57" s="172"/>
      <c r="G57" s="172"/>
      <c r="H57" s="122"/>
      <c r="R57"/>
      <c r="S57" s="16"/>
      <c r="T57" t="s">
        <v>265</v>
      </c>
      <c r="U57" t="s">
        <v>274</v>
      </c>
      <c r="V57" s="16"/>
      <c r="W57" s="16"/>
      <c r="X57" s="16"/>
    </row>
    <row r="58" spans="1:24" s="18" customFormat="1" ht="15.75" hidden="1" customHeight="1" x14ac:dyDescent="0.25">
      <c r="A58" s="168" t="s">
        <v>283</v>
      </c>
      <c r="B58" s="169"/>
      <c r="C58" s="121">
        <f>C57</f>
        <v>0</v>
      </c>
      <c r="D58" s="172"/>
      <c r="E58" s="122"/>
      <c r="F58" s="15" t="s">
        <v>40</v>
      </c>
      <c r="G58" s="121">
        <f>G57</f>
        <v>0</v>
      </c>
      <c r="H58" s="122"/>
      <c r="R58"/>
      <c r="S58" s="16"/>
      <c r="T58" t="s">
        <v>266</v>
      </c>
      <c r="U58" s="16" t="s">
        <v>297</v>
      </c>
      <c r="V58" s="16"/>
      <c r="W58" s="16"/>
      <c r="X58" s="16"/>
    </row>
    <row r="59" spans="1:24" s="18" customFormat="1" ht="33.75" hidden="1" customHeight="1" x14ac:dyDescent="0.25">
      <c r="A59" s="170"/>
      <c r="B59" s="171"/>
      <c r="C59" s="121"/>
      <c r="D59" s="172"/>
      <c r="E59" s="172"/>
      <c r="F59" s="172"/>
      <c r="G59" s="172"/>
      <c r="H59" s="122"/>
      <c r="R59"/>
      <c r="S59" s="16"/>
      <c r="T59" t="s">
        <v>267</v>
      </c>
      <c r="U59" s="16"/>
      <c r="V59" s="16"/>
      <c r="W59" s="16"/>
      <c r="X59" s="16"/>
    </row>
    <row r="60" spans="1:24" x14ac:dyDescent="0.25">
      <c r="A60" s="200" t="s">
        <v>42</v>
      </c>
      <c r="B60" s="201"/>
      <c r="C60" s="200" t="s">
        <v>101</v>
      </c>
      <c r="D60" s="202"/>
      <c r="E60" s="201"/>
      <c r="F60" s="38" t="s">
        <v>40</v>
      </c>
      <c r="G60" s="193" t="s">
        <v>28</v>
      </c>
      <c r="H60" s="194"/>
      <c r="R60"/>
      <c r="T60" t="s">
        <v>269</v>
      </c>
    </row>
    <row r="61" spans="1:24" x14ac:dyDescent="0.25">
      <c r="A61" s="188" t="s">
        <v>44</v>
      </c>
      <c r="B61" s="188"/>
      <c r="C61" s="188"/>
      <c r="D61" s="188"/>
      <c r="E61" s="188"/>
      <c r="F61" s="188"/>
      <c r="G61" s="188"/>
      <c r="H61" s="188"/>
      <c r="T61" t="s">
        <v>278</v>
      </c>
    </row>
    <row r="62" spans="1:24" x14ac:dyDescent="0.25">
      <c r="A62" s="139" t="s">
        <v>86</v>
      </c>
      <c r="B62" s="139"/>
      <c r="C62" s="139"/>
      <c r="D62" s="113">
        <f>E46</f>
        <v>8365.1200000000008</v>
      </c>
      <c r="E62" s="113"/>
      <c r="F62" s="113"/>
      <c r="G62" s="113"/>
      <c r="H62" s="113"/>
      <c r="R62"/>
    </row>
    <row r="63" spans="1:24" ht="51" customHeight="1" x14ac:dyDescent="0.25">
      <c r="A63" s="133" t="s">
        <v>45</v>
      </c>
      <c r="B63" s="132"/>
      <c r="C63" s="132"/>
      <c r="D63" s="133" t="s">
        <v>375</v>
      </c>
      <c r="E63" s="133"/>
      <c r="F63" s="133"/>
      <c r="G63" s="133"/>
      <c r="H63" s="133"/>
      <c r="I63" s="19"/>
      <c r="R63"/>
    </row>
    <row r="64" spans="1:24" ht="30.75" customHeight="1" x14ac:dyDescent="0.25">
      <c r="A64" s="142" t="s">
        <v>46</v>
      </c>
      <c r="B64" s="143"/>
      <c r="C64" s="144"/>
      <c r="D64" s="134" t="s">
        <v>370</v>
      </c>
      <c r="E64" s="141"/>
      <c r="F64" s="141"/>
      <c r="G64" s="141"/>
      <c r="H64" s="141"/>
      <c r="R64"/>
    </row>
    <row r="65" spans="1:19" ht="30.75" customHeight="1" x14ac:dyDescent="0.25">
      <c r="A65" s="142" t="s">
        <v>84</v>
      </c>
      <c r="B65" s="143"/>
      <c r="C65" s="143"/>
      <c r="D65" s="133" t="s">
        <v>342</v>
      </c>
      <c r="E65" s="133"/>
      <c r="F65" s="133"/>
      <c r="G65" s="133"/>
      <c r="H65" s="133"/>
      <c r="R65"/>
    </row>
    <row r="66" spans="1:19" ht="15.75" customHeight="1" x14ac:dyDescent="0.25">
      <c r="A66" s="113" t="s">
        <v>43</v>
      </c>
      <c r="B66" s="113"/>
      <c r="C66" s="113"/>
      <c r="D66" s="159" t="s">
        <v>315</v>
      </c>
      <c r="E66" s="159"/>
      <c r="F66" s="159"/>
      <c r="G66" s="159"/>
      <c r="H66" s="159"/>
      <c r="J66" s="20"/>
      <c r="K66" s="19"/>
      <c r="N66" s="19"/>
      <c r="S66"/>
    </row>
    <row r="67" spans="1:19" ht="15.75" customHeight="1" x14ac:dyDescent="0.25">
      <c r="A67" s="132" t="s">
        <v>82</v>
      </c>
      <c r="B67" s="132"/>
      <c r="C67" s="132"/>
      <c r="D67" s="160" t="str">
        <f>(IF(G60="NA","60 Years After Completion",IF(G60&lt;&gt;"NA",""&amp;60-ROUNDDOWN((E3-G60)/360,0)&amp;" Years"," ")))</f>
        <v>60 Years After Completion</v>
      </c>
      <c r="E67" s="160"/>
      <c r="F67" s="160"/>
      <c r="G67" s="160"/>
      <c r="H67" s="160"/>
      <c r="N67" s="19"/>
      <c r="S67"/>
    </row>
    <row r="68" spans="1:19" ht="15.75" customHeight="1" x14ac:dyDescent="0.25">
      <c r="A68" s="132" t="s">
        <v>83</v>
      </c>
      <c r="B68" s="132"/>
      <c r="C68" s="132"/>
      <c r="D68" s="133" t="s">
        <v>23</v>
      </c>
      <c r="E68" s="133"/>
      <c r="F68" s="133"/>
      <c r="G68" s="133"/>
      <c r="H68" s="133"/>
      <c r="J68" s="21"/>
      <c r="K68" s="21"/>
      <c r="S68"/>
    </row>
    <row r="69" spans="1:19" ht="32.450000000000003" customHeight="1" x14ac:dyDescent="0.25">
      <c r="A69" s="132" t="s">
        <v>343</v>
      </c>
      <c r="B69" s="132"/>
      <c r="C69" s="132"/>
      <c r="D69" s="133" t="s">
        <v>344</v>
      </c>
      <c r="E69" s="133"/>
      <c r="F69" s="133"/>
      <c r="G69" s="133"/>
      <c r="H69" s="133"/>
      <c r="S69"/>
    </row>
    <row r="70" spans="1:19" x14ac:dyDescent="0.25">
      <c r="A70" s="133" t="s">
        <v>147</v>
      </c>
      <c r="B70" s="133"/>
      <c r="C70" s="133"/>
      <c r="D70" s="133" t="s">
        <v>28</v>
      </c>
      <c r="E70" s="133"/>
      <c r="F70" s="133"/>
      <c r="G70" s="133"/>
      <c r="H70" s="133"/>
      <c r="I70" s="22"/>
      <c r="J70" s="22"/>
      <c r="K70" s="22"/>
      <c r="L70" s="22"/>
      <c r="M70" s="22"/>
      <c r="N70" s="22"/>
    </row>
    <row r="71" spans="1:19" ht="15.75" customHeight="1" x14ac:dyDescent="0.25">
      <c r="A71" s="203" t="s">
        <v>81</v>
      </c>
      <c r="B71" s="203"/>
      <c r="C71" s="203"/>
      <c r="D71" s="134" t="str">
        <f ca="1">(IF(G77&gt;95%,"Nothing",IF(G77&gt;0%,"Cement, Aggregate, Steel, etc",IF(G77=0%,"Work not yet Started"))))</f>
        <v>Cement, Aggregate, Steel, etc</v>
      </c>
      <c r="E71" s="134"/>
      <c r="F71" s="134"/>
      <c r="G71" s="134"/>
      <c r="H71" s="134"/>
      <c r="J71" s="21"/>
      <c r="S71"/>
    </row>
    <row r="72" spans="1:19" ht="33.75" customHeight="1" thickBot="1" x14ac:dyDescent="0.3">
      <c r="A72" s="139" t="s">
        <v>114</v>
      </c>
      <c r="B72" s="139"/>
      <c r="C72" s="139"/>
      <c r="D72" s="133" t="str">
        <f ca="1">(IF(D71="Nothing","Yes",IF(D71="Cement, Aggregate, Steel, etc","Under Construction",IF(D71="Work not yet Started","Work not yet Started"))))</f>
        <v>Under Construction</v>
      </c>
      <c r="E72" s="133"/>
      <c r="F72" s="133" t="str">
        <f ca="1">(IF(D71="Nothing","Yes",IF(D71="Cement, Aggregate, Steel, etc","Under Construction",IF(D71="Work not yet Started","Work not yet Started"))))</f>
        <v>Under Construction</v>
      </c>
      <c r="G72" s="133"/>
      <c r="H72" s="133"/>
      <c r="S72"/>
    </row>
    <row r="73" spans="1:19" ht="15.75" customHeight="1" x14ac:dyDescent="0.25">
      <c r="A73" s="131" t="s">
        <v>137</v>
      </c>
      <c r="B73" s="131"/>
      <c r="C73" s="131" t="str">
        <f>D65</f>
        <v>2B + Gr/Stilt + 1st to 9th Floor + Service Floor + 10th to 29th Floor</v>
      </c>
      <c r="D73" s="131"/>
      <c r="E73" s="131"/>
      <c r="F73" s="131"/>
      <c r="G73" s="131"/>
      <c r="H73" s="131"/>
      <c r="I73" s="63" t="str">
        <f ca="1">IF(D86=100%,"All work Completed. Possession granted to the Building.",IF(D85=100%,"All work Completed, Waiting for OC",I74&amp;""&amp;I75&amp;""&amp;J74&amp;""&amp;J73&amp;" "&amp;J75))</f>
        <v>Excavation, Plinth Completed, RCC upto 24 Slab, Brickwork upto 20 Floor, Internal Plaster upto 14 Floor, External Plaster upto 10 Floor, Flooring upto 8 Floor, Painting upto 7 Floor Completed</v>
      </c>
      <c r="J73" s="4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24 Slab, Brickwork upto 20 Floor, Internal Plaster upto 14 Floor, External Plaster upto 10 Floor, Flooring upto 8 Floor, Painting upto 7 Floor</v>
      </c>
      <c r="S73"/>
    </row>
    <row r="74" spans="1:19" x14ac:dyDescent="0.25">
      <c r="A74" s="42" t="s">
        <v>139</v>
      </c>
      <c r="B74" s="42">
        <f>IF(AND(ISNUMBER(SEARCH("1B",C73))),1,IF(AND(ISNUMBER(SEARCH("2B",C73))),2,IF(AND(ISNUMBER(SEARCH("3B",C73))),3,IF(AND(ISNUMBER(SEARCH("4B",C73))),4,IF(ISNUMBER(SEARCH("5B",C73)),5,0)))))</f>
        <v>2</v>
      </c>
      <c r="C74" s="42" t="s">
        <v>68</v>
      </c>
      <c r="D74" s="42">
        <v>1</v>
      </c>
      <c r="E74" s="42" t="s">
        <v>67</v>
      </c>
      <c r="F74" s="42">
        <v>0</v>
      </c>
      <c r="G74" s="42" t="s">
        <v>75</v>
      </c>
      <c r="H74" s="42">
        <f ca="1">--TRIM(RIGHT(SUBSTITUTE(LEFT(C73,_xlfn.AGGREGATE(16,6,FIND({0,1,2,3,4,5,6,7,8,9},C73,ROW(INDIRECT("1:"&amp;LEN(C73)))),1))," ",REPT(" ",LEN(C73))),LEN(C73)))</f>
        <v>29</v>
      </c>
      <c r="I74" s="64" t="str">
        <f ca="1">IF(D77=100%,"Excavation","")&amp;IF(D78=100%,", Plinth","")&amp;IF(D79=100%,", RCC Slab","")&amp;IF(D80=100%,", Brickwork","")&amp;IF(D81=100%,", Internal Plaster","")&amp;IF(D82=100%,", External Plaster","")&amp;IF(D83=100%,", Flooring","")&amp;IF(D84=100%,", Painting","")&amp;IF(D85=100%,", Building common Amenities","")</f>
        <v>Excavation, Plinth</v>
      </c>
      <c r="J74" s="4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9.5" customHeight="1" x14ac:dyDescent="0.25">
      <c r="A75" s="130" t="s">
        <v>85</v>
      </c>
      <c r="B75" s="130"/>
      <c r="C75" s="131" t="str">
        <f ca="1">I73</f>
        <v>Excavation, Plinth Completed, RCC upto 24 Slab, Brickwork upto 20 Floor, Internal Plaster upto 14 Floor, External Plaster upto 10 Floor, Flooring upto 8 Floor, Painting upto 7 Floor Completed</v>
      </c>
      <c r="D75" s="131"/>
      <c r="E75" s="131"/>
      <c r="F75" s="131"/>
      <c r="G75" s="131"/>
      <c r="H75" s="131"/>
      <c r="I75" s="64" t="str">
        <f ca="1">IF(I74&lt;&gt;""," Completed","")</f>
        <v xml:space="preserve"> Completed</v>
      </c>
      <c r="J75" s="41" t="str">
        <f ca="1">IF(J73&lt;&gt;"","Completed","")</f>
        <v>Completed</v>
      </c>
      <c r="S75"/>
    </row>
    <row r="76" spans="1:19" ht="15.75" customHeight="1" x14ac:dyDescent="0.25">
      <c r="A76" s="128" t="s">
        <v>47</v>
      </c>
      <c r="B76" s="129"/>
      <c r="C76" s="52" t="s">
        <v>136</v>
      </c>
      <c r="D76" s="52" t="s">
        <v>78</v>
      </c>
      <c r="E76" s="129" t="s">
        <v>80</v>
      </c>
      <c r="F76" s="129"/>
      <c r="G76" s="129" t="s">
        <v>79</v>
      </c>
      <c r="H76" s="185"/>
      <c r="I76" s="13" t="s">
        <v>138</v>
      </c>
      <c r="J76" s="23">
        <f ca="1">H74*25%</f>
        <v>7.25</v>
      </c>
      <c r="S76"/>
    </row>
    <row r="77" spans="1:19" x14ac:dyDescent="0.25">
      <c r="A77" s="128" t="s">
        <v>125</v>
      </c>
      <c r="B77" s="129"/>
      <c r="C77" s="52">
        <f ca="1">J78</f>
        <v>29</v>
      </c>
      <c r="D77" s="53">
        <f ca="1">((100/H74)*C77)/100</f>
        <v>1</v>
      </c>
      <c r="E77" s="145">
        <f ca="1">(((C78/H74*10)+(40/(D74+F74+H74)*C79)+(7.5/(H74)*C80)+(7.5/(H74)*C81)+(10/H74*C82)+(10/H74*C83)+(5/H74*C84)+(5/H74*C85)+(5/H74*C86))/100)</f>
        <v>0.5820689655172413</v>
      </c>
      <c r="F77" s="146"/>
      <c r="G77" s="145">
        <f ca="1">((((C77/H74)*20)+((C78/H74)*25)+(30/(H74+F74+D74)*C79)+(5/H74*C80)+(5/H74*C81)+(5/H74*C82)+(5/H74*C83)+(0/H74*C84)+(0/H74*C85)+(5/H74*C86))/100)</f>
        <v>0.77965517241379301</v>
      </c>
      <c r="H77" s="151"/>
      <c r="I77" s="13" t="s">
        <v>96</v>
      </c>
      <c r="J77" s="24">
        <f ca="1">H74*50%</f>
        <v>14.5</v>
      </c>
    </row>
    <row r="78" spans="1:19" x14ac:dyDescent="0.25">
      <c r="A78" s="128" t="s">
        <v>48</v>
      </c>
      <c r="B78" s="129"/>
      <c r="C78" s="52">
        <f ca="1">J86</f>
        <v>29</v>
      </c>
      <c r="D78" s="53">
        <f ca="1">((100/H74)*C78)/100</f>
        <v>1</v>
      </c>
      <c r="E78" s="147"/>
      <c r="F78" s="148"/>
      <c r="G78" s="147"/>
      <c r="H78" s="152"/>
      <c r="I78" s="13" t="s">
        <v>97</v>
      </c>
      <c r="J78" s="24">
        <f ca="1">H74</f>
        <v>29</v>
      </c>
      <c r="S78"/>
    </row>
    <row r="79" spans="1:19" ht="15.75" customHeight="1" x14ac:dyDescent="0.25">
      <c r="A79" s="128" t="s">
        <v>126</v>
      </c>
      <c r="B79" s="129"/>
      <c r="C79" s="52">
        <v>24</v>
      </c>
      <c r="D79" s="53">
        <f ca="1">((100/(D74+F74+H74))*C79)/100</f>
        <v>0.8</v>
      </c>
      <c r="E79" s="147"/>
      <c r="F79" s="148"/>
      <c r="G79" s="147"/>
      <c r="H79" s="152"/>
      <c r="I79" s="13" t="s">
        <v>98</v>
      </c>
      <c r="J79" s="25">
        <f ca="1">(IF(B74&gt;1,(H74/(B74+2)),H74/4))</f>
        <v>7.25</v>
      </c>
      <c r="S79"/>
    </row>
    <row r="80" spans="1:19" ht="15.75" customHeight="1" x14ac:dyDescent="0.25">
      <c r="A80" s="128" t="s">
        <v>133</v>
      </c>
      <c r="B80" s="129" t="s">
        <v>127</v>
      </c>
      <c r="C80" s="52">
        <v>20</v>
      </c>
      <c r="D80" s="53">
        <f ca="1">((100/H74)*C80)/100</f>
        <v>0.68965517241379304</v>
      </c>
      <c r="E80" s="147"/>
      <c r="F80" s="148"/>
      <c r="G80" s="147"/>
      <c r="H80" s="152"/>
      <c r="I80" s="13" t="s">
        <v>99</v>
      </c>
      <c r="J80" s="25">
        <f ca="1">(IF(B74&gt;1,(H74/(B74+2)+J79),H74/4+J79))</f>
        <v>14.5</v>
      </c>
    </row>
    <row r="81" spans="1:22" ht="15.75" customHeight="1" x14ac:dyDescent="0.25">
      <c r="A81" s="128" t="s">
        <v>134</v>
      </c>
      <c r="B81" s="129" t="s">
        <v>127</v>
      </c>
      <c r="C81" s="52">
        <v>14</v>
      </c>
      <c r="D81" s="53">
        <f ca="1">((100/H74)*C81)/100</f>
        <v>0.48275862068965514</v>
      </c>
      <c r="E81" s="147"/>
      <c r="F81" s="148"/>
      <c r="G81" s="147"/>
      <c r="H81" s="152"/>
      <c r="I81" s="13" t="s">
        <v>145</v>
      </c>
      <c r="J81" s="25">
        <f ca="1">(IF(B74&gt;1,(H74/(B74+2)+J80),0))</f>
        <v>21.75</v>
      </c>
    </row>
    <row r="82" spans="1:22" ht="15" customHeight="1" x14ac:dyDescent="0.25">
      <c r="A82" s="128" t="s">
        <v>132</v>
      </c>
      <c r="B82" s="129" t="s">
        <v>129</v>
      </c>
      <c r="C82" s="52">
        <v>10</v>
      </c>
      <c r="D82" s="53">
        <f ca="1">((100/(H74))*C82)/100</f>
        <v>0.34482758620689652</v>
      </c>
      <c r="E82" s="147"/>
      <c r="F82" s="148"/>
      <c r="G82" s="147"/>
      <c r="H82" s="152"/>
      <c r="I82" s="13" t="s">
        <v>140</v>
      </c>
      <c r="J82" s="25">
        <f>(IF(B74&gt;2,(H74/(B74+2)+J81),0))</f>
        <v>0</v>
      </c>
    </row>
    <row r="83" spans="1:22" ht="15.75" customHeight="1" x14ac:dyDescent="0.25">
      <c r="A83" s="128" t="s">
        <v>128</v>
      </c>
      <c r="B83" s="129" t="s">
        <v>128</v>
      </c>
      <c r="C83" s="52">
        <v>8</v>
      </c>
      <c r="D83" s="53">
        <f ca="1">((100/H74)*C83)/100</f>
        <v>0.27586206896551724</v>
      </c>
      <c r="E83" s="147"/>
      <c r="F83" s="148"/>
      <c r="G83" s="147"/>
      <c r="H83" s="152"/>
      <c r="I83" s="13" t="s">
        <v>141</v>
      </c>
      <c r="J83" s="26">
        <f>(IF(B74&gt;3,(H74/(B74+2)+J82),0))</f>
        <v>0</v>
      </c>
    </row>
    <row r="84" spans="1:22" ht="15.75" customHeight="1" x14ac:dyDescent="0.25">
      <c r="A84" s="128" t="s">
        <v>135</v>
      </c>
      <c r="B84" s="129"/>
      <c r="C84" s="52">
        <v>7</v>
      </c>
      <c r="D84" s="53">
        <f ca="1">((100/H74)*C84)/100</f>
        <v>0.24137931034482757</v>
      </c>
      <c r="E84" s="147"/>
      <c r="F84" s="148"/>
      <c r="G84" s="147"/>
      <c r="H84" s="152"/>
      <c r="I84" s="13" t="s">
        <v>142</v>
      </c>
      <c r="J84" s="25">
        <f>(IF(B74&gt;4,(H74/(B74+2)+J83),0))</f>
        <v>0</v>
      </c>
    </row>
    <row r="85" spans="1:22" ht="15.75" customHeight="1" x14ac:dyDescent="0.25">
      <c r="A85" s="128" t="s">
        <v>130</v>
      </c>
      <c r="B85" s="129" t="s">
        <v>130</v>
      </c>
      <c r="C85" s="52">
        <v>0</v>
      </c>
      <c r="D85" s="53">
        <f ca="1">((100/(H74))*C85)/100</f>
        <v>0</v>
      </c>
      <c r="E85" s="147"/>
      <c r="F85" s="148"/>
      <c r="G85" s="147"/>
      <c r="H85" s="152"/>
      <c r="I85" s="13" t="s">
        <v>146</v>
      </c>
      <c r="J85" s="25">
        <f>(IF(B74=1,(H74/(B74+3)+J80),IF(B74=0,(H74/4+J80),IF(B74&gt;1,0))))</f>
        <v>0</v>
      </c>
    </row>
    <row r="86" spans="1:22" ht="16.5" thickBot="1" x14ac:dyDescent="0.3">
      <c r="A86" s="137" t="s">
        <v>131</v>
      </c>
      <c r="B86" s="138"/>
      <c r="C86" s="54">
        <v>0</v>
      </c>
      <c r="D86" s="55">
        <f ca="1">((100/(H74))*C86)/100</f>
        <v>0</v>
      </c>
      <c r="E86" s="149"/>
      <c r="F86" s="150"/>
      <c r="G86" s="149"/>
      <c r="H86" s="153"/>
      <c r="I86" s="14" t="s">
        <v>100</v>
      </c>
      <c r="J86" s="27">
        <f ca="1">(IF(B74&gt;1.5,(H74/(B74+2)+J80+MAX(0,J81-J80)+MAX(0,J82-J81)+MAX(0,J83-J82)+MAX(0,J84-J83)+MAX(0,J85-J84)),IF(B74=1,(H74/(B74+3)+J85),IF(B74=0,H74/4+J85))))</f>
        <v>29</v>
      </c>
    </row>
    <row r="87" spans="1:22" x14ac:dyDescent="0.25">
      <c r="A87" s="127" t="s">
        <v>157</v>
      </c>
      <c r="B87" s="127"/>
      <c r="C87" s="127"/>
      <c r="D87" s="127"/>
      <c r="E87" s="127"/>
      <c r="F87" s="190" t="s">
        <v>161</v>
      </c>
      <c r="G87" s="190"/>
      <c r="H87" s="190"/>
      <c r="I87" s="56"/>
      <c r="J87" s="56" t="s">
        <v>346</v>
      </c>
      <c r="K87" s="56" t="s">
        <v>347</v>
      </c>
      <c r="L87" s="56" t="s">
        <v>348</v>
      </c>
      <c r="M87" s="56"/>
      <c r="N87" s="56"/>
      <c r="R87" t="s">
        <v>253</v>
      </c>
      <c r="S87" t="s">
        <v>173</v>
      </c>
      <c r="T87" t="s">
        <v>178</v>
      </c>
      <c r="U87" t="s">
        <v>193</v>
      </c>
      <c r="V87" t="s">
        <v>188</v>
      </c>
    </row>
    <row r="88" spans="1:22" x14ac:dyDescent="0.25">
      <c r="A88" s="113" t="s">
        <v>159</v>
      </c>
      <c r="B88" s="113"/>
      <c r="C88" s="113"/>
      <c r="D88" s="113"/>
      <c r="E88" s="113"/>
      <c r="F88" s="114">
        <v>22000</v>
      </c>
      <c r="G88" s="114"/>
      <c r="H88" s="114"/>
      <c r="I88" s="56">
        <f>AVERAGE(K88:L88)</f>
        <v>23000</v>
      </c>
      <c r="J88" s="56"/>
      <c r="K88" s="56">
        <v>26000</v>
      </c>
      <c r="L88" s="56">
        <f>30000/1.5</f>
        <v>20000</v>
      </c>
      <c r="M88" s="56"/>
      <c r="N88" s="56"/>
      <c r="R88"/>
      <c r="S88">
        <v>800000</v>
      </c>
      <c r="T88">
        <v>300000</v>
      </c>
      <c r="U88">
        <v>100000</v>
      </c>
      <c r="V88">
        <v>100000</v>
      </c>
    </row>
    <row r="89" spans="1:22" x14ac:dyDescent="0.25">
      <c r="A89" s="113" t="s">
        <v>158</v>
      </c>
      <c r="B89" s="113"/>
      <c r="C89" s="113"/>
      <c r="D89" s="113"/>
      <c r="E89" s="113"/>
      <c r="F89" s="114">
        <v>38000</v>
      </c>
      <c r="G89" s="114"/>
      <c r="H89" s="114"/>
      <c r="I89" s="56"/>
      <c r="J89" s="56"/>
      <c r="K89" s="56"/>
      <c r="L89" s="56"/>
      <c r="M89" s="56"/>
      <c r="N89" s="56"/>
      <c r="R89"/>
      <c r="S89">
        <v>900000</v>
      </c>
      <c r="T89">
        <v>350000</v>
      </c>
      <c r="U89">
        <v>150000</v>
      </c>
      <c r="V89">
        <v>150000</v>
      </c>
    </row>
    <row r="90" spans="1:22" x14ac:dyDescent="0.25">
      <c r="A90" s="113" t="s">
        <v>349</v>
      </c>
      <c r="B90" s="113"/>
      <c r="C90" s="113"/>
      <c r="D90" s="113"/>
      <c r="E90" s="113"/>
      <c r="F90" s="114">
        <v>35000</v>
      </c>
      <c r="G90" s="114"/>
      <c r="H90" s="114"/>
      <c r="I90" s="56"/>
      <c r="J90" s="56"/>
      <c r="K90" s="56"/>
      <c r="L90" s="56"/>
      <c r="M90" s="56"/>
      <c r="N90" s="56"/>
      <c r="R90"/>
      <c r="S90">
        <v>900000</v>
      </c>
      <c r="T90">
        <v>350000</v>
      </c>
      <c r="U90">
        <v>150000</v>
      </c>
      <c r="V90">
        <v>150000</v>
      </c>
    </row>
    <row r="91" spans="1:22" x14ac:dyDescent="0.25">
      <c r="A91" s="113" t="s">
        <v>160</v>
      </c>
      <c r="B91" s="113"/>
      <c r="C91" s="113"/>
      <c r="D91" s="113"/>
      <c r="E91" s="113"/>
      <c r="F91" s="114">
        <v>33000</v>
      </c>
      <c r="G91" s="114"/>
      <c r="H91" s="114"/>
      <c r="I91" s="56"/>
      <c r="J91" s="56"/>
      <c r="K91" s="56">
        <f>50000/1.55</f>
        <v>32258.06451612903</v>
      </c>
      <c r="L91" s="56"/>
      <c r="M91" s="56"/>
      <c r="N91" s="56"/>
      <c r="R91"/>
      <c r="S91">
        <v>1000000</v>
      </c>
      <c r="T91">
        <v>400000</v>
      </c>
      <c r="U91">
        <v>200000</v>
      </c>
      <c r="V91">
        <v>200000</v>
      </c>
    </row>
    <row r="92" spans="1:22" s="28" customFormat="1" hidden="1" x14ac:dyDescent="0.25">
      <c r="A92" s="113" t="s">
        <v>176</v>
      </c>
      <c r="B92" s="113"/>
      <c r="C92" s="113"/>
      <c r="D92" s="113"/>
      <c r="E92" s="113"/>
      <c r="F92" s="114"/>
      <c r="G92" s="114"/>
      <c r="H92" s="114"/>
      <c r="I92" s="57"/>
      <c r="J92" s="57"/>
      <c r="K92" s="57"/>
      <c r="L92" s="57"/>
      <c r="M92" s="57"/>
      <c r="N92" s="57"/>
      <c r="R92"/>
      <c r="S92">
        <v>1100000</v>
      </c>
      <c r="T92">
        <v>500000</v>
      </c>
      <c r="U92">
        <v>250000</v>
      </c>
      <c r="V92" s="18">
        <v>250000</v>
      </c>
    </row>
    <row r="93" spans="1:22" s="28" customFormat="1" hidden="1" x14ac:dyDescent="0.25">
      <c r="A93" s="113" t="s">
        <v>90</v>
      </c>
      <c r="B93" s="113"/>
      <c r="C93" s="113"/>
      <c r="D93" s="113"/>
      <c r="E93" s="113"/>
      <c r="F93" s="114"/>
      <c r="G93" s="114"/>
      <c r="H93" s="114"/>
      <c r="I93" s="57"/>
      <c r="J93" s="57"/>
      <c r="K93" s="57"/>
      <c r="L93" s="57"/>
      <c r="M93" s="57"/>
      <c r="N93" s="57"/>
      <c r="R93"/>
      <c r="S93">
        <v>1200000</v>
      </c>
      <c r="T93">
        <v>600000</v>
      </c>
      <c r="U93">
        <v>300000</v>
      </c>
      <c r="V93">
        <v>300000</v>
      </c>
    </row>
    <row r="94" spans="1:22" s="28" customFormat="1" hidden="1" x14ac:dyDescent="0.25">
      <c r="A94" s="113" t="s">
        <v>91</v>
      </c>
      <c r="B94" s="113"/>
      <c r="C94" s="113"/>
      <c r="D94" s="113"/>
      <c r="E94" s="113"/>
      <c r="F94" s="114"/>
      <c r="G94" s="114"/>
      <c r="H94" s="114"/>
      <c r="I94" s="57"/>
      <c r="J94" s="57"/>
      <c r="K94" s="57"/>
      <c r="L94" s="57"/>
      <c r="M94" s="57"/>
      <c r="N94" s="57"/>
      <c r="R94"/>
      <c r="S94">
        <v>1300000</v>
      </c>
      <c r="T94">
        <v>700000</v>
      </c>
      <c r="U94">
        <v>350000</v>
      </c>
      <c r="V94" s="18">
        <v>400000</v>
      </c>
    </row>
    <row r="95" spans="1:22" s="28" customFormat="1" hidden="1" x14ac:dyDescent="0.25">
      <c r="A95" s="113" t="s">
        <v>92</v>
      </c>
      <c r="B95" s="113"/>
      <c r="C95" s="113"/>
      <c r="D95" s="113"/>
      <c r="E95" s="113"/>
      <c r="F95" s="114"/>
      <c r="G95" s="114"/>
      <c r="H95" s="114"/>
      <c r="I95" s="57"/>
      <c r="J95" s="57"/>
      <c r="K95" s="57"/>
      <c r="L95" s="57"/>
      <c r="M95" s="57"/>
      <c r="N95" s="57"/>
      <c r="R95"/>
      <c r="S95">
        <v>1400000</v>
      </c>
      <c r="T95">
        <v>800000</v>
      </c>
      <c r="U95">
        <v>400000</v>
      </c>
      <c r="V95"/>
    </row>
    <row r="96" spans="1:22" s="28" customFormat="1" hidden="1" x14ac:dyDescent="0.25">
      <c r="A96" s="113" t="s">
        <v>93</v>
      </c>
      <c r="B96" s="113"/>
      <c r="C96" s="113"/>
      <c r="D96" s="113"/>
      <c r="E96" s="113"/>
      <c r="F96" s="114"/>
      <c r="G96" s="114"/>
      <c r="H96" s="114"/>
      <c r="I96" s="57"/>
      <c r="J96" s="57"/>
      <c r="K96" s="57"/>
      <c r="L96" s="57"/>
      <c r="M96" s="57"/>
      <c r="N96" s="57"/>
      <c r="R96"/>
      <c r="S96">
        <v>1500000</v>
      </c>
      <c r="T96">
        <v>900000</v>
      </c>
      <c r="U96">
        <v>500000</v>
      </c>
      <c r="V96" s="18"/>
    </row>
    <row r="97" spans="1:22" s="28" customFormat="1" hidden="1" x14ac:dyDescent="0.25">
      <c r="A97" s="113" t="s">
        <v>94</v>
      </c>
      <c r="B97" s="113"/>
      <c r="C97" s="113"/>
      <c r="D97" s="113"/>
      <c r="E97" s="113"/>
      <c r="F97" s="114"/>
      <c r="G97" s="114"/>
      <c r="H97" s="114"/>
      <c r="I97" s="57"/>
      <c r="J97" s="57"/>
      <c r="K97" s="57"/>
      <c r="L97" s="57"/>
      <c r="M97" s="57"/>
      <c r="N97" s="57"/>
      <c r="R97"/>
      <c r="S97">
        <v>1600000</v>
      </c>
      <c r="T97">
        <v>1000000</v>
      </c>
      <c r="U97">
        <v>600000</v>
      </c>
      <c r="V97"/>
    </row>
    <row r="98" spans="1:22" s="28" customFormat="1" hidden="1" x14ac:dyDescent="0.25">
      <c r="A98" s="113" t="s">
        <v>95</v>
      </c>
      <c r="B98" s="113"/>
      <c r="C98" s="113"/>
      <c r="D98" s="113"/>
      <c r="E98" s="113"/>
      <c r="F98" s="114"/>
      <c r="G98" s="114"/>
      <c r="H98" s="114"/>
      <c r="I98" s="57"/>
      <c r="J98" s="57"/>
      <c r="K98" s="57"/>
      <c r="L98" s="57"/>
      <c r="M98" s="57"/>
      <c r="N98" s="57"/>
      <c r="R98"/>
      <c r="S98">
        <v>1700000</v>
      </c>
      <c r="T98"/>
      <c r="U98"/>
      <c r="V98" s="18"/>
    </row>
    <row r="99" spans="1:22" x14ac:dyDescent="0.25">
      <c r="A99" s="113" t="s">
        <v>49</v>
      </c>
      <c r="B99" s="113"/>
      <c r="C99" s="113"/>
      <c r="D99" s="113"/>
      <c r="E99" s="113"/>
      <c r="F99" s="114">
        <v>1000000</v>
      </c>
      <c r="G99" s="114"/>
      <c r="H99" s="114"/>
      <c r="I99" s="56"/>
      <c r="J99" s="56"/>
      <c r="K99" s="56"/>
      <c r="L99" s="56"/>
      <c r="M99" s="56"/>
      <c r="N99" s="56"/>
      <c r="R99"/>
      <c r="S99">
        <v>1800000</v>
      </c>
      <c r="T99"/>
      <c r="U99"/>
    </row>
    <row r="100" spans="1:22" s="29" customFormat="1" x14ac:dyDescent="0.25">
      <c r="A100" s="140" t="s">
        <v>50</v>
      </c>
      <c r="B100" s="140"/>
      <c r="C100" s="140"/>
      <c r="D100" s="140"/>
      <c r="E100" s="140"/>
      <c r="F100" s="114">
        <f>F88*0.8</f>
        <v>17600</v>
      </c>
      <c r="G100" s="114"/>
      <c r="H100" s="114"/>
      <c r="I100" s="58"/>
      <c r="J100" s="58"/>
      <c r="K100" s="58"/>
      <c r="L100" s="58"/>
      <c r="M100" s="58"/>
      <c r="N100" s="58"/>
      <c r="R100" s="16"/>
      <c r="S100" s="16"/>
      <c r="T100"/>
      <c r="U100"/>
      <c r="V100" s="16"/>
    </row>
    <row r="101" spans="1:22" s="30" customFormat="1" ht="15.75" customHeight="1" x14ac:dyDescent="0.25">
      <c r="A101" s="84" t="s">
        <v>371</v>
      </c>
      <c r="B101" s="84"/>
      <c r="C101" s="84"/>
      <c r="D101" s="84"/>
      <c r="E101" s="84"/>
      <c r="F101" s="84"/>
      <c r="G101" s="84"/>
      <c r="H101" s="84"/>
      <c r="R101"/>
      <c r="S101" s="16"/>
      <c r="T101"/>
      <c r="U101"/>
      <c r="V101" s="16"/>
    </row>
    <row r="102" spans="1:22" s="30" customFormat="1" ht="15.75" customHeight="1" x14ac:dyDescent="0.25">
      <c r="A102" s="85" t="s">
        <v>51</v>
      </c>
      <c r="B102" s="85"/>
      <c r="C102" s="86" t="s">
        <v>73</v>
      </c>
      <c r="D102" s="86"/>
      <c r="E102" s="87" t="s">
        <v>52</v>
      </c>
      <c r="F102" s="87"/>
      <c r="G102" s="85" t="s">
        <v>53</v>
      </c>
      <c r="H102" s="85"/>
      <c r="R102"/>
      <c r="S102" s="16"/>
      <c r="T102"/>
      <c r="U102" s="16"/>
      <c r="V102" s="16"/>
    </row>
    <row r="103" spans="1:22" s="30" customFormat="1" x14ac:dyDescent="0.25">
      <c r="A103" s="73" t="s">
        <v>338</v>
      </c>
      <c r="B103" s="74"/>
      <c r="C103" s="77">
        <f>COUNT(F130)+COUNT(F150:F151)+COUNT(F155,F160:F162)+COUNT(F169:F171)+COUNT(F173,F178:F180)</f>
        <v>14</v>
      </c>
      <c r="D103" s="78"/>
      <c r="E103" s="77">
        <f>SUM(F130)+SUM(F150:F151)+SUM(F155,F160:F162)+SUM(F169:F171)+SUM(F173,F178:F180)</f>
        <v>4856.3938799999996</v>
      </c>
      <c r="F103" s="78"/>
      <c r="G103" s="77">
        <f>SUM(H130)+SUM(H150:H151)+SUM(H155,H160:H162)+SUM(H169:H171)+SUM(H173,H178:H180)</f>
        <v>7527.4105140000001</v>
      </c>
      <c r="H103" s="78"/>
      <c r="J103" s="65">
        <f>C103+C108</f>
        <v>51</v>
      </c>
      <c r="R103"/>
      <c r="S103" s="16"/>
      <c r="T103"/>
      <c r="U103" s="16"/>
      <c r="V103" s="16"/>
    </row>
    <row r="104" spans="1:22" s="30" customFormat="1" ht="31.5" customHeight="1" x14ac:dyDescent="0.25">
      <c r="A104" s="73" t="s">
        <v>340</v>
      </c>
      <c r="B104" s="74"/>
      <c r="C104" s="115">
        <f>COUNT(F182:F189)+COUNT(F191:F197)*2+COUNT(F199:F203)</f>
        <v>27</v>
      </c>
      <c r="D104" s="115"/>
      <c r="E104" s="115">
        <f>SUM(F182:F189)+SUM(F191:F197)*2+SUM(F199:F203)</f>
        <v>11215.334519999997</v>
      </c>
      <c r="F104" s="115"/>
      <c r="G104" s="115">
        <f>SUM(H182:H189)+SUM(H191:H197)*2+SUM(H199:H203)</f>
        <v>17383.768506</v>
      </c>
      <c r="H104" s="115"/>
      <c r="R104"/>
      <c r="S104" s="16"/>
      <c r="T104"/>
      <c r="U104" s="16"/>
      <c r="V104" s="16"/>
    </row>
    <row r="105" spans="1:22" s="30" customFormat="1" x14ac:dyDescent="0.25">
      <c r="A105" s="84" t="s">
        <v>150</v>
      </c>
      <c r="B105" s="84"/>
      <c r="C105" s="119">
        <f>SUM(C103:C104)</f>
        <v>41</v>
      </c>
      <c r="D105" s="86"/>
      <c r="E105" s="120">
        <f>SUM(E103:E104)</f>
        <v>16071.728399999996</v>
      </c>
      <c r="F105" s="87"/>
      <c r="G105" s="85">
        <f>SUM(G103:G104)</f>
        <v>24911.17902</v>
      </c>
      <c r="H105" s="85"/>
      <c r="R105"/>
      <c r="S105" s="16"/>
      <c r="T105"/>
      <c r="U105" s="16"/>
      <c r="V105" s="16"/>
    </row>
    <row r="106" spans="1:22" s="30" customFormat="1" ht="15.75" customHeight="1" x14ac:dyDescent="0.25">
      <c r="A106" s="84" t="s">
        <v>372</v>
      </c>
      <c r="B106" s="84"/>
      <c r="C106" s="84"/>
      <c r="D106" s="84"/>
      <c r="E106" s="84"/>
      <c r="F106" s="84"/>
      <c r="G106" s="84"/>
      <c r="H106" s="84"/>
      <c r="R106"/>
      <c r="S106" s="16"/>
      <c r="T106"/>
      <c r="U106"/>
      <c r="V106" s="16"/>
    </row>
    <row r="107" spans="1:22" s="30" customFormat="1" ht="15.75" customHeight="1" x14ac:dyDescent="0.25">
      <c r="A107" s="85" t="s">
        <v>51</v>
      </c>
      <c r="B107" s="85"/>
      <c r="C107" s="86" t="s">
        <v>73</v>
      </c>
      <c r="D107" s="86"/>
      <c r="E107" s="87" t="s">
        <v>52</v>
      </c>
      <c r="F107" s="87"/>
      <c r="G107" s="85" t="s">
        <v>53</v>
      </c>
      <c r="H107" s="85"/>
      <c r="J107" s="30">
        <f>51+14+151</f>
        <v>216</v>
      </c>
      <c r="R107"/>
      <c r="S107" s="16"/>
      <c r="T107"/>
      <c r="U107" s="16"/>
      <c r="V107" s="16"/>
    </row>
    <row r="108" spans="1:22" s="30" customFormat="1" x14ac:dyDescent="0.25">
      <c r="A108" s="73" t="s">
        <v>338</v>
      </c>
      <c r="B108" s="74"/>
      <c r="C108" s="77">
        <f>COUNT(F125:F129)+COUNT(F132:F141)+COUNT(F143:F149)+COUNT(F153:F154,F156:F159)+COUNT(F164:F168)+COUNT(F174:F177)</f>
        <v>37</v>
      </c>
      <c r="D108" s="78"/>
      <c r="E108" s="77">
        <f>SUM(F125:F129)+SUM(F132:F141)+SUM(F143:F149)+SUM(F153:F154,F156:F159)+SUM(F164:F168)+SUM(F174:F177)</f>
        <v>12205.6941006</v>
      </c>
      <c r="F108" s="78"/>
      <c r="G108" s="77">
        <f>SUM(H125:H129)+SUM(H132:H141)+SUM(H143:H149)+SUM(H153:H154,H156:H159)+SUM(H164:H168)+SUM(H174:H177)</f>
        <v>18918.825855930001</v>
      </c>
      <c r="H108" s="78"/>
      <c r="R108"/>
      <c r="S108" s="16"/>
      <c r="T108"/>
      <c r="U108" s="16"/>
      <c r="V108" s="16"/>
    </row>
    <row r="109" spans="1:22" s="30" customFormat="1" x14ac:dyDescent="0.25">
      <c r="A109" s="84" t="s">
        <v>150</v>
      </c>
      <c r="B109" s="84"/>
      <c r="C109" s="119">
        <f>SUM(C108:C108)</f>
        <v>37</v>
      </c>
      <c r="D109" s="86"/>
      <c r="E109" s="120">
        <f>SUM(E108:E108)</f>
        <v>12205.6941006</v>
      </c>
      <c r="F109" s="87"/>
      <c r="G109" s="85">
        <f>SUM(G108:G108)</f>
        <v>18918.825855930001</v>
      </c>
      <c r="H109" s="85"/>
      <c r="R109"/>
      <c r="S109" s="16"/>
      <c r="T109"/>
      <c r="U109" s="16"/>
      <c r="V109" s="16"/>
    </row>
    <row r="110" spans="1:22" s="30" customFormat="1" x14ac:dyDescent="0.25">
      <c r="A110" s="84" t="s">
        <v>373</v>
      </c>
      <c r="B110" s="84"/>
      <c r="C110" s="84"/>
      <c r="D110" s="84"/>
      <c r="E110" s="84"/>
      <c r="F110" s="84"/>
      <c r="G110" s="84"/>
      <c r="H110" s="84"/>
      <c r="J110" s="65">
        <f>C113+C117</f>
        <v>139</v>
      </c>
      <c r="T110"/>
    </row>
    <row r="111" spans="1:22" s="30" customFormat="1" ht="15.75" customHeight="1" x14ac:dyDescent="0.25">
      <c r="A111" s="85" t="s">
        <v>51</v>
      </c>
      <c r="B111" s="85"/>
      <c r="C111" s="86" t="s">
        <v>73</v>
      </c>
      <c r="D111" s="86"/>
      <c r="E111" s="87" t="s">
        <v>52</v>
      </c>
      <c r="F111" s="87"/>
      <c r="G111" s="85" t="s">
        <v>53</v>
      </c>
      <c r="H111" s="85"/>
      <c r="T111"/>
    </row>
    <row r="112" spans="1:22" s="30" customFormat="1" x14ac:dyDescent="0.25">
      <c r="A112" s="75" t="s">
        <v>339</v>
      </c>
      <c r="B112" s="76"/>
      <c r="C112" s="89">
        <f>COUNT(F238:F239,F243:F244)+COUNT(F247:F255)+COUNT(F257:F260)+COUNT(F268:F269,F273:F274)+COUNT(F280,F283)+COUNT(F285:F286,F288,F291)+COUNT(F295:F299)</f>
        <v>32</v>
      </c>
      <c r="D112" s="90"/>
      <c r="E112" s="89">
        <f>SUM(F238:F239,F243:F244)+SUM(F247:F255)+SUM(F257:F260)+SUM(F268:F269,F273:F274)+SUM(F280,F283)+SUM(F285:F286,F288,F291)+SUM(F295:F299)</f>
        <v>11143.538639999999</v>
      </c>
      <c r="F112" s="90"/>
      <c r="G112" s="89">
        <f>SUM(H238:H239,H243:H244)+SUM(H247:H255)+SUM(H257:H260)+SUM(H268:H269,H273:H274)+SUM(H280,H283)+SUM(H285:H286,H288,H291)+SUM(H295:H299)</f>
        <v>16715.307959999998</v>
      </c>
      <c r="H112" s="90"/>
    </row>
    <row r="113" spans="1:20" s="30" customFormat="1" x14ac:dyDescent="0.25">
      <c r="A113" s="191" t="s">
        <v>150</v>
      </c>
      <c r="B113" s="191"/>
      <c r="C113" s="196">
        <f>SUM(C112:C112)</f>
        <v>32</v>
      </c>
      <c r="D113" s="197"/>
      <c r="E113" s="118">
        <f>SUM(E112:E112)</f>
        <v>11143.538639999999</v>
      </c>
      <c r="F113" s="192"/>
      <c r="G113" s="118">
        <f>SUM(G112:G112)</f>
        <v>16715.307959999998</v>
      </c>
      <c r="H113" s="118"/>
      <c r="L113" s="30">
        <f>2*8+10*9+6</f>
        <v>112</v>
      </c>
    </row>
    <row r="114" spans="1:20" s="30" customFormat="1" x14ac:dyDescent="0.25">
      <c r="A114" s="84" t="s">
        <v>374</v>
      </c>
      <c r="B114" s="84"/>
      <c r="C114" s="84"/>
      <c r="D114" s="84"/>
      <c r="E114" s="84"/>
      <c r="F114" s="84"/>
      <c r="G114" s="84"/>
      <c r="H114" s="84"/>
      <c r="T114"/>
    </row>
    <row r="115" spans="1:20" s="30" customFormat="1" ht="15.75" customHeight="1" x14ac:dyDescent="0.25">
      <c r="A115" s="85" t="s">
        <v>51</v>
      </c>
      <c r="B115" s="85"/>
      <c r="C115" s="86" t="s">
        <v>73</v>
      </c>
      <c r="D115" s="86"/>
      <c r="E115" s="87" t="s">
        <v>52</v>
      </c>
      <c r="F115" s="87"/>
      <c r="G115" s="85" t="s">
        <v>53</v>
      </c>
      <c r="H115" s="85"/>
      <c r="T115"/>
    </row>
    <row r="116" spans="1:20" s="30" customFormat="1" x14ac:dyDescent="0.25">
      <c r="A116" s="88" t="s">
        <v>339</v>
      </c>
      <c r="B116" s="88"/>
      <c r="C116" s="89">
        <f>COUNT(F217:F225)*9+COUNT(F227:F232)+COUNT(F237,F240:F242,F245)+COUNT(F261:F262)+COUNT(F267,F270:F272,F275)+COUNT(F277:F279,F281:F282)+COUNT(F287,F289:F290)</f>
        <v>107</v>
      </c>
      <c r="D116" s="90"/>
      <c r="E116" s="89">
        <f>SUM(F217:F225)*9+SUM(F227:F232)+SUM(F237,F240:F242,F245)+SUM(F261:F262)+SUM(F267,F270:F272,F275)+SUM(F277:F279,F281:F282)+SUM(F287,F289:F290)</f>
        <v>35817.425279999996</v>
      </c>
      <c r="F116" s="90"/>
      <c r="G116" s="89">
        <f>SUM(H217:H225)*9+SUM(H227:H232)+SUM(H237,H240:H242,H245)+SUM(H261:H262)+SUM(H267,H270:H272,H275)+SUM(H277:H279,H281:H282)+SUM(H287,H289:H290)</f>
        <v>53726.137920000001</v>
      </c>
      <c r="H116" s="90"/>
    </row>
    <row r="117" spans="1:20" s="30" customFormat="1" x14ac:dyDescent="0.25">
      <c r="A117" s="79" t="s">
        <v>150</v>
      </c>
      <c r="B117" s="79"/>
      <c r="C117" s="80">
        <f>SUM(C116:C116)</f>
        <v>107</v>
      </c>
      <c r="D117" s="81"/>
      <c r="E117" s="82">
        <f>SUM(E116:E116)</f>
        <v>35817.425279999996</v>
      </c>
      <c r="F117" s="83"/>
      <c r="G117" s="82">
        <f>SUM(G116:G116)</f>
        <v>53726.137920000001</v>
      </c>
      <c r="H117" s="82"/>
      <c r="L117" s="30">
        <f>2*8+10*9+6</f>
        <v>112</v>
      </c>
    </row>
    <row r="118" spans="1:20" s="30" customFormat="1" x14ac:dyDescent="0.25">
      <c r="A118" s="79" t="s">
        <v>167</v>
      </c>
      <c r="B118" s="79"/>
      <c r="C118" s="80">
        <f>C105+C109+C113+C117</f>
        <v>217</v>
      </c>
      <c r="D118" s="81"/>
      <c r="E118" s="80">
        <f>E105+E109+E113+E117</f>
        <v>75238.3864206</v>
      </c>
      <c r="F118" s="81"/>
      <c r="G118" s="80">
        <f>G105+G109+G113+G117</f>
        <v>114271.45075593</v>
      </c>
      <c r="H118" s="81"/>
    </row>
    <row r="119" spans="1:20" s="29" customFormat="1" x14ac:dyDescent="0.25">
      <c r="A119" s="183" t="s">
        <v>54</v>
      </c>
      <c r="B119" s="183"/>
      <c r="C119" s="183"/>
      <c r="D119" s="183"/>
      <c r="E119" s="183"/>
      <c r="F119" s="183"/>
      <c r="G119" s="183"/>
      <c r="H119" s="183"/>
      <c r="T119" s="30"/>
    </row>
    <row r="120" spans="1:20" x14ac:dyDescent="0.25">
      <c r="A120" s="183" t="s">
        <v>175</v>
      </c>
      <c r="B120" s="183"/>
      <c r="C120" s="183"/>
      <c r="D120" s="183"/>
      <c r="E120" s="183"/>
      <c r="F120" s="183"/>
      <c r="G120" s="183"/>
      <c r="H120" s="183"/>
      <c r="T120" s="30"/>
    </row>
    <row r="121" spans="1:20" ht="47.25" customHeight="1" x14ac:dyDescent="0.25">
      <c r="A121" s="126" t="s">
        <v>341</v>
      </c>
      <c r="B121" s="126" t="s">
        <v>317</v>
      </c>
      <c r="C121" s="126" t="s">
        <v>55</v>
      </c>
      <c r="D121" s="126" t="s">
        <v>232</v>
      </c>
      <c r="E121" s="136" t="s">
        <v>156</v>
      </c>
      <c r="F121" s="126" t="s">
        <v>56</v>
      </c>
      <c r="G121" s="136" t="s">
        <v>57</v>
      </c>
      <c r="H121" s="66" t="s">
        <v>148</v>
      </c>
      <c r="T121" s="30"/>
    </row>
    <row r="122" spans="1:20" s="32" customFormat="1" x14ac:dyDescent="0.25">
      <c r="A122" s="126"/>
      <c r="B122" s="126"/>
      <c r="C122" s="126"/>
      <c r="D122" s="126"/>
      <c r="E122" s="136"/>
      <c r="F122" s="126"/>
      <c r="G122" s="136"/>
      <c r="H122" s="60">
        <v>0.55000000000000004</v>
      </c>
      <c r="T122" s="29"/>
    </row>
    <row r="123" spans="1:20" s="32" customFormat="1" x14ac:dyDescent="0.25">
      <c r="A123" s="116" t="s">
        <v>316</v>
      </c>
      <c r="B123" s="116"/>
      <c r="C123" s="116"/>
      <c r="D123" s="116"/>
      <c r="E123" s="116"/>
      <c r="F123" s="116"/>
      <c r="G123" s="116"/>
      <c r="H123" s="116"/>
      <c r="J123" s="50">
        <v>10.763999999999999</v>
      </c>
      <c r="T123" s="16"/>
    </row>
    <row r="124" spans="1:20" s="32" customFormat="1" x14ac:dyDescent="0.25">
      <c r="A124" s="116" t="s">
        <v>321</v>
      </c>
      <c r="B124" s="116"/>
      <c r="C124" s="116"/>
      <c r="D124" s="116"/>
      <c r="E124" s="116"/>
      <c r="F124" s="116"/>
      <c r="G124" s="116"/>
      <c r="H124" s="116"/>
      <c r="T124" s="16"/>
    </row>
    <row r="125" spans="1:20" s="32" customFormat="1" x14ac:dyDescent="0.25">
      <c r="A125" s="37">
        <v>1</v>
      </c>
      <c r="B125" s="37" t="s">
        <v>318</v>
      </c>
      <c r="C125" s="37" t="s">
        <v>320</v>
      </c>
      <c r="D125" s="62">
        <f>(28.1)*10.764</f>
        <v>302.46839999999997</v>
      </c>
      <c r="E125" s="50">
        <f>(2.42*9.71)*10.764</f>
        <v>252.93462479999999</v>
      </c>
      <c r="F125" s="37">
        <f>D125+(IF(E125&lt;201,E125,IF(E125&lt;301,E125/2,E125/3)))</f>
        <v>428.93571239999994</v>
      </c>
      <c r="G125" s="37">
        <v>0</v>
      </c>
      <c r="H125" s="37">
        <f>(F125+(IF(G125&lt;101,G125,IF(G125&lt;201,G125/2,IF(G125&lt;=301,G125/3,G125/4)))))*(($H$122)+1)</f>
        <v>664.85035421999999</v>
      </c>
      <c r="I125" s="31"/>
      <c r="J125" s="61">
        <f>2.42*11.86</f>
        <v>28.701199999999996</v>
      </c>
      <c r="K125" s="32">
        <f>28.1+27.93+24.66</f>
        <v>80.69</v>
      </c>
      <c r="L125" s="91" t="s">
        <v>353</v>
      </c>
      <c r="M125" s="91"/>
      <c r="N125" s="31"/>
      <c r="T125" s="16"/>
    </row>
    <row r="126" spans="1:20" s="32" customFormat="1" x14ac:dyDescent="0.25">
      <c r="A126" s="37">
        <f>A125+1</f>
        <v>2</v>
      </c>
      <c r="B126" s="37" t="s">
        <v>318</v>
      </c>
      <c r="C126" s="37" t="s">
        <v>320</v>
      </c>
      <c r="D126" s="62">
        <f>(28.6)*10.764</f>
        <v>307.85039999999998</v>
      </c>
      <c r="E126" s="50">
        <f>(2.49*9.71)*10.764</f>
        <v>260.25091560000004</v>
      </c>
      <c r="F126" s="37">
        <f t="shared" ref="F126:F128" si="0">D126+(IF(E126&lt;201,E126,IF(E126&lt;301,E126/2,E126/3)))</f>
        <v>437.97585779999997</v>
      </c>
      <c r="G126" s="37">
        <v>0</v>
      </c>
      <c r="H126" s="37">
        <f t="shared" ref="H126:H128" si="1">(F126+(IF(G126&lt;101,G126,IF(G126&lt;201,G126/2,IF(G126&lt;=301,G126/3,G126/4)))))*(($H$122)+1)</f>
        <v>678.86257959</v>
      </c>
      <c r="I126" s="31"/>
      <c r="J126" s="32">
        <f>11.86-2.15</f>
        <v>9.7099999999999991</v>
      </c>
      <c r="L126" s="91"/>
      <c r="M126" s="91"/>
      <c r="N126" s="31"/>
    </row>
    <row r="127" spans="1:20" s="32" customFormat="1" x14ac:dyDescent="0.25">
      <c r="A127" s="37">
        <f>A126+1</f>
        <v>3</v>
      </c>
      <c r="B127" s="37" t="s">
        <v>318</v>
      </c>
      <c r="C127" s="37" t="s">
        <v>320</v>
      </c>
      <c r="D127" s="62">
        <f>(28.46)*10.764</f>
        <v>306.34343999999999</v>
      </c>
      <c r="E127" s="50">
        <f>(2.4*9.71)*10.764</f>
        <v>250.844256</v>
      </c>
      <c r="F127" s="37">
        <f t="shared" si="0"/>
        <v>431.76556799999997</v>
      </c>
      <c r="G127" s="37">
        <v>0</v>
      </c>
      <c r="H127" s="37">
        <f t="shared" si="1"/>
        <v>669.23663039999997</v>
      </c>
      <c r="I127" s="31"/>
      <c r="L127" s="91"/>
      <c r="M127" s="91"/>
      <c r="N127" s="31"/>
    </row>
    <row r="128" spans="1:20" s="32" customFormat="1" ht="15.75" customHeight="1" x14ac:dyDescent="0.25">
      <c r="A128" s="37">
        <f>A127+1</f>
        <v>4</v>
      </c>
      <c r="B128" s="37" t="s">
        <v>318</v>
      </c>
      <c r="C128" s="37" t="s">
        <v>320</v>
      </c>
      <c r="D128" s="50">
        <f>(38.5)*10.764</f>
        <v>414.41399999999999</v>
      </c>
      <c r="E128" s="50">
        <f>(2.71*9.86+1.74*0.38+2.06*1.25+2.1*1.13)*10.764</f>
        <v>347.99796719999995</v>
      </c>
      <c r="F128" s="37">
        <f t="shared" si="0"/>
        <v>530.41332239999997</v>
      </c>
      <c r="G128" s="37">
        <v>0</v>
      </c>
      <c r="H128" s="37">
        <f t="shared" si="1"/>
        <v>822.14064971999994</v>
      </c>
      <c r="I128" s="61">
        <f>9.86+1.13+0.38+1.25</f>
        <v>12.62</v>
      </c>
      <c r="L128" s="91"/>
      <c r="M128" s="91"/>
      <c r="N128" s="31"/>
    </row>
    <row r="129" spans="1:20" s="32" customFormat="1" ht="15.75" customHeight="1" x14ac:dyDescent="0.25">
      <c r="A129" s="37">
        <f>A128+1</f>
        <v>5</v>
      </c>
      <c r="B129" s="37" t="s">
        <v>318</v>
      </c>
      <c r="C129" s="37" t="s">
        <v>320</v>
      </c>
      <c r="D129" s="50">
        <f>(1.12)*10.764</f>
        <v>12.055680000000001</v>
      </c>
      <c r="E129" s="50">
        <v>0</v>
      </c>
      <c r="F129" s="37">
        <f t="shared" ref="F129:F130" si="2">D129+(IF(E129&lt;201,E129,IF(E129&lt;301,E129/2,E129/3)))</f>
        <v>12.055680000000001</v>
      </c>
      <c r="G129" s="37">
        <v>0</v>
      </c>
      <c r="H129" s="37">
        <f t="shared" ref="H129:H130" si="3">(F129+(IF(G129&lt;101,G129,IF(G129&lt;201,G129/2,IF(G129&lt;=301,G129/3,G129/4)))))*(($H$122)+1)</f>
        <v>18.686304</v>
      </c>
      <c r="I129" s="31"/>
      <c r="L129" s="91"/>
      <c r="M129" s="91"/>
      <c r="N129" s="31"/>
    </row>
    <row r="130" spans="1:20" s="32" customFormat="1" ht="15.75" customHeight="1" x14ac:dyDescent="0.25">
      <c r="A130" s="37">
        <f>A129+1</f>
        <v>6</v>
      </c>
      <c r="B130" s="49" t="s">
        <v>319</v>
      </c>
      <c r="C130" s="37" t="s">
        <v>320</v>
      </c>
      <c r="D130" s="50">
        <f>(23.1)*10.764</f>
        <v>248.64840000000001</v>
      </c>
      <c r="E130" s="50">
        <f>(4.1*4)*10.764</f>
        <v>176.52959999999999</v>
      </c>
      <c r="F130" s="37">
        <f t="shared" si="2"/>
        <v>425.178</v>
      </c>
      <c r="G130" s="37">
        <v>0</v>
      </c>
      <c r="H130" s="37">
        <f t="shared" si="3"/>
        <v>659.02589999999998</v>
      </c>
      <c r="I130" s="31"/>
      <c r="L130" s="91"/>
      <c r="M130" s="91"/>
      <c r="N130" s="31"/>
    </row>
    <row r="131" spans="1:20" s="32" customFormat="1" x14ac:dyDescent="0.25">
      <c r="A131" s="101" t="s">
        <v>322</v>
      </c>
      <c r="B131" s="102"/>
      <c r="C131" s="102"/>
      <c r="D131" s="102"/>
      <c r="E131" s="102"/>
      <c r="F131" s="102"/>
      <c r="G131" s="102"/>
      <c r="H131" s="103"/>
      <c r="J131" s="31"/>
      <c r="T131" s="16"/>
    </row>
    <row r="132" spans="1:20" s="32" customFormat="1" ht="15.75" customHeight="1" x14ac:dyDescent="0.25">
      <c r="A132" s="37" t="s">
        <v>354</v>
      </c>
      <c r="B132" s="37" t="s">
        <v>318</v>
      </c>
      <c r="C132" s="37" t="s">
        <v>320</v>
      </c>
      <c r="D132" s="50">
        <f>(27.93)*10.764</f>
        <v>300.63851999999997</v>
      </c>
      <c r="E132" s="37">
        <v>0</v>
      </c>
      <c r="F132" s="37">
        <f>D132+(IF(E132&lt;201,E132,IF(E132&lt;301,E132/2,E132/3)))</f>
        <v>300.63851999999997</v>
      </c>
      <c r="G132" s="37">
        <v>0</v>
      </c>
      <c r="H132" s="37">
        <f>(F132+(IF(G132&lt;101,G132,IF(G132&lt;201,G132/2,IF(G132&lt;=301,G132/3,G132/4)))))*(($H$122)+1)</f>
        <v>465.98970599999996</v>
      </c>
      <c r="I132" s="31"/>
      <c r="L132" s="91"/>
      <c r="M132" s="91"/>
      <c r="N132" s="31"/>
      <c r="T132" s="16"/>
    </row>
    <row r="133" spans="1:20" s="32" customFormat="1" ht="15.75" customHeight="1" x14ac:dyDescent="0.25">
      <c r="A133" s="37" t="s">
        <v>355</v>
      </c>
      <c r="B133" s="37" t="s">
        <v>318</v>
      </c>
      <c r="C133" s="37" t="s">
        <v>320</v>
      </c>
      <c r="D133" s="50">
        <f>(24.31)*10.764</f>
        <v>261.67283999999995</v>
      </c>
      <c r="E133" s="37">
        <v>0</v>
      </c>
      <c r="F133" s="37">
        <f t="shared" ref="F133:F134" si="4">D133+(IF(E133&lt;201,E133,IF(E133&lt;301,E133/2,E133/3)))</f>
        <v>261.67283999999995</v>
      </c>
      <c r="G133" s="37">
        <v>0</v>
      </c>
      <c r="H133" s="37">
        <f t="shared" ref="H133:H134" si="5">(F133+(IF(G133&lt;101,G133,IF(G133&lt;201,G133/2,IF(G133&lt;=301,G133/3,G133/4)))))*(($H$122)+1)</f>
        <v>405.59290199999992</v>
      </c>
      <c r="I133" s="31"/>
      <c r="L133" s="91"/>
      <c r="M133" s="91"/>
      <c r="N133" s="31"/>
    </row>
    <row r="134" spans="1:20" s="32" customFormat="1" ht="15.75" customHeight="1" x14ac:dyDescent="0.25">
      <c r="A134" s="37" t="s">
        <v>356</v>
      </c>
      <c r="B134" s="37" t="s">
        <v>318</v>
      </c>
      <c r="C134" s="37" t="s">
        <v>320</v>
      </c>
      <c r="D134" s="50">
        <f>(62.35)*10.764</f>
        <v>671.1354</v>
      </c>
      <c r="E134" s="37">
        <v>0</v>
      </c>
      <c r="F134" s="37">
        <f t="shared" si="4"/>
        <v>671.1354</v>
      </c>
      <c r="G134" s="37">
        <v>0</v>
      </c>
      <c r="H134" s="37">
        <f t="shared" si="5"/>
        <v>1040.2598700000001</v>
      </c>
      <c r="I134" s="31"/>
      <c r="L134" s="91"/>
      <c r="M134" s="91"/>
      <c r="N134" s="31"/>
    </row>
    <row r="135" spans="1:20" s="32" customFormat="1" ht="15.75" customHeight="1" x14ac:dyDescent="0.25">
      <c r="A135" s="37">
        <v>1</v>
      </c>
      <c r="B135" s="37" t="s">
        <v>318</v>
      </c>
      <c r="C135" s="37" t="s">
        <v>320</v>
      </c>
      <c r="D135" s="50">
        <f>(11.7)*10.764</f>
        <v>125.93879999999999</v>
      </c>
      <c r="E135" s="37">
        <v>0</v>
      </c>
      <c r="F135" s="37">
        <f>D135+(IF(E135&lt;201,E135,IF(E135&lt;301,E135/2,E135/3)))</f>
        <v>125.93879999999999</v>
      </c>
      <c r="G135" s="37">
        <v>0</v>
      </c>
      <c r="H135" s="37">
        <f>(F135+(IF(G135&lt;101,G135,IF(G135&lt;201,G135/2,IF(G135&lt;=301,G135/3,G135/4)))))*(($H$122)+1)</f>
        <v>195.20513999999997</v>
      </c>
      <c r="I135" s="31"/>
      <c r="L135" s="91"/>
      <c r="M135" s="91"/>
      <c r="N135" s="31"/>
      <c r="T135" s="16"/>
    </row>
    <row r="136" spans="1:20" s="32" customFormat="1" ht="15.75" customHeight="1" x14ac:dyDescent="0.25">
      <c r="A136" s="37">
        <f>A135+1</f>
        <v>2</v>
      </c>
      <c r="B136" s="37" t="s">
        <v>318</v>
      </c>
      <c r="C136" s="37" t="s">
        <v>320</v>
      </c>
      <c r="D136" s="50">
        <f>(24.9)*10.764</f>
        <v>268.02359999999999</v>
      </c>
      <c r="E136" s="37">
        <v>0</v>
      </c>
      <c r="F136" s="37">
        <f t="shared" ref="F136:F140" si="6">D136+(IF(E136&lt;201,E136,IF(E136&lt;301,E136/2,E136/3)))</f>
        <v>268.02359999999999</v>
      </c>
      <c r="G136" s="37">
        <v>0</v>
      </c>
      <c r="H136" s="37">
        <f t="shared" ref="H136:H140" si="7">(F136+(IF(G136&lt;101,G136,IF(G136&lt;201,G136/2,IF(G136&lt;=301,G136/3,G136/4)))))*(($H$122)+1)</f>
        <v>415.43657999999999</v>
      </c>
      <c r="I136" s="31"/>
      <c r="L136" s="91"/>
      <c r="M136" s="91"/>
      <c r="N136" s="31"/>
    </row>
    <row r="137" spans="1:20" s="32" customFormat="1" ht="15.75" customHeight="1" x14ac:dyDescent="0.25">
      <c r="A137" s="37">
        <f t="shared" ref="A137:A141" si="8">A136+1</f>
        <v>3</v>
      </c>
      <c r="B137" s="37" t="s">
        <v>318</v>
      </c>
      <c r="C137" s="37" t="s">
        <v>320</v>
      </c>
      <c r="D137" s="50">
        <f>(13.11)*10.764</f>
        <v>141.11604</v>
      </c>
      <c r="E137" s="37">
        <v>0</v>
      </c>
      <c r="F137" s="37">
        <f t="shared" si="6"/>
        <v>141.11604</v>
      </c>
      <c r="G137" s="37">
        <v>0</v>
      </c>
      <c r="H137" s="37">
        <f t="shared" si="7"/>
        <v>218.729862</v>
      </c>
      <c r="I137" s="31"/>
      <c r="L137" s="91"/>
      <c r="M137" s="91"/>
      <c r="N137" s="31"/>
    </row>
    <row r="138" spans="1:20" s="32" customFormat="1" ht="15.75" customHeight="1" x14ac:dyDescent="0.25">
      <c r="A138" s="37">
        <f t="shared" si="8"/>
        <v>4</v>
      </c>
      <c r="B138" s="37" t="s">
        <v>318</v>
      </c>
      <c r="C138" s="37" t="s">
        <v>320</v>
      </c>
      <c r="D138" s="50">
        <f>(26.71)*10.764</f>
        <v>287.50644</v>
      </c>
      <c r="E138" s="37">
        <v>0</v>
      </c>
      <c r="F138" s="37">
        <f t="shared" si="6"/>
        <v>287.50644</v>
      </c>
      <c r="G138" s="37">
        <v>0</v>
      </c>
      <c r="H138" s="37">
        <f t="shared" si="7"/>
        <v>445.63498200000004</v>
      </c>
      <c r="I138" s="31"/>
      <c r="L138" s="91"/>
      <c r="M138" s="91"/>
      <c r="N138" s="31"/>
    </row>
    <row r="139" spans="1:20" s="32" customFormat="1" ht="15.75" customHeight="1" x14ac:dyDescent="0.25">
      <c r="A139" s="37">
        <f t="shared" si="8"/>
        <v>5</v>
      </c>
      <c r="B139" s="37" t="s">
        <v>318</v>
      </c>
      <c r="C139" s="37" t="s">
        <v>320</v>
      </c>
      <c r="D139" s="50">
        <f>(27.28)*10.764</f>
        <v>293.64191999999997</v>
      </c>
      <c r="E139" s="37">
        <v>0</v>
      </c>
      <c r="F139" s="37">
        <f t="shared" si="6"/>
        <v>293.64191999999997</v>
      </c>
      <c r="G139" s="37">
        <v>0</v>
      </c>
      <c r="H139" s="37">
        <f t="shared" si="7"/>
        <v>455.14497599999999</v>
      </c>
      <c r="I139" s="31"/>
      <c r="L139" s="91"/>
      <c r="M139" s="91"/>
      <c r="N139" s="31"/>
    </row>
    <row r="140" spans="1:20" s="32" customFormat="1" ht="15.75" customHeight="1" x14ac:dyDescent="0.25">
      <c r="A140" s="37">
        <f t="shared" si="8"/>
        <v>6</v>
      </c>
      <c r="B140" s="37" t="s">
        <v>318</v>
      </c>
      <c r="C140" s="37" t="s">
        <v>320</v>
      </c>
      <c r="D140" s="50">
        <f>(28.86)*10.764</f>
        <v>310.64903999999996</v>
      </c>
      <c r="E140" s="37">
        <v>0</v>
      </c>
      <c r="F140" s="37">
        <f t="shared" si="6"/>
        <v>310.64903999999996</v>
      </c>
      <c r="G140" s="37">
        <v>0</v>
      </c>
      <c r="H140" s="37">
        <f t="shared" si="7"/>
        <v>481.50601199999994</v>
      </c>
      <c r="I140" s="31"/>
      <c r="L140" s="91"/>
      <c r="M140" s="91"/>
      <c r="N140" s="31"/>
    </row>
    <row r="141" spans="1:20" s="32" customFormat="1" ht="15.75" customHeight="1" x14ac:dyDescent="0.25">
      <c r="A141" s="37">
        <f t="shared" si="8"/>
        <v>7</v>
      </c>
      <c r="B141" s="37" t="s">
        <v>318</v>
      </c>
      <c r="C141" s="37" t="s">
        <v>320</v>
      </c>
      <c r="D141" s="50">
        <f>(28.46)*10.764</f>
        <v>306.34343999999999</v>
      </c>
      <c r="E141" s="37">
        <v>0</v>
      </c>
      <c r="F141" s="37">
        <f t="shared" ref="F141" si="9">D141+(IF(E141&lt;201,E141,IF(E141&lt;301,E141/2,E141/3)))</f>
        <v>306.34343999999999</v>
      </c>
      <c r="G141" s="37">
        <v>0</v>
      </c>
      <c r="H141" s="37">
        <f>(F141+(IF(G141&lt;101,G141,IF(G141&lt;201,G141/2,IF(G141&lt;=301,G141/3,G141/4)))))*(($H$122)+1)</f>
        <v>474.83233200000001</v>
      </c>
      <c r="I141" s="31"/>
      <c r="L141" s="91"/>
      <c r="M141" s="91"/>
      <c r="N141" s="31"/>
    </row>
    <row r="142" spans="1:20" s="32" customFormat="1" x14ac:dyDescent="0.25">
      <c r="A142" s="101" t="s">
        <v>116</v>
      </c>
      <c r="B142" s="102"/>
      <c r="C142" s="102"/>
      <c r="D142" s="102"/>
      <c r="E142" s="102"/>
      <c r="F142" s="102"/>
      <c r="G142" s="102"/>
      <c r="H142" s="103"/>
      <c r="J142" s="31"/>
      <c r="T142" s="16"/>
    </row>
    <row r="143" spans="1:20" s="32" customFormat="1" ht="15.75" customHeight="1" x14ac:dyDescent="0.25">
      <c r="A143" s="37" t="s">
        <v>369</v>
      </c>
      <c r="B143" s="37" t="s">
        <v>318</v>
      </c>
      <c r="C143" s="37" t="s">
        <v>320</v>
      </c>
      <c r="D143" s="50">
        <f>(24.66)*10.764</f>
        <v>265.44023999999996</v>
      </c>
      <c r="E143" s="37">
        <v>0</v>
      </c>
      <c r="F143" s="37">
        <f>D143+(IF(E143&lt;201,E143,IF(E143&lt;301,E143/2,E143/3)))</f>
        <v>265.44023999999996</v>
      </c>
      <c r="G143" s="37">
        <v>0</v>
      </c>
      <c r="H143" s="37">
        <f t="shared" ref="H143:H144" si="10">(F143+(IF(G143&lt;101,G143,IF(G143&lt;201,G143/2,IF(G143&lt;=301,G143/3,G143/4)))))*(($H$122)+1)</f>
        <v>411.43237199999993</v>
      </c>
      <c r="I143" s="31"/>
      <c r="L143" s="91"/>
      <c r="M143" s="91"/>
      <c r="N143" s="31"/>
      <c r="T143" s="16"/>
    </row>
    <row r="144" spans="1:20" s="32" customFormat="1" ht="15.75" customHeight="1" x14ac:dyDescent="0.25">
      <c r="A144" s="37" t="s">
        <v>368</v>
      </c>
      <c r="B144" s="37" t="s">
        <v>318</v>
      </c>
      <c r="C144" s="37" t="s">
        <v>320</v>
      </c>
      <c r="D144" s="50">
        <f>(25.08)*10.764</f>
        <v>269.96111999999994</v>
      </c>
      <c r="E144" s="37">
        <v>0</v>
      </c>
      <c r="F144" s="37">
        <f t="shared" ref="F144" si="11">D144+(IF(E144&lt;201,E144,IF(E144&lt;301,E144/2,E144/3)))</f>
        <v>269.96111999999994</v>
      </c>
      <c r="G144" s="37">
        <v>0</v>
      </c>
      <c r="H144" s="37">
        <f t="shared" si="10"/>
        <v>418.43973599999993</v>
      </c>
      <c r="I144" s="31"/>
      <c r="L144" s="91"/>
      <c r="M144" s="91"/>
      <c r="N144" s="31"/>
    </row>
    <row r="145" spans="1:20" s="32" customFormat="1" ht="15.75" customHeight="1" x14ac:dyDescent="0.25">
      <c r="A145" s="37">
        <v>1</v>
      </c>
      <c r="B145" s="37" t="s">
        <v>318</v>
      </c>
      <c r="C145" s="37" t="s">
        <v>320</v>
      </c>
      <c r="D145" s="50">
        <f>(11.7)*10.764</f>
        <v>125.93879999999999</v>
      </c>
      <c r="E145" s="37">
        <v>0</v>
      </c>
      <c r="F145" s="37">
        <f>D145+(IF(E145&lt;201,E145,IF(E145&lt;301,E145/2,E145/3)))</f>
        <v>125.93879999999999</v>
      </c>
      <c r="G145" s="37">
        <v>0</v>
      </c>
      <c r="H145" s="37">
        <f t="shared" ref="H145:H150" si="12">(F145+(IF(G145&lt;101,G145,IF(G145&lt;201,G145/2,IF(G145&lt;=301,G145/3,G145/4)))))*(($H$122)+1)</f>
        <v>195.20513999999997</v>
      </c>
      <c r="I145" s="31"/>
      <c r="L145" s="91"/>
      <c r="M145" s="91"/>
      <c r="N145" s="31"/>
      <c r="T145" s="16"/>
    </row>
    <row r="146" spans="1:20" s="32" customFormat="1" ht="15.75" customHeight="1" x14ac:dyDescent="0.25">
      <c r="A146" s="37">
        <f>A145+1</f>
        <v>2</v>
      </c>
      <c r="B146" s="37" t="s">
        <v>318</v>
      </c>
      <c r="C146" s="37" t="s">
        <v>320</v>
      </c>
      <c r="D146" s="50">
        <f>(40.37)*10.764</f>
        <v>434.54267999999996</v>
      </c>
      <c r="E146" s="37">
        <v>0</v>
      </c>
      <c r="F146" s="37">
        <f t="shared" ref="F146:F150" si="13">D146+(IF(E146&lt;201,E146,IF(E146&lt;301,E146/2,E146/3)))</f>
        <v>434.54267999999996</v>
      </c>
      <c r="G146" s="37">
        <v>0</v>
      </c>
      <c r="H146" s="37">
        <f t="shared" si="12"/>
        <v>673.54115400000001</v>
      </c>
      <c r="I146" s="31"/>
      <c r="L146" s="91"/>
      <c r="M146" s="91"/>
      <c r="N146" s="31"/>
    </row>
    <row r="147" spans="1:20" s="32" customFormat="1" ht="15.75" customHeight="1" x14ac:dyDescent="0.25">
      <c r="A147" s="37">
        <f t="shared" ref="A147:A150" si="14">A146+1</f>
        <v>3</v>
      </c>
      <c r="B147" s="37" t="s">
        <v>318</v>
      </c>
      <c r="C147" s="37" t="s">
        <v>320</v>
      </c>
      <c r="D147" s="50">
        <f>(53.5)*10.764</f>
        <v>575.87399999999991</v>
      </c>
      <c r="E147" s="37">
        <v>0</v>
      </c>
      <c r="F147" s="37">
        <f t="shared" si="13"/>
        <v>575.87399999999991</v>
      </c>
      <c r="G147" s="37">
        <v>0</v>
      </c>
      <c r="H147" s="37">
        <f t="shared" si="12"/>
        <v>892.60469999999987</v>
      </c>
      <c r="I147" s="31"/>
      <c r="L147" s="91"/>
      <c r="M147" s="91"/>
      <c r="N147" s="31"/>
    </row>
    <row r="148" spans="1:20" s="32" customFormat="1" ht="15.75" customHeight="1" x14ac:dyDescent="0.25">
      <c r="A148" s="37">
        <f t="shared" si="14"/>
        <v>4</v>
      </c>
      <c r="B148" s="37" t="s">
        <v>318</v>
      </c>
      <c r="C148" s="37" t="s">
        <v>320</v>
      </c>
      <c r="D148" s="50">
        <f>(29.12)*10.764</f>
        <v>313.44767999999999</v>
      </c>
      <c r="E148" s="37">
        <v>0</v>
      </c>
      <c r="F148" s="37">
        <f t="shared" si="13"/>
        <v>313.44767999999999</v>
      </c>
      <c r="G148" s="37">
        <v>0</v>
      </c>
      <c r="H148" s="37">
        <f t="shared" si="12"/>
        <v>485.84390400000001</v>
      </c>
      <c r="I148" s="31"/>
      <c r="L148" s="91"/>
      <c r="M148" s="91"/>
      <c r="N148" s="31"/>
    </row>
    <row r="149" spans="1:20" s="32" customFormat="1" ht="15.75" customHeight="1" x14ac:dyDescent="0.25">
      <c r="A149" s="37">
        <f t="shared" si="14"/>
        <v>5</v>
      </c>
      <c r="B149" s="37" t="s">
        <v>318</v>
      </c>
      <c r="C149" s="37" t="s">
        <v>320</v>
      </c>
      <c r="D149" s="50">
        <f>(29.23)*10.764</f>
        <v>314.63171999999997</v>
      </c>
      <c r="E149" s="37">
        <v>0</v>
      </c>
      <c r="F149" s="37">
        <f t="shared" si="13"/>
        <v>314.63171999999997</v>
      </c>
      <c r="G149" s="37">
        <v>0</v>
      </c>
      <c r="H149" s="37">
        <f t="shared" si="12"/>
        <v>487.67916599999995</v>
      </c>
      <c r="I149" s="31"/>
      <c r="L149" s="91"/>
      <c r="M149" s="91"/>
      <c r="N149" s="31"/>
    </row>
    <row r="150" spans="1:20" s="32" customFormat="1" ht="15.75" customHeight="1" x14ac:dyDescent="0.25">
      <c r="A150" s="37">
        <f t="shared" si="14"/>
        <v>6</v>
      </c>
      <c r="B150" s="49" t="s">
        <v>319</v>
      </c>
      <c r="C150" s="37" t="s">
        <v>320</v>
      </c>
      <c r="D150" s="50">
        <f>(29.49)*10.764</f>
        <v>317.43035999999995</v>
      </c>
      <c r="E150" s="37">
        <v>0</v>
      </c>
      <c r="F150" s="37">
        <f t="shared" si="13"/>
        <v>317.43035999999995</v>
      </c>
      <c r="G150" s="37">
        <v>0</v>
      </c>
      <c r="H150" s="37">
        <f t="shared" si="12"/>
        <v>492.01705799999996</v>
      </c>
      <c r="I150" s="31"/>
      <c r="L150" s="91"/>
      <c r="M150" s="91"/>
      <c r="N150" s="31"/>
    </row>
    <row r="151" spans="1:20" s="32" customFormat="1" ht="15.75" customHeight="1" x14ac:dyDescent="0.25">
      <c r="A151" s="37">
        <f t="shared" ref="A151" si="15">A150+1</f>
        <v>7</v>
      </c>
      <c r="B151" s="49" t="s">
        <v>319</v>
      </c>
      <c r="C151" s="37" t="s">
        <v>320</v>
      </c>
      <c r="D151" s="50">
        <f>(27.45)*10.764</f>
        <v>295.47179999999997</v>
      </c>
      <c r="E151" s="37">
        <v>0</v>
      </c>
      <c r="F151" s="37">
        <f t="shared" ref="F151" si="16">D151+(IF(E151&lt;201,E151,IF(E151&lt;301,E151/2,E151/3)))</f>
        <v>295.47179999999997</v>
      </c>
      <c r="G151" s="37">
        <v>0</v>
      </c>
      <c r="H151" s="37">
        <f t="shared" ref="H151" si="17">(F151+(IF(G151&lt;101,G151,IF(G151&lt;201,G151/2,IF(G151&lt;=301,G151/3,G151/4)))))*(($H$122)+1)</f>
        <v>457.98128999999994</v>
      </c>
      <c r="I151" s="31"/>
      <c r="L151" s="91"/>
      <c r="M151" s="91"/>
      <c r="N151" s="31"/>
    </row>
    <row r="152" spans="1:20" s="32" customFormat="1" x14ac:dyDescent="0.25">
      <c r="A152" s="117" t="s">
        <v>323</v>
      </c>
      <c r="B152" s="117"/>
      <c r="C152" s="117"/>
      <c r="D152" s="117"/>
      <c r="E152" s="117"/>
      <c r="F152" s="117"/>
      <c r="G152" s="117"/>
      <c r="H152" s="117"/>
      <c r="J152" s="31"/>
      <c r="T152" s="16"/>
    </row>
    <row r="153" spans="1:20" s="32" customFormat="1" ht="15.75" customHeight="1" x14ac:dyDescent="0.25">
      <c r="A153" s="37">
        <v>1</v>
      </c>
      <c r="B153" s="37" t="s">
        <v>318</v>
      </c>
      <c r="C153" s="37" t="s">
        <v>320</v>
      </c>
      <c r="D153" s="50">
        <f>(11.72)*10.764</f>
        <v>126.15407999999999</v>
      </c>
      <c r="E153" s="37">
        <v>0</v>
      </c>
      <c r="F153" s="37">
        <f>D153+(IF(E153&lt;201,E153,IF(E153&lt;301,E153/2,E153/3)))</f>
        <v>126.15407999999999</v>
      </c>
      <c r="G153" s="37">
        <v>0</v>
      </c>
      <c r="H153" s="37">
        <f>(F153+(IF(G153&lt;101,G153,IF(G153&lt;201,G153/2,IF(G153&lt;=301,G153/3,G153/4)))))*(($H$122)+1)</f>
        <v>195.53882400000001</v>
      </c>
      <c r="I153" s="31"/>
      <c r="L153" s="91"/>
      <c r="M153" s="91"/>
      <c r="N153" s="31"/>
      <c r="T153" s="16"/>
    </row>
    <row r="154" spans="1:20" s="32" customFormat="1" ht="15.75" customHeight="1" x14ac:dyDescent="0.25">
      <c r="A154" s="37">
        <f t="shared" ref="A154:A159" si="18">A153+1</f>
        <v>2</v>
      </c>
      <c r="B154" s="37" t="s">
        <v>318</v>
      </c>
      <c r="C154" s="37" t="s">
        <v>320</v>
      </c>
      <c r="D154" s="50">
        <f>(28.42)*10.764</f>
        <v>305.91287999999997</v>
      </c>
      <c r="E154" s="37">
        <v>0</v>
      </c>
      <c r="F154" s="37">
        <f t="shared" ref="F154:F162" si="19">D154+(IF(E154&lt;201,E154,IF(E154&lt;301,E154/2,E154/3)))</f>
        <v>305.91287999999997</v>
      </c>
      <c r="G154" s="37">
        <v>0</v>
      </c>
      <c r="H154" s="37">
        <f t="shared" ref="H154:H162" si="20">(F154+(IF(G154&lt;101,G154,IF(G154&lt;201,G154/2,IF(G154&lt;=301,G154/3,G154/4)))))*(($H$122)+1)</f>
        <v>474.164964</v>
      </c>
      <c r="I154" s="31"/>
      <c r="L154" s="91"/>
      <c r="M154" s="91"/>
      <c r="N154" s="31"/>
    </row>
    <row r="155" spans="1:20" s="32" customFormat="1" ht="15.75" customHeight="1" x14ac:dyDescent="0.25">
      <c r="A155" s="37">
        <f t="shared" si="18"/>
        <v>3</v>
      </c>
      <c r="B155" s="49" t="s">
        <v>319</v>
      </c>
      <c r="C155" s="37" t="s">
        <v>320</v>
      </c>
      <c r="D155" s="50">
        <f>(9.43)*10.764</f>
        <v>101.50451999999999</v>
      </c>
      <c r="E155" s="37">
        <v>0</v>
      </c>
      <c r="F155" s="37">
        <f t="shared" si="19"/>
        <v>101.50451999999999</v>
      </c>
      <c r="G155" s="37">
        <v>0</v>
      </c>
      <c r="H155" s="37">
        <f t="shared" si="20"/>
        <v>157.33200599999998</v>
      </c>
      <c r="I155" s="31"/>
      <c r="L155" s="91"/>
      <c r="M155" s="91"/>
      <c r="N155" s="31"/>
    </row>
    <row r="156" spans="1:20" s="32" customFormat="1" ht="15.75" customHeight="1" x14ac:dyDescent="0.25">
      <c r="A156" s="37">
        <f t="shared" si="18"/>
        <v>4</v>
      </c>
      <c r="B156" s="37" t="s">
        <v>318</v>
      </c>
      <c r="C156" s="37" t="s">
        <v>320</v>
      </c>
      <c r="D156" s="50">
        <f>(27.81)*10.764</f>
        <v>299.34683999999999</v>
      </c>
      <c r="E156" s="37">
        <v>0</v>
      </c>
      <c r="F156" s="37">
        <f t="shared" si="19"/>
        <v>299.34683999999999</v>
      </c>
      <c r="G156" s="37">
        <v>0</v>
      </c>
      <c r="H156" s="37">
        <f t="shared" si="20"/>
        <v>463.98760199999998</v>
      </c>
      <c r="I156" s="31"/>
      <c r="L156" s="91"/>
      <c r="M156" s="91"/>
      <c r="N156" s="31"/>
    </row>
    <row r="157" spans="1:20" s="32" customFormat="1" ht="15.75" customHeight="1" x14ac:dyDescent="0.25">
      <c r="A157" s="37">
        <f t="shared" si="18"/>
        <v>5</v>
      </c>
      <c r="B157" s="37" t="s">
        <v>318</v>
      </c>
      <c r="C157" s="37" t="s">
        <v>320</v>
      </c>
      <c r="D157" s="50">
        <f>(27.69)*10.764</f>
        <v>298.05516</v>
      </c>
      <c r="E157" s="37">
        <v>0</v>
      </c>
      <c r="F157" s="37">
        <f t="shared" si="19"/>
        <v>298.05516</v>
      </c>
      <c r="G157" s="37">
        <v>0</v>
      </c>
      <c r="H157" s="37">
        <f t="shared" si="20"/>
        <v>461.98549800000001</v>
      </c>
      <c r="I157" s="31"/>
      <c r="L157" s="91"/>
      <c r="M157" s="91"/>
      <c r="N157" s="31"/>
    </row>
    <row r="158" spans="1:20" s="32" customFormat="1" ht="15.75" customHeight="1" x14ac:dyDescent="0.25">
      <c r="A158" s="37">
        <f t="shared" si="18"/>
        <v>6</v>
      </c>
      <c r="B158" s="37" t="s">
        <v>318</v>
      </c>
      <c r="C158" s="37" t="s">
        <v>320</v>
      </c>
      <c r="D158" s="50">
        <f>(28.03)*10.764</f>
        <v>301.71492000000001</v>
      </c>
      <c r="E158" s="37">
        <v>0</v>
      </c>
      <c r="F158" s="37">
        <f t="shared" si="19"/>
        <v>301.71492000000001</v>
      </c>
      <c r="G158" s="37">
        <v>0</v>
      </c>
      <c r="H158" s="37">
        <f t="shared" si="20"/>
        <v>467.65812600000004</v>
      </c>
      <c r="I158" s="31"/>
      <c r="L158" s="91"/>
      <c r="M158" s="91"/>
      <c r="N158" s="31"/>
    </row>
    <row r="159" spans="1:20" s="32" customFormat="1" ht="15.75" customHeight="1" x14ac:dyDescent="0.25">
      <c r="A159" s="37">
        <f t="shared" si="18"/>
        <v>7</v>
      </c>
      <c r="B159" s="37" t="s">
        <v>318</v>
      </c>
      <c r="C159" s="37" t="s">
        <v>320</v>
      </c>
      <c r="D159" s="50">
        <f>(29.62)*10.764</f>
        <v>318.82968</v>
      </c>
      <c r="E159" s="37">
        <v>0</v>
      </c>
      <c r="F159" s="37">
        <f t="shared" si="19"/>
        <v>318.82968</v>
      </c>
      <c r="G159" s="37">
        <v>0</v>
      </c>
      <c r="H159" s="37">
        <f t="shared" si="20"/>
        <v>494.18600400000003</v>
      </c>
      <c r="I159" s="31"/>
      <c r="L159" s="91"/>
      <c r="M159" s="91"/>
      <c r="N159" s="31"/>
    </row>
    <row r="160" spans="1:20" s="32" customFormat="1" ht="15.75" customHeight="1" x14ac:dyDescent="0.25">
      <c r="A160" s="37">
        <f t="shared" ref="A160:A162" si="21">A159+1</f>
        <v>8</v>
      </c>
      <c r="B160" s="49" t="s">
        <v>319</v>
      </c>
      <c r="C160" s="37" t="s">
        <v>320</v>
      </c>
      <c r="D160" s="50">
        <f>(48.34)*10.764</f>
        <v>520.33176000000003</v>
      </c>
      <c r="E160" s="37">
        <v>0</v>
      </c>
      <c r="F160" s="37">
        <f t="shared" si="19"/>
        <v>520.33176000000003</v>
      </c>
      <c r="G160" s="37">
        <v>0</v>
      </c>
      <c r="H160" s="37">
        <f t="shared" si="20"/>
        <v>806.51422800000012</v>
      </c>
      <c r="I160" s="31"/>
      <c r="L160" s="91"/>
      <c r="M160" s="91"/>
      <c r="N160" s="31"/>
    </row>
    <row r="161" spans="1:20" s="32" customFormat="1" ht="15.75" customHeight="1" x14ac:dyDescent="0.25">
      <c r="A161" s="37">
        <f t="shared" si="21"/>
        <v>9</v>
      </c>
      <c r="B161" s="49" t="s">
        <v>319</v>
      </c>
      <c r="C161" s="37" t="s">
        <v>320</v>
      </c>
      <c r="D161" s="50">
        <f>(35.89)*10.764</f>
        <v>386.31995999999998</v>
      </c>
      <c r="E161" s="37">
        <v>0</v>
      </c>
      <c r="F161" s="37">
        <f t="shared" si="19"/>
        <v>386.31995999999998</v>
      </c>
      <c r="G161" s="37">
        <v>0</v>
      </c>
      <c r="H161" s="37">
        <f t="shared" si="20"/>
        <v>598.79593799999998</v>
      </c>
      <c r="I161" s="31"/>
      <c r="L161" s="91"/>
      <c r="M161" s="91"/>
      <c r="N161" s="31"/>
    </row>
    <row r="162" spans="1:20" s="32" customFormat="1" ht="15.75" customHeight="1" x14ac:dyDescent="0.25">
      <c r="A162" s="37">
        <f t="shared" si="21"/>
        <v>10</v>
      </c>
      <c r="B162" s="49" t="s">
        <v>319</v>
      </c>
      <c r="C162" s="37" t="s">
        <v>320</v>
      </c>
      <c r="D162" s="50">
        <f>(28.57)*10.764</f>
        <v>307.52747999999997</v>
      </c>
      <c r="E162" s="37">
        <v>0</v>
      </c>
      <c r="F162" s="37">
        <f t="shared" si="19"/>
        <v>307.52747999999997</v>
      </c>
      <c r="G162" s="37">
        <v>0</v>
      </c>
      <c r="H162" s="37">
        <f t="shared" si="20"/>
        <v>476.66759399999995</v>
      </c>
      <c r="I162" s="31"/>
      <c r="L162" s="91"/>
      <c r="M162" s="91"/>
      <c r="N162" s="31"/>
    </row>
    <row r="163" spans="1:20" s="32" customFormat="1" x14ac:dyDescent="0.25">
      <c r="A163" s="117" t="s">
        <v>324</v>
      </c>
      <c r="B163" s="117"/>
      <c r="C163" s="117"/>
      <c r="D163" s="117"/>
      <c r="E163" s="117"/>
      <c r="F163" s="117"/>
      <c r="G163" s="117"/>
      <c r="H163" s="117"/>
      <c r="J163" s="31"/>
      <c r="T163" s="16"/>
    </row>
    <row r="164" spans="1:20" s="32" customFormat="1" ht="15.75" customHeight="1" x14ac:dyDescent="0.25">
      <c r="A164" s="37">
        <v>1</v>
      </c>
      <c r="B164" s="37" t="s">
        <v>318</v>
      </c>
      <c r="C164" s="37" t="s">
        <v>320</v>
      </c>
      <c r="D164" s="50">
        <f>(50.55)*10.764</f>
        <v>544.12019999999995</v>
      </c>
      <c r="E164" s="37">
        <v>0</v>
      </c>
      <c r="F164" s="37">
        <f>D164+(IF(E164&lt;201,E164,IF(E164&lt;301,E164/2,E164/3)))</f>
        <v>544.12019999999995</v>
      </c>
      <c r="G164" s="37">
        <v>0</v>
      </c>
      <c r="H164" s="37">
        <f>(F164+(IF(G164&lt;101,G164,IF(G164&lt;201,G164/2,IF(G164&lt;=301,G164/3,G164/4)))))*(($H$122)+1)</f>
        <v>843.38630999999998</v>
      </c>
      <c r="I164" s="31"/>
      <c r="L164" s="91"/>
      <c r="M164" s="91"/>
      <c r="N164" s="31"/>
      <c r="T164" s="16"/>
    </row>
    <row r="165" spans="1:20" s="32" customFormat="1" ht="15.75" customHeight="1" x14ac:dyDescent="0.25">
      <c r="A165" s="37">
        <f t="shared" ref="A165:A170" si="22">A164+1</f>
        <v>2</v>
      </c>
      <c r="B165" s="37" t="s">
        <v>318</v>
      </c>
      <c r="C165" s="37" t="s">
        <v>320</v>
      </c>
      <c r="D165" s="50">
        <f>(48.71)*10.764</f>
        <v>524.31443999999999</v>
      </c>
      <c r="E165" s="37">
        <v>0</v>
      </c>
      <c r="F165" s="37">
        <f t="shared" ref="F165:F171" si="23">D165+(IF(E165&lt;201,E165,IF(E165&lt;301,E165/2,E165/3)))</f>
        <v>524.31443999999999</v>
      </c>
      <c r="G165" s="37">
        <v>0</v>
      </c>
      <c r="H165" s="37">
        <f t="shared" ref="H165:H171" si="24">(F165+(IF(G165&lt;101,G165,IF(G165&lt;201,G165/2,IF(G165&lt;=301,G165/3,G165/4)))))*(($H$122)+1)</f>
        <v>812.68738199999996</v>
      </c>
      <c r="I165" s="31"/>
      <c r="L165" s="91"/>
      <c r="M165" s="91"/>
      <c r="N165" s="31"/>
    </row>
    <row r="166" spans="1:20" s="32" customFormat="1" ht="15.75" customHeight="1" x14ac:dyDescent="0.25">
      <c r="A166" s="37">
        <f t="shared" si="22"/>
        <v>3</v>
      </c>
      <c r="B166" s="37" t="s">
        <v>318</v>
      </c>
      <c r="C166" s="37" t="s">
        <v>320</v>
      </c>
      <c r="D166" s="50">
        <f>(27.34)*10.764</f>
        <v>294.28775999999999</v>
      </c>
      <c r="E166" s="37">
        <v>0</v>
      </c>
      <c r="F166" s="37">
        <f t="shared" si="23"/>
        <v>294.28775999999999</v>
      </c>
      <c r="G166" s="37">
        <v>0</v>
      </c>
      <c r="H166" s="37">
        <f t="shared" si="24"/>
        <v>456.146028</v>
      </c>
      <c r="I166" s="31"/>
      <c r="L166" s="91"/>
      <c r="M166" s="91"/>
      <c r="N166" s="31"/>
    </row>
    <row r="167" spans="1:20" s="32" customFormat="1" ht="15.75" customHeight="1" x14ac:dyDescent="0.25">
      <c r="A167" s="37">
        <f t="shared" si="22"/>
        <v>4</v>
      </c>
      <c r="B167" s="37" t="s">
        <v>318</v>
      </c>
      <c r="C167" s="37" t="s">
        <v>320</v>
      </c>
      <c r="D167" s="50">
        <f>(16.98)*10.764</f>
        <v>182.77271999999999</v>
      </c>
      <c r="E167" s="37">
        <v>0</v>
      </c>
      <c r="F167" s="37">
        <f t="shared" si="23"/>
        <v>182.77271999999999</v>
      </c>
      <c r="G167" s="37">
        <v>0</v>
      </c>
      <c r="H167" s="37">
        <f t="shared" si="24"/>
        <v>283.29771599999998</v>
      </c>
      <c r="I167" s="31"/>
      <c r="L167" s="91"/>
      <c r="M167" s="91"/>
      <c r="N167" s="31"/>
    </row>
    <row r="168" spans="1:20" s="32" customFormat="1" ht="15.75" customHeight="1" x14ac:dyDescent="0.25">
      <c r="A168" s="37">
        <f t="shared" si="22"/>
        <v>5</v>
      </c>
      <c r="B168" s="37" t="s">
        <v>318</v>
      </c>
      <c r="C168" s="37" t="s">
        <v>320</v>
      </c>
      <c r="D168" s="50">
        <f>(17.7)*10.764</f>
        <v>190.52279999999999</v>
      </c>
      <c r="E168" s="37">
        <v>0</v>
      </c>
      <c r="F168" s="37">
        <f t="shared" si="23"/>
        <v>190.52279999999999</v>
      </c>
      <c r="G168" s="37">
        <v>0</v>
      </c>
      <c r="H168" s="37">
        <f t="shared" si="24"/>
        <v>295.31034</v>
      </c>
      <c r="I168" s="31"/>
      <c r="L168" s="91"/>
      <c r="M168" s="91"/>
      <c r="N168" s="31"/>
    </row>
    <row r="169" spans="1:20" s="32" customFormat="1" ht="15.75" customHeight="1" x14ac:dyDescent="0.25">
      <c r="A169" s="37">
        <f t="shared" si="22"/>
        <v>6</v>
      </c>
      <c r="B169" s="49" t="s">
        <v>319</v>
      </c>
      <c r="C169" s="37" t="s">
        <v>320</v>
      </c>
      <c r="D169" s="50">
        <f>(48.73)*10.764</f>
        <v>524.52971999999988</v>
      </c>
      <c r="E169" s="37">
        <v>0</v>
      </c>
      <c r="F169" s="37">
        <f t="shared" si="23"/>
        <v>524.52971999999988</v>
      </c>
      <c r="G169" s="37">
        <v>0</v>
      </c>
      <c r="H169" s="37">
        <f t="shared" si="24"/>
        <v>813.02106599999979</v>
      </c>
      <c r="I169" s="31"/>
      <c r="L169" s="91"/>
      <c r="M169" s="91"/>
      <c r="N169" s="31"/>
    </row>
    <row r="170" spans="1:20" s="32" customFormat="1" ht="15.75" customHeight="1" x14ac:dyDescent="0.25">
      <c r="A170" s="37">
        <f t="shared" si="22"/>
        <v>7</v>
      </c>
      <c r="B170" s="49" t="s">
        <v>319</v>
      </c>
      <c r="C170" s="37" t="s">
        <v>320</v>
      </c>
      <c r="D170" s="50">
        <f>(37.38)*10.764</f>
        <v>402.35831999999999</v>
      </c>
      <c r="E170" s="37">
        <v>0</v>
      </c>
      <c r="F170" s="37">
        <f t="shared" si="23"/>
        <v>402.35831999999999</v>
      </c>
      <c r="G170" s="37">
        <v>0</v>
      </c>
      <c r="H170" s="37">
        <f t="shared" si="24"/>
        <v>623.655396</v>
      </c>
      <c r="I170" s="31"/>
      <c r="L170" s="91"/>
      <c r="M170" s="91"/>
      <c r="N170" s="31"/>
    </row>
    <row r="171" spans="1:20" s="32" customFormat="1" ht="15.75" customHeight="1" x14ac:dyDescent="0.25">
      <c r="A171" s="37">
        <f t="shared" ref="A171" si="25">A170+1</f>
        <v>8</v>
      </c>
      <c r="B171" s="49" t="s">
        <v>319</v>
      </c>
      <c r="C171" s="37" t="s">
        <v>320</v>
      </c>
      <c r="D171" s="50">
        <f>(28.57)*10.764</f>
        <v>307.52747999999997</v>
      </c>
      <c r="E171" s="37">
        <v>0</v>
      </c>
      <c r="F171" s="37">
        <f t="shared" si="23"/>
        <v>307.52747999999997</v>
      </c>
      <c r="G171" s="37">
        <v>0</v>
      </c>
      <c r="H171" s="37">
        <f t="shared" si="24"/>
        <v>476.66759399999995</v>
      </c>
      <c r="I171" s="31"/>
      <c r="L171" s="91"/>
      <c r="M171" s="91"/>
      <c r="N171" s="31"/>
    </row>
    <row r="172" spans="1:20" s="32" customFormat="1" x14ac:dyDescent="0.25">
      <c r="A172" s="101" t="s">
        <v>325</v>
      </c>
      <c r="B172" s="102"/>
      <c r="C172" s="102"/>
      <c r="D172" s="102"/>
      <c r="E172" s="102"/>
      <c r="F172" s="102"/>
      <c r="G172" s="102"/>
      <c r="H172" s="103"/>
      <c r="J172" s="31"/>
      <c r="T172" s="16"/>
    </row>
    <row r="173" spans="1:20" s="32" customFormat="1" ht="15.75" customHeight="1" x14ac:dyDescent="0.25">
      <c r="A173" s="37">
        <v>1</v>
      </c>
      <c r="B173" s="49" t="s">
        <v>319</v>
      </c>
      <c r="C173" s="37" t="s">
        <v>320</v>
      </c>
      <c r="D173" s="50">
        <f>(11.72)*10.764</f>
        <v>126.15407999999999</v>
      </c>
      <c r="E173" s="37">
        <v>0</v>
      </c>
      <c r="F173" s="37">
        <f>D173+(IF(E173&lt;201,E173,IF(E173&lt;301,E173/2,E173/3)))</f>
        <v>126.15407999999999</v>
      </c>
      <c r="G173" s="37">
        <v>0</v>
      </c>
      <c r="H173" s="37">
        <f>(F173+(IF(G173&lt;101,G173,IF(G173&lt;201,G173/2,IF(G173&lt;=301,G173/3,G173/4)))))*(($H$122)+1)</f>
        <v>195.53882400000001</v>
      </c>
      <c r="I173" s="31"/>
      <c r="L173" s="91"/>
      <c r="M173" s="91"/>
      <c r="N173" s="31"/>
      <c r="T173" s="16"/>
    </row>
    <row r="174" spans="1:20" s="32" customFormat="1" ht="15.75" customHeight="1" x14ac:dyDescent="0.25">
      <c r="A174" s="37">
        <f>A173+1</f>
        <v>2</v>
      </c>
      <c r="B174" s="37" t="s">
        <v>318</v>
      </c>
      <c r="C174" s="37" t="s">
        <v>320</v>
      </c>
      <c r="D174" s="50">
        <f>(40.05)*10.764</f>
        <v>431.09819999999996</v>
      </c>
      <c r="E174" s="37">
        <v>0</v>
      </c>
      <c r="F174" s="37">
        <f t="shared" ref="F174:F180" si="26">D174+(IF(E174&lt;201,E174,IF(E174&lt;301,E174/2,E174/3)))</f>
        <v>431.09819999999996</v>
      </c>
      <c r="G174" s="37">
        <v>0</v>
      </c>
      <c r="H174" s="37">
        <f t="shared" ref="H174:H180" si="27">(F174+(IF(G174&lt;101,G174,IF(G174&lt;201,G174/2,IF(G174&lt;=301,G174/3,G174/4)))))*(($H$122)+1)</f>
        <v>668.20220999999992</v>
      </c>
      <c r="I174" s="31"/>
      <c r="L174" s="91"/>
      <c r="M174" s="91"/>
      <c r="N174" s="31"/>
    </row>
    <row r="175" spans="1:20" s="32" customFormat="1" ht="15.75" customHeight="1" x14ac:dyDescent="0.25">
      <c r="A175" s="37">
        <v>4</v>
      </c>
      <c r="B175" s="37" t="s">
        <v>318</v>
      </c>
      <c r="C175" s="37" t="s">
        <v>320</v>
      </c>
      <c r="D175" s="50">
        <f>(48.67)*10.764</f>
        <v>523.88387999999998</v>
      </c>
      <c r="E175" s="37">
        <v>0</v>
      </c>
      <c r="F175" s="37">
        <f t="shared" si="26"/>
        <v>523.88387999999998</v>
      </c>
      <c r="G175" s="37">
        <v>0</v>
      </c>
      <c r="H175" s="37">
        <f t="shared" si="27"/>
        <v>812.02001399999995</v>
      </c>
      <c r="I175" s="31"/>
      <c r="L175" s="91"/>
      <c r="M175" s="91"/>
      <c r="N175" s="31"/>
    </row>
    <row r="176" spans="1:20" s="32" customFormat="1" ht="15.75" customHeight="1" x14ac:dyDescent="0.25">
      <c r="A176" s="37">
        <v>6</v>
      </c>
      <c r="B176" s="37" t="s">
        <v>318</v>
      </c>
      <c r="C176" s="37" t="s">
        <v>320</v>
      </c>
      <c r="D176" s="50">
        <f>(34.2)*10.764</f>
        <v>368.12880000000001</v>
      </c>
      <c r="E176" s="37">
        <v>0</v>
      </c>
      <c r="F176" s="37">
        <f t="shared" si="26"/>
        <v>368.12880000000001</v>
      </c>
      <c r="G176" s="37">
        <v>0</v>
      </c>
      <c r="H176" s="37">
        <f t="shared" si="27"/>
        <v>570.59964000000002</v>
      </c>
      <c r="I176" s="31"/>
      <c r="L176" s="91"/>
      <c r="M176" s="91"/>
      <c r="N176" s="31"/>
    </row>
    <row r="177" spans="1:20" s="32" customFormat="1" ht="15.75" customHeight="1" x14ac:dyDescent="0.25">
      <c r="A177" s="37">
        <f t="shared" ref="A177:A179" si="28">A176+1</f>
        <v>7</v>
      </c>
      <c r="B177" s="37" t="s">
        <v>318</v>
      </c>
      <c r="C177" s="37" t="s">
        <v>320</v>
      </c>
      <c r="D177" s="50">
        <f>(36.13)*10.764</f>
        <v>388.90332000000001</v>
      </c>
      <c r="E177" s="37">
        <v>0</v>
      </c>
      <c r="F177" s="37">
        <f t="shared" si="26"/>
        <v>388.90332000000001</v>
      </c>
      <c r="G177" s="37">
        <v>0</v>
      </c>
      <c r="H177" s="37">
        <f t="shared" si="27"/>
        <v>602.80014600000004</v>
      </c>
      <c r="I177" s="31"/>
      <c r="L177" s="91"/>
      <c r="M177" s="91"/>
      <c r="N177" s="31"/>
    </row>
    <row r="178" spans="1:20" s="32" customFormat="1" ht="15.75" customHeight="1" x14ac:dyDescent="0.25">
      <c r="A178" s="37">
        <f t="shared" si="28"/>
        <v>8</v>
      </c>
      <c r="B178" s="49" t="s">
        <v>319</v>
      </c>
      <c r="C178" s="37" t="s">
        <v>320</v>
      </c>
      <c r="D178" s="50">
        <f>(43.94)*10.764</f>
        <v>472.97015999999996</v>
      </c>
      <c r="E178" s="37">
        <v>0</v>
      </c>
      <c r="F178" s="37">
        <f t="shared" si="26"/>
        <v>472.97015999999996</v>
      </c>
      <c r="G178" s="37">
        <v>0</v>
      </c>
      <c r="H178" s="37">
        <f t="shared" si="27"/>
        <v>733.103748</v>
      </c>
      <c r="I178" s="31"/>
      <c r="L178" s="91"/>
      <c r="M178" s="91"/>
      <c r="N178" s="31"/>
    </row>
    <row r="179" spans="1:20" s="32" customFormat="1" ht="15.75" customHeight="1" x14ac:dyDescent="0.25">
      <c r="A179" s="37">
        <f t="shared" si="28"/>
        <v>9</v>
      </c>
      <c r="B179" s="49" t="s">
        <v>319</v>
      </c>
      <c r="C179" s="37" t="s">
        <v>320</v>
      </c>
      <c r="D179" s="50">
        <f>(33.59)*10.764</f>
        <v>361.56276000000003</v>
      </c>
      <c r="E179" s="37">
        <v>0</v>
      </c>
      <c r="F179" s="37">
        <f t="shared" si="26"/>
        <v>361.56276000000003</v>
      </c>
      <c r="G179" s="37">
        <v>0</v>
      </c>
      <c r="H179" s="37">
        <f t="shared" si="27"/>
        <v>560.42227800000001</v>
      </c>
      <c r="I179" s="31"/>
      <c r="L179" s="91"/>
      <c r="M179" s="91"/>
      <c r="N179" s="31"/>
    </row>
    <row r="180" spans="1:20" s="32" customFormat="1" ht="15.75" customHeight="1" x14ac:dyDescent="0.25">
      <c r="A180" s="37">
        <f t="shared" ref="A180" si="29">A179+1</f>
        <v>10</v>
      </c>
      <c r="B180" s="49" t="s">
        <v>319</v>
      </c>
      <c r="C180" s="37" t="s">
        <v>320</v>
      </c>
      <c r="D180" s="50">
        <f>(28.57)*10.764</f>
        <v>307.52747999999997</v>
      </c>
      <c r="E180" s="37">
        <v>0</v>
      </c>
      <c r="F180" s="37">
        <f t="shared" si="26"/>
        <v>307.52747999999997</v>
      </c>
      <c r="G180" s="37">
        <v>0</v>
      </c>
      <c r="H180" s="37">
        <f t="shared" si="27"/>
        <v>476.66759399999995</v>
      </c>
      <c r="I180" s="31"/>
      <c r="L180" s="91"/>
      <c r="M180" s="91"/>
      <c r="N180" s="31"/>
    </row>
    <row r="181" spans="1:20" s="32" customFormat="1" x14ac:dyDescent="0.25">
      <c r="A181" s="101" t="s">
        <v>358</v>
      </c>
      <c r="B181" s="102"/>
      <c r="C181" s="102"/>
      <c r="D181" s="102"/>
      <c r="E181" s="102"/>
      <c r="F181" s="102"/>
      <c r="G181" s="102"/>
      <c r="H181" s="103"/>
      <c r="J181" s="31"/>
      <c r="T181" s="16"/>
    </row>
    <row r="182" spans="1:20" s="32" customFormat="1" ht="45.95" customHeight="1" x14ac:dyDescent="0.25">
      <c r="A182" s="37">
        <v>1</v>
      </c>
      <c r="B182" s="49" t="s">
        <v>319</v>
      </c>
      <c r="C182" s="51" t="s">
        <v>340</v>
      </c>
      <c r="D182" s="50">
        <f>(28.13+6.69)*10.764</f>
        <v>374.80248</v>
      </c>
      <c r="E182" s="37">
        <v>0</v>
      </c>
      <c r="F182" s="37">
        <f>D182+(IF(E182&lt;201,E182,IF(E182&lt;301,E182/2,E182/3)))</f>
        <v>374.80248</v>
      </c>
      <c r="G182" s="37">
        <v>0</v>
      </c>
      <c r="H182" s="37">
        <f>(F182+(IF(G182&lt;101,G182,IF(G182&lt;201,G182/2,IF(G182&lt;=301,G182/3,G182/4)))))*(($H$122)+1)</f>
        <v>580.94384400000001</v>
      </c>
      <c r="I182" s="31">
        <f>5.89*2.74+2.41*2.74+5.89*1.96</f>
        <v>34.2864</v>
      </c>
      <c r="J182" s="32">
        <f>28.13+6.69</f>
        <v>34.82</v>
      </c>
      <c r="L182" s="91"/>
      <c r="M182" s="91"/>
      <c r="N182" s="31"/>
      <c r="T182" s="16"/>
    </row>
    <row r="183" spans="1:20" s="32" customFormat="1" ht="45.95" customHeight="1" x14ac:dyDescent="0.25">
      <c r="A183" s="37" t="s">
        <v>357</v>
      </c>
      <c r="B183" s="49" t="s">
        <v>319</v>
      </c>
      <c r="C183" s="51" t="s">
        <v>340</v>
      </c>
      <c r="D183" s="50">
        <f>(6.98+21.66)*10.764</f>
        <v>308.28095999999999</v>
      </c>
      <c r="E183" s="37">
        <v>0</v>
      </c>
      <c r="F183" s="37">
        <f>D183+(IF(E183&lt;201,E183,IF(E183&lt;301,E183/2,E183/3)))</f>
        <v>308.28095999999999</v>
      </c>
      <c r="G183" s="37">
        <v>0</v>
      </c>
      <c r="H183" s="37">
        <f>(F183+(IF(G183&lt;101,G183,IF(G183&lt;201,G183/2,IF(G183&lt;=301,G183/3,G183/4)))))*(($H$122)+1)</f>
        <v>477.835488</v>
      </c>
      <c r="I183" s="31"/>
      <c r="L183" s="91"/>
      <c r="M183" s="91"/>
      <c r="N183" s="31"/>
      <c r="T183" s="16"/>
    </row>
    <row r="184" spans="1:20" s="32" customFormat="1" ht="47.1" customHeight="1" x14ac:dyDescent="0.25">
      <c r="A184" s="37">
        <f>A182+1</f>
        <v>2</v>
      </c>
      <c r="B184" s="49" t="s">
        <v>319</v>
      </c>
      <c r="C184" s="51" t="s">
        <v>340</v>
      </c>
      <c r="D184" s="50">
        <f>(40.57)*10.764</f>
        <v>436.69547999999998</v>
      </c>
      <c r="E184" s="37">
        <v>0</v>
      </c>
      <c r="F184" s="37">
        <f t="shared" ref="F184:F189" si="30">D184+(IF(E184&lt;201,E184,IF(E184&lt;301,E184/2,E184/3)))</f>
        <v>436.69547999999998</v>
      </c>
      <c r="G184" s="37">
        <v>0</v>
      </c>
      <c r="H184" s="37">
        <f t="shared" ref="H184:H189" si="31">(F184+(IF(G184&lt;101,G184,IF(G184&lt;201,G184/2,IF(G184&lt;=301,G184/3,G184/4)))))*(($H$122)+1)</f>
        <v>676.87799399999994</v>
      </c>
      <c r="I184" s="61">
        <f>7.09*5.79</f>
        <v>41.051099999999998</v>
      </c>
      <c r="L184" s="91"/>
      <c r="M184" s="91"/>
      <c r="N184" s="31"/>
    </row>
    <row r="185" spans="1:20" s="32" customFormat="1" ht="47.1" customHeight="1" x14ac:dyDescent="0.25">
      <c r="A185" s="37">
        <f>A184+1</f>
        <v>3</v>
      </c>
      <c r="B185" s="49" t="s">
        <v>319</v>
      </c>
      <c r="C185" s="51" t="s">
        <v>340</v>
      </c>
      <c r="D185" s="50">
        <f>(35.04)*10.764</f>
        <v>377.17055999999997</v>
      </c>
      <c r="E185" s="37">
        <v>0</v>
      </c>
      <c r="F185" s="37">
        <f t="shared" si="30"/>
        <v>377.17055999999997</v>
      </c>
      <c r="G185" s="37">
        <v>0</v>
      </c>
      <c r="H185" s="37">
        <f t="shared" si="31"/>
        <v>584.61436800000001</v>
      </c>
      <c r="I185" s="31"/>
      <c r="L185" s="91"/>
      <c r="M185" s="91"/>
      <c r="N185" s="31"/>
    </row>
    <row r="186" spans="1:20" s="32" customFormat="1" ht="45.95" customHeight="1" x14ac:dyDescent="0.25">
      <c r="A186" s="37">
        <f t="shared" ref="A186:A187" si="32">A185+1</f>
        <v>4</v>
      </c>
      <c r="B186" s="49" t="s">
        <v>319</v>
      </c>
      <c r="C186" s="51" t="s">
        <v>340</v>
      </c>
      <c r="D186" s="50">
        <f>(36.08)*10.764</f>
        <v>388.36511999999993</v>
      </c>
      <c r="E186" s="37">
        <v>0</v>
      </c>
      <c r="F186" s="37">
        <f t="shared" si="30"/>
        <v>388.36511999999993</v>
      </c>
      <c r="G186" s="37">
        <v>0</v>
      </c>
      <c r="H186" s="37">
        <f t="shared" si="31"/>
        <v>601.96593599999994</v>
      </c>
      <c r="I186" s="31"/>
      <c r="L186" s="91"/>
      <c r="M186" s="91"/>
      <c r="N186" s="31"/>
    </row>
    <row r="187" spans="1:20" s="32" customFormat="1" ht="46.5" customHeight="1" x14ac:dyDescent="0.25">
      <c r="A187" s="37">
        <f t="shared" si="32"/>
        <v>5</v>
      </c>
      <c r="B187" s="49" t="s">
        <v>319</v>
      </c>
      <c r="C187" s="51" t="s">
        <v>340</v>
      </c>
      <c r="D187" s="50">
        <f>(48.75)*10.764</f>
        <v>524.745</v>
      </c>
      <c r="E187" s="37">
        <v>0</v>
      </c>
      <c r="F187" s="37">
        <f t="shared" si="30"/>
        <v>524.745</v>
      </c>
      <c r="G187" s="37">
        <v>0</v>
      </c>
      <c r="H187" s="37">
        <f t="shared" si="31"/>
        <v>813.35475000000008</v>
      </c>
      <c r="I187" s="31"/>
      <c r="L187" s="91"/>
      <c r="M187" s="91"/>
      <c r="N187" s="31"/>
    </row>
    <row r="188" spans="1:20" s="32" customFormat="1" ht="46.5" customHeight="1" x14ac:dyDescent="0.25">
      <c r="A188" s="37">
        <f t="shared" ref="A188:A189" si="33">A187+1</f>
        <v>6</v>
      </c>
      <c r="B188" s="49" t="s">
        <v>319</v>
      </c>
      <c r="C188" s="51" t="s">
        <v>340</v>
      </c>
      <c r="D188" s="50">
        <f>(37.4)*10.764</f>
        <v>402.57359999999994</v>
      </c>
      <c r="E188" s="37">
        <v>0</v>
      </c>
      <c r="F188" s="37">
        <f t="shared" si="30"/>
        <v>402.57359999999994</v>
      </c>
      <c r="G188" s="37">
        <v>0</v>
      </c>
      <c r="H188" s="37">
        <f t="shared" si="31"/>
        <v>623.98907999999994</v>
      </c>
      <c r="I188" s="31"/>
      <c r="L188" s="91"/>
      <c r="M188" s="91"/>
      <c r="N188" s="31"/>
    </row>
    <row r="189" spans="1:20" s="32" customFormat="1" ht="46.5" customHeight="1" x14ac:dyDescent="0.25">
      <c r="A189" s="37">
        <f t="shared" si="33"/>
        <v>7</v>
      </c>
      <c r="B189" s="49" t="s">
        <v>319</v>
      </c>
      <c r="C189" s="51" t="s">
        <v>340</v>
      </c>
      <c r="D189" s="50">
        <f>(28.57)*10.764</f>
        <v>307.52747999999997</v>
      </c>
      <c r="E189" s="37">
        <v>0</v>
      </c>
      <c r="F189" s="37">
        <f t="shared" si="30"/>
        <v>307.52747999999997</v>
      </c>
      <c r="G189" s="37">
        <v>0</v>
      </c>
      <c r="H189" s="37">
        <f t="shared" si="31"/>
        <v>476.66759399999995</v>
      </c>
      <c r="I189" s="31"/>
      <c r="L189" s="91"/>
      <c r="M189" s="91"/>
      <c r="N189" s="31"/>
    </row>
    <row r="190" spans="1:20" s="32" customFormat="1" x14ac:dyDescent="0.25">
      <c r="A190" s="101" t="s">
        <v>359</v>
      </c>
      <c r="B190" s="102"/>
      <c r="C190" s="102"/>
      <c r="D190" s="102"/>
      <c r="E190" s="102"/>
      <c r="F190" s="102"/>
      <c r="G190" s="102"/>
      <c r="H190" s="103"/>
      <c r="J190" s="31"/>
      <c r="T190" s="16"/>
    </row>
    <row r="191" spans="1:20" s="32" customFormat="1" ht="45.95" customHeight="1" x14ac:dyDescent="0.25">
      <c r="A191" s="37">
        <v>1</v>
      </c>
      <c r="B191" s="49" t="s">
        <v>319</v>
      </c>
      <c r="C191" s="51" t="s">
        <v>340</v>
      </c>
      <c r="D191" s="50">
        <f>(50.57)*10.764</f>
        <v>544.33547999999996</v>
      </c>
      <c r="E191" s="37">
        <v>0</v>
      </c>
      <c r="F191" s="37">
        <f>D191+(IF(E191&lt;201,E191,IF(E191&lt;301,E191/2,E191/3)))</f>
        <v>544.33547999999996</v>
      </c>
      <c r="G191" s="37">
        <v>0</v>
      </c>
      <c r="H191" s="37">
        <f>(F191+(IF(G191&lt;101,G191,IF(G191&lt;201,G191/2,IF(G191&lt;=301,G191/3,G191/4)))))*(($H$122)+1)</f>
        <v>843.71999399999993</v>
      </c>
      <c r="I191" s="61">
        <f>5.89*6.66+5.89*1.96</f>
        <v>50.771799999999999</v>
      </c>
      <c r="J191" s="32">
        <f>28.13+6.69</f>
        <v>34.82</v>
      </c>
      <c r="L191" s="91"/>
      <c r="M191" s="91"/>
      <c r="N191" s="31"/>
      <c r="T191" s="16"/>
    </row>
    <row r="192" spans="1:20" s="32" customFormat="1" ht="47.1" customHeight="1" x14ac:dyDescent="0.25">
      <c r="A192" s="37">
        <f>A191+1</f>
        <v>2</v>
      </c>
      <c r="B192" s="49" t="s">
        <v>319</v>
      </c>
      <c r="C192" s="51" t="s">
        <v>340</v>
      </c>
      <c r="D192" s="50">
        <f>(40.64)*10.764</f>
        <v>437.44896</v>
      </c>
      <c r="E192" s="37">
        <v>0</v>
      </c>
      <c r="F192" s="37">
        <f t="shared" ref="F192:F197" si="34">D192+(IF(E192&lt;201,E192,IF(E192&lt;301,E192/2,E192/3)))</f>
        <v>437.44896</v>
      </c>
      <c r="G192" s="37">
        <v>0</v>
      </c>
      <c r="H192" s="37">
        <f t="shared" ref="H192:H197" si="35">(F192+(IF(G192&lt;101,G192,IF(G192&lt;201,G192/2,IF(G192&lt;=301,G192/3,G192/4)))))*(($H$122)+1)</f>
        <v>678.04588799999999</v>
      </c>
      <c r="I192" s="61">
        <f>7.09*5.79</f>
        <v>41.051099999999998</v>
      </c>
      <c r="L192" s="91"/>
      <c r="M192" s="91"/>
      <c r="N192" s="31"/>
    </row>
    <row r="193" spans="1:20" s="32" customFormat="1" ht="47.1" customHeight="1" x14ac:dyDescent="0.25">
      <c r="A193" s="37">
        <f>A192+1</f>
        <v>3</v>
      </c>
      <c r="B193" s="49" t="s">
        <v>319</v>
      </c>
      <c r="C193" s="51" t="s">
        <v>340</v>
      </c>
      <c r="D193" s="50">
        <f>(35.81)*10.764</f>
        <v>385.45884000000001</v>
      </c>
      <c r="E193" s="37">
        <v>0</v>
      </c>
      <c r="F193" s="37">
        <f t="shared" si="34"/>
        <v>385.45884000000001</v>
      </c>
      <c r="G193" s="37">
        <v>0</v>
      </c>
      <c r="H193" s="37">
        <f t="shared" si="35"/>
        <v>597.46120200000007</v>
      </c>
      <c r="I193" s="31"/>
      <c r="L193" s="91"/>
      <c r="M193" s="91"/>
      <c r="N193" s="31"/>
    </row>
    <row r="194" spans="1:20" s="32" customFormat="1" ht="45.95" customHeight="1" x14ac:dyDescent="0.25">
      <c r="A194" s="37">
        <f t="shared" ref="A194:A197" si="36">A193+1</f>
        <v>4</v>
      </c>
      <c r="B194" s="49" t="s">
        <v>319</v>
      </c>
      <c r="C194" s="51" t="s">
        <v>340</v>
      </c>
      <c r="D194" s="50">
        <f>(37.08)*10.764</f>
        <v>399.12911999999994</v>
      </c>
      <c r="E194" s="37">
        <v>0</v>
      </c>
      <c r="F194" s="37">
        <f t="shared" si="34"/>
        <v>399.12911999999994</v>
      </c>
      <c r="G194" s="37">
        <v>0</v>
      </c>
      <c r="H194" s="37">
        <f t="shared" si="35"/>
        <v>618.65013599999997</v>
      </c>
      <c r="I194" s="31"/>
      <c r="L194" s="91"/>
      <c r="M194" s="91"/>
      <c r="N194" s="31"/>
    </row>
    <row r="195" spans="1:20" s="32" customFormat="1" ht="46.5" customHeight="1" x14ac:dyDescent="0.25">
      <c r="A195" s="37">
        <f t="shared" si="36"/>
        <v>5</v>
      </c>
      <c r="B195" s="49" t="s">
        <v>319</v>
      </c>
      <c r="C195" s="51" t="s">
        <v>340</v>
      </c>
      <c r="D195" s="50">
        <f>(48.75)*10.764</f>
        <v>524.745</v>
      </c>
      <c r="E195" s="37">
        <v>0</v>
      </c>
      <c r="F195" s="37">
        <f t="shared" si="34"/>
        <v>524.745</v>
      </c>
      <c r="G195" s="37">
        <v>0</v>
      </c>
      <c r="H195" s="37">
        <f t="shared" si="35"/>
        <v>813.35475000000008</v>
      </c>
      <c r="I195" s="31"/>
      <c r="L195" s="91"/>
      <c r="M195" s="91"/>
      <c r="N195" s="31"/>
    </row>
    <row r="196" spans="1:20" s="32" customFormat="1" ht="46.5" customHeight="1" x14ac:dyDescent="0.25">
      <c r="A196" s="37">
        <f t="shared" si="36"/>
        <v>6</v>
      </c>
      <c r="B196" s="49" t="s">
        <v>319</v>
      </c>
      <c r="C196" s="51" t="s">
        <v>340</v>
      </c>
      <c r="D196" s="50">
        <f>(37.36)*10.764</f>
        <v>402.14303999999998</v>
      </c>
      <c r="E196" s="37">
        <v>0</v>
      </c>
      <c r="F196" s="37">
        <f t="shared" si="34"/>
        <v>402.14303999999998</v>
      </c>
      <c r="G196" s="37">
        <v>0</v>
      </c>
      <c r="H196" s="37">
        <f t="shared" si="35"/>
        <v>623.32171200000005</v>
      </c>
      <c r="I196" s="31"/>
      <c r="L196" s="91"/>
      <c r="M196" s="91"/>
      <c r="N196" s="31"/>
    </row>
    <row r="197" spans="1:20" s="32" customFormat="1" ht="46.5" customHeight="1" x14ac:dyDescent="0.25">
      <c r="A197" s="37">
        <f t="shared" si="36"/>
        <v>7</v>
      </c>
      <c r="B197" s="49" t="s">
        <v>319</v>
      </c>
      <c r="C197" s="51" t="s">
        <v>340</v>
      </c>
      <c r="D197" s="50">
        <f>(28.55)*10.764</f>
        <v>307.31219999999996</v>
      </c>
      <c r="E197" s="37">
        <v>0</v>
      </c>
      <c r="F197" s="37">
        <f t="shared" si="34"/>
        <v>307.31219999999996</v>
      </c>
      <c r="G197" s="37">
        <v>0</v>
      </c>
      <c r="H197" s="37">
        <f t="shared" si="35"/>
        <v>476.33390999999995</v>
      </c>
      <c r="I197" s="31"/>
      <c r="L197" s="91"/>
      <c r="M197" s="91"/>
      <c r="N197" s="31"/>
    </row>
    <row r="198" spans="1:20" s="32" customFormat="1" x14ac:dyDescent="0.25">
      <c r="A198" s="117" t="s">
        <v>326</v>
      </c>
      <c r="B198" s="117"/>
      <c r="C198" s="117"/>
      <c r="D198" s="117"/>
      <c r="E198" s="117"/>
      <c r="F198" s="117"/>
      <c r="G198" s="117"/>
      <c r="H198" s="117"/>
      <c r="J198" s="31"/>
      <c r="T198" s="16"/>
    </row>
    <row r="199" spans="1:20" s="32" customFormat="1" ht="46.5" customHeight="1" x14ac:dyDescent="0.25">
      <c r="A199" s="37">
        <v>1</v>
      </c>
      <c r="B199" s="49" t="s">
        <v>319</v>
      </c>
      <c r="C199" s="51" t="s">
        <v>340</v>
      </c>
      <c r="D199" s="50">
        <f>(50.57)*10.764</f>
        <v>544.33547999999996</v>
      </c>
      <c r="E199" s="37">
        <v>0</v>
      </c>
      <c r="F199" s="37">
        <f>D199+(IF(E199&lt;201,E199,IF(E199&lt;301,E199/2,E199/3)))</f>
        <v>544.33547999999996</v>
      </c>
      <c r="G199" s="37">
        <v>0</v>
      </c>
      <c r="H199" s="37">
        <f>(F199+(IF(G199&lt;101,G199,IF(G199&lt;201,G199/2,IF(G199&lt;=301,G199/3,G199/4)))))*(($H$122)+1)</f>
        <v>843.71999399999993</v>
      </c>
      <c r="I199" s="31"/>
      <c r="L199" s="91"/>
      <c r="M199" s="91"/>
      <c r="N199" s="31"/>
      <c r="T199" s="16"/>
    </row>
    <row r="200" spans="1:20" s="32" customFormat="1" ht="45.95" customHeight="1" x14ac:dyDescent="0.25">
      <c r="A200" s="37">
        <f>A199+1</f>
        <v>2</v>
      </c>
      <c r="B200" s="49" t="s">
        <v>319</v>
      </c>
      <c r="C200" s="51" t="s">
        <v>340</v>
      </c>
      <c r="D200" s="50">
        <f>(40.63)*10.764</f>
        <v>437.34132</v>
      </c>
      <c r="E200" s="37">
        <v>0</v>
      </c>
      <c r="F200" s="37">
        <f t="shared" ref="F200:F203" si="37">D200+(IF(E200&lt;201,E200,IF(E200&lt;301,E200/2,E200/3)))</f>
        <v>437.34132</v>
      </c>
      <c r="G200" s="37">
        <v>0</v>
      </c>
      <c r="H200" s="37">
        <f t="shared" ref="H200:H203" si="38">(F200+(IF(G200&lt;101,G200,IF(G200&lt;201,G200/2,IF(G200&lt;=301,G200/3,G200/4)))))*(($H$122)+1)</f>
        <v>677.87904600000002</v>
      </c>
      <c r="I200" s="31"/>
      <c r="L200" s="91"/>
      <c r="M200" s="91"/>
      <c r="N200" s="31"/>
    </row>
    <row r="201" spans="1:20" s="32" customFormat="1" ht="47.1" customHeight="1" x14ac:dyDescent="0.25">
      <c r="A201" s="37">
        <f>A200+1</f>
        <v>3</v>
      </c>
      <c r="B201" s="49" t="s">
        <v>319</v>
      </c>
      <c r="C201" s="51" t="s">
        <v>340</v>
      </c>
      <c r="D201" s="50">
        <f>(38.88)*10.764</f>
        <v>418.50432000000001</v>
      </c>
      <c r="E201" s="37">
        <v>0</v>
      </c>
      <c r="F201" s="37">
        <f t="shared" si="37"/>
        <v>418.50432000000001</v>
      </c>
      <c r="G201" s="37">
        <v>0</v>
      </c>
      <c r="H201" s="37">
        <f t="shared" si="38"/>
        <v>648.68169599999999</v>
      </c>
      <c r="I201" s="31"/>
      <c r="L201" s="91"/>
      <c r="M201" s="91"/>
      <c r="N201" s="31"/>
    </row>
    <row r="202" spans="1:20" s="32" customFormat="1" ht="45.95" customHeight="1" x14ac:dyDescent="0.25">
      <c r="A202" s="37">
        <f t="shared" ref="A202:A203" si="39">A201+1</f>
        <v>4</v>
      </c>
      <c r="B202" s="49" t="s">
        <v>319</v>
      </c>
      <c r="C202" s="51" t="s">
        <v>340</v>
      </c>
      <c r="D202" s="50">
        <f>(35.89)*10.764</f>
        <v>386.31995999999998</v>
      </c>
      <c r="E202" s="37">
        <v>0</v>
      </c>
      <c r="F202" s="37">
        <f t="shared" si="37"/>
        <v>386.31995999999998</v>
      </c>
      <c r="G202" s="37">
        <v>0</v>
      </c>
      <c r="H202" s="37">
        <f t="shared" si="38"/>
        <v>598.79593799999998</v>
      </c>
      <c r="I202" s="31"/>
      <c r="L202" s="91"/>
      <c r="M202" s="91"/>
      <c r="N202" s="31"/>
    </row>
    <row r="203" spans="1:20" s="32" customFormat="1" ht="45.95" customHeight="1" x14ac:dyDescent="0.25">
      <c r="A203" s="37">
        <f t="shared" si="39"/>
        <v>5</v>
      </c>
      <c r="B203" s="49" t="s">
        <v>319</v>
      </c>
      <c r="C203" s="51" t="s">
        <v>340</v>
      </c>
      <c r="D203" s="50">
        <f>(28.57)*10.764</f>
        <v>307.52747999999997</v>
      </c>
      <c r="E203" s="37">
        <v>0</v>
      </c>
      <c r="F203" s="37">
        <f t="shared" si="37"/>
        <v>307.52747999999997</v>
      </c>
      <c r="G203" s="37">
        <v>0</v>
      </c>
      <c r="H203" s="37">
        <f t="shared" si="38"/>
        <v>476.66759399999995</v>
      </c>
      <c r="I203" s="31"/>
      <c r="L203" s="91"/>
      <c r="M203" s="91"/>
      <c r="N203" s="31"/>
    </row>
    <row r="204" spans="1:20" s="32" customFormat="1" hidden="1" x14ac:dyDescent="0.25">
      <c r="A204" s="101" t="s">
        <v>327</v>
      </c>
      <c r="B204" s="102"/>
      <c r="C204" s="102"/>
      <c r="D204" s="102"/>
      <c r="E204" s="102"/>
      <c r="F204" s="102"/>
      <c r="G204" s="102"/>
      <c r="H204" s="103"/>
      <c r="J204" s="31"/>
      <c r="T204" s="16"/>
    </row>
    <row r="205" spans="1:20" s="32" customFormat="1" ht="47.1" hidden="1" customHeight="1" x14ac:dyDescent="0.25">
      <c r="A205" s="37">
        <v>1</v>
      </c>
      <c r="B205" s="49" t="s">
        <v>319</v>
      </c>
      <c r="C205" s="51" t="s">
        <v>340</v>
      </c>
      <c r="D205" s="50">
        <f>(50.57)*10.764</f>
        <v>544.33547999999996</v>
      </c>
      <c r="E205" s="37">
        <v>0</v>
      </c>
      <c r="F205" s="37">
        <f>D205+(IF(E205&lt;201,E205,IF(E205&lt;301,E205/2,E205/3)))</f>
        <v>544.33547999999996</v>
      </c>
      <c r="G205" s="37">
        <v>0</v>
      </c>
      <c r="H205" s="37">
        <f>(F205+(IF(G205&lt;101,G205,IF(G205&lt;201,G205/2,IF(G205&lt;=301,G205/3,G205/4)))))*(($H$122)+1)</f>
        <v>843.71999399999993</v>
      </c>
      <c r="I205" s="31"/>
      <c r="L205" s="91"/>
      <c r="M205" s="91"/>
      <c r="N205" s="31"/>
      <c r="T205" s="16"/>
    </row>
    <row r="206" spans="1:20" s="32" customFormat="1" ht="47.1" hidden="1" customHeight="1" x14ac:dyDescent="0.25">
      <c r="A206" s="37">
        <f>A205+1</f>
        <v>2</v>
      </c>
      <c r="B206" s="37" t="s">
        <v>318</v>
      </c>
      <c r="C206" s="51" t="s">
        <v>340</v>
      </c>
      <c r="D206" s="50">
        <f>(40.63)*10.764</f>
        <v>437.34132</v>
      </c>
      <c r="E206" s="37">
        <v>0</v>
      </c>
      <c r="F206" s="37">
        <f t="shared" ref="F206:F211" si="40">D206+(IF(E206&lt;201,E206,IF(E206&lt;301,E206/2,E206/3)))</f>
        <v>437.34132</v>
      </c>
      <c r="G206" s="37">
        <v>0</v>
      </c>
      <c r="H206" s="37">
        <f t="shared" ref="H206:H211" si="41">(F206+(IF(G206&lt;101,G206,IF(G206&lt;201,G206/2,IF(G206&lt;=301,G206/3,G206/4)))))*(($H$122)+1)</f>
        <v>677.87904600000002</v>
      </c>
      <c r="I206" s="31"/>
      <c r="L206" s="91"/>
      <c r="M206" s="91"/>
      <c r="N206" s="31"/>
    </row>
    <row r="207" spans="1:20" s="32" customFormat="1" ht="47.45" hidden="1" customHeight="1" x14ac:dyDescent="0.25">
      <c r="A207" s="37">
        <f>A206+1</f>
        <v>3</v>
      </c>
      <c r="B207" s="37" t="s">
        <v>318</v>
      </c>
      <c r="C207" s="51" t="s">
        <v>340</v>
      </c>
      <c r="D207" s="50">
        <f>(35.04)*10.764</f>
        <v>377.17055999999997</v>
      </c>
      <c r="E207" s="37">
        <v>0</v>
      </c>
      <c r="F207" s="37">
        <f t="shared" si="40"/>
        <v>377.17055999999997</v>
      </c>
      <c r="G207" s="37">
        <v>0</v>
      </c>
      <c r="H207" s="37">
        <f t="shared" si="41"/>
        <v>584.61436800000001</v>
      </c>
      <c r="I207" s="31"/>
      <c r="L207" s="91"/>
      <c r="M207" s="91"/>
      <c r="N207" s="31"/>
    </row>
    <row r="208" spans="1:20" s="32" customFormat="1" ht="45.95" hidden="1" customHeight="1" x14ac:dyDescent="0.25">
      <c r="A208" s="37">
        <f t="shared" ref="A208:A211" si="42">A207+1</f>
        <v>4</v>
      </c>
      <c r="B208" s="37" t="s">
        <v>318</v>
      </c>
      <c r="C208" s="51" t="s">
        <v>340</v>
      </c>
      <c r="D208" s="50">
        <f>(36.08)*10.764</f>
        <v>388.36511999999993</v>
      </c>
      <c r="E208" s="37">
        <v>0</v>
      </c>
      <c r="F208" s="37">
        <f t="shared" si="40"/>
        <v>388.36511999999993</v>
      </c>
      <c r="G208" s="37">
        <v>0</v>
      </c>
      <c r="H208" s="37">
        <f t="shared" si="41"/>
        <v>601.96593599999994</v>
      </c>
      <c r="I208" s="31"/>
      <c r="L208" s="91"/>
      <c r="M208" s="91"/>
      <c r="N208" s="31"/>
    </row>
    <row r="209" spans="1:20" s="32" customFormat="1" ht="45.95" hidden="1" customHeight="1" x14ac:dyDescent="0.25">
      <c r="A209" s="37">
        <f t="shared" si="42"/>
        <v>5</v>
      </c>
      <c r="B209" s="49" t="s">
        <v>319</v>
      </c>
      <c r="C209" s="51" t="s">
        <v>340</v>
      </c>
      <c r="D209" s="50">
        <f>(48.75)*10.764</f>
        <v>524.745</v>
      </c>
      <c r="E209" s="37">
        <v>0</v>
      </c>
      <c r="F209" s="37">
        <f t="shared" si="40"/>
        <v>524.745</v>
      </c>
      <c r="G209" s="37">
        <v>0</v>
      </c>
      <c r="H209" s="37">
        <f t="shared" si="41"/>
        <v>813.35475000000008</v>
      </c>
      <c r="I209" s="31"/>
      <c r="L209" s="91"/>
      <c r="M209" s="91"/>
      <c r="N209" s="31"/>
    </row>
    <row r="210" spans="1:20" s="32" customFormat="1" ht="45.95" hidden="1" customHeight="1" x14ac:dyDescent="0.25">
      <c r="A210" s="37">
        <f t="shared" si="42"/>
        <v>6</v>
      </c>
      <c r="B210" s="49" t="s">
        <v>319</v>
      </c>
      <c r="C210" s="51" t="s">
        <v>340</v>
      </c>
      <c r="D210" s="50">
        <f>(37.4)*10.764</f>
        <v>402.57359999999994</v>
      </c>
      <c r="E210" s="37">
        <v>0</v>
      </c>
      <c r="F210" s="37">
        <f t="shared" si="40"/>
        <v>402.57359999999994</v>
      </c>
      <c r="G210" s="37">
        <v>0</v>
      </c>
      <c r="H210" s="37">
        <f t="shared" si="41"/>
        <v>623.98907999999994</v>
      </c>
      <c r="I210" s="31"/>
      <c r="L210" s="91"/>
      <c r="M210" s="91"/>
      <c r="N210" s="31"/>
    </row>
    <row r="211" spans="1:20" s="32" customFormat="1" ht="48" hidden="1" customHeight="1" x14ac:dyDescent="0.25">
      <c r="A211" s="37">
        <f t="shared" si="42"/>
        <v>7</v>
      </c>
      <c r="B211" s="49" t="s">
        <v>319</v>
      </c>
      <c r="C211" s="51" t="s">
        <v>340</v>
      </c>
      <c r="D211" s="50">
        <f>(28.57)*10.764</f>
        <v>307.52747999999997</v>
      </c>
      <c r="E211" s="37">
        <v>0</v>
      </c>
      <c r="F211" s="37">
        <f t="shared" si="40"/>
        <v>307.52747999999997</v>
      </c>
      <c r="G211" s="37">
        <v>0</v>
      </c>
      <c r="H211" s="37">
        <f t="shared" si="41"/>
        <v>476.66759399999995</v>
      </c>
      <c r="I211" s="31"/>
      <c r="L211" s="91"/>
      <c r="M211" s="91"/>
      <c r="N211" s="31"/>
    </row>
    <row r="212" spans="1:20" s="32" customFormat="1" x14ac:dyDescent="0.25">
      <c r="A212" s="106"/>
      <c r="B212" s="106"/>
      <c r="C212" s="106"/>
      <c r="D212" s="106"/>
      <c r="E212" s="106"/>
      <c r="F212" s="106"/>
      <c r="G212" s="106"/>
      <c r="H212" s="106"/>
      <c r="I212" s="31"/>
      <c r="N212" s="31"/>
    </row>
    <row r="213" spans="1:20" ht="47.25" customHeight="1" x14ac:dyDescent="0.25">
      <c r="A213" s="126" t="s">
        <v>337</v>
      </c>
      <c r="B213" s="126" t="s">
        <v>317</v>
      </c>
      <c r="C213" s="126" t="s">
        <v>55</v>
      </c>
      <c r="D213" s="126" t="s">
        <v>232</v>
      </c>
      <c r="E213" s="126" t="s">
        <v>231</v>
      </c>
      <c r="F213" s="126" t="s">
        <v>56</v>
      </c>
      <c r="G213" s="136" t="s">
        <v>57</v>
      </c>
      <c r="H213" s="59" t="s">
        <v>148</v>
      </c>
      <c r="I213" s="31"/>
      <c r="T213" s="32"/>
    </row>
    <row r="214" spans="1:20" s="32" customFormat="1" x14ac:dyDescent="0.25">
      <c r="A214" s="126"/>
      <c r="B214" s="126"/>
      <c r="C214" s="126"/>
      <c r="D214" s="126"/>
      <c r="E214" s="126"/>
      <c r="F214" s="126"/>
      <c r="G214" s="136"/>
      <c r="H214" s="60">
        <v>0.5</v>
      </c>
      <c r="I214" s="31"/>
    </row>
    <row r="215" spans="1:20" s="32" customFormat="1" x14ac:dyDescent="0.25">
      <c r="A215" s="116" t="s">
        <v>328</v>
      </c>
      <c r="B215" s="116"/>
      <c r="C215" s="116"/>
      <c r="D215" s="116"/>
      <c r="E215" s="116"/>
      <c r="F215" s="116"/>
      <c r="G215" s="116"/>
      <c r="H215" s="116"/>
      <c r="J215" s="31"/>
    </row>
    <row r="216" spans="1:20" s="32" customFormat="1" x14ac:dyDescent="0.25">
      <c r="A216" s="116" t="s">
        <v>360</v>
      </c>
      <c r="B216" s="116"/>
      <c r="C216" s="116"/>
      <c r="D216" s="116"/>
      <c r="E216" s="116"/>
      <c r="F216" s="116"/>
      <c r="G216" s="116"/>
      <c r="H216" s="116"/>
      <c r="J216" s="31"/>
    </row>
    <row r="217" spans="1:20" s="32" customFormat="1" ht="15.75" customHeight="1" x14ac:dyDescent="0.25">
      <c r="A217" s="37">
        <v>1</v>
      </c>
      <c r="B217" s="37" t="s">
        <v>318</v>
      </c>
      <c r="C217" s="37" t="s">
        <v>329</v>
      </c>
      <c r="D217" s="50">
        <f>(31.04)*10.764</f>
        <v>334.11455999999998</v>
      </c>
      <c r="E217" s="37">
        <v>0</v>
      </c>
      <c r="F217" s="37">
        <f t="shared" ref="F217:F225" si="43">D217+E217</f>
        <v>334.11455999999998</v>
      </c>
      <c r="G217" s="37">
        <v>0</v>
      </c>
      <c r="H217" s="37">
        <f t="shared" ref="H217:H225" si="44">F217*(($H$214)+1)+(IF(G217&lt;101,G217,IF(G217&lt;201,G217/2,IF(G217&lt;=301,G217/3,G217/4))))</f>
        <v>501.17183999999997</v>
      </c>
      <c r="I217" s="31">
        <f>6.09*2.4+1.8*2.8+2.75*2.8+1.24*1.8+1.24*1</f>
        <v>30.827999999999996</v>
      </c>
      <c r="L217" s="91"/>
      <c r="M217" s="91"/>
      <c r="N217" s="31"/>
      <c r="T217" s="16"/>
    </row>
    <row r="218" spans="1:20" s="32" customFormat="1" ht="15.75" customHeight="1" x14ac:dyDescent="0.25">
      <c r="A218" s="37">
        <f t="shared" ref="A218:A225" si="45">A217+1</f>
        <v>2</v>
      </c>
      <c r="B218" s="37" t="s">
        <v>318</v>
      </c>
      <c r="C218" s="37" t="s">
        <v>329</v>
      </c>
      <c r="D218" s="50">
        <f>(30.04)*10.764</f>
        <v>323.35055999999997</v>
      </c>
      <c r="E218" s="37">
        <v>0</v>
      </c>
      <c r="F218" s="37">
        <f t="shared" si="43"/>
        <v>323.35055999999997</v>
      </c>
      <c r="G218" s="37">
        <v>0</v>
      </c>
      <c r="H218" s="37">
        <f t="shared" si="44"/>
        <v>485.02583999999996</v>
      </c>
      <c r="I218" s="31"/>
      <c r="L218" s="91"/>
      <c r="M218" s="91"/>
      <c r="N218" s="31"/>
    </row>
    <row r="219" spans="1:20" s="32" customFormat="1" ht="15.75" customHeight="1" x14ac:dyDescent="0.25">
      <c r="A219" s="37">
        <f t="shared" si="45"/>
        <v>3</v>
      </c>
      <c r="B219" s="37" t="s">
        <v>318</v>
      </c>
      <c r="C219" s="37" t="s">
        <v>329</v>
      </c>
      <c r="D219" s="50">
        <f>(30.23)*10.764</f>
        <v>325.39571999999998</v>
      </c>
      <c r="E219" s="37">
        <v>0</v>
      </c>
      <c r="F219" s="37">
        <f t="shared" si="43"/>
        <v>325.39571999999998</v>
      </c>
      <c r="G219" s="37">
        <v>0</v>
      </c>
      <c r="H219" s="37">
        <f t="shared" si="44"/>
        <v>488.09357999999997</v>
      </c>
      <c r="I219" s="31"/>
      <c r="L219" s="91"/>
      <c r="M219" s="91"/>
      <c r="N219" s="31"/>
    </row>
    <row r="220" spans="1:20" s="32" customFormat="1" ht="15.75" customHeight="1" x14ac:dyDescent="0.25">
      <c r="A220" s="37">
        <f t="shared" si="45"/>
        <v>4</v>
      </c>
      <c r="B220" s="37" t="s">
        <v>318</v>
      </c>
      <c r="C220" s="37" t="s">
        <v>329</v>
      </c>
      <c r="D220" s="50">
        <f>(29.99)*10.764</f>
        <v>322.81235999999996</v>
      </c>
      <c r="E220" s="37">
        <v>0</v>
      </c>
      <c r="F220" s="37">
        <f t="shared" si="43"/>
        <v>322.81235999999996</v>
      </c>
      <c r="G220" s="37">
        <v>0</v>
      </c>
      <c r="H220" s="37">
        <f t="shared" si="44"/>
        <v>484.21853999999996</v>
      </c>
      <c r="I220" s="31"/>
      <c r="L220" s="91"/>
      <c r="M220" s="91"/>
      <c r="N220" s="31"/>
    </row>
    <row r="221" spans="1:20" s="32" customFormat="1" ht="15.75" customHeight="1" x14ac:dyDescent="0.25">
      <c r="A221" s="37">
        <f t="shared" si="45"/>
        <v>5</v>
      </c>
      <c r="B221" s="37" t="s">
        <v>318</v>
      </c>
      <c r="C221" s="37" t="s">
        <v>329</v>
      </c>
      <c r="D221" s="50">
        <f>(29.97)*10.764</f>
        <v>322.59707999999995</v>
      </c>
      <c r="E221" s="37">
        <v>0</v>
      </c>
      <c r="F221" s="37">
        <f t="shared" si="43"/>
        <v>322.59707999999995</v>
      </c>
      <c r="G221" s="37">
        <v>0</v>
      </c>
      <c r="H221" s="37">
        <f t="shared" si="44"/>
        <v>483.89561999999989</v>
      </c>
      <c r="I221" s="31"/>
      <c r="J221" s="32">
        <f>151+14+61</f>
        <v>226</v>
      </c>
      <c r="L221" s="91"/>
      <c r="M221" s="91"/>
      <c r="N221" s="31"/>
    </row>
    <row r="222" spans="1:20" s="32" customFormat="1" ht="15.75" customHeight="1" x14ac:dyDescent="0.25">
      <c r="A222" s="37">
        <f t="shared" si="45"/>
        <v>6</v>
      </c>
      <c r="B222" s="37" t="s">
        <v>318</v>
      </c>
      <c r="C222" s="37" t="s">
        <v>329</v>
      </c>
      <c r="D222" s="50">
        <f>(29.77)*10.764</f>
        <v>320.44427999999999</v>
      </c>
      <c r="E222" s="37">
        <v>0</v>
      </c>
      <c r="F222" s="37">
        <f t="shared" si="43"/>
        <v>320.44427999999999</v>
      </c>
      <c r="G222" s="37">
        <v>0</v>
      </c>
      <c r="H222" s="37">
        <f t="shared" si="44"/>
        <v>480.66642000000002</v>
      </c>
      <c r="I222" s="31"/>
      <c r="L222" s="91"/>
      <c r="M222" s="91"/>
      <c r="N222" s="31"/>
    </row>
    <row r="223" spans="1:20" s="32" customFormat="1" ht="15.75" customHeight="1" x14ac:dyDescent="0.25">
      <c r="A223" s="37">
        <f t="shared" si="45"/>
        <v>7</v>
      </c>
      <c r="B223" s="37" t="s">
        <v>318</v>
      </c>
      <c r="C223" s="37" t="s">
        <v>329</v>
      </c>
      <c r="D223" s="50">
        <f>(29.61)*10.764</f>
        <v>318.72203999999999</v>
      </c>
      <c r="E223" s="37">
        <v>0</v>
      </c>
      <c r="F223" s="37">
        <f t="shared" si="43"/>
        <v>318.72203999999999</v>
      </c>
      <c r="G223" s="37">
        <v>0</v>
      </c>
      <c r="H223" s="37">
        <f t="shared" si="44"/>
        <v>478.08305999999999</v>
      </c>
      <c r="I223" s="31"/>
      <c r="L223" s="91"/>
      <c r="M223" s="91"/>
      <c r="N223" s="31"/>
    </row>
    <row r="224" spans="1:20" s="32" customFormat="1" ht="15.75" customHeight="1" x14ac:dyDescent="0.25">
      <c r="A224" s="37">
        <f t="shared" si="45"/>
        <v>8</v>
      </c>
      <c r="B224" s="37" t="s">
        <v>318</v>
      </c>
      <c r="C224" s="37" t="s">
        <v>329</v>
      </c>
      <c r="D224" s="50">
        <f>(29.55)*10.764</f>
        <v>318.07619999999997</v>
      </c>
      <c r="E224" s="37">
        <v>0</v>
      </c>
      <c r="F224" s="37">
        <f t="shared" si="43"/>
        <v>318.07619999999997</v>
      </c>
      <c r="G224" s="37">
        <v>0</v>
      </c>
      <c r="H224" s="37">
        <f t="shared" si="44"/>
        <v>477.11429999999996</v>
      </c>
      <c r="I224" s="31"/>
      <c r="L224" s="91"/>
      <c r="M224" s="91"/>
      <c r="N224" s="31"/>
    </row>
    <row r="225" spans="1:20" s="32" customFormat="1" ht="15.75" customHeight="1" x14ac:dyDescent="0.25">
      <c r="A225" s="37">
        <f t="shared" si="45"/>
        <v>9</v>
      </c>
      <c r="B225" s="37" t="s">
        <v>318</v>
      </c>
      <c r="C225" s="37" t="s">
        <v>329</v>
      </c>
      <c r="D225" s="50">
        <f>(29.77)*10.764</f>
        <v>320.44427999999999</v>
      </c>
      <c r="E225" s="37">
        <v>0</v>
      </c>
      <c r="F225" s="37">
        <f t="shared" si="43"/>
        <v>320.44427999999999</v>
      </c>
      <c r="G225" s="37">
        <v>0</v>
      </c>
      <c r="H225" s="37">
        <f t="shared" si="44"/>
        <v>480.66642000000002</v>
      </c>
      <c r="I225" s="31"/>
      <c r="L225" s="91"/>
      <c r="M225" s="91"/>
      <c r="N225" s="31"/>
    </row>
    <row r="226" spans="1:20" s="32" customFormat="1" x14ac:dyDescent="0.25">
      <c r="A226" s="101" t="s">
        <v>331</v>
      </c>
      <c r="B226" s="102"/>
      <c r="C226" s="102"/>
      <c r="D226" s="102"/>
      <c r="E226" s="102"/>
      <c r="F226" s="102"/>
      <c r="G226" s="102"/>
      <c r="H226" s="103"/>
      <c r="J226" s="31"/>
    </row>
    <row r="227" spans="1:20" s="32" customFormat="1" ht="15.75" customHeight="1" x14ac:dyDescent="0.25">
      <c r="A227" s="37">
        <v>1</v>
      </c>
      <c r="B227" s="37" t="s">
        <v>318</v>
      </c>
      <c r="C227" s="37" t="s">
        <v>329</v>
      </c>
      <c r="D227" s="50">
        <f>(31.04)*10.764</f>
        <v>334.11455999999998</v>
      </c>
      <c r="E227" s="37">
        <v>0</v>
      </c>
      <c r="F227" s="37">
        <f t="shared" ref="F227:F232" si="46">D227+E227</f>
        <v>334.11455999999998</v>
      </c>
      <c r="G227" s="37">
        <v>0</v>
      </c>
      <c r="H227" s="37">
        <f t="shared" ref="H227:H232" si="47">F227*(($H$214)+1)+(IF(G227&lt;101,G227,IF(G227&lt;201,G227/2,IF(G227&lt;=301,G227/3,G227/4))))</f>
        <v>501.17183999999997</v>
      </c>
      <c r="I227" s="31"/>
      <c r="L227" s="91"/>
      <c r="M227" s="91"/>
      <c r="N227" s="31"/>
      <c r="T227" s="16"/>
    </row>
    <row r="228" spans="1:20" s="32" customFormat="1" ht="15.75" customHeight="1" x14ac:dyDescent="0.25">
      <c r="A228" s="37">
        <f t="shared" ref="A228:A235" si="48">A227+1</f>
        <v>2</v>
      </c>
      <c r="B228" s="37" t="s">
        <v>318</v>
      </c>
      <c r="C228" s="37" t="s">
        <v>329</v>
      </c>
      <c r="D228" s="50">
        <f>(30.04)*10.764</f>
        <v>323.35055999999997</v>
      </c>
      <c r="E228" s="37">
        <v>0</v>
      </c>
      <c r="F228" s="37">
        <f t="shared" si="46"/>
        <v>323.35055999999997</v>
      </c>
      <c r="G228" s="37">
        <v>0</v>
      </c>
      <c r="H228" s="37">
        <f t="shared" si="47"/>
        <v>485.02583999999996</v>
      </c>
      <c r="I228" s="31"/>
      <c r="L228" s="91"/>
      <c r="M228" s="91"/>
      <c r="N228" s="31"/>
    </row>
    <row r="229" spans="1:20" s="32" customFormat="1" ht="15.75" customHeight="1" x14ac:dyDescent="0.25">
      <c r="A229" s="37">
        <f t="shared" si="48"/>
        <v>3</v>
      </c>
      <c r="B229" s="37" t="s">
        <v>318</v>
      </c>
      <c r="C229" s="37" t="s">
        <v>329</v>
      </c>
      <c r="D229" s="50">
        <f>(30.23)*10.764</f>
        <v>325.39571999999998</v>
      </c>
      <c r="E229" s="37">
        <v>0</v>
      </c>
      <c r="F229" s="37">
        <f t="shared" si="46"/>
        <v>325.39571999999998</v>
      </c>
      <c r="G229" s="37">
        <v>0</v>
      </c>
      <c r="H229" s="37">
        <f t="shared" si="47"/>
        <v>488.09357999999997</v>
      </c>
      <c r="I229" s="31"/>
      <c r="L229" s="91"/>
      <c r="M229" s="91"/>
      <c r="N229" s="31"/>
    </row>
    <row r="230" spans="1:20" s="32" customFormat="1" ht="15.75" customHeight="1" x14ac:dyDescent="0.25">
      <c r="A230" s="37">
        <f t="shared" si="48"/>
        <v>4</v>
      </c>
      <c r="B230" s="37" t="s">
        <v>318</v>
      </c>
      <c r="C230" s="37" t="s">
        <v>329</v>
      </c>
      <c r="D230" s="50">
        <f>(29.99)*10.764</f>
        <v>322.81235999999996</v>
      </c>
      <c r="E230" s="37">
        <v>0</v>
      </c>
      <c r="F230" s="37">
        <f t="shared" si="46"/>
        <v>322.81235999999996</v>
      </c>
      <c r="G230" s="37">
        <v>0</v>
      </c>
      <c r="H230" s="37">
        <f t="shared" si="47"/>
        <v>484.21853999999996</v>
      </c>
      <c r="I230" s="31"/>
      <c r="L230" s="91"/>
      <c r="M230" s="91"/>
      <c r="N230" s="31"/>
    </row>
    <row r="231" spans="1:20" s="32" customFormat="1" ht="15.75" customHeight="1" x14ac:dyDescent="0.25">
      <c r="A231" s="37">
        <f t="shared" si="48"/>
        <v>5</v>
      </c>
      <c r="B231" s="37" t="s">
        <v>318</v>
      </c>
      <c r="C231" s="37" t="s">
        <v>332</v>
      </c>
      <c r="D231" s="50">
        <f>(40.18)*10.764</f>
        <v>432.49751999999995</v>
      </c>
      <c r="E231" s="37">
        <v>0</v>
      </c>
      <c r="F231" s="37">
        <f t="shared" si="46"/>
        <v>432.49751999999995</v>
      </c>
      <c r="G231" s="37">
        <v>0</v>
      </c>
      <c r="H231" s="37">
        <f t="shared" si="47"/>
        <v>648.74627999999996</v>
      </c>
      <c r="I231" s="31"/>
      <c r="L231" s="91"/>
      <c r="M231" s="91"/>
      <c r="N231" s="31"/>
    </row>
    <row r="232" spans="1:20" s="32" customFormat="1" ht="15.75" customHeight="1" x14ac:dyDescent="0.25">
      <c r="A232" s="37">
        <f t="shared" si="48"/>
        <v>6</v>
      </c>
      <c r="B232" s="37" t="s">
        <v>318</v>
      </c>
      <c r="C232" s="37" t="s">
        <v>329</v>
      </c>
      <c r="D232" s="50">
        <f>(38.28)*10.764</f>
        <v>412.04591999999997</v>
      </c>
      <c r="E232" s="37">
        <v>0</v>
      </c>
      <c r="F232" s="37">
        <f t="shared" si="46"/>
        <v>412.04591999999997</v>
      </c>
      <c r="G232" s="37">
        <v>0</v>
      </c>
      <c r="H232" s="37">
        <f t="shared" si="47"/>
        <v>618.06887999999992</v>
      </c>
      <c r="I232" s="31"/>
      <c r="L232" s="91"/>
      <c r="M232" s="91"/>
      <c r="N232" s="31"/>
    </row>
    <row r="233" spans="1:20" s="32" customFormat="1" ht="15.75" customHeight="1" x14ac:dyDescent="0.25">
      <c r="A233" s="37">
        <f t="shared" si="48"/>
        <v>7</v>
      </c>
      <c r="B233" s="92" t="s">
        <v>334</v>
      </c>
      <c r="C233" s="93"/>
      <c r="D233" s="93"/>
      <c r="E233" s="93"/>
      <c r="F233" s="93"/>
      <c r="G233" s="93"/>
      <c r="H233" s="94"/>
      <c r="I233" s="31"/>
      <c r="L233" s="91"/>
      <c r="M233" s="91"/>
      <c r="N233" s="31"/>
    </row>
    <row r="234" spans="1:20" s="32" customFormat="1" ht="15.75" customHeight="1" x14ac:dyDescent="0.25">
      <c r="A234" s="37">
        <f t="shared" si="48"/>
        <v>8</v>
      </c>
      <c r="B234" s="95"/>
      <c r="C234" s="96"/>
      <c r="D234" s="96"/>
      <c r="E234" s="96"/>
      <c r="F234" s="96"/>
      <c r="G234" s="96"/>
      <c r="H234" s="97"/>
      <c r="I234" s="31"/>
      <c r="L234" s="91"/>
      <c r="M234" s="91"/>
      <c r="N234" s="31"/>
    </row>
    <row r="235" spans="1:20" s="32" customFormat="1" ht="15.75" customHeight="1" x14ac:dyDescent="0.25">
      <c r="A235" s="37">
        <f t="shared" si="48"/>
        <v>9</v>
      </c>
      <c r="B235" s="98"/>
      <c r="C235" s="99"/>
      <c r="D235" s="99"/>
      <c r="E235" s="99"/>
      <c r="F235" s="99"/>
      <c r="G235" s="99"/>
      <c r="H235" s="100"/>
      <c r="I235" s="31"/>
      <c r="L235" s="91"/>
      <c r="M235" s="91"/>
      <c r="N235" s="31"/>
    </row>
    <row r="236" spans="1:20" s="32" customFormat="1" x14ac:dyDescent="0.25">
      <c r="A236" s="101" t="s">
        <v>330</v>
      </c>
      <c r="B236" s="102"/>
      <c r="C236" s="102"/>
      <c r="D236" s="102"/>
      <c r="E236" s="102"/>
      <c r="F236" s="102"/>
      <c r="G236" s="102"/>
      <c r="H236" s="103"/>
      <c r="J236" s="31"/>
    </row>
    <row r="237" spans="1:20" s="32" customFormat="1" ht="15.75" customHeight="1" x14ac:dyDescent="0.25">
      <c r="A237" s="37">
        <v>1</v>
      </c>
      <c r="B237" s="37" t="s">
        <v>318</v>
      </c>
      <c r="C237" s="37" t="s">
        <v>329</v>
      </c>
      <c r="D237" s="50">
        <f>(31.04)*10.764</f>
        <v>334.11455999999998</v>
      </c>
      <c r="E237" s="37">
        <v>0</v>
      </c>
      <c r="F237" s="37">
        <f t="shared" ref="F237:F245" si="49">D237+E237</f>
        <v>334.11455999999998</v>
      </c>
      <c r="G237" s="37">
        <v>0</v>
      </c>
      <c r="H237" s="37">
        <f t="shared" ref="H237:H245" si="50">F237*(($H$214)+1)+(IF(G237&lt;101,G237,IF(G237&lt;201,G237/2,IF(G237&lt;=301,G237/3,G237/4))))</f>
        <v>501.17183999999997</v>
      </c>
      <c r="I237" s="31"/>
      <c r="L237" s="91"/>
      <c r="M237" s="91"/>
      <c r="N237" s="31"/>
      <c r="T237" s="16"/>
    </row>
    <row r="238" spans="1:20" s="32" customFormat="1" ht="15.75" customHeight="1" x14ac:dyDescent="0.25">
      <c r="A238" s="37">
        <f t="shared" ref="A238:A245" si="51">A237+1</f>
        <v>2</v>
      </c>
      <c r="B238" s="49" t="s">
        <v>319</v>
      </c>
      <c r="C238" s="37" t="s">
        <v>329</v>
      </c>
      <c r="D238" s="50">
        <f>(30.04)*10.764</f>
        <v>323.35055999999997</v>
      </c>
      <c r="E238" s="37">
        <v>0</v>
      </c>
      <c r="F238" s="37">
        <f t="shared" si="49"/>
        <v>323.35055999999997</v>
      </c>
      <c r="G238" s="37">
        <v>0</v>
      </c>
      <c r="H238" s="37">
        <f t="shared" si="50"/>
        <v>485.02583999999996</v>
      </c>
      <c r="I238" s="31"/>
      <c r="L238" s="91"/>
      <c r="M238" s="91"/>
      <c r="N238" s="31"/>
    </row>
    <row r="239" spans="1:20" s="32" customFormat="1" ht="15.75" customHeight="1" x14ac:dyDescent="0.25">
      <c r="A239" s="37">
        <f t="shared" si="51"/>
        <v>3</v>
      </c>
      <c r="B239" s="49" t="s">
        <v>319</v>
      </c>
      <c r="C239" s="37" t="s">
        <v>329</v>
      </c>
      <c r="D239" s="50">
        <f>(30.23)*10.764</f>
        <v>325.39571999999998</v>
      </c>
      <c r="E239" s="37">
        <v>0</v>
      </c>
      <c r="F239" s="37">
        <f t="shared" si="49"/>
        <v>325.39571999999998</v>
      </c>
      <c r="G239" s="37">
        <v>0</v>
      </c>
      <c r="H239" s="37">
        <f t="shared" si="50"/>
        <v>488.09357999999997</v>
      </c>
      <c r="I239" s="31"/>
      <c r="L239" s="91"/>
      <c r="M239" s="91"/>
      <c r="N239" s="31"/>
    </row>
    <row r="240" spans="1:20" s="32" customFormat="1" ht="15.75" customHeight="1" x14ac:dyDescent="0.25">
      <c r="A240" s="37">
        <f t="shared" si="51"/>
        <v>4</v>
      </c>
      <c r="B240" s="37" t="s">
        <v>318</v>
      </c>
      <c r="C240" s="37" t="s">
        <v>329</v>
      </c>
      <c r="D240" s="50">
        <f>(29.99)*10.764</f>
        <v>322.81235999999996</v>
      </c>
      <c r="E240" s="37">
        <v>0</v>
      </c>
      <c r="F240" s="37">
        <f t="shared" si="49"/>
        <v>322.81235999999996</v>
      </c>
      <c r="G240" s="37">
        <v>0</v>
      </c>
      <c r="H240" s="37">
        <f t="shared" si="50"/>
        <v>484.21853999999996</v>
      </c>
      <c r="I240" s="31"/>
      <c r="L240" s="91"/>
      <c r="M240" s="91"/>
      <c r="N240" s="31"/>
    </row>
    <row r="241" spans="1:20" s="32" customFormat="1" ht="15.75" customHeight="1" x14ac:dyDescent="0.25">
      <c r="A241" s="37">
        <f t="shared" si="51"/>
        <v>5</v>
      </c>
      <c r="B241" s="37" t="s">
        <v>318</v>
      </c>
      <c r="C241" s="37" t="s">
        <v>329</v>
      </c>
      <c r="D241" s="50">
        <f>(29.97)*10.764</f>
        <v>322.59707999999995</v>
      </c>
      <c r="E241" s="37">
        <v>0</v>
      </c>
      <c r="F241" s="37">
        <f t="shared" si="49"/>
        <v>322.59707999999995</v>
      </c>
      <c r="G241" s="37">
        <v>0</v>
      </c>
      <c r="H241" s="37">
        <f t="shared" si="50"/>
        <v>483.89561999999989</v>
      </c>
      <c r="I241" s="31"/>
      <c r="L241" s="91"/>
      <c r="M241" s="91"/>
      <c r="N241" s="31"/>
    </row>
    <row r="242" spans="1:20" s="32" customFormat="1" ht="15.75" customHeight="1" x14ac:dyDescent="0.25">
      <c r="A242" s="37">
        <f t="shared" si="51"/>
        <v>6</v>
      </c>
      <c r="B242" s="37" t="s">
        <v>318</v>
      </c>
      <c r="C242" s="37" t="s">
        <v>329</v>
      </c>
      <c r="D242" s="50">
        <f>(29.77)*10.764</f>
        <v>320.44427999999999</v>
      </c>
      <c r="E242" s="37">
        <v>0</v>
      </c>
      <c r="F242" s="37">
        <f t="shared" si="49"/>
        <v>320.44427999999999</v>
      </c>
      <c r="G242" s="37">
        <v>0</v>
      </c>
      <c r="H242" s="37">
        <f t="shared" si="50"/>
        <v>480.66642000000002</v>
      </c>
      <c r="I242" s="31"/>
      <c r="L242" s="91"/>
      <c r="M242" s="91"/>
      <c r="N242" s="31"/>
    </row>
    <row r="243" spans="1:20" s="32" customFormat="1" ht="15.75" customHeight="1" x14ac:dyDescent="0.25">
      <c r="A243" s="37">
        <f t="shared" si="51"/>
        <v>7</v>
      </c>
      <c r="B243" s="49" t="s">
        <v>319</v>
      </c>
      <c r="C243" s="37" t="s">
        <v>329</v>
      </c>
      <c r="D243" s="50">
        <f>(29.61)*10.764</f>
        <v>318.72203999999999</v>
      </c>
      <c r="E243" s="37">
        <v>0</v>
      </c>
      <c r="F243" s="37">
        <f t="shared" si="49"/>
        <v>318.72203999999999</v>
      </c>
      <c r="G243" s="37">
        <v>0</v>
      </c>
      <c r="H243" s="37">
        <f t="shared" si="50"/>
        <v>478.08305999999999</v>
      </c>
      <c r="I243" s="31"/>
      <c r="L243" s="91"/>
      <c r="M243" s="91"/>
      <c r="N243" s="31"/>
    </row>
    <row r="244" spans="1:20" s="32" customFormat="1" ht="15.75" customHeight="1" x14ac:dyDescent="0.25">
      <c r="A244" s="37">
        <f t="shared" si="51"/>
        <v>8</v>
      </c>
      <c r="B244" s="49" t="s">
        <v>319</v>
      </c>
      <c r="C244" s="37" t="s">
        <v>329</v>
      </c>
      <c r="D244" s="50">
        <f>(29.55)*10.764</f>
        <v>318.07619999999997</v>
      </c>
      <c r="E244" s="37">
        <v>0</v>
      </c>
      <c r="F244" s="37">
        <f t="shared" si="49"/>
        <v>318.07619999999997</v>
      </c>
      <c r="G244" s="37">
        <v>0</v>
      </c>
      <c r="H244" s="37">
        <f t="shared" si="50"/>
        <v>477.11429999999996</v>
      </c>
      <c r="I244" s="31"/>
      <c r="L244" s="91"/>
      <c r="M244" s="91"/>
      <c r="N244" s="31"/>
    </row>
    <row r="245" spans="1:20" s="32" customFormat="1" ht="15.75" customHeight="1" x14ac:dyDescent="0.25">
      <c r="A245" s="37">
        <f t="shared" si="51"/>
        <v>9</v>
      </c>
      <c r="B245" s="37" t="s">
        <v>318</v>
      </c>
      <c r="C245" s="37" t="s">
        <v>329</v>
      </c>
      <c r="D245" s="50">
        <f>(29.77)*10.764</f>
        <v>320.44427999999999</v>
      </c>
      <c r="E245" s="37">
        <v>0</v>
      </c>
      <c r="F245" s="37">
        <f t="shared" si="49"/>
        <v>320.44427999999999</v>
      </c>
      <c r="G245" s="37">
        <v>0</v>
      </c>
      <c r="H245" s="37">
        <f t="shared" si="50"/>
        <v>480.66642000000002</v>
      </c>
      <c r="I245" s="31"/>
      <c r="L245" s="91"/>
      <c r="M245" s="91"/>
      <c r="N245" s="31"/>
    </row>
    <row r="246" spans="1:20" s="32" customFormat="1" x14ac:dyDescent="0.25">
      <c r="A246" s="101" t="s">
        <v>335</v>
      </c>
      <c r="B246" s="102"/>
      <c r="C246" s="102"/>
      <c r="D246" s="102"/>
      <c r="E246" s="102"/>
      <c r="F246" s="102"/>
      <c r="G246" s="102"/>
      <c r="H246" s="103"/>
      <c r="J246" s="31"/>
    </row>
    <row r="247" spans="1:20" s="32" customFormat="1" ht="15.75" customHeight="1" x14ac:dyDescent="0.25">
      <c r="A247" s="37">
        <v>1</v>
      </c>
      <c r="B247" s="49" t="s">
        <v>319</v>
      </c>
      <c r="C247" s="37" t="s">
        <v>329</v>
      </c>
      <c r="D247" s="50">
        <f>(31.04)*10.764</f>
        <v>334.11455999999998</v>
      </c>
      <c r="E247" s="37">
        <v>0</v>
      </c>
      <c r="F247" s="37">
        <f t="shared" ref="F247:F254" si="52">D247+E247</f>
        <v>334.11455999999998</v>
      </c>
      <c r="G247" s="37">
        <v>0</v>
      </c>
      <c r="H247" s="37">
        <f t="shared" ref="H247:H254" si="53">F247*(($H$214)+1)+(IF(G247&lt;101,G247,IF(G247&lt;201,G247/2,IF(G247&lt;=301,G247/3,G247/4))))</f>
        <v>501.17183999999997</v>
      </c>
      <c r="I247" s="31"/>
      <c r="L247" s="91"/>
      <c r="M247" s="91"/>
      <c r="N247" s="31"/>
      <c r="T247" s="16"/>
    </row>
    <row r="248" spans="1:20" s="32" customFormat="1" ht="15.75" customHeight="1" x14ac:dyDescent="0.25">
      <c r="A248" s="37">
        <f t="shared" ref="A248:A255" si="54">A247+1</f>
        <v>2</v>
      </c>
      <c r="B248" s="49" t="s">
        <v>319</v>
      </c>
      <c r="C248" s="37" t="s">
        <v>329</v>
      </c>
      <c r="D248" s="50">
        <f>(30.04)*10.764</f>
        <v>323.35055999999997</v>
      </c>
      <c r="E248" s="37">
        <v>0</v>
      </c>
      <c r="F248" s="37">
        <f t="shared" si="52"/>
        <v>323.35055999999997</v>
      </c>
      <c r="G248" s="37">
        <v>0</v>
      </c>
      <c r="H248" s="37">
        <f t="shared" si="53"/>
        <v>485.02583999999996</v>
      </c>
      <c r="I248" s="31"/>
      <c r="L248" s="91"/>
      <c r="M248" s="91"/>
      <c r="N248" s="31"/>
    </row>
    <row r="249" spans="1:20" s="32" customFormat="1" ht="15.75" customHeight="1" x14ac:dyDescent="0.25">
      <c r="A249" s="37">
        <f t="shared" si="54"/>
        <v>3</v>
      </c>
      <c r="B249" s="49" t="s">
        <v>319</v>
      </c>
      <c r="C249" s="37" t="s">
        <v>329</v>
      </c>
      <c r="D249" s="50">
        <f>(30.23)*10.764</f>
        <v>325.39571999999998</v>
      </c>
      <c r="E249" s="37">
        <v>0</v>
      </c>
      <c r="F249" s="37">
        <f t="shared" si="52"/>
        <v>325.39571999999998</v>
      </c>
      <c r="G249" s="37">
        <v>0</v>
      </c>
      <c r="H249" s="37">
        <f t="shared" si="53"/>
        <v>488.09357999999997</v>
      </c>
      <c r="I249" s="31"/>
      <c r="L249" s="91"/>
      <c r="M249" s="91"/>
      <c r="N249" s="31"/>
    </row>
    <row r="250" spans="1:20" s="32" customFormat="1" ht="15.75" customHeight="1" x14ac:dyDescent="0.25">
      <c r="A250" s="37">
        <f t="shared" si="54"/>
        <v>4</v>
      </c>
      <c r="B250" s="49" t="s">
        <v>319</v>
      </c>
      <c r="C250" s="37" t="s">
        <v>329</v>
      </c>
      <c r="D250" s="50">
        <f>(29.99)*10.764</f>
        <v>322.81235999999996</v>
      </c>
      <c r="E250" s="37">
        <v>0</v>
      </c>
      <c r="F250" s="37">
        <f t="shared" si="52"/>
        <v>322.81235999999996</v>
      </c>
      <c r="G250" s="37">
        <v>0</v>
      </c>
      <c r="H250" s="37">
        <f t="shared" si="53"/>
        <v>484.21853999999996</v>
      </c>
      <c r="I250" s="31"/>
      <c r="L250" s="91"/>
      <c r="M250" s="91"/>
      <c r="N250" s="31"/>
    </row>
    <row r="251" spans="1:20" s="32" customFormat="1" ht="15.75" customHeight="1" x14ac:dyDescent="0.25">
      <c r="A251" s="37">
        <f t="shared" si="54"/>
        <v>5</v>
      </c>
      <c r="B251" s="49" t="s">
        <v>319</v>
      </c>
      <c r="C251" s="37" t="s">
        <v>329</v>
      </c>
      <c r="D251" s="50">
        <f>(29.97)*10.764</f>
        <v>322.59707999999995</v>
      </c>
      <c r="E251" s="37">
        <v>0</v>
      </c>
      <c r="F251" s="37">
        <f t="shared" si="52"/>
        <v>322.59707999999995</v>
      </c>
      <c r="G251" s="37">
        <v>0</v>
      </c>
      <c r="H251" s="37">
        <f t="shared" si="53"/>
        <v>483.89561999999989</v>
      </c>
      <c r="I251" s="31"/>
      <c r="L251" s="91"/>
      <c r="M251" s="91"/>
      <c r="N251" s="31"/>
    </row>
    <row r="252" spans="1:20" s="32" customFormat="1" ht="15.75" customHeight="1" x14ac:dyDescent="0.25">
      <c r="A252" s="37">
        <f t="shared" si="54"/>
        <v>6</v>
      </c>
      <c r="B252" s="49" t="s">
        <v>319</v>
      </c>
      <c r="C252" s="37" t="s">
        <v>329</v>
      </c>
      <c r="D252" s="50">
        <f>(29.77)*10.764</f>
        <v>320.44427999999999</v>
      </c>
      <c r="E252" s="37">
        <v>0</v>
      </c>
      <c r="F252" s="37">
        <f t="shared" si="52"/>
        <v>320.44427999999999</v>
      </c>
      <c r="G252" s="37">
        <v>0</v>
      </c>
      <c r="H252" s="37">
        <f t="shared" si="53"/>
        <v>480.66642000000002</v>
      </c>
      <c r="I252" s="31"/>
      <c r="L252" s="91"/>
      <c r="M252" s="91"/>
      <c r="N252" s="31"/>
    </row>
    <row r="253" spans="1:20" s="32" customFormat="1" ht="15.75" customHeight="1" x14ac:dyDescent="0.25">
      <c r="A253" s="37">
        <f t="shared" si="54"/>
        <v>7</v>
      </c>
      <c r="B253" s="49" t="s">
        <v>319</v>
      </c>
      <c r="C253" s="37" t="s">
        <v>329</v>
      </c>
      <c r="D253" s="50">
        <f>(29.61)*10.764</f>
        <v>318.72203999999999</v>
      </c>
      <c r="E253" s="37">
        <v>0</v>
      </c>
      <c r="F253" s="37">
        <f t="shared" si="52"/>
        <v>318.72203999999999</v>
      </c>
      <c r="G253" s="37">
        <v>0</v>
      </c>
      <c r="H253" s="37">
        <f t="shared" si="53"/>
        <v>478.08305999999999</v>
      </c>
      <c r="I253" s="31"/>
      <c r="L253" s="91"/>
      <c r="M253" s="91"/>
      <c r="N253" s="31"/>
    </row>
    <row r="254" spans="1:20" s="32" customFormat="1" ht="15.75" customHeight="1" x14ac:dyDescent="0.25">
      <c r="A254" s="37">
        <f t="shared" si="54"/>
        <v>8</v>
      </c>
      <c r="B254" s="49" t="s">
        <v>319</v>
      </c>
      <c r="C254" s="37" t="s">
        <v>329</v>
      </c>
      <c r="D254" s="50">
        <f>(29.55)*10.764</f>
        <v>318.07619999999997</v>
      </c>
      <c r="E254" s="37">
        <v>0</v>
      </c>
      <c r="F254" s="37">
        <f t="shared" si="52"/>
        <v>318.07619999999997</v>
      </c>
      <c r="G254" s="37">
        <v>0</v>
      </c>
      <c r="H254" s="37">
        <f t="shared" si="53"/>
        <v>477.11429999999996</v>
      </c>
      <c r="I254" s="31"/>
      <c r="L254" s="91"/>
      <c r="M254" s="91"/>
      <c r="N254" s="31"/>
    </row>
    <row r="255" spans="1:20" s="32" customFormat="1" ht="15.75" customHeight="1" x14ac:dyDescent="0.25">
      <c r="A255" s="37">
        <f t="shared" si="54"/>
        <v>9</v>
      </c>
      <c r="B255" s="49" t="s">
        <v>319</v>
      </c>
      <c r="C255" s="37" t="s">
        <v>329</v>
      </c>
      <c r="D255" s="50">
        <f>(29.44)*10.764</f>
        <v>316.89215999999999</v>
      </c>
      <c r="E255" s="37">
        <v>0</v>
      </c>
      <c r="F255" s="37">
        <f t="shared" ref="F255" si="55">D255+E255</f>
        <v>316.89215999999999</v>
      </c>
      <c r="G255" s="37">
        <v>0</v>
      </c>
      <c r="H255" s="37">
        <f t="shared" ref="H255" si="56">F255*(($H$214)+1)+(IF(G255&lt;101,G255,IF(G255&lt;201,G255/2,IF(G255&lt;=301,G255/3,G255/4))))</f>
        <v>475.33823999999998</v>
      </c>
      <c r="I255" s="31"/>
      <c r="L255" s="91"/>
      <c r="M255" s="91"/>
      <c r="N255" s="31"/>
    </row>
    <row r="256" spans="1:20" s="32" customFormat="1" x14ac:dyDescent="0.25">
      <c r="A256" s="101" t="s">
        <v>361</v>
      </c>
      <c r="B256" s="102"/>
      <c r="C256" s="102"/>
      <c r="D256" s="102"/>
      <c r="E256" s="102"/>
      <c r="F256" s="102"/>
      <c r="G256" s="102"/>
      <c r="H256" s="103"/>
      <c r="J256" s="31"/>
    </row>
    <row r="257" spans="1:20" s="32" customFormat="1" ht="15.75" customHeight="1" x14ac:dyDescent="0.25">
      <c r="A257" s="37">
        <v>1</v>
      </c>
      <c r="B257" s="49" t="s">
        <v>319</v>
      </c>
      <c r="C257" s="37" t="s">
        <v>329</v>
      </c>
      <c r="D257" s="50">
        <f>(31.04)*10.764</f>
        <v>334.11455999999998</v>
      </c>
      <c r="E257" s="37">
        <v>0</v>
      </c>
      <c r="F257" s="37">
        <f t="shared" ref="F257:F262" si="57">D257+E257</f>
        <v>334.11455999999998</v>
      </c>
      <c r="G257" s="37">
        <v>0</v>
      </c>
      <c r="H257" s="37">
        <f t="shared" ref="H257:H262" si="58">F257*(($H$214)+1)+(IF(G257&lt;101,G257,IF(G257&lt;201,G257/2,IF(G257&lt;=301,G257/3,G257/4))))</f>
        <v>501.17183999999997</v>
      </c>
      <c r="I257" s="31"/>
      <c r="L257" s="91"/>
      <c r="M257" s="91"/>
      <c r="N257" s="31"/>
      <c r="T257" s="16"/>
    </row>
    <row r="258" spans="1:20" s="32" customFormat="1" ht="15.75" customHeight="1" x14ac:dyDescent="0.25">
      <c r="A258" s="37">
        <f t="shared" ref="A258:A265" si="59">A257+1</f>
        <v>2</v>
      </c>
      <c r="B258" s="49" t="s">
        <v>319</v>
      </c>
      <c r="C258" s="37" t="s">
        <v>329</v>
      </c>
      <c r="D258" s="50">
        <f>(30.04)*10.764</f>
        <v>323.35055999999997</v>
      </c>
      <c r="E258" s="37">
        <v>0</v>
      </c>
      <c r="F258" s="37">
        <f t="shared" si="57"/>
        <v>323.35055999999997</v>
      </c>
      <c r="G258" s="37">
        <v>0</v>
      </c>
      <c r="H258" s="37">
        <f t="shared" si="58"/>
        <v>485.02583999999996</v>
      </c>
      <c r="I258" s="31"/>
      <c r="L258" s="91"/>
      <c r="M258" s="91"/>
      <c r="N258" s="31"/>
    </row>
    <row r="259" spans="1:20" s="32" customFormat="1" ht="15.75" customHeight="1" x14ac:dyDescent="0.25">
      <c r="A259" s="37">
        <f t="shared" si="59"/>
        <v>3</v>
      </c>
      <c r="B259" s="49" t="s">
        <v>319</v>
      </c>
      <c r="C259" s="37" t="s">
        <v>329</v>
      </c>
      <c r="D259" s="50">
        <f>(30.23)*10.764</f>
        <v>325.39571999999998</v>
      </c>
      <c r="E259" s="37">
        <v>0</v>
      </c>
      <c r="F259" s="37">
        <f t="shared" si="57"/>
        <v>325.39571999999998</v>
      </c>
      <c r="G259" s="37">
        <v>0</v>
      </c>
      <c r="H259" s="37">
        <f t="shared" si="58"/>
        <v>488.09357999999997</v>
      </c>
      <c r="I259" s="31"/>
      <c r="L259" s="91"/>
      <c r="M259" s="91"/>
      <c r="N259" s="31"/>
    </row>
    <row r="260" spans="1:20" s="32" customFormat="1" ht="15.75" customHeight="1" x14ac:dyDescent="0.25">
      <c r="A260" s="37">
        <f t="shared" si="59"/>
        <v>4</v>
      </c>
      <c r="B260" s="49" t="s">
        <v>319</v>
      </c>
      <c r="C260" s="37" t="s">
        <v>329</v>
      </c>
      <c r="D260" s="50">
        <f>(29.99)*10.764</f>
        <v>322.81235999999996</v>
      </c>
      <c r="E260" s="37">
        <v>0</v>
      </c>
      <c r="F260" s="37">
        <f t="shared" si="57"/>
        <v>322.81235999999996</v>
      </c>
      <c r="G260" s="37">
        <v>0</v>
      </c>
      <c r="H260" s="37">
        <f t="shared" si="58"/>
        <v>484.21853999999996</v>
      </c>
      <c r="I260" s="31"/>
      <c r="L260" s="91"/>
      <c r="M260" s="91"/>
      <c r="N260" s="31"/>
    </row>
    <row r="261" spans="1:20" s="32" customFormat="1" ht="15.75" customHeight="1" x14ac:dyDescent="0.25">
      <c r="A261" s="37">
        <f t="shared" si="59"/>
        <v>5</v>
      </c>
      <c r="B261" s="37" t="s">
        <v>318</v>
      </c>
      <c r="C261" s="37" t="s">
        <v>329</v>
      </c>
      <c r="D261" s="50">
        <f>(35.23)*10.764</f>
        <v>379.21571999999992</v>
      </c>
      <c r="E261" s="37">
        <v>0</v>
      </c>
      <c r="F261" s="37">
        <f t="shared" si="57"/>
        <v>379.21571999999992</v>
      </c>
      <c r="G261" s="37">
        <v>0</v>
      </c>
      <c r="H261" s="37">
        <f t="shared" si="58"/>
        <v>568.82357999999988</v>
      </c>
      <c r="I261" s="31"/>
      <c r="L261" s="91"/>
      <c r="M261" s="91"/>
      <c r="N261" s="31"/>
    </row>
    <row r="262" spans="1:20" s="32" customFormat="1" ht="15.75" customHeight="1" x14ac:dyDescent="0.25">
      <c r="A262" s="37">
        <f t="shared" si="59"/>
        <v>6</v>
      </c>
      <c r="B262" s="37" t="s">
        <v>318</v>
      </c>
      <c r="C262" s="37" t="s">
        <v>329</v>
      </c>
      <c r="D262" s="50">
        <f>(34.47)*10.764</f>
        <v>371.03507999999999</v>
      </c>
      <c r="E262" s="37">
        <v>0</v>
      </c>
      <c r="F262" s="37">
        <f t="shared" si="57"/>
        <v>371.03507999999999</v>
      </c>
      <c r="G262" s="37">
        <v>0</v>
      </c>
      <c r="H262" s="37">
        <f t="shared" si="58"/>
        <v>556.55261999999993</v>
      </c>
      <c r="I262" s="31"/>
      <c r="L262" s="91"/>
      <c r="M262" s="91"/>
      <c r="N262" s="31"/>
    </row>
    <row r="263" spans="1:20" s="32" customFormat="1" ht="15.75" customHeight="1" x14ac:dyDescent="0.25">
      <c r="A263" s="37">
        <f t="shared" si="59"/>
        <v>7</v>
      </c>
      <c r="B263" s="92" t="s">
        <v>334</v>
      </c>
      <c r="C263" s="93"/>
      <c r="D263" s="93"/>
      <c r="E263" s="93"/>
      <c r="F263" s="93"/>
      <c r="G263" s="93"/>
      <c r="H263" s="94"/>
      <c r="I263" s="31"/>
      <c r="L263" s="91"/>
      <c r="M263" s="91"/>
      <c r="N263" s="31"/>
    </row>
    <row r="264" spans="1:20" s="32" customFormat="1" ht="15.75" customHeight="1" x14ac:dyDescent="0.25">
      <c r="A264" s="37">
        <f t="shared" si="59"/>
        <v>8</v>
      </c>
      <c r="B264" s="95"/>
      <c r="C264" s="96"/>
      <c r="D264" s="96"/>
      <c r="E264" s="96"/>
      <c r="F264" s="96"/>
      <c r="G264" s="96"/>
      <c r="H264" s="97"/>
      <c r="I264" s="31"/>
      <c r="L264" s="91"/>
      <c r="M264" s="91"/>
      <c r="N264" s="31"/>
    </row>
    <row r="265" spans="1:20" s="32" customFormat="1" ht="15.75" customHeight="1" x14ac:dyDescent="0.25">
      <c r="A265" s="37">
        <f t="shared" si="59"/>
        <v>9</v>
      </c>
      <c r="B265" s="98"/>
      <c r="C265" s="99"/>
      <c r="D265" s="99"/>
      <c r="E265" s="99"/>
      <c r="F265" s="99"/>
      <c r="G265" s="99"/>
      <c r="H265" s="100"/>
      <c r="I265" s="31"/>
      <c r="L265" s="91"/>
      <c r="M265" s="91"/>
      <c r="N265" s="31"/>
    </row>
    <row r="266" spans="1:20" s="32" customFormat="1" x14ac:dyDescent="0.25">
      <c r="A266" s="101" t="s">
        <v>362</v>
      </c>
      <c r="B266" s="102"/>
      <c r="C266" s="102"/>
      <c r="D266" s="102"/>
      <c r="E266" s="102"/>
      <c r="F266" s="102"/>
      <c r="G266" s="102"/>
      <c r="H266" s="103"/>
      <c r="J266" s="31"/>
    </row>
    <row r="267" spans="1:20" s="32" customFormat="1" ht="15.75" customHeight="1" x14ac:dyDescent="0.25">
      <c r="A267" s="37">
        <v>1</v>
      </c>
      <c r="B267" s="37" t="s">
        <v>318</v>
      </c>
      <c r="C267" s="37" t="s">
        <v>329</v>
      </c>
      <c r="D267" s="50">
        <f>(31.04)*10.764</f>
        <v>334.11455999999998</v>
      </c>
      <c r="E267" s="37">
        <v>0</v>
      </c>
      <c r="F267" s="37">
        <f t="shared" ref="F267:F275" si="60">D267+E267</f>
        <v>334.11455999999998</v>
      </c>
      <c r="G267" s="37">
        <v>0</v>
      </c>
      <c r="H267" s="37">
        <f t="shared" ref="H267:H275" si="61">F267*(($H$214)+1)+(IF(G267&lt;101,G267,IF(G267&lt;201,G267/2,IF(G267&lt;=301,G267/3,G267/4))))</f>
        <v>501.17183999999997</v>
      </c>
      <c r="I267" s="31"/>
      <c r="L267" s="91"/>
      <c r="M267" s="91"/>
      <c r="N267" s="31"/>
      <c r="T267" s="16"/>
    </row>
    <row r="268" spans="1:20" s="32" customFormat="1" ht="15.75" customHeight="1" x14ac:dyDescent="0.25">
      <c r="A268" s="37">
        <f t="shared" ref="A268:A275" si="62">A267+1</f>
        <v>2</v>
      </c>
      <c r="B268" s="49" t="s">
        <v>319</v>
      </c>
      <c r="C268" s="37" t="s">
        <v>329</v>
      </c>
      <c r="D268" s="50">
        <f>(30.04)*10.764</f>
        <v>323.35055999999997</v>
      </c>
      <c r="E268" s="37">
        <v>0</v>
      </c>
      <c r="F268" s="37">
        <f t="shared" si="60"/>
        <v>323.35055999999997</v>
      </c>
      <c r="G268" s="37">
        <v>0</v>
      </c>
      <c r="H268" s="37">
        <f t="shared" si="61"/>
        <v>485.02583999999996</v>
      </c>
      <c r="I268" s="31"/>
      <c r="L268" s="91"/>
      <c r="M268" s="91"/>
      <c r="N268" s="31"/>
    </row>
    <row r="269" spans="1:20" s="32" customFormat="1" ht="15.75" customHeight="1" x14ac:dyDescent="0.25">
      <c r="A269" s="37">
        <f t="shared" si="62"/>
        <v>3</v>
      </c>
      <c r="B269" s="49" t="s">
        <v>319</v>
      </c>
      <c r="C269" s="37" t="s">
        <v>329</v>
      </c>
      <c r="D269" s="50">
        <f>(30.23)*10.764</f>
        <v>325.39571999999998</v>
      </c>
      <c r="E269" s="37">
        <v>0</v>
      </c>
      <c r="F269" s="37">
        <f t="shared" si="60"/>
        <v>325.39571999999998</v>
      </c>
      <c r="G269" s="37">
        <v>0</v>
      </c>
      <c r="H269" s="37">
        <f t="shared" si="61"/>
        <v>488.09357999999997</v>
      </c>
      <c r="I269" s="31"/>
      <c r="L269" s="91"/>
      <c r="M269" s="91"/>
      <c r="N269" s="31"/>
    </row>
    <row r="270" spans="1:20" s="32" customFormat="1" ht="15.75" customHeight="1" x14ac:dyDescent="0.25">
      <c r="A270" s="37">
        <f t="shared" si="62"/>
        <v>4</v>
      </c>
      <c r="B270" s="37" t="s">
        <v>318</v>
      </c>
      <c r="C270" s="37" t="s">
        <v>329</v>
      </c>
      <c r="D270" s="50">
        <f>(29.99)*10.764</f>
        <v>322.81235999999996</v>
      </c>
      <c r="E270" s="37">
        <v>0</v>
      </c>
      <c r="F270" s="37">
        <f t="shared" si="60"/>
        <v>322.81235999999996</v>
      </c>
      <c r="G270" s="37">
        <v>0</v>
      </c>
      <c r="H270" s="37">
        <f t="shared" si="61"/>
        <v>484.21853999999996</v>
      </c>
      <c r="I270" s="31"/>
      <c r="L270" s="91"/>
      <c r="M270" s="91"/>
      <c r="N270" s="31"/>
    </row>
    <row r="271" spans="1:20" s="32" customFormat="1" ht="15.75" customHeight="1" x14ac:dyDescent="0.25">
      <c r="A271" s="37">
        <f t="shared" si="62"/>
        <v>5</v>
      </c>
      <c r="B271" s="37" t="s">
        <v>318</v>
      </c>
      <c r="C271" s="37" t="s">
        <v>329</v>
      </c>
      <c r="D271" s="50">
        <f>(29.97)*10.764</f>
        <v>322.59707999999995</v>
      </c>
      <c r="E271" s="37">
        <v>0</v>
      </c>
      <c r="F271" s="37">
        <f t="shared" si="60"/>
        <v>322.59707999999995</v>
      </c>
      <c r="G271" s="37">
        <v>0</v>
      </c>
      <c r="H271" s="37">
        <f t="shared" si="61"/>
        <v>483.89561999999989</v>
      </c>
      <c r="I271" s="31"/>
      <c r="L271" s="91"/>
      <c r="M271" s="91"/>
      <c r="N271" s="31"/>
    </row>
    <row r="272" spans="1:20" s="32" customFormat="1" ht="15.75" customHeight="1" x14ac:dyDescent="0.25">
      <c r="A272" s="37">
        <f t="shared" si="62"/>
        <v>6</v>
      </c>
      <c r="B272" s="37" t="s">
        <v>318</v>
      </c>
      <c r="C272" s="37" t="s">
        <v>329</v>
      </c>
      <c r="D272" s="50">
        <f>(29.77)*10.764</f>
        <v>320.44427999999999</v>
      </c>
      <c r="E272" s="37">
        <v>0</v>
      </c>
      <c r="F272" s="37">
        <f t="shared" si="60"/>
        <v>320.44427999999999</v>
      </c>
      <c r="G272" s="37">
        <v>0</v>
      </c>
      <c r="H272" s="37">
        <f t="shared" si="61"/>
        <v>480.66642000000002</v>
      </c>
      <c r="I272" s="31"/>
      <c r="L272" s="91"/>
      <c r="M272" s="91"/>
      <c r="N272" s="31"/>
    </row>
    <row r="273" spans="1:20" s="32" customFormat="1" ht="15.75" customHeight="1" x14ac:dyDescent="0.25">
      <c r="A273" s="37">
        <f t="shared" si="62"/>
        <v>7</v>
      </c>
      <c r="B273" s="49" t="s">
        <v>319</v>
      </c>
      <c r="C273" s="37" t="s">
        <v>329</v>
      </c>
      <c r="D273" s="50">
        <f>(29.61)*10.764</f>
        <v>318.72203999999999</v>
      </c>
      <c r="E273" s="37">
        <v>0</v>
      </c>
      <c r="F273" s="37">
        <f t="shared" si="60"/>
        <v>318.72203999999999</v>
      </c>
      <c r="G273" s="37">
        <v>0</v>
      </c>
      <c r="H273" s="37">
        <f t="shared" si="61"/>
        <v>478.08305999999999</v>
      </c>
      <c r="I273" s="31"/>
      <c r="L273" s="91"/>
      <c r="M273" s="91"/>
      <c r="N273" s="31"/>
    </row>
    <row r="274" spans="1:20" s="32" customFormat="1" ht="15.75" customHeight="1" x14ac:dyDescent="0.25">
      <c r="A274" s="37">
        <f t="shared" si="62"/>
        <v>8</v>
      </c>
      <c r="B274" s="49" t="s">
        <v>319</v>
      </c>
      <c r="C274" s="37" t="s">
        <v>329</v>
      </c>
      <c r="D274" s="50">
        <f>(29.55)*10.764</f>
        <v>318.07619999999997</v>
      </c>
      <c r="E274" s="37">
        <v>0</v>
      </c>
      <c r="F274" s="37">
        <f t="shared" si="60"/>
        <v>318.07619999999997</v>
      </c>
      <c r="G274" s="37">
        <v>0</v>
      </c>
      <c r="H274" s="37">
        <f t="shared" si="61"/>
        <v>477.11429999999996</v>
      </c>
      <c r="I274" s="31"/>
      <c r="L274" s="91"/>
      <c r="M274" s="91"/>
      <c r="N274" s="31"/>
    </row>
    <row r="275" spans="1:20" s="32" customFormat="1" ht="15.75" customHeight="1" x14ac:dyDescent="0.25">
      <c r="A275" s="37">
        <f t="shared" si="62"/>
        <v>9</v>
      </c>
      <c r="B275" s="37" t="s">
        <v>318</v>
      </c>
      <c r="C275" s="37" t="s">
        <v>329</v>
      </c>
      <c r="D275" s="50">
        <f>(29.63)*10.764</f>
        <v>318.93731999999994</v>
      </c>
      <c r="E275" s="37">
        <v>0</v>
      </c>
      <c r="F275" s="37">
        <f t="shared" si="60"/>
        <v>318.93731999999994</v>
      </c>
      <c r="G275" s="37">
        <v>0</v>
      </c>
      <c r="H275" s="37">
        <f t="shared" si="61"/>
        <v>478.40597999999989</v>
      </c>
      <c r="I275" s="31"/>
      <c r="L275" s="91"/>
      <c r="M275" s="91"/>
      <c r="N275" s="31"/>
    </row>
    <row r="276" spans="1:20" s="32" customFormat="1" x14ac:dyDescent="0.25">
      <c r="A276" s="101" t="s">
        <v>363</v>
      </c>
      <c r="B276" s="102"/>
      <c r="C276" s="102"/>
      <c r="D276" s="102"/>
      <c r="E276" s="102"/>
      <c r="F276" s="102"/>
      <c r="G276" s="102"/>
      <c r="H276" s="103"/>
      <c r="J276" s="31"/>
    </row>
    <row r="277" spans="1:20" s="32" customFormat="1" ht="15.75" customHeight="1" x14ac:dyDescent="0.25">
      <c r="A277" s="37">
        <v>1</v>
      </c>
      <c r="B277" s="37" t="s">
        <v>318</v>
      </c>
      <c r="C277" s="37" t="s">
        <v>329</v>
      </c>
      <c r="D277" s="50">
        <f>(31.04)*10.764</f>
        <v>334.11455999999998</v>
      </c>
      <c r="E277" s="37">
        <v>0</v>
      </c>
      <c r="F277" s="37">
        <f t="shared" ref="F277:F283" si="63">D277+E277</f>
        <v>334.11455999999998</v>
      </c>
      <c r="G277" s="37">
        <v>0</v>
      </c>
      <c r="H277" s="37">
        <f t="shared" ref="H277:H283" si="64">F277*(($H$214)+1)+(IF(G277&lt;101,G277,IF(G277&lt;201,G277/2,IF(G277&lt;=301,G277/3,G277/4))))</f>
        <v>501.17183999999997</v>
      </c>
      <c r="I277" s="31"/>
      <c r="L277" s="91"/>
      <c r="M277" s="91"/>
      <c r="N277" s="31"/>
      <c r="T277" s="16"/>
    </row>
    <row r="278" spans="1:20" s="32" customFormat="1" ht="15.75" customHeight="1" x14ac:dyDescent="0.25">
      <c r="A278" s="37">
        <f t="shared" ref="A278:A283" si="65">A277+1</f>
        <v>2</v>
      </c>
      <c r="B278" s="37" t="s">
        <v>318</v>
      </c>
      <c r="C278" s="37" t="s">
        <v>332</v>
      </c>
      <c r="D278" s="50">
        <f>(43.03)*10.764</f>
        <v>463.17491999999999</v>
      </c>
      <c r="E278" s="37">
        <v>0</v>
      </c>
      <c r="F278" s="37">
        <f t="shared" si="63"/>
        <v>463.17491999999999</v>
      </c>
      <c r="G278" s="37">
        <v>0</v>
      </c>
      <c r="H278" s="37">
        <f t="shared" si="64"/>
        <v>694.76238000000001</v>
      </c>
      <c r="I278" s="31"/>
      <c r="L278" s="91"/>
      <c r="M278" s="91"/>
      <c r="N278" s="31"/>
    </row>
    <row r="279" spans="1:20" s="32" customFormat="1" ht="15.75" customHeight="1" x14ac:dyDescent="0.25">
      <c r="A279" s="37">
        <f t="shared" si="65"/>
        <v>3</v>
      </c>
      <c r="B279" s="37" t="s">
        <v>318</v>
      </c>
      <c r="C279" s="37" t="s">
        <v>333</v>
      </c>
      <c r="D279" s="50">
        <f>(49.08)*10.764</f>
        <v>528.29711999999995</v>
      </c>
      <c r="E279" s="37">
        <v>0</v>
      </c>
      <c r="F279" s="37">
        <f t="shared" si="63"/>
        <v>528.29711999999995</v>
      </c>
      <c r="G279" s="37">
        <v>0</v>
      </c>
      <c r="H279" s="37">
        <f t="shared" si="64"/>
        <v>792.44567999999992</v>
      </c>
      <c r="I279" s="31"/>
      <c r="L279" s="91"/>
      <c r="M279" s="91"/>
      <c r="N279" s="31"/>
    </row>
    <row r="280" spans="1:20" s="32" customFormat="1" ht="15.75" customHeight="1" x14ac:dyDescent="0.25">
      <c r="A280" s="37">
        <f t="shared" si="65"/>
        <v>4</v>
      </c>
      <c r="B280" s="49" t="s">
        <v>319</v>
      </c>
      <c r="C280" s="37" t="s">
        <v>329</v>
      </c>
      <c r="D280" s="50">
        <f>(29.91)*10.764</f>
        <v>321.95123999999998</v>
      </c>
      <c r="E280" s="37">
        <v>0</v>
      </c>
      <c r="F280" s="37">
        <f t="shared" si="63"/>
        <v>321.95123999999998</v>
      </c>
      <c r="G280" s="37">
        <v>0</v>
      </c>
      <c r="H280" s="37">
        <f t="shared" si="64"/>
        <v>482.92685999999998</v>
      </c>
      <c r="I280" s="31"/>
      <c r="L280" s="91"/>
      <c r="M280" s="91"/>
      <c r="N280" s="31"/>
    </row>
    <row r="281" spans="1:20" s="32" customFormat="1" ht="15.75" customHeight="1" x14ac:dyDescent="0.25">
      <c r="A281" s="37">
        <f t="shared" si="65"/>
        <v>5</v>
      </c>
      <c r="B281" s="37" t="s">
        <v>318</v>
      </c>
      <c r="C281" s="37" t="s">
        <v>329</v>
      </c>
      <c r="D281" s="50">
        <f>(29.75)*10.764</f>
        <v>320.22899999999998</v>
      </c>
      <c r="E281" s="37">
        <v>0</v>
      </c>
      <c r="F281" s="37">
        <f t="shared" si="63"/>
        <v>320.22899999999998</v>
      </c>
      <c r="G281" s="37">
        <v>0</v>
      </c>
      <c r="H281" s="37">
        <f t="shared" si="64"/>
        <v>480.34349999999995</v>
      </c>
      <c r="I281" s="31"/>
      <c r="L281" s="91"/>
      <c r="M281" s="91"/>
      <c r="N281" s="31"/>
    </row>
    <row r="282" spans="1:20" s="32" customFormat="1" ht="15.75" customHeight="1" x14ac:dyDescent="0.25">
      <c r="A282" s="37">
        <f t="shared" si="65"/>
        <v>6</v>
      </c>
      <c r="B282" s="37" t="s">
        <v>318</v>
      </c>
      <c r="C282" s="37" t="s">
        <v>329</v>
      </c>
      <c r="D282" s="50">
        <f>(47.83)*10.764</f>
        <v>514.84211999999991</v>
      </c>
      <c r="E282" s="37">
        <v>0</v>
      </c>
      <c r="F282" s="37">
        <f t="shared" si="63"/>
        <v>514.84211999999991</v>
      </c>
      <c r="G282" s="37">
        <v>0</v>
      </c>
      <c r="H282" s="37">
        <f t="shared" si="64"/>
        <v>772.26317999999992</v>
      </c>
      <c r="I282" s="31"/>
      <c r="L282" s="91"/>
      <c r="M282" s="91"/>
      <c r="N282" s="31"/>
    </row>
    <row r="283" spans="1:20" s="32" customFormat="1" ht="15.75" customHeight="1" x14ac:dyDescent="0.25">
      <c r="A283" s="37">
        <f t="shared" si="65"/>
        <v>7</v>
      </c>
      <c r="B283" s="49" t="s">
        <v>319</v>
      </c>
      <c r="C283" s="37" t="s">
        <v>364</v>
      </c>
      <c r="D283" s="50">
        <f>(44.6)*10.764</f>
        <v>480.07439999999997</v>
      </c>
      <c r="E283" s="37">
        <v>0</v>
      </c>
      <c r="F283" s="37">
        <f t="shared" si="63"/>
        <v>480.07439999999997</v>
      </c>
      <c r="G283" s="37">
        <v>0</v>
      </c>
      <c r="H283" s="37">
        <f t="shared" si="64"/>
        <v>720.11159999999995</v>
      </c>
      <c r="I283" s="31"/>
      <c r="L283" s="91"/>
      <c r="M283" s="91"/>
      <c r="N283" s="31"/>
    </row>
    <row r="284" spans="1:20" s="32" customFormat="1" x14ac:dyDescent="0.25">
      <c r="A284" s="101" t="s">
        <v>365</v>
      </c>
      <c r="B284" s="102"/>
      <c r="C284" s="102"/>
      <c r="D284" s="102"/>
      <c r="E284" s="102"/>
      <c r="F284" s="102"/>
      <c r="G284" s="102"/>
      <c r="H284" s="103"/>
      <c r="J284" s="31"/>
    </row>
    <row r="285" spans="1:20" s="32" customFormat="1" ht="15.75" customHeight="1" x14ac:dyDescent="0.25">
      <c r="A285" s="37">
        <v>1</v>
      </c>
      <c r="B285" s="49" t="s">
        <v>319</v>
      </c>
      <c r="C285" s="37" t="s">
        <v>329</v>
      </c>
      <c r="D285" s="50">
        <f>(31.04)*10.764</f>
        <v>334.11455999999998</v>
      </c>
      <c r="E285" s="37">
        <v>0</v>
      </c>
      <c r="F285" s="37">
        <f t="shared" ref="F285:F291" si="66">D285+E285</f>
        <v>334.11455999999998</v>
      </c>
      <c r="G285" s="37">
        <v>0</v>
      </c>
      <c r="H285" s="37">
        <f t="shared" ref="H285:H291" si="67">F285*(($H$214)+1)+(IF(G285&lt;101,G285,IF(G285&lt;201,G285/2,IF(G285&lt;=301,G285/3,G285/4))))</f>
        <v>501.17183999999997</v>
      </c>
      <c r="I285" s="31"/>
      <c r="L285" s="91"/>
      <c r="M285" s="91"/>
      <c r="N285" s="31"/>
      <c r="T285" s="16"/>
    </row>
    <row r="286" spans="1:20" s="32" customFormat="1" ht="15.75" customHeight="1" x14ac:dyDescent="0.25">
      <c r="A286" s="37">
        <f t="shared" ref="A286:A291" si="68">A285+1</f>
        <v>2</v>
      </c>
      <c r="B286" s="49" t="s">
        <v>319</v>
      </c>
      <c r="C286" s="37" t="s">
        <v>332</v>
      </c>
      <c r="D286" s="50">
        <f>(43.03)*10.764</f>
        <v>463.17491999999999</v>
      </c>
      <c r="E286" s="37">
        <v>0</v>
      </c>
      <c r="F286" s="37">
        <f t="shared" si="66"/>
        <v>463.17491999999999</v>
      </c>
      <c r="G286" s="37">
        <v>0</v>
      </c>
      <c r="H286" s="37">
        <f t="shared" si="67"/>
        <v>694.76238000000001</v>
      </c>
      <c r="I286" s="31"/>
      <c r="L286" s="91"/>
      <c r="M286" s="91"/>
      <c r="N286" s="31"/>
    </row>
    <row r="287" spans="1:20" s="32" customFormat="1" ht="15.75" customHeight="1" x14ac:dyDescent="0.25">
      <c r="A287" s="37">
        <f t="shared" si="68"/>
        <v>3</v>
      </c>
      <c r="B287" s="37" t="s">
        <v>318</v>
      </c>
      <c r="C287" s="37" t="s">
        <v>333</v>
      </c>
      <c r="D287" s="50">
        <f>(49.08)*10.764</f>
        <v>528.29711999999995</v>
      </c>
      <c r="E287" s="37">
        <v>0</v>
      </c>
      <c r="F287" s="37">
        <f t="shared" si="66"/>
        <v>528.29711999999995</v>
      </c>
      <c r="G287" s="37">
        <v>0</v>
      </c>
      <c r="H287" s="37">
        <f t="shared" si="67"/>
        <v>792.44567999999992</v>
      </c>
      <c r="I287" s="31"/>
      <c r="L287" s="91"/>
      <c r="M287" s="91"/>
      <c r="N287" s="31"/>
    </row>
    <row r="288" spans="1:20" s="32" customFormat="1" ht="15.75" customHeight="1" x14ac:dyDescent="0.25">
      <c r="A288" s="37">
        <f t="shared" si="68"/>
        <v>4</v>
      </c>
      <c r="B288" s="49" t="s">
        <v>319</v>
      </c>
      <c r="C288" s="37" t="s">
        <v>329</v>
      </c>
      <c r="D288" s="50">
        <f>(29.91)*10.764</f>
        <v>321.95123999999998</v>
      </c>
      <c r="E288" s="37">
        <v>0</v>
      </c>
      <c r="F288" s="37">
        <f t="shared" si="66"/>
        <v>321.95123999999998</v>
      </c>
      <c r="G288" s="37">
        <v>0</v>
      </c>
      <c r="H288" s="37">
        <f t="shared" si="67"/>
        <v>482.92685999999998</v>
      </c>
      <c r="I288" s="31"/>
      <c r="L288" s="91"/>
      <c r="M288" s="91"/>
      <c r="N288" s="31"/>
    </row>
    <row r="289" spans="1:20" s="32" customFormat="1" ht="15.75" customHeight="1" x14ac:dyDescent="0.25">
      <c r="A289" s="37">
        <f t="shared" si="68"/>
        <v>5</v>
      </c>
      <c r="B289" s="37" t="s">
        <v>318</v>
      </c>
      <c r="C289" s="37" t="s">
        <v>329</v>
      </c>
      <c r="D289" s="50">
        <f>(29.75)*10.764</f>
        <v>320.22899999999998</v>
      </c>
      <c r="E289" s="37">
        <v>0</v>
      </c>
      <c r="F289" s="37">
        <f t="shared" si="66"/>
        <v>320.22899999999998</v>
      </c>
      <c r="G289" s="37">
        <v>0</v>
      </c>
      <c r="H289" s="37">
        <f t="shared" si="67"/>
        <v>480.34349999999995</v>
      </c>
      <c r="I289" s="31"/>
      <c r="L289" s="91"/>
      <c r="M289" s="91"/>
      <c r="N289" s="31"/>
    </row>
    <row r="290" spans="1:20" s="32" customFormat="1" ht="15.75" customHeight="1" x14ac:dyDescent="0.25">
      <c r="A290" s="37">
        <f t="shared" si="68"/>
        <v>6</v>
      </c>
      <c r="B290" s="37" t="s">
        <v>318</v>
      </c>
      <c r="C290" s="37" t="s">
        <v>329</v>
      </c>
      <c r="D290" s="50">
        <f>(47.83)*10.764</f>
        <v>514.84211999999991</v>
      </c>
      <c r="E290" s="37">
        <v>0</v>
      </c>
      <c r="F290" s="37">
        <f t="shared" si="66"/>
        <v>514.84211999999991</v>
      </c>
      <c r="G290" s="37">
        <v>0</v>
      </c>
      <c r="H290" s="37">
        <f t="shared" si="67"/>
        <v>772.26317999999992</v>
      </c>
      <c r="I290" s="31"/>
      <c r="L290" s="91"/>
      <c r="M290" s="91"/>
      <c r="N290" s="31"/>
    </row>
    <row r="291" spans="1:20" s="32" customFormat="1" ht="15.75" customHeight="1" x14ac:dyDescent="0.25">
      <c r="A291" s="37">
        <f t="shared" si="68"/>
        <v>7</v>
      </c>
      <c r="B291" s="49" t="s">
        <v>319</v>
      </c>
      <c r="C291" s="37" t="s">
        <v>364</v>
      </c>
      <c r="D291" s="50">
        <f>(44.6)*10.764</f>
        <v>480.07439999999997</v>
      </c>
      <c r="E291" s="37">
        <v>0</v>
      </c>
      <c r="F291" s="37">
        <f t="shared" si="66"/>
        <v>480.07439999999997</v>
      </c>
      <c r="G291" s="37">
        <v>0</v>
      </c>
      <c r="H291" s="37">
        <f t="shared" si="67"/>
        <v>720.11159999999995</v>
      </c>
      <c r="I291" s="31"/>
      <c r="L291" s="91"/>
      <c r="M291" s="91"/>
      <c r="N291" s="31"/>
    </row>
    <row r="292" spans="1:20" s="32" customFormat="1" x14ac:dyDescent="0.25">
      <c r="A292" s="101" t="s">
        <v>366</v>
      </c>
      <c r="B292" s="102"/>
      <c r="C292" s="102"/>
      <c r="D292" s="102"/>
      <c r="E292" s="102"/>
      <c r="F292" s="102"/>
      <c r="G292" s="102"/>
      <c r="H292" s="103"/>
      <c r="J292" s="31"/>
    </row>
    <row r="293" spans="1:20" s="32" customFormat="1" ht="15.75" customHeight="1" x14ac:dyDescent="0.25">
      <c r="A293" s="37">
        <v>1</v>
      </c>
      <c r="B293" s="107" t="s">
        <v>367</v>
      </c>
      <c r="C293" s="108"/>
      <c r="D293" s="108"/>
      <c r="E293" s="108"/>
      <c r="F293" s="108"/>
      <c r="G293" s="108"/>
      <c r="H293" s="109"/>
      <c r="I293" s="31"/>
      <c r="L293" s="91"/>
      <c r="M293" s="91"/>
      <c r="N293" s="31"/>
      <c r="T293" s="16"/>
    </row>
    <row r="294" spans="1:20" s="32" customFormat="1" ht="15.75" customHeight="1" x14ac:dyDescent="0.25">
      <c r="A294" s="37">
        <f t="shared" ref="A294:A299" si="69">A293+1</f>
        <v>2</v>
      </c>
      <c r="B294" s="110"/>
      <c r="C294" s="111"/>
      <c r="D294" s="111"/>
      <c r="E294" s="111"/>
      <c r="F294" s="111"/>
      <c r="G294" s="111"/>
      <c r="H294" s="112"/>
      <c r="I294" s="31"/>
      <c r="L294" s="91"/>
      <c r="M294" s="91"/>
      <c r="N294" s="31"/>
    </row>
    <row r="295" spans="1:20" s="32" customFormat="1" ht="15.75" customHeight="1" x14ac:dyDescent="0.25">
      <c r="A295" s="37">
        <f t="shared" si="69"/>
        <v>3</v>
      </c>
      <c r="B295" s="49" t="s">
        <v>319</v>
      </c>
      <c r="C295" s="37" t="s">
        <v>329</v>
      </c>
      <c r="D295" s="50">
        <f>(31)*10.764</f>
        <v>333.68399999999997</v>
      </c>
      <c r="E295" s="37">
        <v>0</v>
      </c>
      <c r="F295" s="37">
        <f t="shared" ref="F295:F299" si="70">D295+E295</f>
        <v>333.68399999999997</v>
      </c>
      <c r="G295" s="37">
        <v>0</v>
      </c>
      <c r="H295" s="37">
        <f>F295*(($H$214)+1)+(IF(G295&lt;101,G295,IF(G295&lt;201,G295/2,IF(G295&lt;=301,G295/3,G295/4))))</f>
        <v>500.52599999999995</v>
      </c>
      <c r="I295" s="31"/>
      <c r="L295" s="91"/>
      <c r="M295" s="91"/>
      <c r="N295" s="31"/>
    </row>
    <row r="296" spans="1:20" s="32" customFormat="1" ht="15.75" customHeight="1" x14ac:dyDescent="0.25">
      <c r="A296" s="37">
        <f t="shared" si="69"/>
        <v>4</v>
      </c>
      <c r="B296" s="49" t="s">
        <v>319</v>
      </c>
      <c r="C296" s="37" t="s">
        <v>329</v>
      </c>
      <c r="D296" s="50">
        <f>(29.91)*10.764</f>
        <v>321.95123999999998</v>
      </c>
      <c r="E296" s="37">
        <v>0</v>
      </c>
      <c r="F296" s="37">
        <f t="shared" si="70"/>
        <v>321.95123999999998</v>
      </c>
      <c r="G296" s="37">
        <v>0</v>
      </c>
      <c r="H296" s="37">
        <f>F296*(($H$214)+1)+(IF(G296&lt;101,G296,IF(G296&lt;201,G296/2,IF(G296&lt;=301,G296/3,G296/4))))</f>
        <v>482.92685999999998</v>
      </c>
      <c r="I296" s="31"/>
      <c r="L296" s="91"/>
      <c r="M296" s="91"/>
      <c r="N296" s="31"/>
    </row>
    <row r="297" spans="1:20" s="32" customFormat="1" ht="15.75" customHeight="1" x14ac:dyDescent="0.25">
      <c r="A297" s="37">
        <f t="shared" si="69"/>
        <v>5</v>
      </c>
      <c r="B297" s="49" t="s">
        <v>319</v>
      </c>
      <c r="C297" s="37" t="s">
        <v>329</v>
      </c>
      <c r="D297" s="50">
        <f>(29.75)*10.764</f>
        <v>320.22899999999998</v>
      </c>
      <c r="E297" s="37">
        <v>0</v>
      </c>
      <c r="F297" s="37">
        <f t="shared" si="70"/>
        <v>320.22899999999998</v>
      </c>
      <c r="G297" s="37">
        <v>0</v>
      </c>
      <c r="H297" s="37">
        <f>F297*(($H$214)+1)+(IF(G297&lt;101,G297,IF(G297&lt;201,G297/2,IF(G297&lt;=301,G297/3,G297/4))))</f>
        <v>480.34349999999995</v>
      </c>
      <c r="I297" s="31"/>
      <c r="L297" s="91"/>
      <c r="M297" s="91"/>
      <c r="N297" s="31"/>
    </row>
    <row r="298" spans="1:20" s="32" customFormat="1" ht="15.75" customHeight="1" x14ac:dyDescent="0.25">
      <c r="A298" s="37">
        <f t="shared" si="69"/>
        <v>6</v>
      </c>
      <c r="B298" s="49" t="s">
        <v>319</v>
      </c>
      <c r="C298" s="37" t="s">
        <v>364</v>
      </c>
      <c r="D298" s="50">
        <f>(47.11)*10.764</f>
        <v>507.09203999999994</v>
      </c>
      <c r="E298" s="37">
        <v>0</v>
      </c>
      <c r="F298" s="37">
        <f t="shared" si="70"/>
        <v>507.09203999999994</v>
      </c>
      <c r="G298" s="37">
        <v>0</v>
      </c>
      <c r="H298" s="37">
        <f>F298*(($H$214)+1)+(IF(G298&lt;101,G298,IF(G298&lt;201,G298/2,IF(G298&lt;=301,G298/3,G298/4))))</f>
        <v>760.63805999999988</v>
      </c>
      <c r="I298" s="31"/>
      <c r="L298" s="91"/>
      <c r="M298" s="91"/>
      <c r="N298" s="31"/>
    </row>
    <row r="299" spans="1:20" s="32" customFormat="1" ht="15.75" customHeight="1" x14ac:dyDescent="0.25">
      <c r="A299" s="37">
        <f t="shared" si="69"/>
        <v>7</v>
      </c>
      <c r="B299" s="49" t="s">
        <v>319</v>
      </c>
      <c r="C299" s="37" t="s">
        <v>364</v>
      </c>
      <c r="D299" s="50">
        <f>(44.6)*10.764</f>
        <v>480.07439999999997</v>
      </c>
      <c r="E299" s="37">
        <v>0</v>
      </c>
      <c r="F299" s="37">
        <f t="shared" si="70"/>
        <v>480.07439999999997</v>
      </c>
      <c r="G299" s="37">
        <v>0</v>
      </c>
      <c r="H299" s="37">
        <f>F299*(($H$214)+1)+(IF(G299&lt;101,G299,IF(G299&lt;201,G299/2,IF(G299&lt;=301,G299/3,G299/4))))</f>
        <v>720.11159999999995</v>
      </c>
      <c r="I299" s="31"/>
      <c r="L299" s="91"/>
      <c r="M299" s="91"/>
      <c r="N299" s="31"/>
    </row>
    <row r="300" spans="1:20" s="32" customFormat="1" hidden="1" x14ac:dyDescent="0.25">
      <c r="A300" s="101" t="s">
        <v>115</v>
      </c>
      <c r="B300" s="102"/>
      <c r="C300" s="102"/>
      <c r="D300" s="102"/>
      <c r="E300" s="102"/>
      <c r="F300" s="102"/>
      <c r="G300" s="102"/>
      <c r="H300" s="103"/>
      <c r="J300" s="31"/>
    </row>
    <row r="301" spans="1:20" s="32" customFormat="1" ht="15.75" hidden="1" customHeight="1" x14ac:dyDescent="0.25">
      <c r="A301" s="104">
        <v>1</v>
      </c>
      <c r="B301" s="105"/>
      <c r="C301" s="37"/>
      <c r="D301" s="37"/>
      <c r="E301" s="37">
        <v>0</v>
      </c>
      <c r="F301" s="37">
        <f>D301+E301</f>
        <v>0</v>
      </c>
      <c r="G301" s="37">
        <v>0</v>
      </c>
      <c r="H301" s="37">
        <f>F301*(($H$214)+1)+(IF(G301&lt;101,G301,IF(G301&lt;201,G301/2,IF(G301&lt;=301,G301/3,G301/4))))</f>
        <v>0</v>
      </c>
      <c r="I301" s="31"/>
      <c r="L301" s="91"/>
      <c r="M301" s="91"/>
      <c r="N301" s="31"/>
      <c r="T301" s="16"/>
    </row>
    <row r="302" spans="1:20" s="32" customFormat="1" ht="15.75" hidden="1" customHeight="1" x14ac:dyDescent="0.25">
      <c r="A302" s="104">
        <f>A301+1</f>
        <v>2</v>
      </c>
      <c r="B302" s="105"/>
      <c r="C302" s="37"/>
      <c r="D302" s="37"/>
      <c r="E302" s="37">
        <v>0</v>
      </c>
      <c r="F302" s="37">
        <f>D302+E302</f>
        <v>0</v>
      </c>
      <c r="G302" s="37">
        <v>0</v>
      </c>
      <c r="H302" s="37">
        <f>F302*(($H$214)+1)+(IF(G302&lt;101,G302,IF(G302&lt;201,G302/2,IF(G302&lt;=301,G302/3,G302/4))))</f>
        <v>0</v>
      </c>
      <c r="I302" s="31"/>
      <c r="L302" s="91"/>
      <c r="M302" s="91"/>
      <c r="N302" s="31"/>
    </row>
    <row r="303" spans="1:20" s="32" customFormat="1" ht="15.75" hidden="1" customHeight="1" x14ac:dyDescent="0.25">
      <c r="A303" s="104">
        <f>A302+1</f>
        <v>3</v>
      </c>
      <c r="B303" s="105"/>
      <c r="C303" s="37"/>
      <c r="D303" s="37"/>
      <c r="E303" s="37">
        <v>0</v>
      </c>
      <c r="F303" s="37">
        <f>D303+E303</f>
        <v>0</v>
      </c>
      <c r="G303" s="37">
        <v>0</v>
      </c>
      <c r="H303" s="37">
        <f>F303*(($H$214)+1)+(IF(G303&lt;101,G303,IF(G303&lt;201,G303/2,IF(G303&lt;=301,G303/3,G303/4))))</f>
        <v>0</v>
      </c>
      <c r="I303" s="31"/>
      <c r="L303" s="91"/>
      <c r="M303" s="91"/>
      <c r="N303" s="31"/>
    </row>
    <row r="304" spans="1:20" s="32" customFormat="1" ht="15.75" hidden="1" customHeight="1" x14ac:dyDescent="0.25">
      <c r="A304" s="104">
        <f>A303+1</f>
        <v>4</v>
      </c>
      <c r="B304" s="105"/>
      <c r="C304" s="37"/>
      <c r="D304" s="37"/>
      <c r="E304" s="37">
        <v>0</v>
      </c>
      <c r="F304" s="37">
        <f>D304+E304</f>
        <v>0</v>
      </c>
      <c r="G304" s="37">
        <v>0</v>
      </c>
      <c r="H304" s="37">
        <f>F304*(($H$214)+1)+(IF(G304&lt;101,G304,IF(G304&lt;201,G304/2,IF(G304&lt;=301,G304/3,G304/4))))</f>
        <v>0</v>
      </c>
      <c r="I304" s="31"/>
      <c r="L304" s="91"/>
      <c r="M304" s="91"/>
      <c r="N304" s="31"/>
    </row>
    <row r="305" spans="1:14" s="32" customFormat="1" hidden="1" x14ac:dyDescent="0.25">
      <c r="A305" s="117" t="s">
        <v>116</v>
      </c>
      <c r="B305" s="117"/>
      <c r="C305" s="117"/>
      <c r="D305" s="117"/>
      <c r="E305" s="117"/>
      <c r="F305" s="117"/>
      <c r="G305" s="117"/>
      <c r="H305" s="117"/>
      <c r="I305" s="31"/>
      <c r="L305" s="91"/>
      <c r="M305" s="91"/>
    </row>
    <row r="306" spans="1:14" s="32" customFormat="1" hidden="1" x14ac:dyDescent="0.25">
      <c r="A306" s="106">
        <f>LEFT(A305,SUM(LEN(A305)-LEN(SUBSTITUTE(A305,{"0","1","2","3","4","5","6","7","8","9"},""))))*100+1</f>
        <v>201</v>
      </c>
      <c r="B306" s="106"/>
      <c r="C306" s="37"/>
      <c r="D306" s="37"/>
      <c r="E306" s="37">
        <v>0</v>
      </c>
      <c r="F306" s="37">
        <f>D306+E306</f>
        <v>0</v>
      </c>
      <c r="G306" s="37">
        <v>0</v>
      </c>
      <c r="H306" s="37">
        <f>F306*(($H$214)+1)+(IF(G306&lt;101,G306,IF(G306&lt;201,G306/2,IF(G306&lt;=301,G306/3,G306/4))))</f>
        <v>0</v>
      </c>
      <c r="I306" s="31"/>
      <c r="N306" s="31"/>
    </row>
    <row r="307" spans="1:14" s="32" customFormat="1" hidden="1" x14ac:dyDescent="0.25">
      <c r="A307" s="106">
        <f>A306+1</f>
        <v>202</v>
      </c>
      <c r="B307" s="106"/>
      <c r="C307" s="37"/>
      <c r="D307" s="37"/>
      <c r="E307" s="37">
        <v>0</v>
      </c>
      <c r="F307" s="37">
        <f>D307+E307</f>
        <v>0</v>
      </c>
      <c r="G307" s="37">
        <v>0</v>
      </c>
      <c r="H307" s="37">
        <f>F307*(($H$214)+1)+(IF(G307&lt;101,G307,IF(G307&lt;201,G307/2,IF(G307&lt;=301,G307/3,G307/4))))</f>
        <v>0</v>
      </c>
      <c r="I307" s="31"/>
      <c r="N307" s="31"/>
    </row>
    <row r="308" spans="1:14" s="32" customFormat="1" hidden="1" x14ac:dyDescent="0.25">
      <c r="A308" s="106">
        <f>A307+1</f>
        <v>203</v>
      </c>
      <c r="B308" s="106"/>
      <c r="C308" s="37"/>
      <c r="D308" s="37"/>
      <c r="E308" s="37">
        <v>0</v>
      </c>
      <c r="F308" s="37">
        <f>D308+E308</f>
        <v>0</v>
      </c>
      <c r="G308" s="37">
        <v>0</v>
      </c>
      <c r="H308" s="37">
        <f>F308*(($H$214)+1)+(IF(G308&lt;101,G308,IF(G308&lt;201,G308/2,IF(G308&lt;=301,G308/3,G308/4))))</f>
        <v>0</v>
      </c>
      <c r="I308" s="31"/>
      <c r="N308" s="31"/>
    </row>
    <row r="309" spans="1:14" s="32" customFormat="1" hidden="1" x14ac:dyDescent="0.25">
      <c r="A309" s="106">
        <f>A308+1</f>
        <v>204</v>
      </c>
      <c r="B309" s="106"/>
      <c r="C309" s="37"/>
      <c r="D309" s="37"/>
      <c r="E309" s="37">
        <v>0</v>
      </c>
      <c r="F309" s="37">
        <f>D309+E309</f>
        <v>0</v>
      </c>
      <c r="G309" s="37">
        <v>0</v>
      </c>
      <c r="H309" s="37">
        <f>F309*(($H$214)+1)+(IF(G309&lt;101,G309,IF(G309&lt;201,G309/2,IF(G309&lt;=301,G309/3,G309/4))))</f>
        <v>0</v>
      </c>
      <c r="I309" s="31"/>
      <c r="N309" s="31"/>
    </row>
    <row r="310" spans="1:14" s="32" customFormat="1" hidden="1" x14ac:dyDescent="0.25">
      <c r="A310" s="106">
        <f>A309+1</f>
        <v>205</v>
      </c>
      <c r="B310" s="106"/>
      <c r="C310" s="37"/>
      <c r="D310" s="37"/>
      <c r="E310" s="37">
        <v>0</v>
      </c>
      <c r="F310" s="37">
        <f>D310+E310</f>
        <v>0</v>
      </c>
      <c r="G310" s="37">
        <v>0</v>
      </c>
      <c r="H310" s="37">
        <f>F310*(($H$214)+1)+(IF(G310&lt;101,G310,IF(G310&lt;201,G310/2,IF(G310&lt;=301,G310/3,G310/4))))</f>
        <v>0</v>
      </c>
      <c r="I310" s="31"/>
      <c r="N310" s="31"/>
    </row>
    <row r="311" spans="1:14" s="32" customFormat="1" ht="15.75" hidden="1" customHeight="1" x14ac:dyDescent="0.25">
      <c r="A311" s="101" t="s">
        <v>149</v>
      </c>
      <c r="B311" s="102"/>
      <c r="C311" s="102"/>
      <c r="D311" s="102"/>
      <c r="E311" s="102"/>
      <c r="F311" s="102"/>
      <c r="G311" s="102"/>
      <c r="H311" s="103"/>
      <c r="I311" s="31"/>
    </row>
    <row r="312" spans="1:14" s="32" customFormat="1" ht="15.75" hidden="1" customHeight="1" x14ac:dyDescent="0.25">
      <c r="A312" s="104" t="str">
        <f ca="1">(SUMPRODUCT(MID(0&amp;(LEFT(A311,SUM(LEN(A311)-LEN(SUBSTITUTE(A311,{"0","1","2"},""))))), LARGE(INDEX(ISNUMBER(--MID((LEFT(A311,SUM(LEN(A311)-LEN(SUBSTITUTE(A311,{"0","1","2"},""))))), ROW(INDIRECT("1:"&amp;LEN((LEFT(A311,SUM(LEN(A311)-LEN(SUBSTITUTE(A311,{"0","1","2"},"")))))))), 1)) * ROW(INDIRECT("1:"&amp;LEN((LEFT(A311,SUM(LEN(A311)-LEN(SUBSTITUTE(A311,{"0","1","2"},"")))))))), 0), ROW(INDIRECT("1:"&amp;LEN((LEFT(A311,SUM(LEN(A311)-LEN(SUBSTITUTE(A311,{"0","1","2"},"")))))))))+1, 1) * 10^ROW(INDIRECT("1:"&amp;LEN((LEFT(A311,SUM(LEN(A311)-LEN(SUBSTITUTE(A311,{"0","1","2"},""))))))))/10))*100+1&amp;""&amp;" ,.., "&amp;""&amp;(SUMPRODUCT(MID(0&amp;(--TRIM(RIGHT(SUBSTITUTE(LEFT(A311,_xlfn.AGGREGATE(16,6,FIND({0,1,2,3,4,5,6,7,8,9},A311,ROW(INDIRECT("1:"&amp;LEN(A311)))),1))," ",REPT(" ",LEN(A311))),LEN(A311)))), LARGE(INDEX(ISNUMBER(--MID((--TRIM(RIGHT(SUBSTITUTE(LEFT(A311,_xlfn.AGGREGATE(16,6,FIND({0,1,2,3,4,5,6,7,8,9},A311,ROW(INDIRECT("1:"&amp;LEN(A311)))),1))," ",REPT(" ",LEN(A311))),LEN(A311)))), ROW(INDIRECT("1:"&amp;LEN((--TRIM(RIGHT(SUBSTITUTE(LEFT(A311,_xlfn.AGGREGATE(16,6,FIND({0,1,2,3,4,5,6,7,8,9},A311,ROW(INDIRECT("1:"&amp;LEN(A311)))),1))," ",REPT(" ",LEN(A311))),LEN(A311))))))), 1)) * ROW(INDIRECT("1:"&amp;LEN((--TRIM(RIGHT(SUBSTITUTE(LEFT(A311,_xlfn.AGGREGATE(16,6,FIND({0,1,2,3,4,5,6,7,8,9},A311,ROW(INDIRECT("1:"&amp;LEN(A311)))),1))," ",REPT(" ",LEN(A311))),LEN(A311))))))), 0), ROW(INDIRECT("1:"&amp;LEN((--TRIM(RIGHT(SUBSTITUTE(LEFT(A311,_xlfn.AGGREGATE(16,6,FIND({0,1,2,3,4,5,6,7,8,9},A311,ROW(INDIRECT("1:"&amp;LEN(A311)))),1))," ",REPT(" ",LEN(A311))),LEN(A311))))))))+1, 1) * 10^ROW(INDIRECT("1:"&amp;LEN((--TRIM(RIGHT(SUBSTITUTE(LEFT(A311,_xlfn.AGGREGATE(16,6,FIND({0,1,2,3,4,5,6,7,8,9},A311,ROW(INDIRECT("1:"&amp;LEN(A311)))),1))," ",REPT(" ",LEN(A311))),LEN(A311)))))))/10))*100+1</f>
        <v>301 ,.., 1501</v>
      </c>
      <c r="B312" s="105"/>
      <c r="C312" s="37"/>
      <c r="D312" s="37"/>
      <c r="E312" s="37">
        <v>0</v>
      </c>
      <c r="F312" s="37">
        <f>D312+E312</f>
        <v>0</v>
      </c>
      <c r="G312" s="37">
        <v>0</v>
      </c>
      <c r="H312" s="37">
        <f>F312*(($H$214)+1)+(IF(G312&lt;101,G312,IF(G312&lt;201,G312/2,IF(G312&lt;=301,G312/3,G312/4))))</f>
        <v>0</v>
      </c>
      <c r="I312" s="31"/>
    </row>
    <row r="313" spans="1:14" s="32" customFormat="1" ht="15.75" hidden="1" customHeight="1" x14ac:dyDescent="0.25">
      <c r="A313" s="104" t="str">
        <f ca="1">(SUMPRODUCT(MID(0&amp;(LEFT(A312,SUM(LEN(A312)-LEN(SUBSTITUTE(A312,{"0","1","2"},""))))), LARGE(INDEX(ISNUMBER(--MID((LEFT(A312,SUM(LEN(A312)-LEN(SUBSTITUTE(A312,{"0","1","2"},""))))), ROW(INDIRECT("1:"&amp;LEN((LEFT(A312,SUM(LEN(A312)-LEN(SUBSTITUTE(A312,{"0","1","2"},"")))))))), 1)) * ROW(INDIRECT("1:"&amp;LEN((LEFT(A312,SUM(LEN(A312)-LEN(SUBSTITUTE(A312,{"0","1","2"},"")))))))), 0), ROW(INDIRECT("1:"&amp;LEN((LEFT(A312,SUM(LEN(A312)-LEN(SUBSTITUTE(A312,{"0","1","2"},"")))))))))+1, 1) * 10^ROW(INDIRECT("1:"&amp;LEN((LEFT(A312,SUM(LEN(A312)-LEN(SUBSTITUTE(A312,{"0","1","2"},""))))))))/10))*1+1&amp;""&amp;" ,.., "&amp;""&amp;(SUMPRODUCT(MID(0&amp;(--TRIM(RIGHT(SUBSTITUTE(LEFT(A312,_xlfn.AGGREGATE(16,6,FIND({0,1,2,3,4,5,6,7,8,9},A312,ROW(INDIRECT("1:"&amp;LEN(A312)))),1))," ",REPT(" ",LEN(A312))),LEN(A312)))), LARGE(INDEX(ISNUMBER(--MID((--TRIM(RIGHT(SUBSTITUTE(LEFT(A312,_xlfn.AGGREGATE(16,6,FIND({0,1,2,3,4,5,6,7,8,9},A312,ROW(INDIRECT("1:"&amp;LEN(A312)))),1))," ",REPT(" ",LEN(A312))),LEN(A312)))), ROW(INDIRECT("1:"&amp;LEN((--TRIM(RIGHT(SUBSTITUTE(LEFT(A312,_xlfn.AGGREGATE(16,6,FIND({0,1,2,3,4,5,6,7,8,9},A312,ROW(INDIRECT("1:"&amp;LEN(A312)))),1))," ",REPT(" ",LEN(A312))),LEN(A312))))))), 1)) * ROW(INDIRECT("1:"&amp;LEN((--TRIM(RIGHT(SUBSTITUTE(LEFT(A312,_xlfn.AGGREGATE(16,6,FIND({0,1,2,3,4,5,6,7,8,9},A312,ROW(INDIRECT("1:"&amp;LEN(A312)))),1))," ",REPT(" ",LEN(A312))),LEN(A312))))))), 0), ROW(INDIRECT("1:"&amp;LEN((--TRIM(RIGHT(SUBSTITUTE(LEFT(A312,_xlfn.AGGREGATE(16,6,FIND({0,1,2,3,4,5,6,7,8,9},A312,ROW(INDIRECT("1:"&amp;LEN(A312)))),1))," ",REPT(" ",LEN(A312))),LEN(A312))))))))+1, 1) * 10^ROW(INDIRECT("1:"&amp;LEN((--TRIM(RIGHT(SUBSTITUTE(LEFT(A312,_xlfn.AGGREGATE(16,6,FIND({0,1,2,3,4,5,6,7,8,9},A312,ROW(INDIRECT("1:"&amp;LEN(A312)))),1))," ",REPT(" ",LEN(A312))),LEN(A312)))))))/10))*1+1</f>
        <v>302 ,.., 1502</v>
      </c>
      <c r="B313" s="105"/>
      <c r="C313" s="37"/>
      <c r="D313" s="37"/>
      <c r="E313" s="37">
        <v>0</v>
      </c>
      <c r="F313" s="37">
        <f>D313+E313</f>
        <v>0</v>
      </c>
      <c r="G313" s="37">
        <v>0</v>
      </c>
      <c r="H313" s="37">
        <f>F313*(($H$214)+1)+(IF(G313&lt;101,G313,IF(G313&lt;201,G313/2,IF(G313&lt;=301,G313/3,G313/4))))</f>
        <v>0</v>
      </c>
      <c r="I313" s="31"/>
    </row>
    <row r="314" spans="1:14" s="32" customFormat="1" ht="15.75" hidden="1" customHeight="1" x14ac:dyDescent="0.25">
      <c r="A314" s="104" t="str">
        <f ca="1">(SUMPRODUCT(MID(0&amp;(LEFT(A313,SUM(LEN(A313)-LEN(SUBSTITUTE(A313,{"0","1","2"},""))))), LARGE(INDEX(ISNUMBER(--MID((LEFT(A313,SUM(LEN(A313)-LEN(SUBSTITUTE(A313,{"0","1","2"},""))))), ROW(INDIRECT("1:"&amp;LEN((LEFT(A313,SUM(LEN(A313)-LEN(SUBSTITUTE(A313,{"0","1","2"},"")))))))), 1)) * ROW(INDIRECT("1:"&amp;LEN((LEFT(A313,SUM(LEN(A313)-LEN(SUBSTITUTE(A313,{"0","1","2"},"")))))))), 0), ROW(INDIRECT("1:"&amp;LEN((LEFT(A313,SUM(LEN(A313)-LEN(SUBSTITUTE(A313,{"0","1","2"},"")))))))))+1, 1) * 10^ROW(INDIRECT("1:"&amp;LEN((LEFT(A313,SUM(LEN(A313)-LEN(SUBSTITUTE(A313,{"0","1","2"},""))))))))/10))*1+1&amp;""&amp;" ,.., "&amp;""&amp;(SUMPRODUCT(MID(0&amp;(--TRIM(RIGHT(SUBSTITUTE(LEFT(A313,_xlfn.AGGREGATE(16,6,FIND({0,1,2,3,4,5,6,7,8,9},A313,ROW(INDIRECT("1:"&amp;LEN(A313)))),1))," ",REPT(" ",LEN(A313))),LEN(A313)))), LARGE(INDEX(ISNUMBER(--MID((--TRIM(RIGHT(SUBSTITUTE(LEFT(A313,_xlfn.AGGREGATE(16,6,FIND({0,1,2,3,4,5,6,7,8,9},A313,ROW(INDIRECT("1:"&amp;LEN(A313)))),1))," ",REPT(" ",LEN(A313))),LEN(A313)))), ROW(INDIRECT("1:"&amp;LEN((--TRIM(RIGHT(SUBSTITUTE(LEFT(A313,_xlfn.AGGREGATE(16,6,FIND({0,1,2,3,4,5,6,7,8,9},A313,ROW(INDIRECT("1:"&amp;LEN(A313)))),1))," ",REPT(" ",LEN(A313))),LEN(A313))))))), 1)) * ROW(INDIRECT("1:"&amp;LEN((--TRIM(RIGHT(SUBSTITUTE(LEFT(A313,_xlfn.AGGREGATE(16,6,FIND({0,1,2,3,4,5,6,7,8,9},A313,ROW(INDIRECT("1:"&amp;LEN(A313)))),1))," ",REPT(" ",LEN(A313))),LEN(A313))))))), 0), ROW(INDIRECT("1:"&amp;LEN((--TRIM(RIGHT(SUBSTITUTE(LEFT(A313,_xlfn.AGGREGATE(16,6,FIND({0,1,2,3,4,5,6,7,8,9},A313,ROW(INDIRECT("1:"&amp;LEN(A313)))),1))," ",REPT(" ",LEN(A313))),LEN(A313))))))))+1, 1) * 10^ROW(INDIRECT("1:"&amp;LEN((--TRIM(RIGHT(SUBSTITUTE(LEFT(A313,_xlfn.AGGREGATE(16,6,FIND({0,1,2,3,4,5,6,7,8,9},A313,ROW(INDIRECT("1:"&amp;LEN(A313)))),1))," ",REPT(" ",LEN(A313))),LEN(A313)))))))/10))*1+1</f>
        <v>303 ,.., 1503</v>
      </c>
      <c r="B314" s="105"/>
      <c r="C314" s="37"/>
      <c r="D314" s="37"/>
      <c r="E314" s="37">
        <v>0</v>
      </c>
      <c r="F314" s="37">
        <f>D314+E314</f>
        <v>0</v>
      </c>
      <c r="G314" s="37">
        <v>0</v>
      </c>
      <c r="H314" s="37">
        <f>F314*(($H$214)+1)+(IF(G314&lt;101,G314,IF(G314&lt;201,G314/2,IF(G314&lt;=301,G314/3,G314/4))))</f>
        <v>0</v>
      </c>
      <c r="I314" s="31"/>
    </row>
    <row r="315" spans="1:14" s="32" customFormat="1" ht="15.75" hidden="1" customHeight="1" x14ac:dyDescent="0.25">
      <c r="A315" s="104" t="str">
        <f ca="1">(SUMPRODUCT(MID(0&amp;(LEFT(A314,SUM(LEN(A314)-LEN(SUBSTITUTE(A314,{"0","1","2"},""))))), LARGE(INDEX(ISNUMBER(--MID((LEFT(A314,SUM(LEN(A314)-LEN(SUBSTITUTE(A314,{"0","1","2"},""))))), ROW(INDIRECT("1:"&amp;LEN((LEFT(A314,SUM(LEN(A314)-LEN(SUBSTITUTE(A314,{"0","1","2"},"")))))))), 1)) * ROW(INDIRECT("1:"&amp;LEN((LEFT(A314,SUM(LEN(A314)-LEN(SUBSTITUTE(A314,{"0","1","2"},"")))))))), 0), ROW(INDIRECT("1:"&amp;LEN((LEFT(A314,SUM(LEN(A314)-LEN(SUBSTITUTE(A314,{"0","1","2"},"")))))))))+1, 1) * 10^ROW(INDIRECT("1:"&amp;LEN((LEFT(A314,SUM(LEN(A314)-LEN(SUBSTITUTE(A314,{"0","1","2"},""))))))))/10))*1+1&amp;""&amp;" ,.., "&amp;""&amp;(SUMPRODUCT(MID(0&amp;(--TRIM(RIGHT(SUBSTITUTE(LEFT(A314,_xlfn.AGGREGATE(16,6,FIND({0,1,2,3,4,5,6,7,8,9},A314,ROW(INDIRECT("1:"&amp;LEN(A314)))),1))," ",REPT(" ",LEN(A314))),LEN(A314)))), LARGE(INDEX(ISNUMBER(--MID((--TRIM(RIGHT(SUBSTITUTE(LEFT(A314,_xlfn.AGGREGATE(16,6,FIND({0,1,2,3,4,5,6,7,8,9},A314,ROW(INDIRECT("1:"&amp;LEN(A314)))),1))," ",REPT(" ",LEN(A314))),LEN(A314)))), ROW(INDIRECT("1:"&amp;LEN((--TRIM(RIGHT(SUBSTITUTE(LEFT(A314,_xlfn.AGGREGATE(16,6,FIND({0,1,2,3,4,5,6,7,8,9},A314,ROW(INDIRECT("1:"&amp;LEN(A314)))),1))," ",REPT(" ",LEN(A314))),LEN(A314))))))), 1)) * ROW(INDIRECT("1:"&amp;LEN((--TRIM(RIGHT(SUBSTITUTE(LEFT(A314,_xlfn.AGGREGATE(16,6,FIND({0,1,2,3,4,5,6,7,8,9},A314,ROW(INDIRECT("1:"&amp;LEN(A314)))),1))," ",REPT(" ",LEN(A314))),LEN(A314))))))), 0), ROW(INDIRECT("1:"&amp;LEN((--TRIM(RIGHT(SUBSTITUTE(LEFT(A314,_xlfn.AGGREGATE(16,6,FIND({0,1,2,3,4,5,6,7,8,9},A314,ROW(INDIRECT("1:"&amp;LEN(A314)))),1))," ",REPT(" ",LEN(A314))),LEN(A314))))))))+1, 1) * 10^ROW(INDIRECT("1:"&amp;LEN((--TRIM(RIGHT(SUBSTITUTE(LEFT(A314,_xlfn.AGGREGATE(16,6,FIND({0,1,2,3,4,5,6,7,8,9},A314,ROW(INDIRECT("1:"&amp;LEN(A314)))),1))," ",REPT(" ",LEN(A314))),LEN(A314)))))))/10))*1+1</f>
        <v>304 ,.., 1504</v>
      </c>
      <c r="B315" s="105"/>
      <c r="C315" s="37"/>
      <c r="D315" s="37"/>
      <c r="E315" s="37">
        <v>0</v>
      </c>
      <c r="F315" s="37">
        <f>D315+E315</f>
        <v>0</v>
      </c>
      <c r="G315" s="37">
        <v>0</v>
      </c>
      <c r="H315" s="37">
        <f>F315*(($H$214)+1)+(IF(G315&lt;101,G315,IF(G315&lt;201,G315/2,IF(G315&lt;=301,G315/3,G315/4))))</f>
        <v>0</v>
      </c>
      <c r="I315" s="31"/>
    </row>
    <row r="316" spans="1:14" s="32" customFormat="1" ht="15.75" hidden="1" customHeight="1" x14ac:dyDescent="0.25">
      <c r="A316" s="104" t="str">
        <f ca="1">(SUMPRODUCT(MID(0&amp;(LEFT(A315,SUM(LEN(A315)-LEN(SUBSTITUTE(A315,{"0","1","2"},""))))), LARGE(INDEX(ISNUMBER(--MID((LEFT(A315,SUM(LEN(A315)-LEN(SUBSTITUTE(A315,{"0","1","2"},""))))), ROW(INDIRECT("1:"&amp;LEN((LEFT(A315,SUM(LEN(A315)-LEN(SUBSTITUTE(A315,{"0","1","2"},"")))))))), 1)) * ROW(INDIRECT("1:"&amp;LEN((LEFT(A315,SUM(LEN(A315)-LEN(SUBSTITUTE(A315,{"0","1","2"},"")))))))), 0), ROW(INDIRECT("1:"&amp;LEN((LEFT(A315,SUM(LEN(A315)-LEN(SUBSTITUTE(A315,{"0","1","2"},"")))))))))+1, 1) * 10^ROW(INDIRECT("1:"&amp;LEN((LEFT(A315,SUM(LEN(A315)-LEN(SUBSTITUTE(A315,{"0","1","2"},""))))))))/10))*1+1&amp;""&amp;" ,.., "&amp;""&amp;(SUMPRODUCT(MID(0&amp;(--TRIM(RIGHT(SUBSTITUTE(LEFT(A315,_xlfn.AGGREGATE(16,6,FIND({0,1,2,3,4,5,6,7,8,9},A315,ROW(INDIRECT("1:"&amp;LEN(A315)))),1))," ",REPT(" ",LEN(A315))),LEN(A315)))), LARGE(INDEX(ISNUMBER(--MID((--TRIM(RIGHT(SUBSTITUTE(LEFT(A315,_xlfn.AGGREGATE(16,6,FIND({0,1,2,3,4,5,6,7,8,9},A315,ROW(INDIRECT("1:"&amp;LEN(A315)))),1))," ",REPT(" ",LEN(A315))),LEN(A315)))), ROW(INDIRECT("1:"&amp;LEN((--TRIM(RIGHT(SUBSTITUTE(LEFT(A315,_xlfn.AGGREGATE(16,6,FIND({0,1,2,3,4,5,6,7,8,9},A315,ROW(INDIRECT("1:"&amp;LEN(A315)))),1))," ",REPT(" ",LEN(A315))),LEN(A315))))))), 1)) * ROW(INDIRECT("1:"&amp;LEN((--TRIM(RIGHT(SUBSTITUTE(LEFT(A315,_xlfn.AGGREGATE(16,6,FIND({0,1,2,3,4,5,6,7,8,9},A315,ROW(INDIRECT("1:"&amp;LEN(A315)))),1))," ",REPT(" ",LEN(A315))),LEN(A315))))))), 0), ROW(INDIRECT("1:"&amp;LEN((--TRIM(RIGHT(SUBSTITUTE(LEFT(A315,_xlfn.AGGREGATE(16,6,FIND({0,1,2,3,4,5,6,7,8,9},A315,ROW(INDIRECT("1:"&amp;LEN(A315)))),1))," ",REPT(" ",LEN(A315))),LEN(A315))))))))+1, 1) * 10^ROW(INDIRECT("1:"&amp;LEN((--TRIM(RIGHT(SUBSTITUTE(LEFT(A315,_xlfn.AGGREGATE(16,6,FIND({0,1,2,3,4,5,6,7,8,9},A315,ROW(INDIRECT("1:"&amp;LEN(A315)))),1))," ",REPT(" ",LEN(A315))),LEN(A315)))))))/10))*1+1</f>
        <v>305 ,.., 1505</v>
      </c>
      <c r="B316" s="105"/>
      <c r="C316" s="37"/>
      <c r="D316" s="37"/>
      <c r="E316" s="37">
        <v>0</v>
      </c>
      <c r="F316" s="37">
        <f>D316+E316</f>
        <v>0</v>
      </c>
      <c r="G316" s="37">
        <v>0</v>
      </c>
      <c r="H316" s="37">
        <f>F316*(($H$214)+1)+(IF(G316&lt;101,G316,IF(G316&lt;201,G316/2,IF(G316&lt;=301,G316/3,G316/4))))</f>
        <v>0</v>
      </c>
      <c r="I316" s="31"/>
    </row>
    <row r="317" spans="1:14" s="32" customFormat="1" hidden="1" x14ac:dyDescent="0.25">
      <c r="A317" s="101" t="s">
        <v>143</v>
      </c>
      <c r="B317" s="102"/>
      <c r="C317" s="102"/>
      <c r="D317" s="102"/>
      <c r="E317" s="102"/>
      <c r="F317" s="102"/>
      <c r="G317" s="102"/>
      <c r="H317" s="103"/>
      <c r="I317" s="31"/>
    </row>
    <row r="318" spans="1:14" s="32" customFormat="1" ht="15.75" hidden="1" customHeight="1" x14ac:dyDescent="0.25">
      <c r="A318" s="104" t="str">
        <f ca="1">(SUMPRODUCT(MID(0&amp;(LEFT(A317,SUM(LEN(A317)-LEN(SUBSTITUTE(A317,{"0","1","2"},""))))), LARGE(INDEX(ISNUMBER(--MID((LEFT(A317,SUM(LEN(A317)-LEN(SUBSTITUTE(A317,{"0","1","2"},""))))), ROW(INDIRECT("1:"&amp;LEN((LEFT(A317,SUM(LEN(A317)-LEN(SUBSTITUTE(A317,{"0","1","2"},"")))))))), 1)) * ROW(INDIRECT("1:"&amp;LEN((LEFT(A317,SUM(LEN(A317)-LEN(SUBSTITUTE(A317,{"0","1","2"},"")))))))), 0), ROW(INDIRECT("1:"&amp;LEN((LEFT(A317,SUM(LEN(A317)-LEN(SUBSTITUTE(A317,{"0","1","2"},"")))))))))+1, 1) * 10^ROW(INDIRECT("1:"&amp;LEN((LEFT(A317,SUM(LEN(A317)-LEN(SUBSTITUTE(A317,{"0","1","2"},""))))))))/10))*100+1&amp;""&amp;" to "&amp;""&amp;(SUMPRODUCT(MID(0&amp;(--TRIM(RIGHT(SUBSTITUTE(LEFT(A317,_xlfn.AGGREGATE(16,6,FIND({0,1,2,3,4,5,6,7,8,9},A317,ROW(INDIRECT("1:"&amp;LEN(A317)))),1))," ",REPT(" ",LEN(A317))),LEN(A317)))), LARGE(INDEX(ISNUMBER(--MID((--TRIM(RIGHT(SUBSTITUTE(LEFT(A317,_xlfn.AGGREGATE(16,6,FIND({0,1,2,3,4,5,6,7,8,9},A317,ROW(INDIRECT("1:"&amp;LEN(A317)))),1))," ",REPT(" ",LEN(A317))),LEN(A317)))), ROW(INDIRECT("1:"&amp;LEN((--TRIM(RIGHT(SUBSTITUTE(LEFT(A317,_xlfn.AGGREGATE(16,6,FIND({0,1,2,3,4,5,6,7,8,9},A317,ROW(INDIRECT("1:"&amp;LEN(A317)))),1))," ",REPT(" ",LEN(A317))),LEN(A317))))))), 1)) * ROW(INDIRECT("1:"&amp;LEN((--TRIM(RIGHT(SUBSTITUTE(LEFT(A317,_xlfn.AGGREGATE(16,6,FIND({0,1,2,3,4,5,6,7,8,9},A317,ROW(INDIRECT("1:"&amp;LEN(A317)))),1))," ",REPT(" ",LEN(A317))),LEN(A317))))))), 0), ROW(INDIRECT("1:"&amp;LEN((--TRIM(RIGHT(SUBSTITUTE(LEFT(A317,_xlfn.AGGREGATE(16,6,FIND({0,1,2,3,4,5,6,7,8,9},A317,ROW(INDIRECT("1:"&amp;LEN(A317)))),1))," ",REPT(" ",LEN(A317))),LEN(A317))))))))+1, 1) * 10^ROW(INDIRECT("1:"&amp;LEN((--TRIM(RIGHT(SUBSTITUTE(LEFT(A317,_xlfn.AGGREGATE(16,6,FIND({0,1,2,3,4,5,6,7,8,9},A317,ROW(INDIRECT("1:"&amp;LEN(A317)))),1))," ",REPT(" ",LEN(A317))),LEN(A317)))))))/10))*100+1</f>
        <v>201 to 501</v>
      </c>
      <c r="B318" s="105"/>
      <c r="C318" s="37"/>
      <c r="D318" s="37"/>
      <c r="E318" s="37">
        <v>0</v>
      </c>
      <c r="F318" s="37">
        <f>D318+E318</f>
        <v>0</v>
      </c>
      <c r="G318" s="37">
        <v>0</v>
      </c>
      <c r="H318" s="37">
        <f>F318*(($H$214)+1)+(IF(G318&lt;101,G318,IF(G318&lt;201,G318/2,IF(G318&lt;=301,G318/3,G318/4))))</f>
        <v>0</v>
      </c>
      <c r="I318" s="31"/>
    </row>
    <row r="319" spans="1:14" s="32" customFormat="1" ht="15.75" hidden="1" customHeight="1" x14ac:dyDescent="0.25">
      <c r="A319" s="104" t="str">
        <f ca="1">(SUMPRODUCT(MID(0&amp;(LEFT(A318,SUM(LEN(A318)-LEN(SUBSTITUTE(A318,{"0","1","2"},""))))), LARGE(INDEX(ISNUMBER(--MID((LEFT(A318,SUM(LEN(A318)-LEN(SUBSTITUTE(A318,{"0","1","2"},""))))), ROW(INDIRECT("1:"&amp;LEN((LEFT(A318,SUM(LEN(A318)-LEN(SUBSTITUTE(A318,{"0","1","2"},"")))))))), 1)) * ROW(INDIRECT("1:"&amp;LEN((LEFT(A318,SUM(LEN(A318)-LEN(SUBSTITUTE(A318,{"0","1","2"},"")))))))), 0), ROW(INDIRECT("1:"&amp;LEN((LEFT(A318,SUM(LEN(A318)-LEN(SUBSTITUTE(A318,{"0","1","2"},"")))))))))+1, 1) * 10^ROW(INDIRECT("1:"&amp;LEN((LEFT(A318,SUM(LEN(A318)-LEN(SUBSTITUTE(A318,{"0","1","2"},""))))))))/10))*1+1&amp;""&amp;" to "&amp;""&amp;(SUMPRODUCT(MID(0&amp;(--TRIM(RIGHT(SUBSTITUTE(LEFT(A318,_xlfn.AGGREGATE(16,6,FIND({0,1,2,3,4,5,6,7,8,9},A318,ROW(INDIRECT("1:"&amp;LEN(A318)))),1))," ",REPT(" ",LEN(A318))),LEN(A318)))), LARGE(INDEX(ISNUMBER(--MID((--TRIM(RIGHT(SUBSTITUTE(LEFT(A318,_xlfn.AGGREGATE(16,6,FIND({0,1,2,3,4,5,6,7,8,9},A318,ROW(INDIRECT("1:"&amp;LEN(A318)))),1))," ",REPT(" ",LEN(A318))),LEN(A318)))), ROW(INDIRECT("1:"&amp;LEN((--TRIM(RIGHT(SUBSTITUTE(LEFT(A318,_xlfn.AGGREGATE(16,6,FIND({0,1,2,3,4,5,6,7,8,9},A318,ROW(INDIRECT("1:"&amp;LEN(A318)))),1))," ",REPT(" ",LEN(A318))),LEN(A318))))))), 1)) * ROW(INDIRECT("1:"&amp;LEN((--TRIM(RIGHT(SUBSTITUTE(LEFT(A318,_xlfn.AGGREGATE(16,6,FIND({0,1,2,3,4,5,6,7,8,9},A318,ROW(INDIRECT("1:"&amp;LEN(A318)))),1))," ",REPT(" ",LEN(A318))),LEN(A318))))))), 0), ROW(INDIRECT("1:"&amp;LEN((--TRIM(RIGHT(SUBSTITUTE(LEFT(A318,_xlfn.AGGREGATE(16,6,FIND({0,1,2,3,4,5,6,7,8,9},A318,ROW(INDIRECT("1:"&amp;LEN(A318)))),1))," ",REPT(" ",LEN(A318))),LEN(A318))))))))+1, 1) * 10^ROW(INDIRECT("1:"&amp;LEN((--TRIM(RIGHT(SUBSTITUTE(LEFT(A318,_xlfn.AGGREGATE(16,6,FIND({0,1,2,3,4,5,6,7,8,9},A318,ROW(INDIRECT("1:"&amp;LEN(A318)))),1))," ",REPT(" ",LEN(A318))),LEN(A318)))))))/10))*1+1</f>
        <v>202 to 502</v>
      </c>
      <c r="B319" s="105"/>
      <c r="C319" s="37"/>
      <c r="D319" s="37"/>
      <c r="E319" s="37">
        <v>0</v>
      </c>
      <c r="F319" s="37">
        <f>D319+E319</f>
        <v>0</v>
      </c>
      <c r="G319" s="37">
        <v>0</v>
      </c>
      <c r="H319" s="37">
        <f>F319*(($H$214)+1)+(IF(G319&lt;101,G319,IF(G319&lt;201,G319/2,IF(G319&lt;=301,G319/3,G319/4))))</f>
        <v>0</v>
      </c>
      <c r="I319" s="31"/>
    </row>
    <row r="320" spans="1:14" s="32" customFormat="1" ht="15.75" hidden="1" customHeight="1" x14ac:dyDescent="0.25">
      <c r="A320" s="104" t="str">
        <f ca="1">(SUMPRODUCT(MID(0&amp;(LEFT(A319,SUM(LEN(A319)-LEN(SUBSTITUTE(A319,{"0","1","2"},""))))), LARGE(INDEX(ISNUMBER(--MID((LEFT(A319,SUM(LEN(A319)-LEN(SUBSTITUTE(A319,{"0","1","2"},""))))), ROW(INDIRECT("1:"&amp;LEN((LEFT(A319,SUM(LEN(A319)-LEN(SUBSTITUTE(A319,{"0","1","2"},"")))))))), 1)) * ROW(INDIRECT("1:"&amp;LEN((LEFT(A319,SUM(LEN(A319)-LEN(SUBSTITUTE(A319,{"0","1","2"},"")))))))), 0), ROW(INDIRECT("1:"&amp;LEN((LEFT(A319,SUM(LEN(A319)-LEN(SUBSTITUTE(A319,{"0","1","2"},"")))))))))+1, 1) * 10^ROW(INDIRECT("1:"&amp;LEN((LEFT(A319,SUM(LEN(A319)-LEN(SUBSTITUTE(A319,{"0","1","2"},""))))))))/10))*1+1&amp;""&amp;" to "&amp;""&amp;(SUMPRODUCT(MID(0&amp;(--TRIM(RIGHT(SUBSTITUTE(LEFT(A319,_xlfn.AGGREGATE(16,6,FIND({0,1,2,3,4,5,6,7,8,9},A319,ROW(INDIRECT("1:"&amp;LEN(A319)))),1))," ",REPT(" ",LEN(A319))),LEN(A319)))), LARGE(INDEX(ISNUMBER(--MID((--TRIM(RIGHT(SUBSTITUTE(LEFT(A319,_xlfn.AGGREGATE(16,6,FIND({0,1,2,3,4,5,6,7,8,9},A319,ROW(INDIRECT("1:"&amp;LEN(A319)))),1))," ",REPT(" ",LEN(A319))),LEN(A319)))), ROW(INDIRECT("1:"&amp;LEN((--TRIM(RIGHT(SUBSTITUTE(LEFT(A319,_xlfn.AGGREGATE(16,6,FIND({0,1,2,3,4,5,6,7,8,9},A319,ROW(INDIRECT("1:"&amp;LEN(A319)))),1))," ",REPT(" ",LEN(A319))),LEN(A319))))))), 1)) * ROW(INDIRECT("1:"&amp;LEN((--TRIM(RIGHT(SUBSTITUTE(LEFT(A319,_xlfn.AGGREGATE(16,6,FIND({0,1,2,3,4,5,6,7,8,9},A319,ROW(INDIRECT("1:"&amp;LEN(A319)))),1))," ",REPT(" ",LEN(A319))),LEN(A319))))))), 0), ROW(INDIRECT("1:"&amp;LEN((--TRIM(RIGHT(SUBSTITUTE(LEFT(A319,_xlfn.AGGREGATE(16,6,FIND({0,1,2,3,4,5,6,7,8,9},A319,ROW(INDIRECT("1:"&amp;LEN(A319)))),1))," ",REPT(" ",LEN(A319))),LEN(A319))))))))+1, 1) * 10^ROW(INDIRECT("1:"&amp;LEN((--TRIM(RIGHT(SUBSTITUTE(LEFT(A319,_xlfn.AGGREGATE(16,6,FIND({0,1,2,3,4,5,6,7,8,9},A319,ROW(INDIRECT("1:"&amp;LEN(A319)))),1))," ",REPT(" ",LEN(A319))),LEN(A319)))))))/10))*1+1</f>
        <v>203 to 503</v>
      </c>
      <c r="B320" s="105"/>
      <c r="C320" s="37"/>
      <c r="D320" s="37"/>
      <c r="E320" s="37">
        <v>0</v>
      </c>
      <c r="F320" s="37">
        <f>D320+E320</f>
        <v>0</v>
      </c>
      <c r="G320" s="37">
        <v>0</v>
      </c>
      <c r="H320" s="37">
        <f>F320*(($H$214)+1)+(IF(G320&lt;101,G320,IF(G320&lt;201,G320/2,IF(G320&lt;=301,G320/3,G320/4))))</f>
        <v>0</v>
      </c>
      <c r="I320" s="31"/>
    </row>
    <row r="321" spans="1:20" s="32" customFormat="1" ht="15.75" hidden="1" customHeight="1" x14ac:dyDescent="0.25">
      <c r="A321" s="104" t="str">
        <f ca="1">(SUMPRODUCT(MID(0&amp;(LEFT(A320,SUM(LEN(A320)-LEN(SUBSTITUTE(A320,{"0","1","2"},""))))), LARGE(INDEX(ISNUMBER(--MID((LEFT(A320,SUM(LEN(A320)-LEN(SUBSTITUTE(A320,{"0","1","2"},""))))), ROW(INDIRECT("1:"&amp;LEN((LEFT(A320,SUM(LEN(A320)-LEN(SUBSTITUTE(A320,{"0","1","2"},"")))))))), 1)) * ROW(INDIRECT("1:"&amp;LEN((LEFT(A320,SUM(LEN(A320)-LEN(SUBSTITUTE(A320,{"0","1","2"},"")))))))), 0), ROW(INDIRECT("1:"&amp;LEN((LEFT(A320,SUM(LEN(A320)-LEN(SUBSTITUTE(A320,{"0","1","2"},"")))))))))+1, 1) * 10^ROW(INDIRECT("1:"&amp;LEN((LEFT(A320,SUM(LEN(A320)-LEN(SUBSTITUTE(A320,{"0","1","2"},""))))))))/10))*1+1&amp;""&amp;" to "&amp;""&amp;(SUMPRODUCT(MID(0&amp;(--TRIM(RIGHT(SUBSTITUTE(LEFT(A320,_xlfn.AGGREGATE(16,6,FIND({0,1,2,3,4,5,6,7,8,9},A320,ROW(INDIRECT("1:"&amp;LEN(A320)))),1))," ",REPT(" ",LEN(A320))),LEN(A320)))), LARGE(INDEX(ISNUMBER(--MID((--TRIM(RIGHT(SUBSTITUTE(LEFT(A320,_xlfn.AGGREGATE(16,6,FIND({0,1,2,3,4,5,6,7,8,9},A320,ROW(INDIRECT("1:"&amp;LEN(A320)))),1))," ",REPT(" ",LEN(A320))),LEN(A320)))), ROW(INDIRECT("1:"&amp;LEN((--TRIM(RIGHT(SUBSTITUTE(LEFT(A320,_xlfn.AGGREGATE(16,6,FIND({0,1,2,3,4,5,6,7,8,9},A320,ROW(INDIRECT("1:"&amp;LEN(A320)))),1))," ",REPT(" ",LEN(A320))),LEN(A320))))))), 1)) * ROW(INDIRECT("1:"&amp;LEN((--TRIM(RIGHT(SUBSTITUTE(LEFT(A320,_xlfn.AGGREGATE(16,6,FIND({0,1,2,3,4,5,6,7,8,9},A320,ROW(INDIRECT("1:"&amp;LEN(A320)))),1))," ",REPT(" ",LEN(A320))),LEN(A320))))))), 0), ROW(INDIRECT("1:"&amp;LEN((--TRIM(RIGHT(SUBSTITUTE(LEFT(A320,_xlfn.AGGREGATE(16,6,FIND({0,1,2,3,4,5,6,7,8,9},A320,ROW(INDIRECT("1:"&amp;LEN(A320)))),1))," ",REPT(" ",LEN(A320))),LEN(A320))))))))+1, 1) * 10^ROW(INDIRECT("1:"&amp;LEN((--TRIM(RIGHT(SUBSTITUTE(LEFT(A320,_xlfn.AGGREGATE(16,6,FIND({0,1,2,3,4,5,6,7,8,9},A320,ROW(INDIRECT("1:"&amp;LEN(A320)))),1))," ",REPT(" ",LEN(A320))),LEN(A320)))))))/10))*1+1</f>
        <v>204 to 504</v>
      </c>
      <c r="B321" s="105"/>
      <c r="C321" s="37"/>
      <c r="D321" s="37"/>
      <c r="E321" s="37">
        <v>0</v>
      </c>
      <c r="F321" s="37">
        <f>D321+E321</f>
        <v>0</v>
      </c>
      <c r="G321" s="37">
        <v>0</v>
      </c>
      <c r="H321" s="37">
        <f>F321*(($H$214)+1)+(IF(G321&lt;101,G321,IF(G321&lt;201,G321/2,IF(G321&lt;=301,G321/3,G321/4))))</f>
        <v>0</v>
      </c>
      <c r="I321" s="31"/>
    </row>
    <row r="322" spans="1:20" s="32" customFormat="1" ht="15.75" hidden="1" customHeight="1" x14ac:dyDescent="0.25">
      <c r="A322" s="104" t="str">
        <f ca="1">(SUMPRODUCT(MID(0&amp;(LEFT(A321,SUM(LEN(A321)-LEN(SUBSTITUTE(A321,{"0","1","2"},""))))), LARGE(INDEX(ISNUMBER(--MID((LEFT(A321,SUM(LEN(A321)-LEN(SUBSTITUTE(A321,{"0","1","2"},""))))), ROW(INDIRECT("1:"&amp;LEN((LEFT(A321,SUM(LEN(A321)-LEN(SUBSTITUTE(A321,{"0","1","2"},"")))))))), 1)) * ROW(INDIRECT("1:"&amp;LEN((LEFT(A321,SUM(LEN(A321)-LEN(SUBSTITUTE(A321,{"0","1","2"},"")))))))), 0), ROW(INDIRECT("1:"&amp;LEN((LEFT(A321,SUM(LEN(A321)-LEN(SUBSTITUTE(A321,{"0","1","2"},"")))))))))+1, 1) * 10^ROW(INDIRECT("1:"&amp;LEN((LEFT(A321,SUM(LEN(A321)-LEN(SUBSTITUTE(A321,{"0","1","2"},""))))))))/10))*1+1&amp;""&amp;" to "&amp;""&amp;(SUMPRODUCT(MID(0&amp;(--TRIM(RIGHT(SUBSTITUTE(LEFT(A321,_xlfn.AGGREGATE(16,6,FIND({0,1,2,3,4,5,6,7,8,9},A321,ROW(INDIRECT("1:"&amp;LEN(A321)))),1))," ",REPT(" ",LEN(A321))),LEN(A321)))), LARGE(INDEX(ISNUMBER(--MID((--TRIM(RIGHT(SUBSTITUTE(LEFT(A321,_xlfn.AGGREGATE(16,6,FIND({0,1,2,3,4,5,6,7,8,9},A321,ROW(INDIRECT("1:"&amp;LEN(A321)))),1))," ",REPT(" ",LEN(A321))),LEN(A321)))), ROW(INDIRECT("1:"&amp;LEN((--TRIM(RIGHT(SUBSTITUTE(LEFT(A321,_xlfn.AGGREGATE(16,6,FIND({0,1,2,3,4,5,6,7,8,9},A321,ROW(INDIRECT("1:"&amp;LEN(A321)))),1))," ",REPT(" ",LEN(A321))),LEN(A321))))))), 1)) * ROW(INDIRECT("1:"&amp;LEN((--TRIM(RIGHT(SUBSTITUTE(LEFT(A321,_xlfn.AGGREGATE(16,6,FIND({0,1,2,3,4,5,6,7,8,9},A321,ROW(INDIRECT("1:"&amp;LEN(A321)))),1))," ",REPT(" ",LEN(A321))),LEN(A321))))))), 0), ROW(INDIRECT("1:"&amp;LEN((--TRIM(RIGHT(SUBSTITUTE(LEFT(A321,_xlfn.AGGREGATE(16,6,FIND({0,1,2,3,4,5,6,7,8,9},A321,ROW(INDIRECT("1:"&amp;LEN(A321)))),1))," ",REPT(" ",LEN(A321))),LEN(A321))))))))+1, 1) * 10^ROW(INDIRECT("1:"&amp;LEN((--TRIM(RIGHT(SUBSTITUTE(LEFT(A321,_xlfn.AGGREGATE(16,6,FIND({0,1,2,3,4,5,6,7,8,9},A321,ROW(INDIRECT("1:"&amp;LEN(A321)))),1))," ",REPT(" ",LEN(A321))),LEN(A321)))))))/10))*1+1</f>
        <v>205 to 505</v>
      </c>
      <c r="B322" s="105"/>
      <c r="C322" s="37"/>
      <c r="D322" s="37"/>
      <c r="E322" s="37">
        <v>0</v>
      </c>
      <c r="F322" s="37">
        <f>D322+E322</f>
        <v>0</v>
      </c>
      <c r="G322" s="37">
        <v>0</v>
      </c>
      <c r="H322" s="37">
        <f>F322*(($H$214)+1)+(IF(G322&lt;101,G322,IF(G322&lt;201,G322/2,IF(G322&lt;=301,G322/3,G322/4))))</f>
        <v>0</v>
      </c>
      <c r="I322" s="31"/>
    </row>
    <row r="323" spans="1:20" s="32" customFormat="1" hidden="1" x14ac:dyDescent="0.25">
      <c r="A323" s="101" t="s">
        <v>144</v>
      </c>
      <c r="B323" s="102"/>
      <c r="C323" s="102"/>
      <c r="D323" s="102"/>
      <c r="E323" s="102"/>
      <c r="F323" s="102"/>
      <c r="G323" s="102"/>
      <c r="H323" s="103"/>
      <c r="I323" s="31"/>
    </row>
    <row r="324" spans="1:20" s="32" customFormat="1" ht="15.75" hidden="1" customHeight="1" x14ac:dyDescent="0.25">
      <c r="A324" s="104" t="str">
        <f ca="1">(SUMPRODUCT(MID(0&amp;(LEFT(A323,SUM(LEN(A323)-LEN(SUBSTITUTE(A323,{"0","1","2"},""))))), LARGE(INDEX(ISNUMBER(--MID((LEFT(A323,SUM(LEN(A323)-LEN(SUBSTITUTE(A323,{"0","1","2"},""))))), ROW(INDIRECT("1:"&amp;LEN((LEFT(A323,SUM(LEN(A323)-LEN(SUBSTITUTE(A323,{"0","1","2"},"")))))))), 1)) * ROW(INDIRECT("1:"&amp;LEN((LEFT(A323,SUM(LEN(A323)-LEN(SUBSTITUTE(A323,{"0","1","2"},"")))))))), 0), ROW(INDIRECT("1:"&amp;LEN((LEFT(A323,SUM(LEN(A323)-LEN(SUBSTITUTE(A323,{"0","1","2"},"")))))))))+1, 1) * 10^ROW(INDIRECT("1:"&amp;LEN((LEFT(A323,SUM(LEN(A323)-LEN(SUBSTITUTE(A323,{"0","1","2"},""))))))))/10))*100+1&amp;""&amp;" &amp; "&amp;""&amp;(SUMPRODUCT(MID(0&amp;(--TRIM(RIGHT(SUBSTITUTE(LEFT(A323,_xlfn.AGGREGATE(16,6,FIND({0,1,2,3,4,5,6,7,8,9},A323,ROW(INDIRECT("1:"&amp;LEN(A323)))),1))," ",REPT(" ",LEN(A323))),LEN(A323)))), LARGE(INDEX(ISNUMBER(--MID((--TRIM(RIGHT(SUBSTITUTE(LEFT(A323,_xlfn.AGGREGATE(16,6,FIND({0,1,2,3,4,5,6,7,8,9},A323,ROW(INDIRECT("1:"&amp;LEN(A323)))),1))," ",REPT(" ",LEN(A323))),LEN(A323)))), ROW(INDIRECT("1:"&amp;LEN((--TRIM(RIGHT(SUBSTITUTE(LEFT(A323,_xlfn.AGGREGATE(16,6,FIND({0,1,2,3,4,5,6,7,8,9},A323,ROW(INDIRECT("1:"&amp;LEN(A323)))),1))," ",REPT(" ",LEN(A323))),LEN(A323))))))), 1)) * ROW(INDIRECT("1:"&amp;LEN((--TRIM(RIGHT(SUBSTITUTE(LEFT(A323,_xlfn.AGGREGATE(16,6,FIND({0,1,2,3,4,5,6,7,8,9},A323,ROW(INDIRECT("1:"&amp;LEN(A323)))),1))," ",REPT(" ",LEN(A323))),LEN(A323))))))), 0), ROW(INDIRECT("1:"&amp;LEN((--TRIM(RIGHT(SUBSTITUTE(LEFT(A323,_xlfn.AGGREGATE(16,6,FIND({0,1,2,3,4,5,6,7,8,9},A323,ROW(INDIRECT("1:"&amp;LEN(A323)))),1))," ",REPT(" ",LEN(A323))),LEN(A323))))))))+1, 1) * 10^ROW(INDIRECT("1:"&amp;LEN((--TRIM(RIGHT(SUBSTITUTE(LEFT(A323,_xlfn.AGGREGATE(16,6,FIND({0,1,2,3,4,5,6,7,8,9},A323,ROW(INDIRECT("1:"&amp;LEN(A323)))),1))," ",REPT(" ",LEN(A323))),LEN(A323)))))))/10))*100+1</f>
        <v>201 &amp; 501</v>
      </c>
      <c r="B324" s="105"/>
      <c r="C324" s="37"/>
      <c r="D324" s="37"/>
      <c r="E324" s="37">
        <v>0</v>
      </c>
      <c r="F324" s="37">
        <f>D324+E324</f>
        <v>0</v>
      </c>
      <c r="G324" s="37">
        <v>0</v>
      </c>
      <c r="H324" s="37">
        <f>F324*(($H$214)+1)+(IF(G324&lt;101,G324,IF(G324&lt;201,G324/2,IF(G324&lt;=301,G324/3,G324/4))))</f>
        <v>0</v>
      </c>
      <c r="I324" s="31"/>
    </row>
    <row r="325" spans="1:20" s="32" customFormat="1" ht="15.75" hidden="1" customHeight="1" x14ac:dyDescent="0.25">
      <c r="A325" s="104" t="str">
        <f ca="1">(SUMPRODUCT(MID(0&amp;(LEFT(A324,SUM(LEN(A324)-LEN(SUBSTITUTE(A324,{"0","1","2"},""))))), LARGE(INDEX(ISNUMBER(--MID((LEFT(A324,SUM(LEN(A324)-LEN(SUBSTITUTE(A324,{"0","1","2"},""))))), ROW(INDIRECT("1:"&amp;LEN((LEFT(A324,SUM(LEN(A324)-LEN(SUBSTITUTE(A324,{"0","1","2"},"")))))))), 1)) * ROW(INDIRECT("1:"&amp;LEN((LEFT(A324,SUM(LEN(A324)-LEN(SUBSTITUTE(A324,{"0","1","2"},"")))))))), 0), ROW(INDIRECT("1:"&amp;LEN((LEFT(A324,SUM(LEN(A324)-LEN(SUBSTITUTE(A324,{"0","1","2"},"")))))))))+1, 1) * 10^ROW(INDIRECT("1:"&amp;LEN((LEFT(A324,SUM(LEN(A324)-LEN(SUBSTITUTE(A324,{"0","1","2"},""))))))))/10))*1+1&amp;""&amp;" &amp; "&amp;""&amp;(SUMPRODUCT(MID(0&amp;(--TRIM(RIGHT(SUBSTITUTE(LEFT(A324,_xlfn.AGGREGATE(16,6,FIND({0,1,2,3,4,5,6,7,8,9},A324,ROW(INDIRECT("1:"&amp;LEN(A324)))),1))," ",REPT(" ",LEN(A324))),LEN(A324)))), LARGE(INDEX(ISNUMBER(--MID((--TRIM(RIGHT(SUBSTITUTE(LEFT(A324,_xlfn.AGGREGATE(16,6,FIND({0,1,2,3,4,5,6,7,8,9},A324,ROW(INDIRECT("1:"&amp;LEN(A324)))),1))," ",REPT(" ",LEN(A324))),LEN(A324)))), ROW(INDIRECT("1:"&amp;LEN((--TRIM(RIGHT(SUBSTITUTE(LEFT(A324,_xlfn.AGGREGATE(16,6,FIND({0,1,2,3,4,5,6,7,8,9},A324,ROW(INDIRECT("1:"&amp;LEN(A324)))),1))," ",REPT(" ",LEN(A324))),LEN(A324))))))), 1)) * ROW(INDIRECT("1:"&amp;LEN((--TRIM(RIGHT(SUBSTITUTE(LEFT(A324,_xlfn.AGGREGATE(16,6,FIND({0,1,2,3,4,5,6,7,8,9},A324,ROW(INDIRECT("1:"&amp;LEN(A324)))),1))," ",REPT(" ",LEN(A324))),LEN(A324))))))), 0), ROW(INDIRECT("1:"&amp;LEN((--TRIM(RIGHT(SUBSTITUTE(LEFT(A324,_xlfn.AGGREGATE(16,6,FIND({0,1,2,3,4,5,6,7,8,9},A324,ROW(INDIRECT("1:"&amp;LEN(A324)))),1))," ",REPT(" ",LEN(A324))),LEN(A324))))))))+1, 1) * 10^ROW(INDIRECT("1:"&amp;LEN((--TRIM(RIGHT(SUBSTITUTE(LEFT(A324,_xlfn.AGGREGATE(16,6,FIND({0,1,2,3,4,5,6,7,8,9},A324,ROW(INDIRECT("1:"&amp;LEN(A324)))),1))," ",REPT(" ",LEN(A324))),LEN(A324)))))))/10))*1+1</f>
        <v>202 &amp; 502</v>
      </c>
      <c r="B325" s="105"/>
      <c r="C325" s="37"/>
      <c r="D325" s="37"/>
      <c r="E325" s="37">
        <v>0</v>
      </c>
      <c r="F325" s="37">
        <f>D325+E325</f>
        <v>0</v>
      </c>
      <c r="G325" s="37">
        <v>0</v>
      </c>
      <c r="H325" s="37">
        <f>F325*(($H$214)+1)+(IF(G325&lt;101,G325,IF(G325&lt;201,G325/2,IF(G325&lt;=301,G325/3,G325/4))))</f>
        <v>0</v>
      </c>
      <c r="I325" s="31"/>
    </row>
    <row r="326" spans="1:20" s="32" customFormat="1" ht="15.75" hidden="1" customHeight="1" x14ac:dyDescent="0.25">
      <c r="A326" s="104" t="str">
        <f ca="1">(SUMPRODUCT(MID(0&amp;(LEFT(A325,SUM(LEN(A325)-LEN(SUBSTITUTE(A325,{"0","1","2"},""))))), LARGE(INDEX(ISNUMBER(--MID((LEFT(A325,SUM(LEN(A325)-LEN(SUBSTITUTE(A325,{"0","1","2"},""))))), ROW(INDIRECT("1:"&amp;LEN((LEFT(A325,SUM(LEN(A325)-LEN(SUBSTITUTE(A325,{"0","1","2"},"")))))))), 1)) * ROW(INDIRECT("1:"&amp;LEN((LEFT(A325,SUM(LEN(A325)-LEN(SUBSTITUTE(A325,{"0","1","2"},"")))))))), 0), ROW(INDIRECT("1:"&amp;LEN((LEFT(A325,SUM(LEN(A325)-LEN(SUBSTITUTE(A325,{"0","1","2"},"")))))))))+1, 1) * 10^ROW(INDIRECT("1:"&amp;LEN((LEFT(A325,SUM(LEN(A325)-LEN(SUBSTITUTE(A325,{"0","1","2"},""))))))))/10))*1+1&amp;""&amp;" &amp; "&amp;""&amp;(SUMPRODUCT(MID(0&amp;(--TRIM(RIGHT(SUBSTITUTE(LEFT(A325,_xlfn.AGGREGATE(16,6,FIND({0,1,2,3,4,5,6,7,8,9},A325,ROW(INDIRECT("1:"&amp;LEN(A325)))),1))," ",REPT(" ",LEN(A325))),LEN(A325)))), LARGE(INDEX(ISNUMBER(--MID((--TRIM(RIGHT(SUBSTITUTE(LEFT(A325,_xlfn.AGGREGATE(16,6,FIND({0,1,2,3,4,5,6,7,8,9},A325,ROW(INDIRECT("1:"&amp;LEN(A325)))),1))," ",REPT(" ",LEN(A325))),LEN(A325)))), ROW(INDIRECT("1:"&amp;LEN((--TRIM(RIGHT(SUBSTITUTE(LEFT(A325,_xlfn.AGGREGATE(16,6,FIND({0,1,2,3,4,5,6,7,8,9},A325,ROW(INDIRECT("1:"&amp;LEN(A325)))),1))," ",REPT(" ",LEN(A325))),LEN(A325))))))), 1)) * ROW(INDIRECT("1:"&amp;LEN((--TRIM(RIGHT(SUBSTITUTE(LEFT(A325,_xlfn.AGGREGATE(16,6,FIND({0,1,2,3,4,5,6,7,8,9},A325,ROW(INDIRECT("1:"&amp;LEN(A325)))),1))," ",REPT(" ",LEN(A325))),LEN(A325))))))), 0), ROW(INDIRECT("1:"&amp;LEN((--TRIM(RIGHT(SUBSTITUTE(LEFT(A325,_xlfn.AGGREGATE(16,6,FIND({0,1,2,3,4,5,6,7,8,9},A325,ROW(INDIRECT("1:"&amp;LEN(A325)))),1))," ",REPT(" ",LEN(A325))),LEN(A325))))))))+1, 1) * 10^ROW(INDIRECT("1:"&amp;LEN((--TRIM(RIGHT(SUBSTITUTE(LEFT(A325,_xlfn.AGGREGATE(16,6,FIND({0,1,2,3,4,5,6,7,8,9},A325,ROW(INDIRECT("1:"&amp;LEN(A325)))),1))," ",REPT(" ",LEN(A325))),LEN(A325)))))))/10))*1+1</f>
        <v>203 &amp; 503</v>
      </c>
      <c r="B326" s="105"/>
      <c r="C326" s="37"/>
      <c r="D326" s="37"/>
      <c r="E326" s="37">
        <v>0</v>
      </c>
      <c r="F326" s="37">
        <f>D326+E326</f>
        <v>0</v>
      </c>
      <c r="G326" s="37">
        <v>0</v>
      </c>
      <c r="H326" s="37">
        <f>F326*(($H$214)+1)+(IF(G326&lt;101,G326,IF(G326&lt;201,G326/2,IF(G326&lt;=301,G326/3,G326/4))))</f>
        <v>0</v>
      </c>
      <c r="I326" s="31"/>
    </row>
    <row r="327" spans="1:20" s="32" customFormat="1" ht="15.75" hidden="1" customHeight="1" x14ac:dyDescent="0.25">
      <c r="A327" s="104" t="str">
        <f ca="1">(SUMPRODUCT(MID(0&amp;(LEFT(A326,SUM(LEN(A326)-LEN(SUBSTITUTE(A326,{"0","1","2"},""))))), LARGE(INDEX(ISNUMBER(--MID((LEFT(A326,SUM(LEN(A326)-LEN(SUBSTITUTE(A326,{"0","1","2"},""))))), ROW(INDIRECT("1:"&amp;LEN((LEFT(A326,SUM(LEN(A326)-LEN(SUBSTITUTE(A326,{"0","1","2"},"")))))))), 1)) * ROW(INDIRECT("1:"&amp;LEN((LEFT(A326,SUM(LEN(A326)-LEN(SUBSTITUTE(A326,{"0","1","2"},"")))))))), 0), ROW(INDIRECT("1:"&amp;LEN((LEFT(A326,SUM(LEN(A326)-LEN(SUBSTITUTE(A326,{"0","1","2"},"")))))))))+1, 1) * 10^ROW(INDIRECT("1:"&amp;LEN((LEFT(A326,SUM(LEN(A326)-LEN(SUBSTITUTE(A326,{"0","1","2"},""))))))))/10))*1+1&amp;""&amp;" &amp; "&amp;""&amp;(SUMPRODUCT(MID(0&amp;(--TRIM(RIGHT(SUBSTITUTE(LEFT(A326,_xlfn.AGGREGATE(16,6,FIND({0,1,2,3,4,5,6,7,8,9},A326,ROW(INDIRECT("1:"&amp;LEN(A326)))),1))," ",REPT(" ",LEN(A326))),LEN(A326)))), LARGE(INDEX(ISNUMBER(--MID((--TRIM(RIGHT(SUBSTITUTE(LEFT(A326,_xlfn.AGGREGATE(16,6,FIND({0,1,2,3,4,5,6,7,8,9},A326,ROW(INDIRECT("1:"&amp;LEN(A326)))),1))," ",REPT(" ",LEN(A326))),LEN(A326)))), ROW(INDIRECT("1:"&amp;LEN((--TRIM(RIGHT(SUBSTITUTE(LEFT(A326,_xlfn.AGGREGATE(16,6,FIND({0,1,2,3,4,5,6,7,8,9},A326,ROW(INDIRECT("1:"&amp;LEN(A326)))),1))," ",REPT(" ",LEN(A326))),LEN(A326))))))), 1)) * ROW(INDIRECT("1:"&amp;LEN((--TRIM(RIGHT(SUBSTITUTE(LEFT(A326,_xlfn.AGGREGATE(16,6,FIND({0,1,2,3,4,5,6,7,8,9},A326,ROW(INDIRECT("1:"&amp;LEN(A326)))),1))," ",REPT(" ",LEN(A326))),LEN(A326))))))), 0), ROW(INDIRECT("1:"&amp;LEN((--TRIM(RIGHT(SUBSTITUTE(LEFT(A326,_xlfn.AGGREGATE(16,6,FIND({0,1,2,3,4,5,6,7,8,9},A326,ROW(INDIRECT("1:"&amp;LEN(A326)))),1))," ",REPT(" ",LEN(A326))),LEN(A326))))))))+1, 1) * 10^ROW(INDIRECT("1:"&amp;LEN((--TRIM(RIGHT(SUBSTITUTE(LEFT(A326,_xlfn.AGGREGATE(16,6,FIND({0,1,2,3,4,5,6,7,8,9},A326,ROW(INDIRECT("1:"&amp;LEN(A326)))),1))," ",REPT(" ",LEN(A326))),LEN(A326)))))))/10))*1+1</f>
        <v>204 &amp; 504</v>
      </c>
      <c r="B327" s="105"/>
      <c r="C327" s="37"/>
      <c r="D327" s="37"/>
      <c r="E327" s="37">
        <v>0</v>
      </c>
      <c r="F327" s="37">
        <f>D327+E327</f>
        <v>0</v>
      </c>
      <c r="G327" s="37">
        <v>0</v>
      </c>
      <c r="H327" s="37">
        <f>F327*(($H$214)+1)+(IF(G327&lt;101,G327,IF(G327&lt;201,G327/2,IF(G327&lt;=301,G327/3,G327/4))))</f>
        <v>0</v>
      </c>
      <c r="I327" s="31"/>
    </row>
    <row r="328" spans="1:20" s="32" customFormat="1" ht="15.75" hidden="1" customHeight="1" x14ac:dyDescent="0.25">
      <c r="A328" s="104" t="str">
        <f ca="1">(SUMPRODUCT(MID(0&amp;(LEFT(A327,SUM(LEN(A327)-LEN(SUBSTITUTE(A327,{"0","1","2"},""))))), LARGE(INDEX(ISNUMBER(--MID((LEFT(A327,SUM(LEN(A327)-LEN(SUBSTITUTE(A327,{"0","1","2"},""))))), ROW(INDIRECT("1:"&amp;LEN((LEFT(A327,SUM(LEN(A327)-LEN(SUBSTITUTE(A327,{"0","1","2"},"")))))))), 1)) * ROW(INDIRECT("1:"&amp;LEN((LEFT(A327,SUM(LEN(A327)-LEN(SUBSTITUTE(A327,{"0","1","2"},"")))))))), 0), ROW(INDIRECT("1:"&amp;LEN((LEFT(A327,SUM(LEN(A327)-LEN(SUBSTITUTE(A327,{"0","1","2"},"")))))))))+1, 1) * 10^ROW(INDIRECT("1:"&amp;LEN((LEFT(A327,SUM(LEN(A327)-LEN(SUBSTITUTE(A327,{"0","1","2"},""))))))))/10))*1+1&amp;""&amp;" &amp; "&amp;""&amp;(SUMPRODUCT(MID(0&amp;(--TRIM(RIGHT(SUBSTITUTE(LEFT(A327,_xlfn.AGGREGATE(16,6,FIND({0,1,2,3,4,5,6,7,8,9},A327,ROW(INDIRECT("1:"&amp;LEN(A327)))),1))," ",REPT(" ",LEN(A327))),LEN(A327)))), LARGE(INDEX(ISNUMBER(--MID((--TRIM(RIGHT(SUBSTITUTE(LEFT(A327,_xlfn.AGGREGATE(16,6,FIND({0,1,2,3,4,5,6,7,8,9},A327,ROW(INDIRECT("1:"&amp;LEN(A327)))),1))," ",REPT(" ",LEN(A327))),LEN(A327)))), ROW(INDIRECT("1:"&amp;LEN((--TRIM(RIGHT(SUBSTITUTE(LEFT(A327,_xlfn.AGGREGATE(16,6,FIND({0,1,2,3,4,5,6,7,8,9},A327,ROW(INDIRECT("1:"&amp;LEN(A327)))),1))," ",REPT(" ",LEN(A327))),LEN(A327))))))), 1)) * ROW(INDIRECT("1:"&amp;LEN((--TRIM(RIGHT(SUBSTITUTE(LEFT(A327,_xlfn.AGGREGATE(16,6,FIND({0,1,2,3,4,5,6,7,8,9},A327,ROW(INDIRECT("1:"&amp;LEN(A327)))),1))," ",REPT(" ",LEN(A327))),LEN(A327))))))), 0), ROW(INDIRECT("1:"&amp;LEN((--TRIM(RIGHT(SUBSTITUTE(LEFT(A327,_xlfn.AGGREGATE(16,6,FIND({0,1,2,3,4,5,6,7,8,9},A327,ROW(INDIRECT("1:"&amp;LEN(A327)))),1))," ",REPT(" ",LEN(A327))),LEN(A327))))))))+1, 1) * 10^ROW(INDIRECT("1:"&amp;LEN((--TRIM(RIGHT(SUBSTITUTE(LEFT(A327,_xlfn.AGGREGATE(16,6,FIND({0,1,2,3,4,5,6,7,8,9},A327,ROW(INDIRECT("1:"&amp;LEN(A327)))),1))," ",REPT(" ",LEN(A327))),LEN(A327)))))))/10))*1+1</f>
        <v>205 &amp; 505</v>
      </c>
      <c r="B328" s="105"/>
      <c r="C328" s="37"/>
      <c r="D328" s="37"/>
      <c r="E328" s="37">
        <v>0</v>
      </c>
      <c r="F328" s="37">
        <f>D328+E328</f>
        <v>0</v>
      </c>
      <c r="G328" s="37">
        <v>0</v>
      </c>
      <c r="H328" s="37">
        <f>F328*(($H$214)+1)+(IF(G328&lt;101,G328,IF(G328&lt;201,G328/2,IF(G328&lt;=301,G328/3,G328/4))))</f>
        <v>0</v>
      </c>
      <c r="I328" s="31"/>
    </row>
    <row r="329" spans="1:20" s="30" customFormat="1" x14ac:dyDescent="0.25">
      <c r="A329" s="189" t="s">
        <v>65</v>
      </c>
      <c r="B329" s="189"/>
      <c r="C329" s="189"/>
      <c r="D329" s="189"/>
      <c r="E329" s="189"/>
      <c r="F329" s="189"/>
      <c r="G329" s="189"/>
      <c r="H329" s="189"/>
      <c r="T329" s="32"/>
    </row>
    <row r="330" spans="1:20" s="30" customFormat="1" x14ac:dyDescent="0.25">
      <c r="A330" s="39">
        <v>1</v>
      </c>
      <c r="B330" s="67" t="s">
        <v>384</v>
      </c>
      <c r="C330" s="68"/>
      <c r="D330" s="68"/>
      <c r="E330" s="68"/>
      <c r="F330" s="68"/>
      <c r="G330" s="68"/>
      <c r="H330" s="69"/>
      <c r="T330" s="32"/>
    </row>
    <row r="331" spans="1:20" s="30" customFormat="1" x14ac:dyDescent="0.25">
      <c r="A331" s="39">
        <v>2</v>
      </c>
      <c r="B331" s="67" t="str">
        <f>(IF(H213="Saleable area Loading :","We have considered Saleable area of Flats as per our Calculation.","We considered Saleable area of Flat as per Builder area Sheet."))</f>
        <v>We have considered Saleable area of Flats as per our Calculation.</v>
      </c>
      <c r="C331" s="68"/>
      <c r="D331" s="68"/>
      <c r="E331" s="68"/>
      <c r="F331" s="68"/>
      <c r="G331" s="68"/>
      <c r="H331" s="69"/>
      <c r="T331" s="32"/>
    </row>
    <row r="332" spans="1:20" s="30" customFormat="1" x14ac:dyDescent="0.25">
      <c r="A332" s="39">
        <v>3</v>
      </c>
      <c r="B332" s="67" t="str">
        <f>(IF(H121="Saleable area Loading :","We have considered Saleable area of Commercial as per our Calculation.","We considered Saleable area of Commercial as per Builder area Sheet."))</f>
        <v>We have considered Saleable area of Commercial as per our Calculation.</v>
      </c>
      <c r="C332" s="68"/>
      <c r="D332" s="68"/>
      <c r="E332" s="68"/>
      <c r="F332" s="68"/>
      <c r="G332" s="68"/>
      <c r="H332" s="69"/>
    </row>
    <row r="333" spans="1:20" s="30" customFormat="1" x14ac:dyDescent="0.25">
      <c r="A333" s="39">
        <v>4</v>
      </c>
      <c r="B333" s="70" t="s">
        <v>120</v>
      </c>
      <c r="C333" s="71"/>
      <c r="D333" s="71"/>
      <c r="E333" s="71"/>
      <c r="F333" s="71"/>
      <c r="G333" s="71"/>
      <c r="H333" s="72"/>
    </row>
    <row r="334" spans="1:20" s="30" customFormat="1" x14ac:dyDescent="0.25">
      <c r="A334" s="39">
        <v>5</v>
      </c>
      <c r="B334" s="70" t="s">
        <v>336</v>
      </c>
      <c r="C334" s="71"/>
      <c r="D334" s="71"/>
      <c r="E334" s="71"/>
      <c r="F334" s="71"/>
      <c r="G334" s="71"/>
      <c r="H334" s="72"/>
    </row>
    <row r="335" spans="1:20" s="30" customFormat="1" x14ac:dyDescent="0.25">
      <c r="A335" s="39">
        <v>6</v>
      </c>
      <c r="B335" s="70" t="s">
        <v>152</v>
      </c>
      <c r="C335" s="71"/>
      <c r="D335" s="71"/>
      <c r="E335" s="71"/>
      <c r="F335" s="71"/>
      <c r="G335" s="71"/>
      <c r="H335" s="72"/>
    </row>
    <row r="336" spans="1:20" s="30" customFormat="1" x14ac:dyDescent="0.25">
      <c r="A336" s="39">
        <v>7</v>
      </c>
      <c r="B336" s="70" t="s">
        <v>121</v>
      </c>
      <c r="C336" s="71"/>
      <c r="D336" s="71"/>
      <c r="E336" s="71"/>
      <c r="F336" s="71"/>
      <c r="G336" s="71"/>
      <c r="H336" s="72"/>
    </row>
    <row r="337" spans="1:20" s="30" customFormat="1" ht="34.5" customHeight="1" x14ac:dyDescent="0.25">
      <c r="A337" s="39">
        <v>8</v>
      </c>
      <c r="B337" s="70" t="s">
        <v>154</v>
      </c>
      <c r="C337" s="71"/>
      <c r="D337" s="71"/>
      <c r="E337" s="71"/>
      <c r="F337" s="71"/>
      <c r="G337" s="71"/>
      <c r="H337" s="72"/>
    </row>
    <row r="338" spans="1:20" s="30" customFormat="1" x14ac:dyDescent="0.25">
      <c r="A338" s="39">
        <v>9</v>
      </c>
      <c r="B338" s="70" t="s">
        <v>122</v>
      </c>
      <c r="C338" s="71"/>
      <c r="D338" s="71"/>
      <c r="E338" s="71"/>
      <c r="F338" s="71"/>
      <c r="G338" s="71"/>
      <c r="H338" s="72"/>
    </row>
    <row r="339" spans="1:20" s="30" customFormat="1" hidden="1" x14ac:dyDescent="0.25">
      <c r="A339" s="39" t="s">
        <v>153</v>
      </c>
      <c r="B339" s="70" t="s">
        <v>345</v>
      </c>
      <c r="C339" s="71"/>
      <c r="D339" s="71"/>
      <c r="E339" s="71"/>
      <c r="F339" s="71"/>
      <c r="G339" s="71"/>
      <c r="H339" s="72"/>
    </row>
    <row r="340" spans="1:20" s="30" customFormat="1" x14ac:dyDescent="0.25">
      <c r="A340" s="39">
        <v>10</v>
      </c>
      <c r="B340" s="70" t="s">
        <v>351</v>
      </c>
      <c r="C340" s="71"/>
      <c r="D340" s="71"/>
      <c r="E340" s="71"/>
      <c r="F340" s="71"/>
      <c r="G340" s="71"/>
      <c r="H340" s="72"/>
    </row>
    <row r="341" spans="1:20" s="30" customFormat="1" x14ac:dyDescent="0.25">
      <c r="A341" s="39">
        <v>11</v>
      </c>
      <c r="B341" s="70" t="s">
        <v>376</v>
      </c>
      <c r="C341" s="71"/>
      <c r="D341" s="71"/>
      <c r="E341" s="71"/>
      <c r="F341" s="71"/>
      <c r="G341" s="71"/>
      <c r="H341" s="72"/>
    </row>
    <row r="342" spans="1:20" s="30" customFormat="1" x14ac:dyDescent="0.25">
      <c r="A342" s="39">
        <v>12</v>
      </c>
      <c r="B342" s="70" t="s">
        <v>378</v>
      </c>
      <c r="C342" s="71"/>
      <c r="D342" s="71"/>
      <c r="E342" s="71"/>
      <c r="F342" s="71"/>
      <c r="G342" s="71"/>
      <c r="H342" s="72"/>
    </row>
    <row r="343" spans="1:20" s="30" customFormat="1" ht="47.25" customHeight="1" x14ac:dyDescent="0.25">
      <c r="A343" s="39">
        <v>13</v>
      </c>
      <c r="B343" s="70" t="s">
        <v>380</v>
      </c>
      <c r="C343" s="71"/>
      <c r="D343" s="71"/>
      <c r="E343" s="71"/>
      <c r="F343" s="71"/>
      <c r="G343" s="71"/>
      <c r="H343" s="72"/>
    </row>
    <row r="344" spans="1:20" s="30" customFormat="1" ht="36" customHeight="1" x14ac:dyDescent="0.25">
      <c r="A344" s="39">
        <v>14</v>
      </c>
      <c r="B344" s="70" t="s">
        <v>379</v>
      </c>
      <c r="C344" s="71"/>
      <c r="D344" s="71"/>
      <c r="E344" s="71"/>
      <c r="F344" s="71"/>
      <c r="G344" s="71"/>
      <c r="H344" s="72"/>
    </row>
    <row r="345" spans="1:20" x14ac:dyDescent="0.25">
      <c r="A345" s="188" t="s">
        <v>58</v>
      </c>
      <c r="B345" s="188"/>
      <c r="C345" s="188"/>
      <c r="D345" s="188"/>
      <c r="E345" s="188"/>
      <c r="F345" s="188"/>
      <c r="G345" s="188"/>
      <c r="H345" s="188"/>
      <c r="T345" s="30"/>
    </row>
    <row r="346" spans="1:20" x14ac:dyDescent="0.25">
      <c r="A346" s="113" t="s">
        <v>59</v>
      </c>
      <c r="B346" s="113"/>
      <c r="C346" s="113"/>
      <c r="D346" s="113"/>
      <c r="E346" s="113"/>
      <c r="F346" s="113"/>
      <c r="G346" s="113"/>
      <c r="H346" s="113"/>
      <c r="T346" s="30"/>
    </row>
    <row r="347" spans="1:20" ht="15.75" customHeight="1" x14ac:dyDescent="0.25">
      <c r="A347" s="195" t="s">
        <v>60</v>
      </c>
      <c r="B347" s="195"/>
      <c r="C347" s="195"/>
      <c r="D347" s="195"/>
      <c r="E347" s="195"/>
      <c r="F347" s="195"/>
      <c r="G347" s="195"/>
      <c r="H347" s="195"/>
      <c r="T347" s="30"/>
    </row>
    <row r="348" spans="1:20" x14ac:dyDescent="0.25">
      <c r="A348" s="113" t="s">
        <v>61</v>
      </c>
      <c r="B348" s="113"/>
      <c r="C348" s="113"/>
      <c r="D348" s="113"/>
      <c r="E348" s="113"/>
      <c r="F348" s="113"/>
      <c r="G348" s="113"/>
      <c r="H348" s="113"/>
    </row>
    <row r="349" spans="1:20" x14ac:dyDescent="0.25">
      <c r="A349" s="132" t="s">
        <v>62</v>
      </c>
      <c r="B349" s="132"/>
      <c r="C349" s="132"/>
      <c r="D349" s="132"/>
      <c r="E349" s="132"/>
      <c r="F349" s="132"/>
      <c r="G349" s="132"/>
      <c r="H349" s="132"/>
    </row>
    <row r="350" spans="1:20" x14ac:dyDescent="0.25">
      <c r="A350" s="132" t="s">
        <v>123</v>
      </c>
      <c r="B350" s="132"/>
      <c r="C350" s="132"/>
      <c r="D350" s="132"/>
      <c r="E350" s="132"/>
      <c r="F350" s="132"/>
      <c r="G350" s="132"/>
      <c r="H350" s="132"/>
    </row>
    <row r="351" spans="1:20" ht="33.950000000000003" customHeight="1" x14ac:dyDescent="0.25">
      <c r="A351" s="133" t="s">
        <v>124</v>
      </c>
      <c r="B351" s="133"/>
      <c r="C351" s="133"/>
      <c r="D351" s="133"/>
      <c r="E351" s="133"/>
      <c r="F351" s="133"/>
      <c r="G351" s="133"/>
      <c r="H351" s="133"/>
    </row>
    <row r="352" spans="1:20" x14ac:dyDescent="0.25">
      <c r="A352" s="187" t="s">
        <v>72</v>
      </c>
      <c r="B352" s="187"/>
      <c r="C352" s="187" t="s">
        <v>350</v>
      </c>
      <c r="D352" s="187"/>
      <c r="E352" s="187" t="s">
        <v>102</v>
      </c>
      <c r="F352" s="187"/>
      <c r="G352" s="187" t="s">
        <v>383</v>
      </c>
      <c r="H352" s="187"/>
    </row>
    <row r="353" spans="1:8" x14ac:dyDescent="0.25">
      <c r="A353" s="186" t="s">
        <v>74</v>
      </c>
      <c r="B353" s="186"/>
      <c r="C353" s="186"/>
      <c r="D353" s="186"/>
      <c r="E353" s="186"/>
      <c r="F353" s="186"/>
      <c r="G353" s="186"/>
      <c r="H353" s="186"/>
    </row>
    <row r="354" spans="1:8" x14ac:dyDescent="0.25">
      <c r="A354" s="186"/>
      <c r="B354" s="186"/>
      <c r="C354" s="186"/>
      <c r="D354" s="186"/>
      <c r="E354" s="186"/>
      <c r="F354" s="186"/>
      <c r="G354" s="186"/>
      <c r="H354" s="186"/>
    </row>
    <row r="355" spans="1:8" x14ac:dyDescent="0.25">
      <c r="A355" s="186"/>
      <c r="B355" s="186"/>
      <c r="C355" s="186"/>
      <c r="D355" s="186"/>
      <c r="E355" s="186"/>
      <c r="F355" s="186"/>
      <c r="G355" s="186"/>
      <c r="H355" s="186"/>
    </row>
    <row r="356" spans="1:8" x14ac:dyDescent="0.25">
      <c r="A356" s="186"/>
      <c r="B356" s="186"/>
      <c r="C356" s="186"/>
      <c r="D356" s="186"/>
      <c r="E356" s="186"/>
      <c r="F356" s="186"/>
      <c r="G356" s="186"/>
      <c r="H356" s="186"/>
    </row>
    <row r="357" spans="1:8" x14ac:dyDescent="0.25">
      <c r="A357" s="33" t="s">
        <v>63</v>
      </c>
      <c r="B357" s="34"/>
      <c r="C357" s="34"/>
      <c r="D357" s="33" t="str">
        <f>E9</f>
        <v>La Belleza</v>
      </c>
      <c r="F357" s="34"/>
      <c r="G357" s="34"/>
      <c r="H357" s="34"/>
    </row>
    <row r="358" spans="1:8" x14ac:dyDescent="0.25">
      <c r="A358" s="34"/>
      <c r="B358" s="34"/>
      <c r="C358" s="34"/>
      <c r="D358" s="34"/>
      <c r="E358" s="34"/>
      <c r="F358" s="34"/>
      <c r="G358" s="34"/>
      <c r="H358" s="34"/>
    </row>
    <row r="359" spans="1:8" x14ac:dyDescent="0.25">
      <c r="A359" s="34"/>
      <c r="B359" s="34"/>
      <c r="C359" s="34"/>
      <c r="D359" s="34"/>
      <c r="E359" s="34"/>
      <c r="F359" s="34"/>
      <c r="G359" s="34"/>
      <c r="H359" s="34"/>
    </row>
    <row r="360" spans="1:8" ht="15" customHeight="1" x14ac:dyDescent="0.25"/>
    <row r="400" spans="1:1" x14ac:dyDescent="0.25">
      <c r="A400" s="36" t="s">
        <v>164</v>
      </c>
    </row>
    <row r="443" spans="1:1" x14ac:dyDescent="0.25">
      <c r="A443" s="36" t="s">
        <v>381</v>
      </c>
    </row>
    <row r="486" spans="1:1" x14ac:dyDescent="0.25">
      <c r="A486" s="36" t="s">
        <v>64</v>
      </c>
    </row>
  </sheetData>
  <mergeCells count="517">
    <mergeCell ref="I15:P15"/>
    <mergeCell ref="F98:H98"/>
    <mergeCell ref="F96:H96"/>
    <mergeCell ref="A313:B313"/>
    <mergeCell ref="A120:H120"/>
    <mergeCell ref="G102:H102"/>
    <mergeCell ref="A97:E97"/>
    <mergeCell ref="A60:B60"/>
    <mergeCell ref="C60:E60"/>
    <mergeCell ref="D62:H62"/>
    <mergeCell ref="F97:H97"/>
    <mergeCell ref="E102:F102"/>
    <mergeCell ref="A102:B102"/>
    <mergeCell ref="C111:D111"/>
    <mergeCell ref="D70:H70"/>
    <mergeCell ref="A71:C71"/>
    <mergeCell ref="E43:H43"/>
    <mergeCell ref="A43:D43"/>
    <mergeCell ref="A82:B82"/>
    <mergeCell ref="A50:B50"/>
    <mergeCell ref="C50:E50"/>
    <mergeCell ref="C52:E52"/>
    <mergeCell ref="A65:C65"/>
    <mergeCell ref="D65:H65"/>
    <mergeCell ref="A350:H350"/>
    <mergeCell ref="A347:H347"/>
    <mergeCell ref="A306:B306"/>
    <mergeCell ref="A111:B111"/>
    <mergeCell ref="D213:D214"/>
    <mergeCell ref="E213:E214"/>
    <mergeCell ref="F88:H88"/>
    <mergeCell ref="F95:H95"/>
    <mergeCell ref="C102:D102"/>
    <mergeCell ref="C113:D113"/>
    <mergeCell ref="A300:H300"/>
    <mergeCell ref="A315:B315"/>
    <mergeCell ref="A321:B321"/>
    <mergeCell ref="A322:B322"/>
    <mergeCell ref="A317:H317"/>
    <mergeCell ref="A311:H311"/>
    <mergeCell ref="A304:B304"/>
    <mergeCell ref="B336:H336"/>
    <mergeCell ref="B332:H332"/>
    <mergeCell ref="A326:B326"/>
    <mergeCell ref="A323:H323"/>
    <mergeCell ref="A324:B324"/>
    <mergeCell ref="A325:B325"/>
    <mergeCell ref="B343:H343"/>
    <mergeCell ref="C51:E51"/>
    <mergeCell ref="C53:E53"/>
    <mergeCell ref="G53:H53"/>
    <mergeCell ref="G52:H52"/>
    <mergeCell ref="A51:B51"/>
    <mergeCell ref="A61:H61"/>
    <mergeCell ref="A62:C62"/>
    <mergeCell ref="A63:C63"/>
    <mergeCell ref="D63:H63"/>
    <mergeCell ref="G60:H60"/>
    <mergeCell ref="A54:B55"/>
    <mergeCell ref="C54:E54"/>
    <mergeCell ref="G54:H54"/>
    <mergeCell ref="A56:B57"/>
    <mergeCell ref="C56:E56"/>
    <mergeCell ref="G56:H56"/>
    <mergeCell ref="C59:H59"/>
    <mergeCell ref="B333:H333"/>
    <mergeCell ref="B334:H334"/>
    <mergeCell ref="A329:H329"/>
    <mergeCell ref="F87:H87"/>
    <mergeCell ref="F93:H93"/>
    <mergeCell ref="A301:B301"/>
    <mergeCell ref="A94:E94"/>
    <mergeCell ref="F94:H94"/>
    <mergeCell ref="A96:E96"/>
    <mergeCell ref="F91:H91"/>
    <mergeCell ref="A95:E95"/>
    <mergeCell ref="A212:H212"/>
    <mergeCell ref="E111:F111"/>
    <mergeCell ref="A119:H119"/>
    <mergeCell ref="A213:A214"/>
    <mergeCell ref="F213:F214"/>
    <mergeCell ref="A118:B118"/>
    <mergeCell ref="C118:D118"/>
    <mergeCell ref="E118:F118"/>
    <mergeCell ref="A131:H131"/>
    <mergeCell ref="A93:E93"/>
    <mergeCell ref="A113:B113"/>
    <mergeCell ref="E113:F113"/>
    <mergeCell ref="G76:H76"/>
    <mergeCell ref="A353:H356"/>
    <mergeCell ref="A352:B352"/>
    <mergeCell ref="E352:F352"/>
    <mergeCell ref="C352:D352"/>
    <mergeCell ref="G352:H352"/>
    <mergeCell ref="A101:H101"/>
    <mergeCell ref="A99:E99"/>
    <mergeCell ref="F99:H99"/>
    <mergeCell ref="A100:E100"/>
    <mergeCell ref="F100:H100"/>
    <mergeCell ref="A305:H305"/>
    <mergeCell ref="A314:B314"/>
    <mergeCell ref="A348:H348"/>
    <mergeCell ref="A110:H110"/>
    <mergeCell ref="A351:H351"/>
    <mergeCell ref="A349:H349"/>
    <mergeCell ref="A345:H345"/>
    <mergeCell ref="G111:H111"/>
    <mergeCell ref="A316:B316"/>
    <mergeCell ref="C121:C122"/>
    <mergeCell ref="B213:B214"/>
    <mergeCell ref="A346:H346"/>
    <mergeCell ref="A312:B31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5:H55"/>
    <mergeCell ref="F37:H37"/>
    <mergeCell ref="G50:H50"/>
    <mergeCell ref="A58:B59"/>
    <mergeCell ref="C58:E58"/>
    <mergeCell ref="G58:H58"/>
    <mergeCell ref="G51:H51"/>
    <mergeCell ref="A52:B53"/>
    <mergeCell ref="C57:H57"/>
    <mergeCell ref="A39:B39"/>
    <mergeCell ref="C39:H39"/>
    <mergeCell ref="A46:D46"/>
    <mergeCell ref="L128:M128"/>
    <mergeCell ref="L127:M127"/>
    <mergeCell ref="L126:M126"/>
    <mergeCell ref="L125:M125"/>
    <mergeCell ref="A84:B84"/>
    <mergeCell ref="A88:E88"/>
    <mergeCell ref="A124:H124"/>
    <mergeCell ref="E121:E122"/>
    <mergeCell ref="A47:D47"/>
    <mergeCell ref="A48:H48"/>
    <mergeCell ref="D64:H64"/>
    <mergeCell ref="A64:C64"/>
    <mergeCell ref="G121:G122"/>
    <mergeCell ref="A45:D45"/>
    <mergeCell ref="E77:F86"/>
    <mergeCell ref="G77:H86"/>
    <mergeCell ref="A85:B85"/>
    <mergeCell ref="A80:B80"/>
    <mergeCell ref="E76:F76"/>
    <mergeCell ref="A69:C69"/>
    <mergeCell ref="D69:H69"/>
    <mergeCell ref="L305:M305"/>
    <mergeCell ref="A310:B310"/>
    <mergeCell ref="A307:B307"/>
    <mergeCell ref="A308:B308"/>
    <mergeCell ref="A318:B318"/>
    <mergeCell ref="A40:B40"/>
    <mergeCell ref="C40:H40"/>
    <mergeCell ref="F121:F122"/>
    <mergeCell ref="B121:B122"/>
    <mergeCell ref="A121:A122"/>
    <mergeCell ref="C213:C214"/>
    <mergeCell ref="G213:G214"/>
    <mergeCell ref="L304:M304"/>
    <mergeCell ref="L301:M301"/>
    <mergeCell ref="A302:B302"/>
    <mergeCell ref="G118:H118"/>
    <mergeCell ref="L302:M302"/>
    <mergeCell ref="A303:B303"/>
    <mergeCell ref="L303:M303"/>
    <mergeCell ref="A123:H123"/>
    <mergeCell ref="A86:B86"/>
    <mergeCell ref="A76:B76"/>
    <mergeCell ref="A72:C72"/>
    <mergeCell ref="D72:H72"/>
    <mergeCell ref="A49:B49"/>
    <mergeCell ref="C49:H49"/>
    <mergeCell ref="B335:H335"/>
    <mergeCell ref="F89:H89"/>
    <mergeCell ref="A89:E89"/>
    <mergeCell ref="D121:D122"/>
    <mergeCell ref="A92:E92"/>
    <mergeCell ref="A91:E91"/>
    <mergeCell ref="A87:E87"/>
    <mergeCell ref="F92:H92"/>
    <mergeCell ref="A319:B319"/>
    <mergeCell ref="A79:B79"/>
    <mergeCell ref="A83:B83"/>
    <mergeCell ref="A75:B75"/>
    <mergeCell ref="A73:B73"/>
    <mergeCell ref="C73:H73"/>
    <mergeCell ref="A81:B81"/>
    <mergeCell ref="A68:C68"/>
    <mergeCell ref="D68:H68"/>
    <mergeCell ref="C75:H75"/>
    <mergeCell ref="A78:B78"/>
    <mergeCell ref="A70:C70"/>
    <mergeCell ref="D71:H71"/>
    <mergeCell ref="A77:B77"/>
    <mergeCell ref="A98:E98"/>
    <mergeCell ref="G113:H113"/>
    <mergeCell ref="C103:D103"/>
    <mergeCell ref="E103:F103"/>
    <mergeCell ref="G103:H103"/>
    <mergeCell ref="A105:B105"/>
    <mergeCell ref="C105:D105"/>
    <mergeCell ref="E105:F105"/>
    <mergeCell ref="G105:H105"/>
    <mergeCell ref="C112:D112"/>
    <mergeCell ref="E112:F112"/>
    <mergeCell ref="G112:H112"/>
    <mergeCell ref="A106:H106"/>
    <mergeCell ref="A107:B107"/>
    <mergeCell ref="C107:D107"/>
    <mergeCell ref="E107:F107"/>
    <mergeCell ref="G107:H107"/>
    <mergeCell ref="C108:D108"/>
    <mergeCell ref="A109:B109"/>
    <mergeCell ref="C109:D109"/>
    <mergeCell ref="E109:F109"/>
    <mergeCell ref="G109:H109"/>
    <mergeCell ref="A108:B108"/>
    <mergeCell ref="A103:B103"/>
    <mergeCell ref="L135:M135"/>
    <mergeCell ref="L136:M136"/>
    <mergeCell ref="L137:M137"/>
    <mergeCell ref="L138:M138"/>
    <mergeCell ref="L139:M139"/>
    <mergeCell ref="L140:M140"/>
    <mergeCell ref="L141:M141"/>
    <mergeCell ref="L129:M129"/>
    <mergeCell ref="L130:M130"/>
    <mergeCell ref="L132:M132"/>
    <mergeCell ref="L133:M133"/>
    <mergeCell ref="L134:M134"/>
    <mergeCell ref="L153:M153"/>
    <mergeCell ref="L154:M154"/>
    <mergeCell ref="L155:M155"/>
    <mergeCell ref="L156:M156"/>
    <mergeCell ref="L157:M157"/>
    <mergeCell ref="A142:H142"/>
    <mergeCell ref="L145:M145"/>
    <mergeCell ref="L146:M146"/>
    <mergeCell ref="L147:M147"/>
    <mergeCell ref="L148:M148"/>
    <mergeCell ref="L149:M149"/>
    <mergeCell ref="L150:M150"/>
    <mergeCell ref="L143:M143"/>
    <mergeCell ref="L144:M144"/>
    <mergeCell ref="L151:M151"/>
    <mergeCell ref="A152:H152"/>
    <mergeCell ref="L167:M167"/>
    <mergeCell ref="L168:M168"/>
    <mergeCell ref="L169:M169"/>
    <mergeCell ref="L170:M170"/>
    <mergeCell ref="L171:M171"/>
    <mergeCell ref="L173:M173"/>
    <mergeCell ref="A172:H172"/>
    <mergeCell ref="L174:M174"/>
    <mergeCell ref="L158:M158"/>
    <mergeCell ref="L159:M159"/>
    <mergeCell ref="L160:M160"/>
    <mergeCell ref="L161:M161"/>
    <mergeCell ref="L162:M162"/>
    <mergeCell ref="A163:H163"/>
    <mergeCell ref="L164:M164"/>
    <mergeCell ref="L165:M165"/>
    <mergeCell ref="L166:M166"/>
    <mergeCell ref="L185:M185"/>
    <mergeCell ref="L186:M186"/>
    <mergeCell ref="L187:M187"/>
    <mergeCell ref="L188:M188"/>
    <mergeCell ref="L189:M189"/>
    <mergeCell ref="A198:H198"/>
    <mergeCell ref="L199:M199"/>
    <mergeCell ref="L200:M200"/>
    <mergeCell ref="L175:M175"/>
    <mergeCell ref="L176:M176"/>
    <mergeCell ref="L177:M177"/>
    <mergeCell ref="L178:M178"/>
    <mergeCell ref="L179:M179"/>
    <mergeCell ref="L180:M180"/>
    <mergeCell ref="A181:H181"/>
    <mergeCell ref="L182:M182"/>
    <mergeCell ref="L184:M184"/>
    <mergeCell ref="L183:M183"/>
    <mergeCell ref="A190:H190"/>
    <mergeCell ref="L191:M191"/>
    <mergeCell ref="L192:M192"/>
    <mergeCell ref="L193:M193"/>
    <mergeCell ref="L194:M194"/>
    <mergeCell ref="L195:M195"/>
    <mergeCell ref="L210:M210"/>
    <mergeCell ref="L211:M211"/>
    <mergeCell ref="A215:H215"/>
    <mergeCell ref="A216:H216"/>
    <mergeCell ref="L217:M217"/>
    <mergeCell ref="L218:M218"/>
    <mergeCell ref="L219:M219"/>
    <mergeCell ref="L201:M201"/>
    <mergeCell ref="L202:M202"/>
    <mergeCell ref="L203:M203"/>
    <mergeCell ref="A204:H204"/>
    <mergeCell ref="L205:M205"/>
    <mergeCell ref="L206:M206"/>
    <mergeCell ref="L207:M207"/>
    <mergeCell ref="L208:M208"/>
    <mergeCell ref="L209:M209"/>
    <mergeCell ref="L220:M220"/>
    <mergeCell ref="L221:M221"/>
    <mergeCell ref="L222:M222"/>
    <mergeCell ref="L223:M223"/>
    <mergeCell ref="L224:M224"/>
    <mergeCell ref="L225:M225"/>
    <mergeCell ref="B233:H235"/>
    <mergeCell ref="L233:M233"/>
    <mergeCell ref="L234:M234"/>
    <mergeCell ref="A90:E90"/>
    <mergeCell ref="F90:H90"/>
    <mergeCell ref="B339:H339"/>
    <mergeCell ref="L264:M264"/>
    <mergeCell ref="G104:H104"/>
    <mergeCell ref="C104:D104"/>
    <mergeCell ref="E104:F104"/>
    <mergeCell ref="A256:H256"/>
    <mergeCell ref="L257:M257"/>
    <mergeCell ref="L258:M258"/>
    <mergeCell ref="L259:M259"/>
    <mergeCell ref="L260:M260"/>
    <mergeCell ref="L261:M261"/>
    <mergeCell ref="L262:M262"/>
    <mergeCell ref="L263:M263"/>
    <mergeCell ref="A246:H246"/>
    <mergeCell ref="L247:M247"/>
    <mergeCell ref="L248:M248"/>
    <mergeCell ref="L253:M253"/>
    <mergeCell ref="L254:M254"/>
    <mergeCell ref="L242:M242"/>
    <mergeCell ref="L243:M243"/>
    <mergeCell ref="L244:M244"/>
    <mergeCell ref="L232:M232"/>
    <mergeCell ref="L285:M285"/>
    <mergeCell ref="L286:M286"/>
    <mergeCell ref="L287:M287"/>
    <mergeCell ref="L288:M288"/>
    <mergeCell ref="L289:M289"/>
    <mergeCell ref="L290:M290"/>
    <mergeCell ref="L291:M291"/>
    <mergeCell ref="A292:H292"/>
    <mergeCell ref="L278:M278"/>
    <mergeCell ref="L279:M279"/>
    <mergeCell ref="L280:M280"/>
    <mergeCell ref="L281:M281"/>
    <mergeCell ref="L282:M282"/>
    <mergeCell ref="L283:M283"/>
    <mergeCell ref="A284:H284"/>
    <mergeCell ref="L269:M269"/>
    <mergeCell ref="L270:M270"/>
    <mergeCell ref="L271:M271"/>
    <mergeCell ref="L272:M272"/>
    <mergeCell ref="L273:M273"/>
    <mergeCell ref="L274:M274"/>
    <mergeCell ref="L275:M275"/>
    <mergeCell ref="A276:H276"/>
    <mergeCell ref="B340:H340"/>
    <mergeCell ref="B337:H337"/>
    <mergeCell ref="A320:B320"/>
    <mergeCell ref="A309:B309"/>
    <mergeCell ref="L294:M294"/>
    <mergeCell ref="L295:M295"/>
    <mergeCell ref="L296:M296"/>
    <mergeCell ref="L297:M297"/>
    <mergeCell ref="L298:M298"/>
    <mergeCell ref="L299:M299"/>
    <mergeCell ref="B293:H294"/>
    <mergeCell ref="L293:M293"/>
    <mergeCell ref="L277:M277"/>
    <mergeCell ref="B338:H338"/>
    <mergeCell ref="A328:B328"/>
    <mergeCell ref="A327:B327"/>
    <mergeCell ref="L196:M196"/>
    <mergeCell ref="L197:M197"/>
    <mergeCell ref="L255:M255"/>
    <mergeCell ref="L265:M265"/>
    <mergeCell ref="B263:H265"/>
    <mergeCell ref="A266:H266"/>
    <mergeCell ref="L267:M267"/>
    <mergeCell ref="L268:M268"/>
    <mergeCell ref="L230:M230"/>
    <mergeCell ref="L231:M231"/>
    <mergeCell ref="L249:M249"/>
    <mergeCell ref="L250:M250"/>
    <mergeCell ref="L251:M251"/>
    <mergeCell ref="L252:M252"/>
    <mergeCell ref="L239:M239"/>
    <mergeCell ref="L240:M240"/>
    <mergeCell ref="L237:M237"/>
    <mergeCell ref="L238:M238"/>
    <mergeCell ref="L241:M241"/>
    <mergeCell ref="L245:M245"/>
    <mergeCell ref="L229:M229"/>
    <mergeCell ref="L235:M235"/>
    <mergeCell ref="L227:M227"/>
    <mergeCell ref="L228:M228"/>
    <mergeCell ref="B330:H330"/>
    <mergeCell ref="B344:H344"/>
    <mergeCell ref="A104:B104"/>
    <mergeCell ref="A112:B112"/>
    <mergeCell ref="E108:F108"/>
    <mergeCell ref="G108:H108"/>
    <mergeCell ref="A117:B117"/>
    <mergeCell ref="C117:D117"/>
    <mergeCell ref="E117:F117"/>
    <mergeCell ref="G117:H117"/>
    <mergeCell ref="B342:H342"/>
    <mergeCell ref="A114:H114"/>
    <mergeCell ref="A115:B115"/>
    <mergeCell ref="C115:D115"/>
    <mergeCell ref="E115:F115"/>
    <mergeCell ref="G115:H115"/>
    <mergeCell ref="A116:B116"/>
    <mergeCell ref="C116:D116"/>
    <mergeCell ref="E116:F116"/>
    <mergeCell ref="G116:H116"/>
    <mergeCell ref="B341:H341"/>
    <mergeCell ref="A236:H236"/>
    <mergeCell ref="A226:H226"/>
    <mergeCell ref="B331:H331"/>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1:E122">
      <formula1>"Attached Loft area,Attached Otla area,Attached Mezzanine area"</formula1>
    </dataValidation>
    <dataValidation type="list" allowBlank="1" showInputMessage="1" showErrorMessage="1" sqref="G352:H352">
      <formula1>"Shruti Tathare,Kunal Kadam,Pranita Mhatre,Shruti Fule,Pooja Kawale,Mansee Mohite,Anjali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B121:B122">
      <formula1>"Shop No. (Sale Plan),Sale / Rehab,Sale / Mhada"</formula1>
    </dataValidation>
    <dataValidation type="list" allowBlank="1" showInputMessage="1" showErrorMessage="1" sqref="B213:B21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13:E214">
      <formula1>"Fungible area,Balcony Area,Chajja Area,Cornice Area,AP Area,WS Area"</formula1>
    </dataValidation>
    <dataValidation type="list" allowBlank="1" showInputMessage="1" showErrorMessage="1" sqref="H122 H21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F99:H99">
      <formula1>OFFSET($S$87,1,MATCH($G20,$S$87:$W$87,0)-1,15,1)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7" manualBreakCount="7">
    <brk id="72" max="16383" man="1"/>
    <brk id="118" max="7" man="1"/>
    <brk id="212" max="7" man="1"/>
    <brk id="356" max="16383" man="1"/>
    <brk id="399" max="16383" man="1"/>
    <brk id="442" max="16383" man="1"/>
    <brk id="485" max="16383" man="1"/>
  </rowBreaks>
  <colBreaks count="1" manualBreakCount="1">
    <brk id="2" max="526" man="1"/>
  </col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04" t="s">
        <v>103</v>
      </c>
      <c r="C3" s="204"/>
      <c r="D3" s="204"/>
      <c r="E3" s="204"/>
      <c r="F3" s="204"/>
      <c r="G3" s="204"/>
      <c r="H3" s="204"/>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3"/>
      <c r="C4" s="43" t="s">
        <v>11</v>
      </c>
      <c r="D4" s="44" t="s">
        <v>178</v>
      </c>
      <c r="E4" s="44" t="s">
        <v>188</v>
      </c>
      <c r="F4" s="44" t="s">
        <v>173</v>
      </c>
      <c r="G4" s="44" t="s">
        <v>193</v>
      </c>
      <c r="H4" s="44" t="s">
        <v>211</v>
      </c>
      <c r="J4" t="s">
        <v>193</v>
      </c>
      <c r="K4" t="s">
        <v>209</v>
      </c>
    </row>
    <row r="5" spans="2:11" x14ac:dyDescent="0.25">
      <c r="B5" s="43"/>
      <c r="C5" s="43"/>
      <c r="D5" s="44" t="s">
        <v>179</v>
      </c>
      <c r="E5" s="44" t="s">
        <v>186</v>
      </c>
      <c r="F5" s="44" t="s">
        <v>208</v>
      </c>
      <c r="G5" s="44" t="s">
        <v>194</v>
      </c>
      <c r="H5" s="44" t="s">
        <v>212</v>
      </c>
    </row>
    <row r="6" spans="2:11" x14ac:dyDescent="0.25">
      <c r="B6" s="43"/>
      <c r="C6" s="43"/>
      <c r="D6" s="44" t="s">
        <v>180</v>
      </c>
      <c r="E6" s="44" t="s">
        <v>187</v>
      </c>
      <c r="F6" s="44" t="s">
        <v>209</v>
      </c>
      <c r="G6" s="44" t="s">
        <v>195</v>
      </c>
      <c r="H6" s="44" t="s">
        <v>225</v>
      </c>
    </row>
    <row r="7" spans="2:11" x14ac:dyDescent="0.25">
      <c r="B7" s="43"/>
      <c r="C7" s="43"/>
      <c r="D7" s="44" t="s">
        <v>181</v>
      </c>
      <c r="E7" s="44" t="s">
        <v>189</v>
      </c>
      <c r="F7" s="44" t="s">
        <v>210</v>
      </c>
      <c r="G7" s="44" t="s">
        <v>196</v>
      </c>
      <c r="H7" s="44" t="s">
        <v>213</v>
      </c>
    </row>
    <row r="8" spans="2:11" x14ac:dyDescent="0.25">
      <c r="B8" s="43"/>
      <c r="C8" s="43"/>
      <c r="D8" s="44" t="s">
        <v>182</v>
      </c>
      <c r="E8" s="44" t="s">
        <v>190</v>
      </c>
      <c r="F8" s="44"/>
      <c r="G8" s="44" t="s">
        <v>197</v>
      </c>
      <c r="H8" s="44" t="s">
        <v>214</v>
      </c>
    </row>
    <row r="9" spans="2:11" x14ac:dyDescent="0.25">
      <c r="B9" s="43"/>
      <c r="C9" s="43"/>
      <c r="D9" s="44" t="s">
        <v>183</v>
      </c>
      <c r="E9" s="44" t="s">
        <v>188</v>
      </c>
      <c r="F9" s="44"/>
      <c r="G9" s="44" t="s">
        <v>198</v>
      </c>
      <c r="H9" s="44" t="s">
        <v>215</v>
      </c>
    </row>
    <row r="10" spans="2:11" x14ac:dyDescent="0.25">
      <c r="B10" s="43"/>
      <c r="C10" s="43"/>
      <c r="D10" s="44" t="s">
        <v>184</v>
      </c>
      <c r="E10" s="44" t="s">
        <v>191</v>
      </c>
      <c r="F10" s="44"/>
      <c r="G10" s="44" t="s">
        <v>199</v>
      </c>
      <c r="H10" s="44" t="s">
        <v>216</v>
      </c>
    </row>
    <row r="11" spans="2:11" x14ac:dyDescent="0.25">
      <c r="B11" s="43"/>
      <c r="C11" s="43"/>
      <c r="D11" s="44" t="s">
        <v>185</v>
      </c>
      <c r="E11" s="44" t="s">
        <v>192</v>
      </c>
      <c r="F11" s="44"/>
      <c r="G11" s="44" t="s">
        <v>200</v>
      </c>
      <c r="H11" s="44" t="s">
        <v>217</v>
      </c>
    </row>
    <row r="12" spans="2:11" x14ac:dyDescent="0.25">
      <c r="B12" s="43"/>
      <c r="C12" s="43"/>
      <c r="D12" s="44"/>
      <c r="E12" s="44"/>
      <c r="F12" s="44"/>
      <c r="G12" s="44" t="s">
        <v>201</v>
      </c>
      <c r="H12" s="44" t="s">
        <v>218</v>
      </c>
    </row>
    <row r="13" spans="2:11" x14ac:dyDescent="0.25">
      <c r="B13" s="43"/>
      <c r="C13" s="43"/>
      <c r="D13" s="44"/>
      <c r="E13" s="44"/>
      <c r="F13" s="44"/>
      <c r="G13" s="44" t="s">
        <v>202</v>
      </c>
      <c r="H13" s="44" t="s">
        <v>219</v>
      </c>
    </row>
    <row r="14" spans="2:11" x14ac:dyDescent="0.25">
      <c r="B14" s="43"/>
      <c r="C14" s="43"/>
      <c r="D14" s="44"/>
      <c r="E14" s="44"/>
      <c r="F14" s="44"/>
      <c r="G14" s="44" t="s">
        <v>203</v>
      </c>
      <c r="H14" s="44" t="s">
        <v>220</v>
      </c>
    </row>
    <row r="15" spans="2:11" x14ac:dyDescent="0.25">
      <c r="B15" s="43"/>
      <c r="C15" s="43"/>
      <c r="D15" s="44"/>
      <c r="E15" s="44"/>
      <c r="F15" s="44"/>
      <c r="G15" s="44" t="s">
        <v>204</v>
      </c>
      <c r="H15" s="44" t="s">
        <v>221</v>
      </c>
    </row>
    <row r="16" spans="2:11" x14ac:dyDescent="0.25">
      <c r="B16" s="43"/>
      <c r="C16" s="43"/>
      <c r="D16" s="44"/>
      <c r="E16" s="44"/>
      <c r="F16" s="44"/>
      <c r="G16" s="44" t="s">
        <v>205</v>
      </c>
      <c r="H16" s="44" t="s">
        <v>222</v>
      </c>
    </row>
    <row r="17" spans="2:8" x14ac:dyDescent="0.25">
      <c r="B17" s="43"/>
      <c r="C17" s="43"/>
      <c r="D17" s="44"/>
      <c r="E17" s="44"/>
      <c r="F17" s="44"/>
      <c r="G17" s="44" t="s">
        <v>206</v>
      </c>
      <c r="H17" s="44" t="s">
        <v>223</v>
      </c>
    </row>
    <row r="18" spans="2:8" x14ac:dyDescent="0.25">
      <c r="B18" s="43"/>
      <c r="C18" s="43"/>
      <c r="D18" s="44"/>
      <c r="E18" s="44"/>
      <c r="F18" s="44"/>
      <c r="G18" s="44" t="s">
        <v>207</v>
      </c>
      <c r="H18" s="44" t="s">
        <v>224</v>
      </c>
    </row>
    <row r="24" spans="2:8" x14ac:dyDescent="0.25">
      <c r="C24" t="s">
        <v>170</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170</v>
      </c>
    </row>
    <row r="33" spans="3:11" x14ac:dyDescent="0.25">
      <c r="J33">
        <v>1</v>
      </c>
      <c r="K33">
        <v>2</v>
      </c>
    </row>
    <row r="34" spans="3:11" x14ac:dyDescent="0.25">
      <c r="C34" s="45" t="s">
        <v>236</v>
      </c>
      <c r="D34" s="44" t="s">
        <v>234</v>
      </c>
      <c r="E34" s="44" t="s">
        <v>239</v>
      </c>
      <c r="F34" s="44" t="s">
        <v>237</v>
      </c>
      <c r="G34" s="44" t="s">
        <v>238</v>
      </c>
      <c r="H34" s="44" t="s">
        <v>240</v>
      </c>
      <c r="J34" t="s">
        <v>193</v>
      </c>
      <c r="K34" t="s">
        <v>209</v>
      </c>
    </row>
    <row r="35" spans="3:11" x14ac:dyDescent="0.25">
      <c r="C35" s="43" t="s">
        <v>235</v>
      </c>
      <c r="D35" s="44" t="s">
        <v>171</v>
      </c>
      <c r="E35" s="44" t="s">
        <v>244</v>
      </c>
      <c r="F35" s="44" t="s">
        <v>246</v>
      </c>
      <c r="G35" s="44" t="s">
        <v>248</v>
      </c>
      <c r="H35" s="44"/>
    </row>
    <row r="36" spans="3:11" x14ac:dyDescent="0.25">
      <c r="C36" s="43"/>
      <c r="D36" s="44" t="s">
        <v>241</v>
      </c>
      <c r="E36" s="44" t="s">
        <v>245</v>
      </c>
      <c r="F36" s="44" t="s">
        <v>247</v>
      </c>
      <c r="G36" s="44" t="s">
        <v>249</v>
      </c>
      <c r="H36" s="44"/>
    </row>
    <row r="37" spans="3:11" x14ac:dyDescent="0.25">
      <c r="C37" s="43"/>
      <c r="D37" s="44" t="s">
        <v>242</v>
      </c>
      <c r="E37" s="44"/>
      <c r="F37" s="44"/>
      <c r="G37" s="44" t="s">
        <v>250</v>
      </c>
      <c r="H37" s="44"/>
    </row>
    <row r="38" spans="3:11" x14ac:dyDescent="0.25">
      <c r="C38" s="43"/>
      <c r="D38" s="44" t="s">
        <v>243</v>
      </c>
      <c r="E38" s="44"/>
      <c r="F38" s="44"/>
      <c r="G38" s="44" t="s">
        <v>250</v>
      </c>
      <c r="H38" s="44"/>
    </row>
    <row r="39" spans="3:11" x14ac:dyDescent="0.25">
      <c r="C39" s="43"/>
      <c r="D39" s="44"/>
      <c r="E39" s="44"/>
      <c r="F39" s="44"/>
      <c r="G39" s="44" t="s">
        <v>251</v>
      </c>
      <c r="H39" s="44"/>
    </row>
    <row r="40" spans="3:11" x14ac:dyDescent="0.25">
      <c r="C40" s="43"/>
      <c r="D40" s="44"/>
      <c r="E40" s="44"/>
      <c r="F40" s="44"/>
      <c r="G40" s="44" t="s">
        <v>252</v>
      </c>
      <c r="H40" s="44"/>
    </row>
    <row r="41" spans="3:11" x14ac:dyDescent="0.25">
      <c r="C41" s="43"/>
      <c r="D41" s="44"/>
      <c r="E41" s="44"/>
      <c r="F41" s="44"/>
      <c r="G41" s="44"/>
      <c r="H41" s="44"/>
    </row>
    <row r="43" spans="3:11" x14ac:dyDescent="0.25">
      <c r="C43" t="s">
        <v>253</v>
      </c>
    </row>
    <row r="44" spans="3:11" x14ac:dyDescent="0.25">
      <c r="C44" t="s">
        <v>173</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46">
        <v>1</v>
      </c>
      <c r="C2" s="48" t="s">
        <v>284</v>
      </c>
    </row>
    <row r="3" spans="2:3" x14ac:dyDescent="0.25">
      <c r="B3" s="46">
        <v>2</v>
      </c>
      <c r="C3" s="47" t="s">
        <v>285</v>
      </c>
    </row>
    <row r="4" spans="2:3" x14ac:dyDescent="0.25">
      <c r="B4" s="46">
        <v>3</v>
      </c>
      <c r="C4" s="46" t="s">
        <v>286</v>
      </c>
    </row>
    <row r="5" spans="2:3" ht="30" x14ac:dyDescent="0.25">
      <c r="B5" s="46">
        <v>4</v>
      </c>
      <c r="C5" s="47" t="s">
        <v>287</v>
      </c>
    </row>
    <row r="6" spans="2:3" x14ac:dyDescent="0.25">
      <c r="B6" s="46">
        <v>5</v>
      </c>
      <c r="C6" s="46" t="s">
        <v>288</v>
      </c>
    </row>
    <row r="7" spans="2:3" ht="30" x14ac:dyDescent="0.25">
      <c r="B7" s="46">
        <v>6</v>
      </c>
      <c r="C7" s="47" t="s">
        <v>289</v>
      </c>
    </row>
    <row r="8" spans="2:3" ht="90" x14ac:dyDescent="0.25">
      <c r="B8" s="46">
        <v>7</v>
      </c>
      <c r="C8" s="47" t="s">
        <v>290</v>
      </c>
    </row>
    <row r="9" spans="2:3" x14ac:dyDescent="0.25">
      <c r="B9" s="46">
        <v>8</v>
      </c>
      <c r="C9" s="46" t="s">
        <v>291</v>
      </c>
    </row>
    <row r="10" spans="2:3" x14ac:dyDescent="0.25">
      <c r="B10" s="46">
        <v>9</v>
      </c>
      <c r="C10" s="46" t="s">
        <v>292</v>
      </c>
    </row>
    <row r="11" spans="2:3" x14ac:dyDescent="0.25">
      <c r="B11" s="46">
        <v>10</v>
      </c>
      <c r="C11" s="46" t="s">
        <v>293</v>
      </c>
    </row>
    <row r="12" spans="2:3" x14ac:dyDescent="0.25">
      <c r="B12" s="46">
        <v>11</v>
      </c>
      <c r="C12" s="46" t="s">
        <v>294</v>
      </c>
    </row>
    <row r="13" spans="2:3" x14ac:dyDescent="0.25">
      <c r="B13" s="46">
        <v>12</v>
      </c>
      <c r="C13" s="46" t="s">
        <v>295</v>
      </c>
    </row>
    <row r="14" spans="2:3" x14ac:dyDescent="0.25">
      <c r="B14" s="46">
        <v>13</v>
      </c>
      <c r="C14" s="46" t="s">
        <v>296</v>
      </c>
    </row>
    <row r="15" spans="2:3" x14ac:dyDescent="0.25">
      <c r="B15" s="46">
        <v>14</v>
      </c>
      <c r="C15" s="46"/>
    </row>
    <row r="16" spans="2:3" x14ac:dyDescent="0.25">
      <c r="B16" s="46">
        <v>15</v>
      </c>
      <c r="C16" s="46"/>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2025-09-16T12:20:34Z</cp:lastPrinted>
  <dcterms:created xsi:type="dcterms:W3CDTF">2019-07-16T09:29:46Z</dcterms:created>
  <dcterms:modified xsi:type="dcterms:W3CDTF">2025-09-16T12:21:35Z</dcterms:modified>
</cp:coreProperties>
</file>