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Report!$A$1:$H$543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6" i="1" l="1"/>
  <c r="A387" i="1" s="1"/>
  <c r="A388" i="1" s="1"/>
  <c r="A389" i="1" s="1"/>
  <c r="A390" i="1" s="1"/>
  <c r="A391" i="1" s="1"/>
  <c r="A392" i="1" s="1"/>
  <c r="A393" i="1" s="1"/>
  <c r="A394" i="1" s="1"/>
  <c r="C74" i="1" l="1"/>
  <c r="C75" i="1" s="1"/>
  <c r="C76" i="1" s="1"/>
  <c r="C88" i="1" l="1"/>
  <c r="C89" i="1" s="1"/>
  <c r="C90" i="1" s="1"/>
  <c r="D226" i="1" l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G213" i="1"/>
  <c r="D213" i="1"/>
  <c r="F213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0" i="1"/>
  <c r="F340" i="1" s="1"/>
  <c r="D339" i="1"/>
  <c r="F339" i="1" s="1"/>
  <c r="G338" i="1"/>
  <c r="D338" i="1"/>
  <c r="F338" i="1" s="1"/>
  <c r="D272" i="1"/>
  <c r="G248" i="1"/>
  <c r="G138" i="1"/>
  <c r="D143" i="1"/>
  <c r="F143" i="1" s="1"/>
  <c r="D142" i="1"/>
  <c r="F142" i="1" s="1"/>
  <c r="D141" i="1"/>
  <c r="F141" i="1" s="1"/>
  <c r="D140" i="1"/>
  <c r="F140" i="1" l="1"/>
  <c r="L140" i="1" s="1"/>
  <c r="G153" i="1"/>
  <c r="I42" i="1" l="1"/>
  <c r="C13" i="1"/>
  <c r="G168" i="1" l="1"/>
  <c r="G183" i="1"/>
  <c r="G198" i="1"/>
  <c r="G228" i="1"/>
  <c r="D229" i="1"/>
  <c r="F229" i="1" s="1"/>
  <c r="D241" i="1"/>
  <c r="F241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0" i="1"/>
  <c r="F230" i="1" s="1"/>
  <c r="D228" i="1"/>
  <c r="F228" i="1" s="1"/>
  <c r="D336" i="1"/>
  <c r="F336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G323" i="1"/>
  <c r="D323" i="1"/>
  <c r="F323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312" i="1"/>
  <c r="F312" i="1" s="1"/>
  <c r="D321" i="1"/>
  <c r="F321" i="1" s="1"/>
  <c r="D320" i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G308" i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G293" i="1"/>
  <c r="D293" i="1"/>
  <c r="F293" i="1" s="1"/>
  <c r="D194" i="1"/>
  <c r="F194" i="1" s="1"/>
  <c r="D193" i="1"/>
  <c r="F193" i="1" s="1"/>
  <c r="D192" i="1"/>
  <c r="F192" i="1" s="1"/>
  <c r="D191" i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287" i="1"/>
  <c r="F287" i="1" s="1"/>
  <c r="D291" i="1"/>
  <c r="F291" i="1" s="1"/>
  <c r="D290" i="1"/>
  <c r="F290" i="1" s="1"/>
  <c r="D289" i="1"/>
  <c r="F289" i="1" s="1"/>
  <c r="D288" i="1"/>
  <c r="F288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G278" i="1"/>
  <c r="D278" i="1"/>
  <c r="F278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276" i="1"/>
  <c r="F276" i="1" s="1"/>
  <c r="D275" i="1"/>
  <c r="F275" i="1" s="1"/>
  <c r="D274" i="1"/>
  <c r="F274" i="1" s="1"/>
  <c r="D273" i="1"/>
  <c r="F273" i="1" s="1"/>
  <c r="F272" i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G263" i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I159" i="1" s="1"/>
  <c r="D158" i="1"/>
  <c r="F158" i="1" s="1"/>
  <c r="D157" i="1"/>
  <c r="F157" i="1" s="1"/>
  <c r="D156" i="1"/>
  <c r="F156" i="1" s="1"/>
  <c r="D155" i="1"/>
  <c r="D251" i="1"/>
  <c r="F251" i="1" s="1"/>
  <c r="D250" i="1"/>
  <c r="F250" i="1" s="1"/>
  <c r="D249" i="1"/>
  <c r="D248" i="1"/>
  <c r="E22" i="1"/>
  <c r="C117" i="1" l="1"/>
  <c r="F155" i="1"/>
  <c r="E117" i="1"/>
  <c r="F248" i="1"/>
  <c r="E118" i="1"/>
  <c r="C118" i="1"/>
  <c r="F249" i="1"/>
  <c r="F159" i="1"/>
  <c r="J159" i="1" s="1"/>
  <c r="C81" i="1"/>
  <c r="C67" i="1"/>
  <c r="J92" i="1"/>
  <c r="J91" i="1"/>
  <c r="J78" i="1"/>
  <c r="J77" i="1"/>
  <c r="H82" i="1"/>
  <c r="H68" i="1"/>
  <c r="G118" i="1" l="1"/>
  <c r="L155" i="1"/>
  <c r="G117" i="1"/>
  <c r="E119" i="1"/>
  <c r="C119" i="1"/>
  <c r="D87" i="1"/>
  <c r="J85" i="1"/>
  <c r="J87" i="1"/>
  <c r="D94" i="1"/>
  <c r="D90" i="1"/>
  <c r="J86" i="1"/>
  <c r="C85" i="1" s="1"/>
  <c r="J84" i="1"/>
  <c r="D92" i="1"/>
  <c r="D88" i="1"/>
  <c r="D91" i="1"/>
  <c r="D93" i="1"/>
  <c r="D89" i="1"/>
  <c r="D73" i="1"/>
  <c r="D79" i="1"/>
  <c r="J71" i="1"/>
  <c r="D80" i="1"/>
  <c r="D76" i="1"/>
  <c r="J72" i="1"/>
  <c r="C71" i="1" s="1"/>
  <c r="J70" i="1"/>
  <c r="D75" i="1"/>
  <c r="D78" i="1"/>
  <c r="D74" i="1"/>
  <c r="J73" i="1"/>
  <c r="J74" i="1" s="1"/>
  <c r="J79" i="1" s="1"/>
  <c r="D77" i="1"/>
  <c r="G47" i="1"/>
  <c r="A353" i="1"/>
  <c r="O374" i="1"/>
  <c r="O360" i="1"/>
  <c r="O367" i="1"/>
  <c r="J88" i="1" l="1"/>
  <c r="J93" i="1" s="1"/>
  <c r="G119" i="1"/>
  <c r="D85" i="1"/>
  <c r="D71" i="1"/>
  <c r="J89" i="1"/>
  <c r="J90" i="1" s="1"/>
  <c r="J75" i="1"/>
  <c r="J76" i="1" s="1"/>
  <c r="A382" i="1"/>
  <c r="A383" i="1" s="1"/>
  <c r="A384" i="1" s="1"/>
  <c r="A385" i="1" l="1"/>
  <c r="J94" i="1"/>
  <c r="C86" i="1" s="1"/>
  <c r="J80" i="1"/>
  <c r="C72" i="1" s="1"/>
  <c r="A354" i="1"/>
  <c r="A355" i="1" s="1"/>
  <c r="A356" i="1" s="1"/>
  <c r="A357" i="1" s="1"/>
  <c r="A358" i="1" s="1"/>
  <c r="P374" i="1"/>
  <c r="P367" i="1"/>
  <c r="P360" i="1"/>
  <c r="E85" i="1" l="1"/>
  <c r="I81" i="1" s="1"/>
  <c r="C83" i="1" s="1"/>
  <c r="D86" i="1"/>
  <c r="G85" i="1"/>
  <c r="E71" i="1"/>
  <c r="I67" i="1" s="1"/>
  <c r="C69" i="1" s="1"/>
  <c r="D72" i="1"/>
  <c r="G71" i="1"/>
  <c r="N360" i="1"/>
  <c r="N374" i="1"/>
  <c r="N367" i="1"/>
  <c r="D66" i="1" l="1"/>
  <c r="F95" i="1" s="1"/>
  <c r="E40" i="1" l="1"/>
  <c r="E41" i="1" s="1"/>
  <c r="F370" i="1" l="1"/>
  <c r="F379" i="1"/>
  <c r="F378" i="1"/>
  <c r="F377" i="1"/>
  <c r="F376" i="1"/>
  <c r="F375" i="1"/>
  <c r="G374" i="1"/>
  <c r="G375" i="1" s="1"/>
  <c r="G376" i="1" s="1"/>
  <c r="G377" i="1" s="1"/>
  <c r="G378" i="1" s="1"/>
  <c r="G379" i="1" s="1"/>
  <c r="F374" i="1"/>
  <c r="F372" i="1"/>
  <c r="F365" i="1"/>
  <c r="F364" i="1"/>
  <c r="F363" i="1"/>
  <c r="F362" i="1"/>
  <c r="F361" i="1"/>
  <c r="F360" i="1"/>
  <c r="F371" i="1"/>
  <c r="F369" i="1"/>
  <c r="F368" i="1"/>
  <c r="F367" i="1"/>
  <c r="F354" i="1"/>
  <c r="F355" i="1"/>
  <c r="F356" i="1"/>
  <c r="F357" i="1"/>
  <c r="F358" i="1"/>
  <c r="F353" i="1"/>
  <c r="F125" i="1"/>
  <c r="G125" i="1"/>
  <c r="G126" i="1" s="1"/>
  <c r="G127" i="1" s="1"/>
  <c r="G128" i="1" s="1"/>
  <c r="G129" i="1" s="1"/>
  <c r="G130" i="1" s="1"/>
  <c r="G131" i="1" s="1"/>
  <c r="A126" i="1"/>
  <c r="A127" i="1" s="1"/>
  <c r="A128" i="1" s="1"/>
  <c r="A129" i="1" s="1"/>
  <c r="A130" i="1" s="1"/>
  <c r="A131" i="1" s="1"/>
  <c r="F126" i="1"/>
  <c r="F127" i="1"/>
  <c r="F128" i="1"/>
  <c r="F129" i="1"/>
  <c r="F130" i="1"/>
  <c r="F131" i="1"/>
  <c r="E3" i="1"/>
  <c r="D64" i="1" s="1"/>
  <c r="O375" i="1" l="1"/>
  <c r="O361" i="1"/>
  <c r="G367" i="1"/>
  <c r="G368" i="1" s="1"/>
  <c r="G369" i="1" s="1"/>
  <c r="G370" i="1" s="1"/>
  <c r="G371" i="1" s="1"/>
  <c r="G372" i="1" s="1"/>
  <c r="A374" i="1" l="1"/>
  <c r="A360" i="1"/>
  <c r="P361" i="1"/>
  <c r="P362" i="1" s="1"/>
  <c r="P363" i="1" s="1"/>
  <c r="P364" i="1" s="1"/>
  <c r="P365" i="1" s="1"/>
  <c r="P375" i="1"/>
  <c r="P376" i="1" s="1"/>
  <c r="P377" i="1" s="1"/>
  <c r="P378" i="1" s="1"/>
  <c r="P379" i="1" s="1"/>
  <c r="O376" i="1"/>
  <c r="O362" i="1"/>
  <c r="O368" i="1"/>
  <c r="G360" i="1"/>
  <c r="G361" i="1" s="1"/>
  <c r="G362" i="1" s="1"/>
  <c r="G363" i="1" s="1"/>
  <c r="G364" i="1" s="1"/>
  <c r="G365" i="1" s="1"/>
  <c r="G353" i="1"/>
  <c r="G354" i="1" s="1"/>
  <c r="G355" i="1" s="1"/>
  <c r="G356" i="1" s="1"/>
  <c r="G357" i="1" s="1"/>
  <c r="G358" i="1" s="1"/>
  <c r="E24" i="1"/>
  <c r="N376" i="1" l="1"/>
  <c r="A376" i="1" s="1"/>
  <c r="N375" i="1"/>
  <c r="A375" i="1" s="1"/>
  <c r="N361" i="1"/>
  <c r="A361" i="1" s="1"/>
  <c r="N362" i="1"/>
  <c r="A362" i="1" s="1"/>
  <c r="A367" i="1"/>
  <c r="O377" i="1"/>
  <c r="N377" i="1" s="1"/>
  <c r="O363" i="1"/>
  <c r="N363" i="1" s="1"/>
  <c r="P368" i="1"/>
  <c r="P369" i="1" s="1"/>
  <c r="P370" i="1" s="1"/>
  <c r="P371" i="1" s="1"/>
  <c r="P372" i="1" s="1"/>
  <c r="O369" i="1"/>
  <c r="F6" i="5"/>
  <c r="G6" i="5" s="1"/>
  <c r="F7" i="5"/>
  <c r="G7" i="5" s="1"/>
  <c r="F8" i="5"/>
  <c r="G8" i="5" s="1"/>
  <c r="F9" i="5"/>
  <c r="G9" i="5" s="1"/>
  <c r="F5" i="5"/>
  <c r="G5" i="5" s="1"/>
  <c r="N368" i="1" l="1"/>
  <c r="A368" i="1" s="1"/>
  <c r="N369" i="1"/>
  <c r="A369" i="1" s="1"/>
  <c r="A363" i="1"/>
  <c r="O378" i="1"/>
  <c r="N378" i="1" s="1"/>
  <c r="A377" i="1"/>
  <c r="O364" i="1"/>
  <c r="N364" i="1" s="1"/>
  <c r="O370" i="1"/>
  <c r="N370" i="1" s="1"/>
  <c r="G10" i="5"/>
  <c r="O379" i="1" l="1"/>
  <c r="N379" i="1" s="1"/>
  <c r="A378" i="1"/>
  <c r="A364" i="1"/>
  <c r="O365" i="1"/>
  <c r="N365" i="1" s="1"/>
  <c r="A370" i="1"/>
  <c r="O371" i="1"/>
  <c r="N371" i="1" s="1"/>
  <c r="A379" i="1" l="1"/>
  <c r="A371" i="1"/>
  <c r="O372" i="1"/>
  <c r="N372" i="1" s="1"/>
  <c r="A365" i="1"/>
  <c r="A372" i="1" l="1"/>
  <c r="E7" i="1"/>
  <c r="D407" i="1" l="1"/>
  <c r="F111" i="1"/>
  <c r="C47" i="1"/>
  <c r="D58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<sst xmlns="http://schemas.openxmlformats.org/spreadsheetml/2006/main" count="567" uniqueCount="286">
  <si>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</si>
  <si>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</si>
  <si>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</si>
  <si>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</si>
  <si>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</si>
  <si>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</si>
  <si>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</si>
  <si>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</si>
  <si>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</si>
  <si>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</si>
  <si>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</si>
  <si>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</si>
  <si>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</si>
  <si>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</si>
  <si>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</si>
  <si>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</si>
  <si>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</si>
  <si>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</si>
  <si>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</si>
  <si>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</si>
  <si>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</si>
  <si>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</si>
  <si>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</si>
  <si>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</si>
  <si>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</si>
  <si>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</si>
  <si>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</si>
  <si>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</si>
  <si>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</si>
  <si>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</si>
  <si>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</si>
  <si>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</si>
  <si>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</si>
  <si>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</si>
  <si>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</si>
  <si>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</si>
  <si>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</si>
  <si>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</si>
  <si>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</si>
  <si>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</si>
  <si>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</si>
  <si>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</si>
  <si>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</si>
  <si>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</si>
  <si>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</si>
  <si>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</si>
  <si>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</si>
  <si>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</si>
  <si>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</si>
  <si>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</si>
  <si>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</si>
  <si>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</si>
  <si>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</si>
  <si>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</si>
  <si>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</si>
  <si>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</si>
  <si>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</si>
  <si>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</si>
  <si>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</si>
  <si>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</si>
  <si>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</si>
  <si>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</si>
  <si>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</si>
  <si>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</si>
  <si>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</si>
  <si>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</si>
  <si>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</si>
  <si>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</si>
  <si>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</si>
  <si>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</si>
  <si>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</si>
  <si>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</si>
  <si>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</si>
  <si>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</si>
  <si>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</si>
  <si>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</si>
  <si>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</si>
  <si>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</si>
  <si>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</si>
  <si>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</si>
  <si>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</si>
  <si>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</si>
  <si>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</si>
  <si>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</si>
  <si>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</si>
  <si>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</si>
  <si>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</si>
  <si>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</si>
  <si>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</si>
  <si>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</si>
  <si>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</si>
  <si>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</si>
  <si>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</si>
  <si>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</si>
  <si>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</si>
  <si>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</si>
  <si>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</si>
  <si>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</si>
  <si>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</si>
  <si>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</si>
  <si>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</si>
  <si>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</si>
  <si>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</si>
  <si>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</si>
  <si>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</si>
  <si>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</si>
  <si>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</si>
  <si>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</si>
  <si>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</si>
  <si>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</si>
  <si>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</si>
  <si>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</si>
  <si>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</si>
  <si>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</si>
  <si>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</si>
  <si>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</si>
  <si>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</si>
  <si>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</si>
  <si>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</si>
  <si>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</si>
  <si>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</si>
  <si>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</si>
  <si>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</si>
  <si>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</si>
  <si>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</si>
  <si>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</si>
  <si>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</si>
  <si>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</si>
  <si>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</si>
  <si>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</si>
  <si>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</si>
  <si>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</si>
  <si>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</si>
  <si>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</si>
  <si>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</si>
  <si>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</si>
  <si>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</si>
  <si>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</si>
  <si>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</si>
  <si>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</si>
  <si>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</si>
  <si>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</si>
  <si>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</si>
  <si>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</si>
  <si>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</si>
  <si>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</si>
  <si>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</si>
  <si>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</si>
  <si>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</si>
  <si>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</si>
  <si>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</si>
  <si>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</si>
  <si>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</si>
  <si>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</si>
  <si>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</si>
  <si>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</si>
  <si>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</si>
  <si>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</si>
  <si>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</si>
  <si>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</si>
  <si>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</si>
  <si>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</si>
  <si>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</si>
  <si>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</si>
  <si>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</si>
  <si>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</si>
  <si>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</si>
  <si>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</si>
  <si>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</si>
  <si>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</si>
  <si>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</si>
  <si>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</si>
  <si>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</si>
  <si>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</si>
  <si>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</si>
  <si>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</si>
  <si>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</si>
  <si>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</si>
  <si>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</si>
  <si>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</si>
  <si>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</si>
  <si>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</si>
  <si>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</si>
  <si>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2nd, 3rd, 4th, 6th, 8th, 7th, 9th Floor</t>
  </si>
  <si>
    <t>Basement 1</t>
  </si>
  <si>
    <t>Plinth in process</t>
  </si>
  <si>
    <t>Axis Goregaon</t>
  </si>
  <si>
    <t xml:space="preserve">Marathon Neovalley </t>
  </si>
  <si>
    <t>Wing A = P51800026955
Wing B = P51800026970</t>
  </si>
  <si>
    <t>15(PT)</t>
  </si>
  <si>
    <t>Kanjur</t>
  </si>
  <si>
    <t>Village</t>
  </si>
  <si>
    <t>Kurla</t>
  </si>
  <si>
    <t>Sai Hill Road</t>
  </si>
  <si>
    <t>Slum</t>
  </si>
  <si>
    <t>Saidarshan CHS</t>
  </si>
  <si>
    <t>Bhandup</t>
  </si>
  <si>
    <t>SRA/ENG/3311/S/PL/AP</t>
  </si>
  <si>
    <t>A Wing</t>
  </si>
  <si>
    <t>1st Floor</t>
  </si>
  <si>
    <t>M. P Room</t>
  </si>
  <si>
    <t>1BHK</t>
  </si>
  <si>
    <t>B Wing</t>
  </si>
  <si>
    <t>1st Floor (Part Fitness Centre &amp; Society Office)</t>
  </si>
  <si>
    <t>2nd Floor for Residential</t>
  </si>
  <si>
    <t>3rd Floor</t>
  </si>
  <si>
    <t>4th to 6th Floor</t>
  </si>
  <si>
    <t>Refuge Area</t>
  </si>
  <si>
    <t>7th &amp; 14th Floor (Part Refuge Area)</t>
  </si>
  <si>
    <t>21st Floor (Part Refuge Area)</t>
  </si>
  <si>
    <t>On Site, we meet Mr.Amol (Sales) - 9320090407.</t>
  </si>
  <si>
    <t>We considered Gross carpet area = Net carpet.</t>
  </si>
  <si>
    <t>We considered  Saleable area  as per our calculation.</t>
  </si>
  <si>
    <t>B Wing = St + 1st to 22nd Floor</t>
  </si>
  <si>
    <t>Approved Plans, CC, Sale Plans,Cost Sheet</t>
  </si>
  <si>
    <t>2.1Km from Bhandup Railway Station</t>
  </si>
  <si>
    <t>CTS No</t>
  </si>
  <si>
    <t xml:space="preserve">Residential </t>
  </si>
  <si>
    <t>99acres</t>
  </si>
  <si>
    <t>1RK</t>
  </si>
  <si>
    <t>10000/-</t>
  </si>
  <si>
    <t>Advance Maintenance Charges (6 Months)</t>
  </si>
  <si>
    <t>Share of Expwnses fo Formation &amp; Registration of Apartment, Legal Charges. Etc</t>
  </si>
  <si>
    <t>75000/-</t>
  </si>
  <si>
    <t>Corpus Fund For Society</t>
  </si>
  <si>
    <t>42660/-</t>
  </si>
  <si>
    <t>Marathon Neovalley</t>
  </si>
  <si>
    <t>Mumbai</t>
  </si>
  <si>
    <t>Sale Building No.2 - Kaveri - Wing A &amp; B</t>
  </si>
  <si>
    <t>5,00,000/-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</si>
  <si>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</si>
  <si>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Nexzone Fiscal Services Pvt Ltd</t>
  </si>
  <si>
    <t>Location Link</t>
  </si>
  <si>
    <t>https://goo.gl/maps/5nm7hurUhpiFoQ8M7</t>
  </si>
  <si>
    <t>Nainesh Tambe</t>
  </si>
  <si>
    <t>11400 to 12500</t>
  </si>
  <si>
    <t>Viraj</t>
  </si>
  <si>
    <t>MSEB/MJP(Electric meter and Other Charges).</t>
  </si>
  <si>
    <t>Latitude,Longitude</t>
  </si>
  <si>
    <t>19.150607,72.9243658</t>
  </si>
  <si>
    <t>9.15 M. Wide Road</t>
  </si>
  <si>
    <t>Other Plot/Rehab Building</t>
  </si>
  <si>
    <t>Other Plot</t>
  </si>
  <si>
    <t>SRA/ENG/S/PVT/0118/20140630/AP/S</t>
  </si>
  <si>
    <t>As per Layout</t>
  </si>
  <si>
    <t>We have updated revised approved plans (On 18/03/2024).</t>
  </si>
  <si>
    <t>Layout :</t>
  </si>
  <si>
    <t>Valid Up to: This CC is further extended from 8th to 22nd floor including LMR &amp; OWHT for Rehab Building NOI as per Approved Ammended Plans Dated 27/02/2020.</t>
  </si>
  <si>
    <t>8th to 13th, 15th to 20th &amp; 22nd Floor</t>
  </si>
  <si>
    <t>7th &amp; 14th (Part Refuge Area)</t>
  </si>
  <si>
    <t>A Wing = St + 1st to 22nd Floor
B Wing = St + 1st to 22nd Floor
C Wing is The School Building (G + 1st to 2nd Floor)</t>
  </si>
  <si>
    <t>Ground Floor for Parking, Meter Room &amp; Lobby</t>
  </si>
  <si>
    <t>Name of Municipal Corporation/Authority</t>
  </si>
  <si>
    <t>Authorites</t>
  </si>
  <si>
    <t xml:space="preserve">Thane </t>
  </si>
  <si>
    <t>Raigad</t>
  </si>
  <si>
    <t>Palghar</t>
  </si>
  <si>
    <t>Slum Rehabilitation Authority (SRA)</t>
  </si>
  <si>
    <t>As per RERA - 30/06/2026</t>
  </si>
  <si>
    <t>02 Buildings</t>
  </si>
  <si>
    <t>Flats - 558</t>
  </si>
  <si>
    <t>Partially Use For School (Wing C)</t>
  </si>
  <si>
    <t>Parking</t>
  </si>
  <si>
    <t>1st Floor for Residential &amp; Parking</t>
  </si>
  <si>
    <t>Terrace Area For School (Wing C)</t>
  </si>
  <si>
    <t>Society Office</t>
  </si>
  <si>
    <t>Fitness Centre</t>
  </si>
  <si>
    <t>Wing C will be handed over to school as approved plans.</t>
  </si>
  <si>
    <t>A Wing = St + 1st to 22nd Floor</t>
  </si>
  <si>
    <t>Rate 12500 to 12900 Sanjay Cost sheet 07/10/2024</t>
  </si>
  <si>
    <t>Valid Up to: This CC is granted work upto plinth CC as per approved amended plans dated 30/12/2021.</t>
  </si>
  <si>
    <t>S/PVT/0118/20140630/AP/S</t>
  </si>
  <si>
    <t>We have updated revised approved CC on 11/11/2024.</t>
  </si>
  <si>
    <t>Valid Up to: This CC is is further extended to sale wing - B from stilt + 1st to 22nd upper floors including LMR &amp; OHWT as per approved amended plans dtd 30/12/2021.</t>
  </si>
  <si>
    <t>saleable area of wing B is change on 28/12/24</t>
  </si>
  <si>
    <t>On site we met Mr Yogesh (site engineer) 9702554612.</t>
  </si>
  <si>
    <t>Please provide revised CC for Wing A.</t>
  </si>
  <si>
    <t>Valid Up to: This CC is re endorsed &amp; further extended to Sale Wing A from Stilt + 1st to 17th upper floors with brick work &amp; plaster &amp; 18th to 21st upper floors for RCC framed structure as per approved amended IOA dtd. 10/02/2025.</t>
  </si>
  <si>
    <t>We have updated revised approved CC (On 23/04/2025).</t>
  </si>
  <si>
    <t>Shruti Tathare</t>
  </si>
  <si>
    <t>Construction work is in process at the time of visit. Internal visit was not allowed.</t>
  </si>
  <si>
    <t>12900 TO 13000</t>
  </si>
  <si>
    <t>bhargav cost sheet</t>
  </si>
  <si>
    <t>ON 20/09/2025</t>
  </si>
  <si>
    <t>A208</t>
  </si>
  <si>
    <t>Recommended Rates/Other Charges of the Property have been revised on 30/12/2023, 07/10/2024 &amp; 20/09/2025.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</si>
</sst>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4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18" fillId="0" borderId="13" xfId="0" applyFont="1" applyBorder="1" applyProtection="1">
      <protection hidden="1"/>
    </xf>
    <xf numFmtId="0" fontId="8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5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/>
    </xf>
    <xf numFmtId="9" fontId="9" fillId="0" borderId="19" xfId="8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vertical="top"/>
      <protection locked="0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vertical="top" wrapText="1"/>
      <protection locked="0"/>
    </xf>
    <xf numFmtId="0" fontId="13" fillId="2" borderId="24" xfId="1" applyFont="1" applyFill="1" applyBorder="1" applyAlignment="1" applyProtection="1">
      <alignment vertical="top" wrapText="1"/>
      <protection locked="0"/>
    </xf>
    <xf numFmtId="0" fontId="13" fillId="2" borderId="10" xfId="1" applyFont="1" applyFill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 applyProtection="1">
      <alignment horizontal="center" vertical="center" wrapText="1"/>
      <protection locked="0"/>
    </xf>
    <xf numFmtId="1" fontId="7" fillId="0" borderId="2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>
      <alignment horizontal="center" vertical="center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14" fillId="0" borderId="24" xfId="1" applyFont="1" applyBorder="1" applyAlignment="1" applyProtection="1">
      <alignment horizontal="left" vertical="top"/>
      <protection locked="0"/>
    </xf>
    <xf numFmtId="0" fontId="14" fillId="0" borderId="10" xfId="1" applyFont="1" applyBorder="1" applyAlignment="1" applyProtection="1">
      <alignment horizontal="left" vertical="top"/>
      <protection locked="0"/>
    </xf>
    <xf numFmtId="0" fontId="24" fillId="0" borderId="1" xfId="9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1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9" xfId="0" applyNumberFormat="1" applyFont="1" applyFill="1" applyBorder="1" applyAlignment="1" applyProtection="1">
      <alignment vertical="top" wrapText="1"/>
      <protection locked="0"/>
    </xf>
    <xf numFmtId="1" fontId="14" fillId="4" borderId="24" xfId="0" applyNumberFormat="1" applyFont="1" applyFill="1" applyBorder="1" applyAlignment="1" applyProtection="1">
      <alignment vertical="top" wrapText="1"/>
      <protection locked="0"/>
    </xf>
    <xf numFmtId="1" fontId="14" fillId="4" borderId="10" xfId="0" applyNumberFormat="1" applyFont="1" applyFill="1" applyBorder="1" applyAlignment="1" applyProtection="1">
      <alignment vertical="top" wrapText="1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680204</xdr:colOff>
      <xdr:row>501</xdr:row>
      <xdr:rowOff>72875</xdr:rowOff>
    </xdr:from>
    <xdr:to>
      <xdr:col>7</xdr:col>
      <xdr:colOff>256337</xdr:colOff>
      <xdr:row>519</xdr:row>
      <xdr:rowOff>42171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0204" y="85855025"/>
          <a:ext cx="5272083" cy="35697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666750</xdr:colOff>
      <xdr:row>459</xdr:row>
      <xdr:rowOff>0</xdr:rowOff>
    </xdr:from>
    <xdr:to>
      <xdr:col>6</xdr:col>
      <xdr:colOff>390525</xdr:colOff>
      <xdr:row>480</xdr:row>
      <xdr:rowOff>76203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0" y="77381100"/>
          <a:ext cx="3876675" cy="42767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390526</xdr:colOff>
      <xdr:row>481</xdr:row>
      <xdr:rowOff>28575</xdr:rowOff>
    </xdr:from>
    <xdr:to>
      <xdr:col>7</xdr:col>
      <xdr:colOff>392169</xdr:colOff>
      <xdr:row>499</xdr:row>
      <xdr:rowOff>28125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6" y="81810225"/>
          <a:ext cx="569759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428625</xdr:colOff>
      <xdr:row>484</xdr:row>
      <xdr:rowOff>123825</xdr:rowOff>
    </xdr:from>
    <xdr:to>
      <xdr:col>6</xdr:col>
      <xdr:colOff>104775</xdr:colOff>
      <xdr:row>491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2838450" y="82505550"/>
          <a:ext cx="2181225" cy="1333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</xdr:col>
      <xdr:colOff>161924</xdr:colOff>
      <xdr:row>486</xdr:row>
      <xdr:rowOff>85726</xdr:rowOff>
    </xdr:from>
    <xdr:to>
      <xdr:col>3</xdr:col>
      <xdr:colOff>419100</xdr:colOff>
      <xdr:row>493</xdr:row>
      <xdr:rowOff>57151</xdr:rowOff>
    </xdr:to>
    <xdr:sp macro="" textlink="">
      <xdr:nvSpPr>
        <xdr:cNvPr id="15" name="Rectangle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923924" y="82867501"/>
          <a:ext cx="1905001" cy="1371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819150</xdr:colOff>
      <xdr:row>482</xdr:row>
      <xdr:rowOff>171449</xdr:rowOff>
    </xdr:from>
    <xdr:to>
      <xdr:col>5</xdr:col>
      <xdr:colOff>57150</xdr:colOff>
      <xdr:row>484</xdr:row>
      <xdr:rowOff>123824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28975" y="84972524"/>
          <a:ext cx="9620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Wing</a:t>
          </a:r>
          <a:r>
            <a:rPr lang="en-IN" sz="1600" b="1" baseline="0">
              <a:solidFill>
                <a:srgbClr val="FF0000"/>
              </a:solidFill>
            </a:rPr>
            <a:t> A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133350</xdr:colOff>
      <xdr:row>484</xdr:row>
      <xdr:rowOff>104775</xdr:rowOff>
    </xdr:from>
    <xdr:to>
      <xdr:col>3</xdr:col>
      <xdr:colOff>247650</xdr:colOff>
      <xdr:row>486</xdr:row>
      <xdr:rowOff>57150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695450" y="82486500"/>
          <a:ext cx="9620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Wing</a:t>
          </a:r>
          <a:r>
            <a:rPr lang="en-IN" sz="1600" b="1" baseline="0">
              <a:solidFill>
                <a:srgbClr val="FF0000"/>
              </a:solidFill>
            </a:rPr>
            <a:t> B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295274</xdr:colOff>
      <xdr:row>520</xdr:row>
      <xdr:rowOff>19050</xdr:rowOff>
    </xdr:from>
    <xdr:to>
      <xdr:col>6</xdr:col>
      <xdr:colOff>581638</xdr:colOff>
      <xdr:row>541</xdr:row>
      <xdr:rowOff>138527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7274" y="89601675"/>
          <a:ext cx="4439264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422044</xdr:colOff>
      <xdr:row>527</xdr:row>
      <xdr:rowOff>78865</xdr:rowOff>
    </xdr:from>
    <xdr:to>
      <xdr:col>3</xdr:col>
      <xdr:colOff>391568</xdr:colOff>
      <xdr:row>534</xdr:row>
      <xdr:rowOff>46971</xdr:rowOff>
    </xdr:to>
    <xdr:sp macro="" textlink="">
      <xdr:nvSpPr>
        <xdr:cNvPr id="29" name="Rectangle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 rot="1402311">
          <a:off x="1979662" y="91799012"/>
          <a:ext cx="821171" cy="1380047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114300</xdr:colOff>
      <xdr:row>484</xdr:row>
      <xdr:rowOff>142875</xdr:rowOff>
    </xdr:from>
    <xdr:to>
      <xdr:col>5</xdr:col>
      <xdr:colOff>123825</xdr:colOff>
      <xdr:row>491</xdr:row>
      <xdr:rowOff>85725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248150" y="85344000"/>
          <a:ext cx="9525" cy="134302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131990</xdr:colOff>
      <xdr:row>482</xdr:row>
      <xdr:rowOff>159203</xdr:rowOff>
    </xdr:from>
    <xdr:to>
      <xdr:col>6</xdr:col>
      <xdr:colOff>318408</xdr:colOff>
      <xdr:row>484</xdr:row>
      <xdr:rowOff>107497</xdr:rowOff>
    </xdr:to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254954" y="86510132"/>
          <a:ext cx="962025" cy="356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Wing</a:t>
          </a:r>
          <a:r>
            <a:rPr lang="en-IN" sz="1600" b="1" baseline="0">
              <a:solidFill>
                <a:srgbClr val="FF0000"/>
              </a:solidFill>
            </a:rPr>
            <a:t> C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828675</xdr:colOff>
      <xdr:row>434</xdr:row>
      <xdr:rowOff>95250</xdr:rowOff>
    </xdr:from>
    <xdr:to>
      <xdr:col>11</xdr:col>
      <xdr:colOff>136525</xdr:colOff>
      <xdr:row>436</xdr:row>
      <xdr:rowOff>47625</xdr:rowOff>
    </xdr:to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515350" y="79067025"/>
          <a:ext cx="9652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solidFill>
                <a:srgbClr val="FF0000"/>
              </a:solidFill>
            </a:rPr>
            <a:t>Wing</a:t>
          </a:r>
          <a:r>
            <a:rPr lang="en-IN" sz="1600" b="1" baseline="0">
              <a:solidFill>
                <a:srgbClr val="FF0000"/>
              </a:solidFill>
            </a:rPr>
            <a:t> B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333374</xdr:colOff>
      <xdr:row>407</xdr:row>
      <xdr:rowOff>114299</xdr:rowOff>
    </xdr:from>
    <xdr:to>
      <xdr:col>7</xdr:col>
      <xdr:colOff>703398</xdr:colOff>
      <xdr:row>448</xdr:row>
      <xdr:rowOff>150224</xdr:rowOff>
    </xdr:to>
    <xdr:grpSp>
      <xdr:nvGrpSpPr>
        <xdr:cNvPr id="20" name="Group 19"/>
        <xdr:cNvGrpSpPr/>
      </xdr:nvGrpSpPr>
      <xdr:grpSpPr>
        <a:xfrm>
          <a:off x="333374" y="75314174"/>
          <a:ext cx="6075499" cy="8227425"/>
          <a:chOff x="323849" y="75257024"/>
          <a:chExt cx="6075499" cy="8227425"/>
        </a:xfrm>
      </xdr:grpSpPr>
      <xdr:grpSp>
        <xdr:nvGrpSpPr>
          <xdr:cNvPr id="19" name="Group 18"/>
          <xdr:cNvGrpSpPr/>
        </xdr:nvGrpSpPr>
        <xdr:grpSpPr>
          <a:xfrm>
            <a:off x="323849" y="75257024"/>
            <a:ext cx="5973222" cy="8227425"/>
            <a:chOff x="333374" y="75257024"/>
            <a:chExt cx="5973222" cy="8227425"/>
          </a:xfrm>
        </xdr:grpSpPr>
        <xdr:pic>
          <xdr:nvPicPr>
            <xdr:cNvPr id="32" name="Picture 31" descr="https://vsjcllp.vsjadon.com/upload/insp-247619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743200" y="81905474"/>
              <a:ext cx="1187535" cy="15789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47619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3374" y="75257024"/>
              <a:ext cx="2944272" cy="39147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47619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69293" y="79276574"/>
              <a:ext cx="1912702" cy="2543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1" name="Picture 40" descr="https://vsjcllp.vsjadon.com/upload/insp-247619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62324" y="75257024"/>
              <a:ext cx="2944272" cy="39147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" name="Picture 41" descr="https://vsjcllp.vsjadon.com/upload/insp-247619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9518" y="79276574"/>
              <a:ext cx="1912702" cy="2543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3" name="Picture 42" descr="https://vsjcllp.vsjadon.com/upload/insp-247619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79068" y="79267049"/>
              <a:ext cx="1912702" cy="25431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4" name="TextBox 25">
            <a:extLst>
              <a:ext uri="{FF2B5EF4-FFF2-40B4-BE49-F238E27FC236}">
                <a16:creationId xmlns="" xmlns:a16="http://schemas.microsoft.com/office/drawing/2014/main" id="{80189932-8D9C-F53A-7E55-4815B543AA24}"/>
              </a:ext>
            </a:extLst>
          </xdr:cNvPr>
          <xdr:cNvSpPr txBox="1"/>
        </xdr:nvSpPr>
        <xdr:spPr>
          <a:xfrm>
            <a:off x="2400299" y="75561824"/>
            <a:ext cx="960574" cy="3741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A</a:t>
            </a:r>
          </a:p>
        </xdr:txBody>
      </xdr:sp>
      <xdr:sp macro="" textlink="">
        <xdr:nvSpPr>
          <xdr:cNvPr id="45" name="TextBox 25">
            <a:extLst>
              <a:ext uri="{FF2B5EF4-FFF2-40B4-BE49-F238E27FC236}">
                <a16:creationId xmlns="" xmlns:a16="http://schemas.microsoft.com/office/drawing/2014/main" id="{80189932-8D9C-F53A-7E55-4815B543AA24}"/>
              </a:ext>
            </a:extLst>
          </xdr:cNvPr>
          <xdr:cNvSpPr txBox="1"/>
        </xdr:nvSpPr>
        <xdr:spPr>
          <a:xfrm>
            <a:off x="5438774" y="75514199"/>
            <a:ext cx="960574" cy="37414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Wing B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8922</xdr:rowOff>
    </xdr:from>
    <xdr:to>
      <xdr:col>6</xdr:col>
      <xdr:colOff>669</xdr:colOff>
      <xdr:row>30</xdr:row>
      <xdr:rowOff>179922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230320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32</xdr:row>
      <xdr:rowOff>85122</xdr:rowOff>
    </xdr:from>
    <xdr:to>
      <xdr:col>6</xdr:col>
      <xdr:colOff>669</xdr:colOff>
      <xdr:row>51</xdr:row>
      <xdr:rowOff>65622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783" y="618940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331042</xdr:colOff>
      <xdr:row>12</xdr:row>
      <xdr:rowOff>8922</xdr:rowOff>
    </xdr:from>
    <xdr:to>
      <xdr:col>15</xdr:col>
      <xdr:colOff>248884</xdr:colOff>
      <xdr:row>30</xdr:row>
      <xdr:rowOff>179922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3281" y="230320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331041</xdr:colOff>
      <xdr:row>32</xdr:row>
      <xdr:rowOff>85122</xdr:rowOff>
    </xdr:from>
    <xdr:to>
      <xdr:col>15</xdr:col>
      <xdr:colOff>248883</xdr:colOff>
      <xdr:row>51</xdr:row>
      <xdr:rowOff>65622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3280" y="6189405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579257</xdr:colOff>
      <xdr:row>12</xdr:row>
      <xdr:rowOff>0</xdr:rowOff>
    </xdr:from>
    <xdr:to>
      <xdr:col>27</xdr:col>
      <xdr:colOff>24991</xdr:colOff>
      <xdr:row>30</xdr:row>
      <xdr:rowOff>171000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46779" y="22942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nm7hurUhpiFoQ8M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01"/>
  <sheetViews>
    <sheetView tabSelected="1" view="pageBreakPreview" topLeftCell="A46" zoomScaleNormal="100" zoomScaleSheetLayoutView="100" zoomScalePageLayoutView="85" workbookViewId="0">
      <selection activeCell="L8" sqref="L8"/>
    </sheetView>
  </sheetViews>
  <sheetFormatPr defaultColWidth="9.28515625" defaultRowHeight="15.75" x14ac:dyDescent="0.25"/>
  <cols>
    <col min="1" max="1" width="11.42578125" style="15" customWidth="1"/>
    <col min="2" max="2" width="12" style="15" customWidth="1"/>
    <col min="3" max="3" width="12.7109375" style="15" customWidth="1"/>
    <col min="4" max="4" width="14.28515625" style="15" customWidth="1"/>
    <col min="5" max="7" width="11.7109375" style="15" customWidth="1"/>
    <col min="8" max="8" width="12.42578125" style="15" customWidth="1"/>
    <col min="9" max="9" width="17.42578125" style="8" customWidth="1"/>
    <col min="10" max="10" width="14.28515625" style="8" bestFit="1" customWidth="1"/>
    <col min="11" max="11" width="10.5703125" style="8" bestFit="1" customWidth="1"/>
    <col min="12" max="12" width="10.5703125" style="8" customWidth="1"/>
    <col min="13" max="13" width="11.7109375" style="8" customWidth="1"/>
    <col min="14" max="14" width="12.5703125" style="8" customWidth="1"/>
    <col min="15" max="15" width="9.7109375" style="8" customWidth="1"/>
    <col min="16" max="16" width="10.42578125" style="8" customWidth="1"/>
    <col min="17" max="247" width="9.28515625" style="8"/>
    <col min="248" max="248" width="8.7109375" style="8" customWidth="1"/>
    <col min="249" max="249" width="9.7109375" style="8" customWidth="1"/>
    <col min="250" max="250" width="14.42578125" style="8" customWidth="1"/>
    <col min="251" max="251" width="7.28515625" style="8" customWidth="1"/>
    <col min="252" max="252" width="5.5703125" style="8" customWidth="1"/>
    <col min="253" max="253" width="9" style="8" customWidth="1"/>
    <col min="254" max="255" width="9.7109375" style="8" customWidth="1"/>
    <col min="256" max="256" width="11.28515625" style="8" customWidth="1"/>
    <col min="257" max="257" width="2.7109375" style="8" customWidth="1"/>
    <col min="258" max="258" width="3.5703125" style="8" customWidth="1"/>
    <col min="259" max="503" width="9.28515625" style="8"/>
    <col min="504" max="504" width="8.7109375" style="8" customWidth="1"/>
    <col min="505" max="505" width="9.7109375" style="8" customWidth="1"/>
    <col min="506" max="506" width="14.42578125" style="8" customWidth="1"/>
    <col min="507" max="507" width="7.28515625" style="8" customWidth="1"/>
    <col min="508" max="508" width="5.5703125" style="8" customWidth="1"/>
    <col min="509" max="509" width="9" style="8" customWidth="1"/>
    <col min="510" max="511" width="9.7109375" style="8" customWidth="1"/>
    <col min="512" max="512" width="11.28515625" style="8" customWidth="1"/>
    <col min="513" max="513" width="2.7109375" style="8" customWidth="1"/>
    <col min="514" max="514" width="3.5703125" style="8" customWidth="1"/>
    <col min="515" max="759" width="9.28515625" style="8"/>
    <col min="760" max="760" width="8.7109375" style="8" customWidth="1"/>
    <col min="761" max="761" width="9.7109375" style="8" customWidth="1"/>
    <col min="762" max="762" width="14.42578125" style="8" customWidth="1"/>
    <col min="763" max="763" width="7.28515625" style="8" customWidth="1"/>
    <col min="764" max="764" width="5.5703125" style="8" customWidth="1"/>
    <col min="765" max="765" width="9" style="8" customWidth="1"/>
    <col min="766" max="767" width="9.7109375" style="8" customWidth="1"/>
    <col min="768" max="768" width="11.28515625" style="8" customWidth="1"/>
    <col min="769" max="769" width="2.7109375" style="8" customWidth="1"/>
    <col min="770" max="770" width="3.5703125" style="8" customWidth="1"/>
    <col min="771" max="1015" width="9.28515625" style="8"/>
    <col min="1016" max="1016" width="8.7109375" style="8" customWidth="1"/>
    <col min="1017" max="1017" width="9.7109375" style="8" customWidth="1"/>
    <col min="1018" max="1018" width="14.42578125" style="8" customWidth="1"/>
    <col min="1019" max="1019" width="7.28515625" style="8" customWidth="1"/>
    <col min="1020" max="1020" width="5.5703125" style="8" customWidth="1"/>
    <col min="1021" max="1021" width="9" style="8" customWidth="1"/>
    <col min="1022" max="1023" width="9.7109375" style="8" customWidth="1"/>
    <col min="1024" max="1024" width="11.28515625" style="8" customWidth="1"/>
    <col min="1025" max="1025" width="2.7109375" style="8" customWidth="1"/>
    <col min="1026" max="1026" width="3.5703125" style="8" customWidth="1"/>
    <col min="1027" max="1271" width="9.28515625" style="8"/>
    <col min="1272" max="1272" width="8.7109375" style="8" customWidth="1"/>
    <col min="1273" max="1273" width="9.7109375" style="8" customWidth="1"/>
    <col min="1274" max="1274" width="14.42578125" style="8" customWidth="1"/>
    <col min="1275" max="1275" width="7.28515625" style="8" customWidth="1"/>
    <col min="1276" max="1276" width="5.5703125" style="8" customWidth="1"/>
    <col min="1277" max="1277" width="9" style="8" customWidth="1"/>
    <col min="1278" max="1279" width="9.7109375" style="8" customWidth="1"/>
    <col min="1280" max="1280" width="11.28515625" style="8" customWidth="1"/>
    <col min="1281" max="1281" width="2.7109375" style="8" customWidth="1"/>
    <col min="1282" max="1282" width="3.5703125" style="8" customWidth="1"/>
    <col min="1283" max="1527" width="9.28515625" style="8"/>
    <col min="1528" max="1528" width="8.7109375" style="8" customWidth="1"/>
    <col min="1529" max="1529" width="9.7109375" style="8" customWidth="1"/>
    <col min="1530" max="1530" width="14.42578125" style="8" customWidth="1"/>
    <col min="1531" max="1531" width="7.28515625" style="8" customWidth="1"/>
    <col min="1532" max="1532" width="5.5703125" style="8" customWidth="1"/>
    <col min="1533" max="1533" width="9" style="8" customWidth="1"/>
    <col min="1534" max="1535" width="9.7109375" style="8" customWidth="1"/>
    <col min="1536" max="1536" width="11.28515625" style="8" customWidth="1"/>
    <col min="1537" max="1537" width="2.7109375" style="8" customWidth="1"/>
    <col min="1538" max="1538" width="3.5703125" style="8" customWidth="1"/>
    <col min="1539" max="1783" width="9.28515625" style="8"/>
    <col min="1784" max="1784" width="8.7109375" style="8" customWidth="1"/>
    <col min="1785" max="1785" width="9.7109375" style="8" customWidth="1"/>
    <col min="1786" max="1786" width="14.42578125" style="8" customWidth="1"/>
    <col min="1787" max="1787" width="7.28515625" style="8" customWidth="1"/>
    <col min="1788" max="1788" width="5.5703125" style="8" customWidth="1"/>
    <col min="1789" max="1789" width="9" style="8" customWidth="1"/>
    <col min="1790" max="1791" width="9.7109375" style="8" customWidth="1"/>
    <col min="1792" max="1792" width="11.28515625" style="8" customWidth="1"/>
    <col min="1793" max="1793" width="2.7109375" style="8" customWidth="1"/>
    <col min="1794" max="1794" width="3.5703125" style="8" customWidth="1"/>
    <col min="1795" max="2039" width="9.28515625" style="8"/>
    <col min="2040" max="2040" width="8.7109375" style="8" customWidth="1"/>
    <col min="2041" max="2041" width="9.7109375" style="8" customWidth="1"/>
    <col min="2042" max="2042" width="14.42578125" style="8" customWidth="1"/>
    <col min="2043" max="2043" width="7.28515625" style="8" customWidth="1"/>
    <col min="2044" max="2044" width="5.5703125" style="8" customWidth="1"/>
    <col min="2045" max="2045" width="9" style="8" customWidth="1"/>
    <col min="2046" max="2047" width="9.7109375" style="8" customWidth="1"/>
    <col min="2048" max="2048" width="11.28515625" style="8" customWidth="1"/>
    <col min="2049" max="2049" width="2.7109375" style="8" customWidth="1"/>
    <col min="2050" max="2050" width="3.5703125" style="8" customWidth="1"/>
    <col min="2051" max="2295" width="9.28515625" style="8"/>
    <col min="2296" max="2296" width="8.7109375" style="8" customWidth="1"/>
    <col min="2297" max="2297" width="9.7109375" style="8" customWidth="1"/>
    <col min="2298" max="2298" width="14.42578125" style="8" customWidth="1"/>
    <col min="2299" max="2299" width="7.28515625" style="8" customWidth="1"/>
    <col min="2300" max="2300" width="5.5703125" style="8" customWidth="1"/>
    <col min="2301" max="2301" width="9" style="8" customWidth="1"/>
    <col min="2302" max="2303" width="9.7109375" style="8" customWidth="1"/>
    <col min="2304" max="2304" width="11.28515625" style="8" customWidth="1"/>
    <col min="2305" max="2305" width="2.7109375" style="8" customWidth="1"/>
    <col min="2306" max="2306" width="3.5703125" style="8" customWidth="1"/>
    <col min="2307" max="2551" width="9.28515625" style="8"/>
    <col min="2552" max="2552" width="8.7109375" style="8" customWidth="1"/>
    <col min="2553" max="2553" width="9.7109375" style="8" customWidth="1"/>
    <col min="2554" max="2554" width="14.42578125" style="8" customWidth="1"/>
    <col min="2555" max="2555" width="7.28515625" style="8" customWidth="1"/>
    <col min="2556" max="2556" width="5.5703125" style="8" customWidth="1"/>
    <col min="2557" max="2557" width="9" style="8" customWidth="1"/>
    <col min="2558" max="2559" width="9.7109375" style="8" customWidth="1"/>
    <col min="2560" max="2560" width="11.28515625" style="8" customWidth="1"/>
    <col min="2561" max="2561" width="2.7109375" style="8" customWidth="1"/>
    <col min="2562" max="2562" width="3.5703125" style="8" customWidth="1"/>
    <col min="2563" max="2807" width="9.28515625" style="8"/>
    <col min="2808" max="2808" width="8.7109375" style="8" customWidth="1"/>
    <col min="2809" max="2809" width="9.7109375" style="8" customWidth="1"/>
    <col min="2810" max="2810" width="14.42578125" style="8" customWidth="1"/>
    <col min="2811" max="2811" width="7.28515625" style="8" customWidth="1"/>
    <col min="2812" max="2812" width="5.5703125" style="8" customWidth="1"/>
    <col min="2813" max="2813" width="9" style="8" customWidth="1"/>
    <col min="2814" max="2815" width="9.7109375" style="8" customWidth="1"/>
    <col min="2816" max="2816" width="11.28515625" style="8" customWidth="1"/>
    <col min="2817" max="2817" width="2.7109375" style="8" customWidth="1"/>
    <col min="2818" max="2818" width="3.5703125" style="8" customWidth="1"/>
    <col min="2819" max="3063" width="9.28515625" style="8"/>
    <col min="3064" max="3064" width="8.7109375" style="8" customWidth="1"/>
    <col min="3065" max="3065" width="9.7109375" style="8" customWidth="1"/>
    <col min="3066" max="3066" width="14.42578125" style="8" customWidth="1"/>
    <col min="3067" max="3067" width="7.28515625" style="8" customWidth="1"/>
    <col min="3068" max="3068" width="5.5703125" style="8" customWidth="1"/>
    <col min="3069" max="3069" width="9" style="8" customWidth="1"/>
    <col min="3070" max="3071" width="9.7109375" style="8" customWidth="1"/>
    <col min="3072" max="3072" width="11.28515625" style="8" customWidth="1"/>
    <col min="3073" max="3073" width="2.7109375" style="8" customWidth="1"/>
    <col min="3074" max="3074" width="3.5703125" style="8" customWidth="1"/>
    <col min="3075" max="3319" width="9.28515625" style="8"/>
    <col min="3320" max="3320" width="8.7109375" style="8" customWidth="1"/>
    <col min="3321" max="3321" width="9.7109375" style="8" customWidth="1"/>
    <col min="3322" max="3322" width="14.42578125" style="8" customWidth="1"/>
    <col min="3323" max="3323" width="7.28515625" style="8" customWidth="1"/>
    <col min="3324" max="3324" width="5.5703125" style="8" customWidth="1"/>
    <col min="3325" max="3325" width="9" style="8" customWidth="1"/>
    <col min="3326" max="3327" width="9.7109375" style="8" customWidth="1"/>
    <col min="3328" max="3328" width="11.28515625" style="8" customWidth="1"/>
    <col min="3329" max="3329" width="2.7109375" style="8" customWidth="1"/>
    <col min="3330" max="3330" width="3.5703125" style="8" customWidth="1"/>
    <col min="3331" max="3575" width="9.28515625" style="8"/>
    <col min="3576" max="3576" width="8.7109375" style="8" customWidth="1"/>
    <col min="3577" max="3577" width="9.7109375" style="8" customWidth="1"/>
    <col min="3578" max="3578" width="14.42578125" style="8" customWidth="1"/>
    <col min="3579" max="3579" width="7.28515625" style="8" customWidth="1"/>
    <col min="3580" max="3580" width="5.5703125" style="8" customWidth="1"/>
    <col min="3581" max="3581" width="9" style="8" customWidth="1"/>
    <col min="3582" max="3583" width="9.7109375" style="8" customWidth="1"/>
    <col min="3584" max="3584" width="11.28515625" style="8" customWidth="1"/>
    <col min="3585" max="3585" width="2.7109375" style="8" customWidth="1"/>
    <col min="3586" max="3586" width="3.5703125" style="8" customWidth="1"/>
    <col min="3587" max="3831" width="9.28515625" style="8"/>
    <col min="3832" max="3832" width="8.7109375" style="8" customWidth="1"/>
    <col min="3833" max="3833" width="9.7109375" style="8" customWidth="1"/>
    <col min="3834" max="3834" width="14.42578125" style="8" customWidth="1"/>
    <col min="3835" max="3835" width="7.28515625" style="8" customWidth="1"/>
    <col min="3836" max="3836" width="5.5703125" style="8" customWidth="1"/>
    <col min="3837" max="3837" width="9" style="8" customWidth="1"/>
    <col min="3838" max="3839" width="9.7109375" style="8" customWidth="1"/>
    <col min="3840" max="3840" width="11.28515625" style="8" customWidth="1"/>
    <col min="3841" max="3841" width="2.7109375" style="8" customWidth="1"/>
    <col min="3842" max="3842" width="3.5703125" style="8" customWidth="1"/>
    <col min="3843" max="4087" width="9.28515625" style="8"/>
    <col min="4088" max="4088" width="8.7109375" style="8" customWidth="1"/>
    <col min="4089" max="4089" width="9.7109375" style="8" customWidth="1"/>
    <col min="4090" max="4090" width="14.42578125" style="8" customWidth="1"/>
    <col min="4091" max="4091" width="7.28515625" style="8" customWidth="1"/>
    <col min="4092" max="4092" width="5.5703125" style="8" customWidth="1"/>
    <col min="4093" max="4093" width="9" style="8" customWidth="1"/>
    <col min="4094" max="4095" width="9.7109375" style="8" customWidth="1"/>
    <col min="4096" max="4096" width="11.28515625" style="8" customWidth="1"/>
    <col min="4097" max="4097" width="2.7109375" style="8" customWidth="1"/>
    <col min="4098" max="4098" width="3.5703125" style="8" customWidth="1"/>
    <col min="4099" max="4343" width="9.28515625" style="8"/>
    <col min="4344" max="4344" width="8.7109375" style="8" customWidth="1"/>
    <col min="4345" max="4345" width="9.7109375" style="8" customWidth="1"/>
    <col min="4346" max="4346" width="14.42578125" style="8" customWidth="1"/>
    <col min="4347" max="4347" width="7.28515625" style="8" customWidth="1"/>
    <col min="4348" max="4348" width="5.5703125" style="8" customWidth="1"/>
    <col min="4349" max="4349" width="9" style="8" customWidth="1"/>
    <col min="4350" max="4351" width="9.7109375" style="8" customWidth="1"/>
    <col min="4352" max="4352" width="11.28515625" style="8" customWidth="1"/>
    <col min="4353" max="4353" width="2.7109375" style="8" customWidth="1"/>
    <col min="4354" max="4354" width="3.5703125" style="8" customWidth="1"/>
    <col min="4355" max="4599" width="9.28515625" style="8"/>
    <col min="4600" max="4600" width="8.7109375" style="8" customWidth="1"/>
    <col min="4601" max="4601" width="9.7109375" style="8" customWidth="1"/>
    <col min="4602" max="4602" width="14.42578125" style="8" customWidth="1"/>
    <col min="4603" max="4603" width="7.28515625" style="8" customWidth="1"/>
    <col min="4604" max="4604" width="5.5703125" style="8" customWidth="1"/>
    <col min="4605" max="4605" width="9" style="8" customWidth="1"/>
    <col min="4606" max="4607" width="9.7109375" style="8" customWidth="1"/>
    <col min="4608" max="4608" width="11.28515625" style="8" customWidth="1"/>
    <col min="4609" max="4609" width="2.7109375" style="8" customWidth="1"/>
    <col min="4610" max="4610" width="3.5703125" style="8" customWidth="1"/>
    <col min="4611" max="4855" width="9.28515625" style="8"/>
    <col min="4856" max="4856" width="8.7109375" style="8" customWidth="1"/>
    <col min="4857" max="4857" width="9.7109375" style="8" customWidth="1"/>
    <col min="4858" max="4858" width="14.42578125" style="8" customWidth="1"/>
    <col min="4859" max="4859" width="7.28515625" style="8" customWidth="1"/>
    <col min="4860" max="4860" width="5.5703125" style="8" customWidth="1"/>
    <col min="4861" max="4861" width="9" style="8" customWidth="1"/>
    <col min="4862" max="4863" width="9.7109375" style="8" customWidth="1"/>
    <col min="4864" max="4864" width="11.28515625" style="8" customWidth="1"/>
    <col min="4865" max="4865" width="2.7109375" style="8" customWidth="1"/>
    <col min="4866" max="4866" width="3.5703125" style="8" customWidth="1"/>
    <col min="4867" max="5111" width="9.28515625" style="8"/>
    <col min="5112" max="5112" width="8.7109375" style="8" customWidth="1"/>
    <col min="5113" max="5113" width="9.7109375" style="8" customWidth="1"/>
    <col min="5114" max="5114" width="14.42578125" style="8" customWidth="1"/>
    <col min="5115" max="5115" width="7.28515625" style="8" customWidth="1"/>
    <col min="5116" max="5116" width="5.5703125" style="8" customWidth="1"/>
    <col min="5117" max="5117" width="9" style="8" customWidth="1"/>
    <col min="5118" max="5119" width="9.7109375" style="8" customWidth="1"/>
    <col min="5120" max="5120" width="11.28515625" style="8" customWidth="1"/>
    <col min="5121" max="5121" width="2.7109375" style="8" customWidth="1"/>
    <col min="5122" max="5122" width="3.5703125" style="8" customWidth="1"/>
    <col min="5123" max="5367" width="9.28515625" style="8"/>
    <col min="5368" max="5368" width="8.7109375" style="8" customWidth="1"/>
    <col min="5369" max="5369" width="9.7109375" style="8" customWidth="1"/>
    <col min="5370" max="5370" width="14.42578125" style="8" customWidth="1"/>
    <col min="5371" max="5371" width="7.28515625" style="8" customWidth="1"/>
    <col min="5372" max="5372" width="5.5703125" style="8" customWidth="1"/>
    <col min="5373" max="5373" width="9" style="8" customWidth="1"/>
    <col min="5374" max="5375" width="9.7109375" style="8" customWidth="1"/>
    <col min="5376" max="5376" width="11.28515625" style="8" customWidth="1"/>
    <col min="5377" max="5377" width="2.7109375" style="8" customWidth="1"/>
    <col min="5378" max="5378" width="3.5703125" style="8" customWidth="1"/>
    <col min="5379" max="5623" width="9.28515625" style="8"/>
    <col min="5624" max="5624" width="8.7109375" style="8" customWidth="1"/>
    <col min="5625" max="5625" width="9.7109375" style="8" customWidth="1"/>
    <col min="5626" max="5626" width="14.42578125" style="8" customWidth="1"/>
    <col min="5627" max="5627" width="7.28515625" style="8" customWidth="1"/>
    <col min="5628" max="5628" width="5.5703125" style="8" customWidth="1"/>
    <col min="5629" max="5629" width="9" style="8" customWidth="1"/>
    <col min="5630" max="5631" width="9.7109375" style="8" customWidth="1"/>
    <col min="5632" max="5632" width="11.28515625" style="8" customWidth="1"/>
    <col min="5633" max="5633" width="2.7109375" style="8" customWidth="1"/>
    <col min="5634" max="5634" width="3.5703125" style="8" customWidth="1"/>
    <col min="5635" max="5879" width="9.28515625" style="8"/>
    <col min="5880" max="5880" width="8.7109375" style="8" customWidth="1"/>
    <col min="5881" max="5881" width="9.7109375" style="8" customWidth="1"/>
    <col min="5882" max="5882" width="14.42578125" style="8" customWidth="1"/>
    <col min="5883" max="5883" width="7.28515625" style="8" customWidth="1"/>
    <col min="5884" max="5884" width="5.5703125" style="8" customWidth="1"/>
    <col min="5885" max="5885" width="9" style="8" customWidth="1"/>
    <col min="5886" max="5887" width="9.7109375" style="8" customWidth="1"/>
    <col min="5888" max="5888" width="11.28515625" style="8" customWidth="1"/>
    <col min="5889" max="5889" width="2.7109375" style="8" customWidth="1"/>
    <col min="5890" max="5890" width="3.5703125" style="8" customWidth="1"/>
    <col min="5891" max="6135" width="9.28515625" style="8"/>
    <col min="6136" max="6136" width="8.7109375" style="8" customWidth="1"/>
    <col min="6137" max="6137" width="9.7109375" style="8" customWidth="1"/>
    <col min="6138" max="6138" width="14.42578125" style="8" customWidth="1"/>
    <col min="6139" max="6139" width="7.28515625" style="8" customWidth="1"/>
    <col min="6140" max="6140" width="5.5703125" style="8" customWidth="1"/>
    <col min="6141" max="6141" width="9" style="8" customWidth="1"/>
    <col min="6142" max="6143" width="9.7109375" style="8" customWidth="1"/>
    <col min="6144" max="6144" width="11.28515625" style="8" customWidth="1"/>
    <col min="6145" max="6145" width="2.7109375" style="8" customWidth="1"/>
    <col min="6146" max="6146" width="3.5703125" style="8" customWidth="1"/>
    <col min="6147" max="6391" width="9.28515625" style="8"/>
    <col min="6392" max="6392" width="8.7109375" style="8" customWidth="1"/>
    <col min="6393" max="6393" width="9.7109375" style="8" customWidth="1"/>
    <col min="6394" max="6394" width="14.42578125" style="8" customWidth="1"/>
    <col min="6395" max="6395" width="7.28515625" style="8" customWidth="1"/>
    <col min="6396" max="6396" width="5.5703125" style="8" customWidth="1"/>
    <col min="6397" max="6397" width="9" style="8" customWidth="1"/>
    <col min="6398" max="6399" width="9.7109375" style="8" customWidth="1"/>
    <col min="6400" max="6400" width="11.28515625" style="8" customWidth="1"/>
    <col min="6401" max="6401" width="2.7109375" style="8" customWidth="1"/>
    <col min="6402" max="6402" width="3.5703125" style="8" customWidth="1"/>
    <col min="6403" max="6647" width="9.28515625" style="8"/>
    <col min="6648" max="6648" width="8.7109375" style="8" customWidth="1"/>
    <col min="6649" max="6649" width="9.7109375" style="8" customWidth="1"/>
    <col min="6650" max="6650" width="14.42578125" style="8" customWidth="1"/>
    <col min="6651" max="6651" width="7.28515625" style="8" customWidth="1"/>
    <col min="6652" max="6652" width="5.5703125" style="8" customWidth="1"/>
    <col min="6653" max="6653" width="9" style="8" customWidth="1"/>
    <col min="6654" max="6655" width="9.7109375" style="8" customWidth="1"/>
    <col min="6656" max="6656" width="11.28515625" style="8" customWidth="1"/>
    <col min="6657" max="6657" width="2.7109375" style="8" customWidth="1"/>
    <col min="6658" max="6658" width="3.5703125" style="8" customWidth="1"/>
    <col min="6659" max="6903" width="9.28515625" style="8"/>
    <col min="6904" max="6904" width="8.7109375" style="8" customWidth="1"/>
    <col min="6905" max="6905" width="9.7109375" style="8" customWidth="1"/>
    <col min="6906" max="6906" width="14.42578125" style="8" customWidth="1"/>
    <col min="6907" max="6907" width="7.28515625" style="8" customWidth="1"/>
    <col min="6908" max="6908" width="5.5703125" style="8" customWidth="1"/>
    <col min="6909" max="6909" width="9" style="8" customWidth="1"/>
    <col min="6910" max="6911" width="9.7109375" style="8" customWidth="1"/>
    <col min="6912" max="6912" width="11.28515625" style="8" customWidth="1"/>
    <col min="6913" max="6913" width="2.7109375" style="8" customWidth="1"/>
    <col min="6914" max="6914" width="3.5703125" style="8" customWidth="1"/>
    <col min="6915" max="7159" width="9.28515625" style="8"/>
    <col min="7160" max="7160" width="8.7109375" style="8" customWidth="1"/>
    <col min="7161" max="7161" width="9.7109375" style="8" customWidth="1"/>
    <col min="7162" max="7162" width="14.42578125" style="8" customWidth="1"/>
    <col min="7163" max="7163" width="7.28515625" style="8" customWidth="1"/>
    <col min="7164" max="7164" width="5.5703125" style="8" customWidth="1"/>
    <col min="7165" max="7165" width="9" style="8" customWidth="1"/>
    <col min="7166" max="7167" width="9.7109375" style="8" customWidth="1"/>
    <col min="7168" max="7168" width="11.28515625" style="8" customWidth="1"/>
    <col min="7169" max="7169" width="2.7109375" style="8" customWidth="1"/>
    <col min="7170" max="7170" width="3.5703125" style="8" customWidth="1"/>
    <col min="7171" max="7415" width="9.28515625" style="8"/>
    <col min="7416" max="7416" width="8.7109375" style="8" customWidth="1"/>
    <col min="7417" max="7417" width="9.7109375" style="8" customWidth="1"/>
    <col min="7418" max="7418" width="14.42578125" style="8" customWidth="1"/>
    <col min="7419" max="7419" width="7.28515625" style="8" customWidth="1"/>
    <col min="7420" max="7420" width="5.5703125" style="8" customWidth="1"/>
    <col min="7421" max="7421" width="9" style="8" customWidth="1"/>
    <col min="7422" max="7423" width="9.7109375" style="8" customWidth="1"/>
    <col min="7424" max="7424" width="11.28515625" style="8" customWidth="1"/>
    <col min="7425" max="7425" width="2.7109375" style="8" customWidth="1"/>
    <col min="7426" max="7426" width="3.5703125" style="8" customWidth="1"/>
    <col min="7427" max="7671" width="9.28515625" style="8"/>
    <col min="7672" max="7672" width="8.7109375" style="8" customWidth="1"/>
    <col min="7673" max="7673" width="9.7109375" style="8" customWidth="1"/>
    <col min="7674" max="7674" width="14.42578125" style="8" customWidth="1"/>
    <col min="7675" max="7675" width="7.28515625" style="8" customWidth="1"/>
    <col min="7676" max="7676" width="5.5703125" style="8" customWidth="1"/>
    <col min="7677" max="7677" width="9" style="8" customWidth="1"/>
    <col min="7678" max="7679" width="9.7109375" style="8" customWidth="1"/>
    <col min="7680" max="7680" width="11.28515625" style="8" customWidth="1"/>
    <col min="7681" max="7681" width="2.7109375" style="8" customWidth="1"/>
    <col min="7682" max="7682" width="3.5703125" style="8" customWidth="1"/>
    <col min="7683" max="7927" width="9.28515625" style="8"/>
    <col min="7928" max="7928" width="8.7109375" style="8" customWidth="1"/>
    <col min="7929" max="7929" width="9.7109375" style="8" customWidth="1"/>
    <col min="7930" max="7930" width="14.42578125" style="8" customWidth="1"/>
    <col min="7931" max="7931" width="7.28515625" style="8" customWidth="1"/>
    <col min="7932" max="7932" width="5.5703125" style="8" customWidth="1"/>
    <col min="7933" max="7933" width="9" style="8" customWidth="1"/>
    <col min="7934" max="7935" width="9.7109375" style="8" customWidth="1"/>
    <col min="7936" max="7936" width="11.28515625" style="8" customWidth="1"/>
    <col min="7937" max="7937" width="2.7109375" style="8" customWidth="1"/>
    <col min="7938" max="7938" width="3.5703125" style="8" customWidth="1"/>
    <col min="7939" max="8183" width="9.28515625" style="8"/>
    <col min="8184" max="8184" width="8.7109375" style="8" customWidth="1"/>
    <col min="8185" max="8185" width="9.7109375" style="8" customWidth="1"/>
    <col min="8186" max="8186" width="14.42578125" style="8" customWidth="1"/>
    <col min="8187" max="8187" width="7.28515625" style="8" customWidth="1"/>
    <col min="8188" max="8188" width="5.5703125" style="8" customWidth="1"/>
    <col min="8189" max="8189" width="9" style="8" customWidth="1"/>
    <col min="8190" max="8191" width="9.7109375" style="8" customWidth="1"/>
    <col min="8192" max="8192" width="11.28515625" style="8" customWidth="1"/>
    <col min="8193" max="8193" width="2.7109375" style="8" customWidth="1"/>
    <col min="8194" max="8194" width="3.5703125" style="8" customWidth="1"/>
    <col min="8195" max="8439" width="9.28515625" style="8"/>
    <col min="8440" max="8440" width="8.7109375" style="8" customWidth="1"/>
    <col min="8441" max="8441" width="9.7109375" style="8" customWidth="1"/>
    <col min="8442" max="8442" width="14.42578125" style="8" customWidth="1"/>
    <col min="8443" max="8443" width="7.28515625" style="8" customWidth="1"/>
    <col min="8444" max="8444" width="5.5703125" style="8" customWidth="1"/>
    <col min="8445" max="8445" width="9" style="8" customWidth="1"/>
    <col min="8446" max="8447" width="9.7109375" style="8" customWidth="1"/>
    <col min="8448" max="8448" width="11.28515625" style="8" customWidth="1"/>
    <col min="8449" max="8449" width="2.7109375" style="8" customWidth="1"/>
    <col min="8450" max="8450" width="3.5703125" style="8" customWidth="1"/>
    <col min="8451" max="8695" width="9.28515625" style="8"/>
    <col min="8696" max="8696" width="8.7109375" style="8" customWidth="1"/>
    <col min="8697" max="8697" width="9.7109375" style="8" customWidth="1"/>
    <col min="8698" max="8698" width="14.42578125" style="8" customWidth="1"/>
    <col min="8699" max="8699" width="7.28515625" style="8" customWidth="1"/>
    <col min="8700" max="8700" width="5.5703125" style="8" customWidth="1"/>
    <col min="8701" max="8701" width="9" style="8" customWidth="1"/>
    <col min="8702" max="8703" width="9.7109375" style="8" customWidth="1"/>
    <col min="8704" max="8704" width="11.28515625" style="8" customWidth="1"/>
    <col min="8705" max="8705" width="2.7109375" style="8" customWidth="1"/>
    <col min="8706" max="8706" width="3.5703125" style="8" customWidth="1"/>
    <col min="8707" max="8951" width="9.28515625" style="8"/>
    <col min="8952" max="8952" width="8.7109375" style="8" customWidth="1"/>
    <col min="8953" max="8953" width="9.7109375" style="8" customWidth="1"/>
    <col min="8954" max="8954" width="14.42578125" style="8" customWidth="1"/>
    <col min="8955" max="8955" width="7.28515625" style="8" customWidth="1"/>
    <col min="8956" max="8956" width="5.5703125" style="8" customWidth="1"/>
    <col min="8957" max="8957" width="9" style="8" customWidth="1"/>
    <col min="8958" max="8959" width="9.7109375" style="8" customWidth="1"/>
    <col min="8960" max="8960" width="11.28515625" style="8" customWidth="1"/>
    <col min="8961" max="8961" width="2.7109375" style="8" customWidth="1"/>
    <col min="8962" max="8962" width="3.5703125" style="8" customWidth="1"/>
    <col min="8963" max="9207" width="9.28515625" style="8"/>
    <col min="9208" max="9208" width="8.7109375" style="8" customWidth="1"/>
    <col min="9209" max="9209" width="9.7109375" style="8" customWidth="1"/>
    <col min="9210" max="9210" width="14.42578125" style="8" customWidth="1"/>
    <col min="9211" max="9211" width="7.28515625" style="8" customWidth="1"/>
    <col min="9212" max="9212" width="5.5703125" style="8" customWidth="1"/>
    <col min="9213" max="9213" width="9" style="8" customWidth="1"/>
    <col min="9214" max="9215" width="9.7109375" style="8" customWidth="1"/>
    <col min="9216" max="9216" width="11.28515625" style="8" customWidth="1"/>
    <col min="9217" max="9217" width="2.7109375" style="8" customWidth="1"/>
    <col min="9218" max="9218" width="3.5703125" style="8" customWidth="1"/>
    <col min="9219" max="9463" width="9.28515625" style="8"/>
    <col min="9464" max="9464" width="8.7109375" style="8" customWidth="1"/>
    <col min="9465" max="9465" width="9.7109375" style="8" customWidth="1"/>
    <col min="9466" max="9466" width="14.42578125" style="8" customWidth="1"/>
    <col min="9467" max="9467" width="7.28515625" style="8" customWidth="1"/>
    <col min="9468" max="9468" width="5.5703125" style="8" customWidth="1"/>
    <col min="9469" max="9469" width="9" style="8" customWidth="1"/>
    <col min="9470" max="9471" width="9.7109375" style="8" customWidth="1"/>
    <col min="9472" max="9472" width="11.28515625" style="8" customWidth="1"/>
    <col min="9473" max="9473" width="2.7109375" style="8" customWidth="1"/>
    <col min="9474" max="9474" width="3.5703125" style="8" customWidth="1"/>
    <col min="9475" max="9719" width="9.28515625" style="8"/>
    <col min="9720" max="9720" width="8.7109375" style="8" customWidth="1"/>
    <col min="9721" max="9721" width="9.7109375" style="8" customWidth="1"/>
    <col min="9722" max="9722" width="14.42578125" style="8" customWidth="1"/>
    <col min="9723" max="9723" width="7.28515625" style="8" customWidth="1"/>
    <col min="9724" max="9724" width="5.5703125" style="8" customWidth="1"/>
    <col min="9725" max="9725" width="9" style="8" customWidth="1"/>
    <col min="9726" max="9727" width="9.7109375" style="8" customWidth="1"/>
    <col min="9728" max="9728" width="11.28515625" style="8" customWidth="1"/>
    <col min="9729" max="9729" width="2.7109375" style="8" customWidth="1"/>
    <col min="9730" max="9730" width="3.5703125" style="8" customWidth="1"/>
    <col min="9731" max="9975" width="9.28515625" style="8"/>
    <col min="9976" max="9976" width="8.7109375" style="8" customWidth="1"/>
    <col min="9977" max="9977" width="9.7109375" style="8" customWidth="1"/>
    <col min="9978" max="9978" width="14.42578125" style="8" customWidth="1"/>
    <col min="9979" max="9979" width="7.28515625" style="8" customWidth="1"/>
    <col min="9980" max="9980" width="5.5703125" style="8" customWidth="1"/>
    <col min="9981" max="9981" width="9" style="8" customWidth="1"/>
    <col min="9982" max="9983" width="9.7109375" style="8" customWidth="1"/>
    <col min="9984" max="9984" width="11.28515625" style="8" customWidth="1"/>
    <col min="9985" max="9985" width="2.7109375" style="8" customWidth="1"/>
    <col min="9986" max="9986" width="3.5703125" style="8" customWidth="1"/>
    <col min="9987" max="10231" width="9.28515625" style="8"/>
    <col min="10232" max="10232" width="8.7109375" style="8" customWidth="1"/>
    <col min="10233" max="10233" width="9.7109375" style="8" customWidth="1"/>
    <col min="10234" max="10234" width="14.42578125" style="8" customWidth="1"/>
    <col min="10235" max="10235" width="7.28515625" style="8" customWidth="1"/>
    <col min="10236" max="10236" width="5.5703125" style="8" customWidth="1"/>
    <col min="10237" max="10237" width="9" style="8" customWidth="1"/>
    <col min="10238" max="10239" width="9.7109375" style="8" customWidth="1"/>
    <col min="10240" max="10240" width="11.28515625" style="8" customWidth="1"/>
    <col min="10241" max="10241" width="2.7109375" style="8" customWidth="1"/>
    <col min="10242" max="10242" width="3.5703125" style="8" customWidth="1"/>
    <col min="10243" max="10487" width="9.28515625" style="8"/>
    <col min="10488" max="10488" width="8.7109375" style="8" customWidth="1"/>
    <col min="10489" max="10489" width="9.7109375" style="8" customWidth="1"/>
    <col min="10490" max="10490" width="14.42578125" style="8" customWidth="1"/>
    <col min="10491" max="10491" width="7.28515625" style="8" customWidth="1"/>
    <col min="10492" max="10492" width="5.5703125" style="8" customWidth="1"/>
    <col min="10493" max="10493" width="9" style="8" customWidth="1"/>
    <col min="10494" max="10495" width="9.7109375" style="8" customWidth="1"/>
    <col min="10496" max="10496" width="11.28515625" style="8" customWidth="1"/>
    <col min="10497" max="10497" width="2.7109375" style="8" customWidth="1"/>
    <col min="10498" max="10498" width="3.5703125" style="8" customWidth="1"/>
    <col min="10499" max="10743" width="9.28515625" style="8"/>
    <col min="10744" max="10744" width="8.7109375" style="8" customWidth="1"/>
    <col min="10745" max="10745" width="9.7109375" style="8" customWidth="1"/>
    <col min="10746" max="10746" width="14.42578125" style="8" customWidth="1"/>
    <col min="10747" max="10747" width="7.28515625" style="8" customWidth="1"/>
    <col min="10748" max="10748" width="5.5703125" style="8" customWidth="1"/>
    <col min="10749" max="10749" width="9" style="8" customWidth="1"/>
    <col min="10750" max="10751" width="9.7109375" style="8" customWidth="1"/>
    <col min="10752" max="10752" width="11.28515625" style="8" customWidth="1"/>
    <col min="10753" max="10753" width="2.7109375" style="8" customWidth="1"/>
    <col min="10754" max="10754" width="3.5703125" style="8" customWidth="1"/>
    <col min="10755" max="10999" width="9.28515625" style="8"/>
    <col min="11000" max="11000" width="8.7109375" style="8" customWidth="1"/>
    <col min="11001" max="11001" width="9.7109375" style="8" customWidth="1"/>
    <col min="11002" max="11002" width="14.42578125" style="8" customWidth="1"/>
    <col min="11003" max="11003" width="7.28515625" style="8" customWidth="1"/>
    <col min="11004" max="11004" width="5.5703125" style="8" customWidth="1"/>
    <col min="11005" max="11005" width="9" style="8" customWidth="1"/>
    <col min="11006" max="11007" width="9.7109375" style="8" customWidth="1"/>
    <col min="11008" max="11008" width="11.28515625" style="8" customWidth="1"/>
    <col min="11009" max="11009" width="2.7109375" style="8" customWidth="1"/>
    <col min="11010" max="11010" width="3.5703125" style="8" customWidth="1"/>
    <col min="11011" max="11255" width="9.28515625" style="8"/>
    <col min="11256" max="11256" width="8.7109375" style="8" customWidth="1"/>
    <col min="11257" max="11257" width="9.7109375" style="8" customWidth="1"/>
    <col min="11258" max="11258" width="14.42578125" style="8" customWidth="1"/>
    <col min="11259" max="11259" width="7.28515625" style="8" customWidth="1"/>
    <col min="11260" max="11260" width="5.5703125" style="8" customWidth="1"/>
    <col min="11261" max="11261" width="9" style="8" customWidth="1"/>
    <col min="11262" max="11263" width="9.7109375" style="8" customWidth="1"/>
    <col min="11264" max="11264" width="11.28515625" style="8" customWidth="1"/>
    <col min="11265" max="11265" width="2.7109375" style="8" customWidth="1"/>
    <col min="11266" max="11266" width="3.5703125" style="8" customWidth="1"/>
    <col min="11267" max="11511" width="9.28515625" style="8"/>
    <col min="11512" max="11512" width="8.7109375" style="8" customWidth="1"/>
    <col min="11513" max="11513" width="9.7109375" style="8" customWidth="1"/>
    <col min="11514" max="11514" width="14.42578125" style="8" customWidth="1"/>
    <col min="11515" max="11515" width="7.28515625" style="8" customWidth="1"/>
    <col min="11516" max="11516" width="5.5703125" style="8" customWidth="1"/>
    <col min="11517" max="11517" width="9" style="8" customWidth="1"/>
    <col min="11518" max="11519" width="9.7109375" style="8" customWidth="1"/>
    <col min="11520" max="11520" width="11.28515625" style="8" customWidth="1"/>
    <col min="11521" max="11521" width="2.7109375" style="8" customWidth="1"/>
    <col min="11522" max="11522" width="3.5703125" style="8" customWidth="1"/>
    <col min="11523" max="11767" width="9.28515625" style="8"/>
    <col min="11768" max="11768" width="8.7109375" style="8" customWidth="1"/>
    <col min="11769" max="11769" width="9.7109375" style="8" customWidth="1"/>
    <col min="11770" max="11770" width="14.42578125" style="8" customWidth="1"/>
    <col min="11771" max="11771" width="7.28515625" style="8" customWidth="1"/>
    <col min="11772" max="11772" width="5.5703125" style="8" customWidth="1"/>
    <col min="11773" max="11773" width="9" style="8" customWidth="1"/>
    <col min="11774" max="11775" width="9.7109375" style="8" customWidth="1"/>
    <col min="11776" max="11776" width="11.28515625" style="8" customWidth="1"/>
    <col min="11777" max="11777" width="2.7109375" style="8" customWidth="1"/>
    <col min="11778" max="11778" width="3.5703125" style="8" customWidth="1"/>
    <col min="11779" max="12023" width="9.28515625" style="8"/>
    <col min="12024" max="12024" width="8.7109375" style="8" customWidth="1"/>
    <col min="12025" max="12025" width="9.7109375" style="8" customWidth="1"/>
    <col min="12026" max="12026" width="14.42578125" style="8" customWidth="1"/>
    <col min="12027" max="12027" width="7.28515625" style="8" customWidth="1"/>
    <col min="12028" max="12028" width="5.5703125" style="8" customWidth="1"/>
    <col min="12029" max="12029" width="9" style="8" customWidth="1"/>
    <col min="12030" max="12031" width="9.7109375" style="8" customWidth="1"/>
    <col min="12032" max="12032" width="11.28515625" style="8" customWidth="1"/>
    <col min="12033" max="12033" width="2.7109375" style="8" customWidth="1"/>
    <col min="12034" max="12034" width="3.5703125" style="8" customWidth="1"/>
    <col min="12035" max="12279" width="9.28515625" style="8"/>
    <col min="12280" max="12280" width="8.7109375" style="8" customWidth="1"/>
    <col min="12281" max="12281" width="9.7109375" style="8" customWidth="1"/>
    <col min="12282" max="12282" width="14.42578125" style="8" customWidth="1"/>
    <col min="12283" max="12283" width="7.28515625" style="8" customWidth="1"/>
    <col min="12284" max="12284" width="5.5703125" style="8" customWidth="1"/>
    <col min="12285" max="12285" width="9" style="8" customWidth="1"/>
    <col min="12286" max="12287" width="9.7109375" style="8" customWidth="1"/>
    <col min="12288" max="12288" width="11.28515625" style="8" customWidth="1"/>
    <col min="12289" max="12289" width="2.7109375" style="8" customWidth="1"/>
    <col min="12290" max="12290" width="3.5703125" style="8" customWidth="1"/>
    <col min="12291" max="12535" width="9.28515625" style="8"/>
    <col min="12536" max="12536" width="8.7109375" style="8" customWidth="1"/>
    <col min="12537" max="12537" width="9.7109375" style="8" customWidth="1"/>
    <col min="12538" max="12538" width="14.42578125" style="8" customWidth="1"/>
    <col min="12539" max="12539" width="7.28515625" style="8" customWidth="1"/>
    <col min="12540" max="12540" width="5.5703125" style="8" customWidth="1"/>
    <col min="12541" max="12541" width="9" style="8" customWidth="1"/>
    <col min="12542" max="12543" width="9.7109375" style="8" customWidth="1"/>
    <col min="12544" max="12544" width="11.28515625" style="8" customWidth="1"/>
    <col min="12545" max="12545" width="2.7109375" style="8" customWidth="1"/>
    <col min="12546" max="12546" width="3.5703125" style="8" customWidth="1"/>
    <col min="12547" max="12791" width="9.28515625" style="8"/>
    <col min="12792" max="12792" width="8.7109375" style="8" customWidth="1"/>
    <col min="12793" max="12793" width="9.7109375" style="8" customWidth="1"/>
    <col min="12794" max="12794" width="14.42578125" style="8" customWidth="1"/>
    <col min="12795" max="12795" width="7.28515625" style="8" customWidth="1"/>
    <col min="12796" max="12796" width="5.5703125" style="8" customWidth="1"/>
    <col min="12797" max="12797" width="9" style="8" customWidth="1"/>
    <col min="12798" max="12799" width="9.7109375" style="8" customWidth="1"/>
    <col min="12800" max="12800" width="11.28515625" style="8" customWidth="1"/>
    <col min="12801" max="12801" width="2.7109375" style="8" customWidth="1"/>
    <col min="12802" max="12802" width="3.5703125" style="8" customWidth="1"/>
    <col min="12803" max="13047" width="9.28515625" style="8"/>
    <col min="13048" max="13048" width="8.7109375" style="8" customWidth="1"/>
    <col min="13049" max="13049" width="9.7109375" style="8" customWidth="1"/>
    <col min="13050" max="13050" width="14.42578125" style="8" customWidth="1"/>
    <col min="13051" max="13051" width="7.28515625" style="8" customWidth="1"/>
    <col min="13052" max="13052" width="5.5703125" style="8" customWidth="1"/>
    <col min="13053" max="13053" width="9" style="8" customWidth="1"/>
    <col min="13054" max="13055" width="9.7109375" style="8" customWidth="1"/>
    <col min="13056" max="13056" width="11.28515625" style="8" customWidth="1"/>
    <col min="13057" max="13057" width="2.7109375" style="8" customWidth="1"/>
    <col min="13058" max="13058" width="3.5703125" style="8" customWidth="1"/>
    <col min="13059" max="13303" width="9.28515625" style="8"/>
    <col min="13304" max="13304" width="8.7109375" style="8" customWidth="1"/>
    <col min="13305" max="13305" width="9.7109375" style="8" customWidth="1"/>
    <col min="13306" max="13306" width="14.42578125" style="8" customWidth="1"/>
    <col min="13307" max="13307" width="7.28515625" style="8" customWidth="1"/>
    <col min="13308" max="13308" width="5.5703125" style="8" customWidth="1"/>
    <col min="13309" max="13309" width="9" style="8" customWidth="1"/>
    <col min="13310" max="13311" width="9.7109375" style="8" customWidth="1"/>
    <col min="13312" max="13312" width="11.28515625" style="8" customWidth="1"/>
    <col min="13313" max="13313" width="2.7109375" style="8" customWidth="1"/>
    <col min="13314" max="13314" width="3.5703125" style="8" customWidth="1"/>
    <col min="13315" max="13559" width="9.28515625" style="8"/>
    <col min="13560" max="13560" width="8.7109375" style="8" customWidth="1"/>
    <col min="13561" max="13561" width="9.7109375" style="8" customWidth="1"/>
    <col min="13562" max="13562" width="14.42578125" style="8" customWidth="1"/>
    <col min="13563" max="13563" width="7.28515625" style="8" customWidth="1"/>
    <col min="13564" max="13564" width="5.5703125" style="8" customWidth="1"/>
    <col min="13565" max="13565" width="9" style="8" customWidth="1"/>
    <col min="13566" max="13567" width="9.7109375" style="8" customWidth="1"/>
    <col min="13568" max="13568" width="11.28515625" style="8" customWidth="1"/>
    <col min="13569" max="13569" width="2.7109375" style="8" customWidth="1"/>
    <col min="13570" max="13570" width="3.5703125" style="8" customWidth="1"/>
    <col min="13571" max="13815" width="9.28515625" style="8"/>
    <col min="13816" max="13816" width="8.7109375" style="8" customWidth="1"/>
    <col min="13817" max="13817" width="9.7109375" style="8" customWidth="1"/>
    <col min="13818" max="13818" width="14.42578125" style="8" customWidth="1"/>
    <col min="13819" max="13819" width="7.28515625" style="8" customWidth="1"/>
    <col min="13820" max="13820" width="5.5703125" style="8" customWidth="1"/>
    <col min="13821" max="13821" width="9" style="8" customWidth="1"/>
    <col min="13822" max="13823" width="9.7109375" style="8" customWidth="1"/>
    <col min="13824" max="13824" width="11.28515625" style="8" customWidth="1"/>
    <col min="13825" max="13825" width="2.7109375" style="8" customWidth="1"/>
    <col min="13826" max="13826" width="3.5703125" style="8" customWidth="1"/>
    <col min="13827" max="14071" width="9.28515625" style="8"/>
    <col min="14072" max="14072" width="8.7109375" style="8" customWidth="1"/>
    <col min="14073" max="14073" width="9.7109375" style="8" customWidth="1"/>
    <col min="14074" max="14074" width="14.42578125" style="8" customWidth="1"/>
    <col min="14075" max="14075" width="7.28515625" style="8" customWidth="1"/>
    <col min="14076" max="14076" width="5.5703125" style="8" customWidth="1"/>
    <col min="14077" max="14077" width="9" style="8" customWidth="1"/>
    <col min="14078" max="14079" width="9.7109375" style="8" customWidth="1"/>
    <col min="14080" max="14080" width="11.28515625" style="8" customWidth="1"/>
    <col min="14081" max="14081" width="2.7109375" style="8" customWidth="1"/>
    <col min="14082" max="14082" width="3.5703125" style="8" customWidth="1"/>
    <col min="14083" max="14327" width="9.28515625" style="8"/>
    <col min="14328" max="14328" width="8.7109375" style="8" customWidth="1"/>
    <col min="14329" max="14329" width="9.7109375" style="8" customWidth="1"/>
    <col min="14330" max="14330" width="14.42578125" style="8" customWidth="1"/>
    <col min="14331" max="14331" width="7.28515625" style="8" customWidth="1"/>
    <col min="14332" max="14332" width="5.5703125" style="8" customWidth="1"/>
    <col min="14333" max="14333" width="9" style="8" customWidth="1"/>
    <col min="14334" max="14335" width="9.7109375" style="8" customWidth="1"/>
    <col min="14336" max="14336" width="11.28515625" style="8" customWidth="1"/>
    <col min="14337" max="14337" width="2.7109375" style="8" customWidth="1"/>
    <col min="14338" max="14338" width="3.5703125" style="8" customWidth="1"/>
    <col min="14339" max="14583" width="9.28515625" style="8"/>
    <col min="14584" max="14584" width="8.7109375" style="8" customWidth="1"/>
    <col min="14585" max="14585" width="9.7109375" style="8" customWidth="1"/>
    <col min="14586" max="14586" width="14.42578125" style="8" customWidth="1"/>
    <col min="14587" max="14587" width="7.28515625" style="8" customWidth="1"/>
    <col min="14588" max="14588" width="5.5703125" style="8" customWidth="1"/>
    <col min="14589" max="14589" width="9" style="8" customWidth="1"/>
    <col min="14590" max="14591" width="9.7109375" style="8" customWidth="1"/>
    <col min="14592" max="14592" width="11.28515625" style="8" customWidth="1"/>
    <col min="14593" max="14593" width="2.7109375" style="8" customWidth="1"/>
    <col min="14594" max="14594" width="3.5703125" style="8" customWidth="1"/>
    <col min="14595" max="14839" width="9.28515625" style="8"/>
    <col min="14840" max="14840" width="8.7109375" style="8" customWidth="1"/>
    <col min="14841" max="14841" width="9.7109375" style="8" customWidth="1"/>
    <col min="14842" max="14842" width="14.42578125" style="8" customWidth="1"/>
    <col min="14843" max="14843" width="7.28515625" style="8" customWidth="1"/>
    <col min="14844" max="14844" width="5.5703125" style="8" customWidth="1"/>
    <col min="14845" max="14845" width="9" style="8" customWidth="1"/>
    <col min="14846" max="14847" width="9.7109375" style="8" customWidth="1"/>
    <col min="14848" max="14848" width="11.28515625" style="8" customWidth="1"/>
    <col min="14849" max="14849" width="2.7109375" style="8" customWidth="1"/>
    <col min="14850" max="14850" width="3.5703125" style="8" customWidth="1"/>
    <col min="14851" max="15095" width="9.28515625" style="8"/>
    <col min="15096" max="15096" width="8.7109375" style="8" customWidth="1"/>
    <col min="15097" max="15097" width="9.7109375" style="8" customWidth="1"/>
    <col min="15098" max="15098" width="14.42578125" style="8" customWidth="1"/>
    <col min="15099" max="15099" width="7.28515625" style="8" customWidth="1"/>
    <col min="15100" max="15100" width="5.5703125" style="8" customWidth="1"/>
    <col min="15101" max="15101" width="9" style="8" customWidth="1"/>
    <col min="15102" max="15103" width="9.7109375" style="8" customWidth="1"/>
    <col min="15104" max="15104" width="11.28515625" style="8" customWidth="1"/>
    <col min="15105" max="15105" width="2.7109375" style="8" customWidth="1"/>
    <col min="15106" max="15106" width="3.5703125" style="8" customWidth="1"/>
    <col min="15107" max="15351" width="9.28515625" style="8"/>
    <col min="15352" max="15352" width="8.7109375" style="8" customWidth="1"/>
    <col min="15353" max="15353" width="9.7109375" style="8" customWidth="1"/>
    <col min="15354" max="15354" width="14.42578125" style="8" customWidth="1"/>
    <col min="15355" max="15355" width="7.28515625" style="8" customWidth="1"/>
    <col min="15356" max="15356" width="5.5703125" style="8" customWidth="1"/>
    <col min="15357" max="15357" width="9" style="8" customWidth="1"/>
    <col min="15358" max="15359" width="9.7109375" style="8" customWidth="1"/>
    <col min="15360" max="15360" width="11.28515625" style="8" customWidth="1"/>
    <col min="15361" max="15361" width="2.7109375" style="8" customWidth="1"/>
    <col min="15362" max="15362" width="3.5703125" style="8" customWidth="1"/>
    <col min="15363" max="15607" width="9.28515625" style="8"/>
    <col min="15608" max="15608" width="8.7109375" style="8" customWidth="1"/>
    <col min="15609" max="15609" width="9.7109375" style="8" customWidth="1"/>
    <col min="15610" max="15610" width="14.42578125" style="8" customWidth="1"/>
    <col min="15611" max="15611" width="7.28515625" style="8" customWidth="1"/>
    <col min="15612" max="15612" width="5.5703125" style="8" customWidth="1"/>
    <col min="15613" max="15613" width="9" style="8" customWidth="1"/>
    <col min="15614" max="15615" width="9.7109375" style="8" customWidth="1"/>
    <col min="15616" max="15616" width="11.28515625" style="8" customWidth="1"/>
    <col min="15617" max="15617" width="2.7109375" style="8" customWidth="1"/>
    <col min="15618" max="15618" width="3.5703125" style="8" customWidth="1"/>
    <col min="15619" max="15863" width="9.28515625" style="8"/>
    <col min="15864" max="15864" width="8.7109375" style="8" customWidth="1"/>
    <col min="15865" max="15865" width="9.7109375" style="8" customWidth="1"/>
    <col min="15866" max="15866" width="14.42578125" style="8" customWidth="1"/>
    <col min="15867" max="15867" width="7.28515625" style="8" customWidth="1"/>
    <col min="15868" max="15868" width="5.5703125" style="8" customWidth="1"/>
    <col min="15869" max="15869" width="9" style="8" customWidth="1"/>
    <col min="15870" max="15871" width="9.7109375" style="8" customWidth="1"/>
    <col min="15872" max="15872" width="11.28515625" style="8" customWidth="1"/>
    <col min="15873" max="15873" width="2.7109375" style="8" customWidth="1"/>
    <col min="15874" max="15874" width="3.5703125" style="8" customWidth="1"/>
    <col min="15875" max="16119" width="9.28515625" style="8"/>
    <col min="16120" max="16120" width="8.7109375" style="8" customWidth="1"/>
    <col min="16121" max="16121" width="9.7109375" style="8" customWidth="1"/>
    <col min="16122" max="16122" width="14.42578125" style="8" customWidth="1"/>
    <col min="16123" max="16123" width="7.28515625" style="8" customWidth="1"/>
    <col min="16124" max="16124" width="5.5703125" style="8" customWidth="1"/>
    <col min="16125" max="16125" width="9" style="8" customWidth="1"/>
    <col min="16126" max="16127" width="9.7109375" style="8" customWidth="1"/>
    <col min="16128" max="16128" width="11.28515625" style="8" customWidth="1"/>
    <col min="16129" max="16129" width="2.7109375" style="8" customWidth="1"/>
    <col min="16130" max="16130" width="3.5703125" style="8" customWidth="1"/>
    <col min="16131" max="16384" width="9.28515625" style="8"/>
  </cols>
  <sheetData>
    <row r="1" spans="1:8" ht="46.5" customHeight="1" x14ac:dyDescent="0.25">
      <c r="A1" s="130" t="s">
        <v>230</v>
      </c>
      <c r="B1" s="130"/>
      <c r="C1" s="130"/>
      <c r="D1" s="130"/>
      <c r="E1" s="130"/>
      <c r="F1" s="130"/>
      <c r="G1" s="130"/>
      <c r="H1" s="130"/>
    </row>
    <row r="2" spans="1:8" ht="16.5" customHeight="1" x14ac:dyDescent="0.25">
      <c r="A2" s="131" t="s">
        <v>0</v>
      </c>
      <c r="B2" s="131"/>
      <c r="C2" s="131"/>
      <c r="D2" s="131"/>
      <c r="E2" s="131"/>
      <c r="F2" s="131"/>
      <c r="G2" s="131"/>
      <c r="H2" s="131"/>
    </row>
    <row r="3" spans="1:8" x14ac:dyDescent="0.25">
      <c r="A3" s="115" t="s">
        <v>1</v>
      </c>
      <c r="B3" s="115"/>
      <c r="C3" s="115"/>
      <c r="D3" s="115"/>
      <c r="E3" s="132" t="str">
        <f ca="1">TEXT(TODAY(),"DD/MM/YYYY")</f>
        <v>20/09/2025</v>
      </c>
      <c r="F3" s="132"/>
      <c r="G3" s="132"/>
      <c r="H3" s="132"/>
    </row>
    <row r="4" spans="1:8" ht="15" customHeight="1" x14ac:dyDescent="0.25">
      <c r="A4" s="115" t="s">
        <v>2</v>
      </c>
      <c r="B4" s="115"/>
      <c r="C4" s="115"/>
      <c r="D4" s="115"/>
      <c r="E4" s="134" t="s">
        <v>186</v>
      </c>
      <c r="F4" s="134"/>
      <c r="G4" s="134"/>
      <c r="H4" s="134"/>
    </row>
    <row r="5" spans="1:8" x14ac:dyDescent="0.25">
      <c r="A5" s="115" t="s">
        <v>3</v>
      </c>
      <c r="B5" s="115"/>
      <c r="C5" s="115"/>
      <c r="D5" s="115"/>
      <c r="E5" s="132">
        <v>45912</v>
      </c>
      <c r="F5" s="132"/>
      <c r="G5" s="132"/>
      <c r="H5" s="132"/>
    </row>
    <row r="6" spans="1:8" ht="16.5" customHeight="1" x14ac:dyDescent="0.25">
      <c r="A6" s="115" t="s">
        <v>4</v>
      </c>
      <c r="B6" s="115"/>
      <c r="C6" s="115"/>
      <c r="D6" s="115"/>
      <c r="E6" s="109" t="s">
        <v>231</v>
      </c>
      <c r="F6" s="109"/>
      <c r="G6" s="109"/>
      <c r="H6" s="109"/>
    </row>
    <row r="7" spans="1:8" ht="15" customHeight="1" x14ac:dyDescent="0.25">
      <c r="A7" s="115" t="s">
        <v>5</v>
      </c>
      <c r="B7" s="115"/>
      <c r="C7" s="115"/>
      <c r="D7" s="115"/>
      <c r="E7" s="109" t="str">
        <f>E6</f>
        <v>Nexzone Fiscal Services Pvt Ltd</v>
      </c>
      <c r="F7" s="109"/>
      <c r="G7" s="109"/>
      <c r="H7" s="109"/>
    </row>
    <row r="8" spans="1:8" x14ac:dyDescent="0.25">
      <c r="A8" s="115" t="s">
        <v>6</v>
      </c>
      <c r="B8" s="115"/>
      <c r="C8" s="115"/>
      <c r="D8" s="115"/>
      <c r="E8" s="133" t="s">
        <v>226</v>
      </c>
      <c r="F8" s="133"/>
      <c r="G8" s="133"/>
      <c r="H8" s="133"/>
    </row>
    <row r="9" spans="1:8" x14ac:dyDescent="0.25">
      <c r="A9" s="115" t="s">
        <v>156</v>
      </c>
      <c r="B9" s="115"/>
      <c r="C9" s="115"/>
      <c r="D9" s="115"/>
      <c r="E9" s="115">
        <v>9320090407</v>
      </c>
      <c r="F9" s="115"/>
      <c r="G9" s="115"/>
      <c r="H9" s="115"/>
    </row>
    <row r="10" spans="1:8" x14ac:dyDescent="0.25">
      <c r="A10" s="101" t="s">
        <v>7</v>
      </c>
      <c r="B10" s="101"/>
      <c r="C10" s="101"/>
      <c r="D10" s="101"/>
      <c r="E10" s="101" t="s">
        <v>228</v>
      </c>
      <c r="F10" s="101"/>
      <c r="G10" s="101"/>
      <c r="H10" s="101"/>
    </row>
    <row r="11" spans="1:8" x14ac:dyDescent="0.25">
      <c r="A11" s="115" t="s">
        <v>8</v>
      </c>
      <c r="B11" s="115"/>
      <c r="C11" s="115"/>
      <c r="D11" s="115"/>
      <c r="E11" s="74" t="s">
        <v>214</v>
      </c>
      <c r="F11" s="74"/>
      <c r="G11" s="74"/>
      <c r="H11" s="74"/>
    </row>
    <row r="12" spans="1:8" ht="31.5" customHeight="1" x14ac:dyDescent="0.25">
      <c r="A12" s="115" t="s">
        <v>9</v>
      </c>
      <c r="B12" s="115"/>
      <c r="C12" s="115"/>
      <c r="D12" s="115"/>
      <c r="E12" s="74" t="s">
        <v>188</v>
      </c>
      <c r="F12" s="101"/>
      <c r="G12" s="101"/>
      <c r="H12" s="101"/>
    </row>
    <row r="13" spans="1:8" ht="35.25" customHeight="1" x14ac:dyDescent="0.25">
      <c r="A13" s="109" t="s">
        <v>10</v>
      </c>
      <c r="B13" s="109"/>
      <c r="C13" s="10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Marathon Neovalley, CTS No.15(PT), near Saidarshan CHS, Sai Hill Road, Kanjur, Bhandup, Kurla, Mumbai - 400078.</v>
      </c>
      <c r="D13" s="109"/>
      <c r="E13" s="109"/>
      <c r="F13" s="109"/>
      <c r="G13" s="109"/>
      <c r="H13" s="109"/>
    </row>
    <row r="14" spans="1:8" x14ac:dyDescent="0.25">
      <c r="A14" s="74" t="s">
        <v>216</v>
      </c>
      <c r="B14" s="74"/>
      <c r="C14" s="74" t="s">
        <v>189</v>
      </c>
      <c r="D14" s="74"/>
      <c r="E14" s="74"/>
      <c r="F14" s="74"/>
      <c r="G14" s="74"/>
      <c r="H14" s="74"/>
    </row>
    <row r="15" spans="1:8" ht="15.75" customHeight="1" x14ac:dyDescent="0.25">
      <c r="A15" s="109" t="s">
        <v>11</v>
      </c>
      <c r="B15" s="109"/>
      <c r="C15" s="101" t="s">
        <v>193</v>
      </c>
      <c r="D15" s="101"/>
      <c r="E15" s="109" t="s">
        <v>191</v>
      </c>
      <c r="F15" s="109"/>
      <c r="G15" s="74" t="s">
        <v>190</v>
      </c>
      <c r="H15" s="74"/>
    </row>
    <row r="16" spans="1:8" x14ac:dyDescent="0.25">
      <c r="A16" s="115" t="s">
        <v>13</v>
      </c>
      <c r="B16" s="115"/>
      <c r="C16" s="74" t="s">
        <v>196</v>
      </c>
      <c r="D16" s="74"/>
      <c r="E16" s="109" t="s">
        <v>12</v>
      </c>
      <c r="F16" s="109"/>
      <c r="G16" s="135" t="s">
        <v>227</v>
      </c>
      <c r="H16" s="135"/>
    </row>
    <row r="17" spans="1:8" x14ac:dyDescent="0.25">
      <c r="A17" s="115" t="s">
        <v>101</v>
      </c>
      <c r="B17" s="115"/>
      <c r="C17" s="74" t="s">
        <v>192</v>
      </c>
      <c r="D17" s="74"/>
      <c r="E17" s="109" t="s">
        <v>14</v>
      </c>
      <c r="F17" s="109"/>
      <c r="G17" s="74">
        <v>400078</v>
      </c>
      <c r="H17" s="74"/>
    </row>
    <row r="18" spans="1:8" ht="32.25" customHeight="1" x14ac:dyDescent="0.25">
      <c r="A18" s="115" t="s">
        <v>157</v>
      </c>
      <c r="B18" s="115"/>
      <c r="C18" s="136" t="s">
        <v>195</v>
      </c>
      <c r="D18" s="136"/>
      <c r="E18" s="109" t="s">
        <v>15</v>
      </c>
      <c r="F18" s="109"/>
      <c r="G18" s="74" t="s">
        <v>215</v>
      </c>
      <c r="H18" s="74"/>
    </row>
    <row r="19" spans="1:8" ht="15" customHeight="1" x14ac:dyDescent="0.25">
      <c r="A19" s="109" t="s">
        <v>106</v>
      </c>
      <c r="B19" s="109"/>
      <c r="C19" s="109"/>
      <c r="D19" s="109"/>
      <c r="E19" s="101" t="s">
        <v>16</v>
      </c>
      <c r="F19" s="101"/>
      <c r="G19" s="101"/>
      <c r="H19" s="101"/>
    </row>
    <row r="20" spans="1:8" ht="18.75" customHeight="1" x14ac:dyDescent="0.25">
      <c r="A20" s="109"/>
      <c r="B20" s="109"/>
      <c r="C20" s="109"/>
      <c r="D20" s="109"/>
      <c r="E20" s="101"/>
      <c r="F20" s="101"/>
      <c r="G20" s="101"/>
      <c r="H20" s="101"/>
    </row>
    <row r="21" spans="1:8" ht="15" customHeight="1" x14ac:dyDescent="0.25">
      <c r="A21" s="109" t="s">
        <v>17</v>
      </c>
      <c r="B21" s="109"/>
      <c r="C21" s="109"/>
      <c r="D21" s="109"/>
      <c r="E21" s="74" t="s">
        <v>18</v>
      </c>
      <c r="F21" s="74"/>
      <c r="G21" s="74"/>
      <c r="H21" s="74"/>
    </row>
    <row r="22" spans="1:8" ht="15" customHeight="1" x14ac:dyDescent="0.25">
      <c r="A22" s="115" t="s">
        <v>19</v>
      </c>
      <c r="B22" s="115"/>
      <c r="C22" s="115"/>
      <c r="D22" s="115"/>
      <c r="E22" s="74" t="str">
        <f>IF(AND(G16="Mumbai"),"Upper Class","Middle Class")</f>
        <v>Upper Class</v>
      </c>
      <c r="F22" s="74"/>
      <c r="G22" s="74"/>
      <c r="H22" s="74"/>
    </row>
    <row r="23" spans="1:8" x14ac:dyDescent="0.25">
      <c r="A23" s="115" t="s">
        <v>20</v>
      </c>
      <c r="B23" s="115"/>
      <c r="C23" s="115"/>
      <c r="D23" s="115"/>
      <c r="E23" s="74" t="s">
        <v>21</v>
      </c>
      <c r="F23" s="74"/>
      <c r="G23" s="74"/>
      <c r="H23" s="74"/>
    </row>
    <row r="24" spans="1:8" ht="15.75" customHeight="1" x14ac:dyDescent="0.25">
      <c r="A24" s="115" t="s">
        <v>22</v>
      </c>
      <c r="B24" s="115"/>
      <c r="C24" s="115"/>
      <c r="D24" s="115"/>
      <c r="E24" s="74" t="str">
        <f>IF(AND(G16="Mumbai"),"Developed","Developing")</f>
        <v>Developed</v>
      </c>
      <c r="F24" s="74"/>
      <c r="G24" s="74"/>
      <c r="H24" s="74"/>
    </row>
    <row r="25" spans="1:8" x14ac:dyDescent="0.25">
      <c r="A25" s="115" t="s">
        <v>23</v>
      </c>
      <c r="B25" s="115"/>
      <c r="C25" s="115"/>
      <c r="D25" s="115"/>
      <c r="E25" s="74" t="s">
        <v>24</v>
      </c>
      <c r="F25" s="74"/>
      <c r="G25" s="74"/>
      <c r="H25" s="74"/>
    </row>
    <row r="26" spans="1:8" x14ac:dyDescent="0.25">
      <c r="A26" s="101" t="s">
        <v>113</v>
      </c>
      <c r="B26" s="101"/>
      <c r="C26" s="101"/>
      <c r="D26" s="101"/>
      <c r="E26" s="74" t="s">
        <v>114</v>
      </c>
      <c r="F26" s="74"/>
      <c r="G26" s="74"/>
      <c r="H26" s="74"/>
    </row>
    <row r="27" spans="1:8" ht="15" customHeight="1" x14ac:dyDescent="0.25">
      <c r="A27" s="74" t="s">
        <v>32</v>
      </c>
      <c r="B27" s="74"/>
      <c r="C27" s="74"/>
      <c r="D27" s="74"/>
      <c r="E27" s="134" t="s">
        <v>217</v>
      </c>
      <c r="F27" s="134"/>
      <c r="G27" s="134"/>
      <c r="H27" s="134"/>
    </row>
    <row r="28" spans="1:8" x14ac:dyDescent="0.25">
      <c r="A28" s="74" t="s">
        <v>125</v>
      </c>
      <c r="B28" s="74"/>
      <c r="C28" s="74"/>
      <c r="D28" s="74"/>
      <c r="E28" s="74" t="s">
        <v>33</v>
      </c>
      <c r="F28" s="74"/>
      <c r="G28" s="74"/>
      <c r="H28" s="74"/>
    </row>
    <row r="29" spans="1:8" s="11" customFormat="1" x14ac:dyDescent="0.25">
      <c r="A29" s="140" t="s">
        <v>126</v>
      </c>
      <c r="B29" s="140"/>
      <c r="C29" s="139" t="s">
        <v>244</v>
      </c>
      <c r="D29" s="139"/>
      <c r="E29" s="139"/>
      <c r="F29" s="139" t="s">
        <v>30</v>
      </c>
      <c r="G29" s="139"/>
      <c r="H29" s="139"/>
    </row>
    <row r="30" spans="1:8" s="11" customFormat="1" x14ac:dyDescent="0.25">
      <c r="A30" s="137" t="s">
        <v>25</v>
      </c>
      <c r="B30" s="137" t="s">
        <v>29</v>
      </c>
      <c r="C30" s="138" t="s">
        <v>241</v>
      </c>
      <c r="D30" s="138"/>
      <c r="E30" s="138"/>
      <c r="F30" s="138" t="s">
        <v>194</v>
      </c>
      <c r="G30" s="138"/>
      <c r="H30" s="138"/>
    </row>
    <row r="31" spans="1:8" x14ac:dyDescent="0.25">
      <c r="A31" s="137" t="s">
        <v>26</v>
      </c>
      <c r="B31" s="137" t="s">
        <v>29</v>
      </c>
      <c r="C31" s="138" t="s">
        <v>242</v>
      </c>
      <c r="D31" s="138"/>
      <c r="E31" s="138"/>
      <c r="F31" s="138" t="s">
        <v>195</v>
      </c>
      <c r="G31" s="138"/>
      <c r="H31" s="138"/>
    </row>
    <row r="32" spans="1:8" s="11" customFormat="1" x14ac:dyDescent="0.25">
      <c r="A32" s="137" t="s">
        <v>28</v>
      </c>
      <c r="B32" s="137" t="s">
        <v>29</v>
      </c>
      <c r="C32" s="138" t="s">
        <v>240</v>
      </c>
      <c r="D32" s="138"/>
      <c r="E32" s="138"/>
      <c r="F32" s="138" t="s">
        <v>193</v>
      </c>
      <c r="G32" s="138"/>
      <c r="H32" s="138"/>
    </row>
    <row r="33" spans="1:22" x14ac:dyDescent="0.25">
      <c r="A33" s="137" t="s">
        <v>27</v>
      </c>
      <c r="B33" s="137" t="s">
        <v>29</v>
      </c>
      <c r="C33" s="138" t="s">
        <v>242</v>
      </c>
      <c r="D33" s="138"/>
      <c r="E33" s="138"/>
      <c r="F33" s="138" t="s">
        <v>194</v>
      </c>
      <c r="G33" s="138"/>
      <c r="H33" s="138"/>
    </row>
    <row r="34" spans="1:22" x14ac:dyDescent="0.25">
      <c r="A34" s="115" t="s">
        <v>31</v>
      </c>
      <c r="B34" s="115"/>
      <c r="C34" s="115"/>
      <c r="D34" s="115"/>
      <c r="E34" s="115"/>
      <c r="F34" s="115"/>
      <c r="G34" s="115"/>
      <c r="H34" s="115"/>
    </row>
    <row r="35" spans="1:22" ht="15.75" customHeight="1" x14ac:dyDescent="0.25">
      <c r="A35" s="115" t="s">
        <v>238</v>
      </c>
      <c r="B35" s="115"/>
      <c r="C35" s="145" t="s">
        <v>239</v>
      </c>
      <c r="D35" s="145"/>
      <c r="E35" s="145"/>
      <c r="F35" s="145"/>
      <c r="G35" s="145"/>
      <c r="H35" s="145"/>
    </row>
    <row r="36" spans="1:22" ht="15.75" customHeight="1" x14ac:dyDescent="0.25">
      <c r="A36" s="115" t="s">
        <v>232</v>
      </c>
      <c r="B36" s="115"/>
      <c r="C36" s="167" t="s">
        <v>233</v>
      </c>
      <c r="D36" s="168"/>
      <c r="E36" s="168"/>
      <c r="F36" s="168"/>
      <c r="G36" s="168"/>
      <c r="H36" s="168"/>
    </row>
    <row r="37" spans="1:22" x14ac:dyDescent="0.25">
      <c r="A37" s="133" t="s">
        <v>34</v>
      </c>
      <c r="B37" s="133"/>
      <c r="C37" s="133"/>
      <c r="D37" s="133"/>
      <c r="E37" s="133"/>
      <c r="F37" s="133"/>
      <c r="G37" s="133"/>
      <c r="H37" s="133"/>
    </row>
    <row r="38" spans="1:22" x14ac:dyDescent="0.25">
      <c r="A38" s="115" t="s">
        <v>35</v>
      </c>
      <c r="B38" s="115"/>
      <c r="C38" s="115"/>
      <c r="D38" s="115"/>
      <c r="E38" s="154">
        <v>3861.28</v>
      </c>
      <c r="F38" s="154"/>
      <c r="G38" s="154"/>
      <c r="H38" s="154"/>
    </row>
    <row r="39" spans="1:22" x14ac:dyDescent="0.25">
      <c r="A39" s="115" t="s">
        <v>36</v>
      </c>
      <c r="B39" s="115"/>
      <c r="C39" s="115"/>
      <c r="D39" s="115"/>
      <c r="E39" s="161">
        <v>3</v>
      </c>
      <c r="F39" s="161"/>
      <c r="G39" s="161"/>
      <c r="H39" s="161"/>
    </row>
    <row r="40" spans="1:22" x14ac:dyDescent="0.25">
      <c r="A40" s="115" t="s">
        <v>37</v>
      </c>
      <c r="B40" s="115"/>
      <c r="C40" s="115"/>
      <c r="D40" s="115"/>
      <c r="E40" s="161">
        <f>E42/E38-E39</f>
        <v>1.9048165375212358</v>
      </c>
      <c r="F40" s="161"/>
      <c r="G40" s="161"/>
      <c r="H40" s="161"/>
    </row>
    <row r="41" spans="1:22" x14ac:dyDescent="0.25">
      <c r="A41" s="115" t="s">
        <v>38</v>
      </c>
      <c r="B41" s="115"/>
      <c r="C41" s="115"/>
      <c r="D41" s="115"/>
      <c r="E41" s="161">
        <f>E39+E40</f>
        <v>4.9048165375212358</v>
      </c>
      <c r="F41" s="161"/>
      <c r="G41" s="161"/>
      <c r="H41" s="161"/>
    </row>
    <row r="42" spans="1:22" x14ac:dyDescent="0.25">
      <c r="A42" s="115" t="s">
        <v>124</v>
      </c>
      <c r="B42" s="115"/>
      <c r="C42" s="115"/>
      <c r="D42" s="115"/>
      <c r="E42" s="124">
        <v>18938.87</v>
      </c>
      <c r="F42" s="124"/>
      <c r="G42" s="124"/>
      <c r="H42" s="124"/>
      <c r="I42" s="8">
        <f>15507.51+3220.55</f>
        <v>18728.060000000001</v>
      </c>
    </row>
    <row r="43" spans="1:22" x14ac:dyDescent="0.25">
      <c r="A43" s="101" t="s">
        <v>39</v>
      </c>
      <c r="B43" s="101"/>
      <c r="C43" s="101"/>
      <c r="D43" s="101"/>
      <c r="E43" s="101" t="s">
        <v>259</v>
      </c>
      <c r="F43" s="101"/>
      <c r="G43" s="101"/>
      <c r="H43" s="101"/>
    </row>
    <row r="44" spans="1:22" x14ac:dyDescent="0.25">
      <c r="A44" s="110" t="s">
        <v>40</v>
      </c>
      <c r="B44" s="110"/>
      <c r="C44" s="110"/>
      <c r="D44" s="110"/>
      <c r="E44" s="110"/>
      <c r="F44" s="110"/>
      <c r="G44" s="110"/>
      <c r="H44" s="110"/>
    </row>
    <row r="45" spans="1:22" ht="33.75" customHeight="1" x14ac:dyDescent="0.25">
      <c r="A45" s="162" t="s">
        <v>252</v>
      </c>
      <c r="B45" s="163"/>
      <c r="C45" s="164" t="s">
        <v>257</v>
      </c>
      <c r="D45" s="165"/>
      <c r="E45" s="165"/>
      <c r="F45" s="165"/>
      <c r="G45" s="165"/>
      <c r="H45" s="166"/>
      <c r="R45" t="s">
        <v>253</v>
      </c>
      <c r="S45" t="s">
        <v>227</v>
      </c>
      <c r="T45" t="s">
        <v>254</v>
      </c>
      <c r="U45" t="s">
        <v>255</v>
      </c>
      <c r="V45" t="s">
        <v>256</v>
      </c>
    </row>
    <row r="46" spans="1:22" x14ac:dyDescent="0.25">
      <c r="A46" s="109" t="s">
        <v>41</v>
      </c>
      <c r="B46" s="109"/>
      <c r="C46" s="64" t="s">
        <v>243</v>
      </c>
      <c r="D46" s="64"/>
      <c r="E46" s="64"/>
      <c r="F46" s="46" t="s">
        <v>42</v>
      </c>
      <c r="G46" s="66">
        <v>44560</v>
      </c>
      <c r="H46" s="66"/>
    </row>
    <row r="47" spans="1:22" x14ac:dyDescent="0.25">
      <c r="A47" s="115" t="s">
        <v>43</v>
      </c>
      <c r="B47" s="115"/>
      <c r="C47" s="64" t="str">
        <f>C46</f>
        <v>SRA/ENG/S/PVT/0118/20140630/AP/S</v>
      </c>
      <c r="D47" s="64"/>
      <c r="E47" s="64"/>
      <c r="F47" s="46" t="s">
        <v>42</v>
      </c>
      <c r="G47" s="66">
        <f>G46</f>
        <v>44560</v>
      </c>
      <c r="H47" s="66"/>
    </row>
    <row r="48" spans="1:22" s="10" customFormat="1" x14ac:dyDescent="0.25">
      <c r="A48" s="74" t="s">
        <v>44</v>
      </c>
      <c r="B48" s="74"/>
      <c r="C48" s="64" t="s">
        <v>197</v>
      </c>
      <c r="D48" s="65"/>
      <c r="E48" s="65"/>
      <c r="F48" s="59" t="s">
        <v>42</v>
      </c>
      <c r="G48" s="66">
        <v>43994</v>
      </c>
      <c r="H48" s="66"/>
    </row>
    <row r="49" spans="1:14" s="10" customFormat="1" ht="32.65" customHeight="1" x14ac:dyDescent="0.25">
      <c r="A49" s="74"/>
      <c r="B49" s="74"/>
      <c r="C49" s="67" t="s">
        <v>247</v>
      </c>
      <c r="D49" s="68"/>
      <c r="E49" s="68"/>
      <c r="F49" s="68"/>
      <c r="G49" s="68"/>
      <c r="H49" s="69"/>
    </row>
    <row r="50" spans="1:14" s="10" customFormat="1" x14ac:dyDescent="0.25">
      <c r="A50" s="74" t="s">
        <v>44</v>
      </c>
      <c r="B50" s="74"/>
      <c r="C50" s="64" t="s">
        <v>271</v>
      </c>
      <c r="D50" s="65"/>
      <c r="E50" s="65"/>
      <c r="F50" s="59" t="s">
        <v>42</v>
      </c>
      <c r="G50" s="66">
        <v>44995</v>
      </c>
      <c r="H50" s="66"/>
    </row>
    <row r="51" spans="1:14" s="10" customFormat="1" ht="32.25" customHeight="1" x14ac:dyDescent="0.25">
      <c r="A51" s="74"/>
      <c r="B51" s="74"/>
      <c r="C51" s="67" t="s">
        <v>270</v>
      </c>
      <c r="D51" s="68"/>
      <c r="E51" s="68"/>
      <c r="F51" s="68"/>
      <c r="G51" s="68"/>
      <c r="H51" s="69"/>
    </row>
    <row r="52" spans="1:14" s="10" customFormat="1" x14ac:dyDescent="0.25">
      <c r="A52" s="74" t="s">
        <v>44</v>
      </c>
      <c r="B52" s="74"/>
      <c r="C52" s="64" t="s">
        <v>271</v>
      </c>
      <c r="D52" s="65"/>
      <c r="E52" s="65"/>
      <c r="F52" s="59" t="s">
        <v>42</v>
      </c>
      <c r="G52" s="66">
        <v>45457</v>
      </c>
      <c r="H52" s="66"/>
    </row>
    <row r="53" spans="1:14" s="10" customFormat="1" ht="49.5" customHeight="1" x14ac:dyDescent="0.25">
      <c r="A53" s="74"/>
      <c r="B53" s="74"/>
      <c r="C53" s="67" t="s">
        <v>273</v>
      </c>
      <c r="D53" s="68"/>
      <c r="E53" s="68"/>
      <c r="F53" s="68"/>
      <c r="G53" s="68"/>
      <c r="H53" s="69"/>
    </row>
    <row r="54" spans="1:14" s="10" customFormat="1" x14ac:dyDescent="0.25">
      <c r="A54" s="74" t="s">
        <v>44</v>
      </c>
      <c r="B54" s="74"/>
      <c r="C54" s="64" t="s">
        <v>271</v>
      </c>
      <c r="D54" s="65"/>
      <c r="E54" s="65"/>
      <c r="F54" s="59" t="s">
        <v>42</v>
      </c>
      <c r="G54" s="66">
        <v>45733</v>
      </c>
      <c r="H54" s="66"/>
    </row>
    <row r="55" spans="1:14" s="10" customFormat="1" ht="48" customHeight="1" x14ac:dyDescent="0.25">
      <c r="A55" s="74"/>
      <c r="B55" s="74"/>
      <c r="C55" s="67" t="s">
        <v>277</v>
      </c>
      <c r="D55" s="68"/>
      <c r="E55" s="68"/>
      <c r="F55" s="68"/>
      <c r="G55" s="68"/>
      <c r="H55" s="69"/>
    </row>
    <row r="56" spans="1:14" x14ac:dyDescent="0.25">
      <c r="A56" s="126" t="s">
        <v>45</v>
      </c>
      <c r="B56" s="126"/>
      <c r="C56" s="127" t="s">
        <v>137</v>
      </c>
      <c r="D56" s="128"/>
      <c r="E56" s="128" t="s">
        <v>46</v>
      </c>
      <c r="F56" s="48" t="s">
        <v>42</v>
      </c>
      <c r="G56" s="117" t="s">
        <v>29</v>
      </c>
      <c r="H56" s="117"/>
    </row>
    <row r="57" spans="1:14" x14ac:dyDescent="0.25">
      <c r="A57" s="129" t="s">
        <v>48</v>
      </c>
      <c r="B57" s="129"/>
      <c r="C57" s="129"/>
      <c r="D57" s="129"/>
      <c r="E57" s="129"/>
      <c r="F57" s="129"/>
      <c r="G57" s="129"/>
      <c r="H57" s="129"/>
    </row>
    <row r="58" spans="1:14" x14ac:dyDescent="0.25">
      <c r="A58" s="109" t="s">
        <v>123</v>
      </c>
      <c r="B58" s="109"/>
      <c r="C58" s="109"/>
      <c r="D58" s="115">
        <f>E42</f>
        <v>18938.87</v>
      </c>
      <c r="E58" s="115"/>
      <c r="F58" s="115"/>
      <c r="G58" s="115"/>
      <c r="H58" s="115"/>
    </row>
    <row r="59" spans="1:14" x14ac:dyDescent="0.25">
      <c r="A59" s="74" t="s">
        <v>49</v>
      </c>
      <c r="B59" s="101"/>
      <c r="C59" s="101"/>
      <c r="D59" s="101" t="s">
        <v>260</v>
      </c>
      <c r="E59" s="101"/>
      <c r="F59" s="101"/>
      <c r="G59" s="101"/>
      <c r="H59" s="101"/>
      <c r="I59" s="37"/>
    </row>
    <row r="60" spans="1:14" ht="33" customHeight="1" x14ac:dyDescent="0.25">
      <c r="A60" s="174" t="s">
        <v>50</v>
      </c>
      <c r="B60" s="175"/>
      <c r="C60" s="176"/>
      <c r="D60" s="172" t="s">
        <v>250</v>
      </c>
      <c r="E60" s="173"/>
      <c r="F60" s="173"/>
      <c r="G60" s="173"/>
      <c r="H60" s="173"/>
    </row>
    <row r="61" spans="1:14" ht="15.75" customHeight="1" x14ac:dyDescent="0.25">
      <c r="A61" s="74" t="s">
        <v>121</v>
      </c>
      <c r="B61" s="74"/>
      <c r="C61" s="74"/>
      <c r="D61" s="125" t="s">
        <v>268</v>
      </c>
      <c r="E61" s="125"/>
      <c r="F61" s="125"/>
      <c r="G61" s="125"/>
      <c r="H61" s="125"/>
    </row>
    <row r="62" spans="1:14" ht="15.75" customHeight="1" x14ac:dyDescent="0.25">
      <c r="A62" s="74"/>
      <c r="B62" s="74"/>
      <c r="C62" s="74"/>
      <c r="D62" s="101" t="s">
        <v>213</v>
      </c>
      <c r="E62" s="101"/>
      <c r="F62" s="101"/>
      <c r="G62" s="101"/>
      <c r="H62" s="101"/>
    </row>
    <row r="63" spans="1:14" ht="15.75" customHeight="1" x14ac:dyDescent="0.25">
      <c r="A63" s="115" t="s">
        <v>47</v>
      </c>
      <c r="B63" s="115"/>
      <c r="C63" s="115"/>
      <c r="D63" s="74" t="s">
        <v>258</v>
      </c>
      <c r="E63" s="74"/>
      <c r="F63" s="74"/>
      <c r="G63" s="74"/>
      <c r="H63" s="74"/>
      <c r="J63" s="36"/>
      <c r="K63" s="37"/>
      <c r="N63" s="37"/>
    </row>
    <row r="64" spans="1:14" ht="15.75" customHeight="1" x14ac:dyDescent="0.25">
      <c r="A64" s="115" t="s">
        <v>119</v>
      </c>
      <c r="B64" s="115"/>
      <c r="C64" s="115"/>
      <c r="D64" s="160" t="str">
        <f>(IF(G56="NA","60 Years After Completion",IF(G56&lt;&gt;"NA",""&amp;ROUNDDOWN((E3-G56)/360,0)&amp;" Years"," ")))</f>
        <v>60 Years After Completion</v>
      </c>
      <c r="E64" s="160"/>
      <c r="F64" s="160"/>
      <c r="G64" s="160"/>
      <c r="H64" s="160"/>
      <c r="N64" s="37"/>
    </row>
    <row r="65" spans="1:11" ht="15.75" customHeight="1" x14ac:dyDescent="0.25">
      <c r="A65" s="115" t="s">
        <v>120</v>
      </c>
      <c r="B65" s="115"/>
      <c r="C65" s="115"/>
      <c r="D65" s="109" t="s">
        <v>24</v>
      </c>
      <c r="E65" s="109"/>
      <c r="F65" s="109"/>
      <c r="G65" s="109"/>
      <c r="H65" s="109"/>
      <c r="J65" s="17"/>
      <c r="K65" s="17"/>
    </row>
    <row r="66" spans="1:11" ht="15.75" customHeight="1" thickBot="1" x14ac:dyDescent="0.3">
      <c r="A66" s="115" t="s">
        <v>118</v>
      </c>
      <c r="B66" s="115"/>
      <c r="C66" s="115"/>
      <c r="D66" s="74" t="str">
        <f ca="1">(IF(G71&gt;95%,"Nothing",IF(G71&gt;0%,"Cement, Aggregate, Steel, etc",IF(G71=0%,"Work not yet Started"))))</f>
        <v>Cement, Aggregate, Steel, etc</v>
      </c>
      <c r="E66" s="74"/>
      <c r="F66" s="74"/>
      <c r="G66" s="74"/>
      <c r="H66" s="74"/>
      <c r="I66" s="63"/>
      <c r="J66" s="17"/>
    </row>
    <row r="67" spans="1:11" ht="15.75" customHeight="1" x14ac:dyDescent="0.25">
      <c r="A67" s="111" t="s">
        <v>175</v>
      </c>
      <c r="B67" s="111"/>
      <c r="C67" s="111" t="str">
        <f>D61</f>
        <v>A Wing = St + 1st to 22nd Floor</v>
      </c>
      <c r="D67" s="111"/>
      <c r="E67" s="111"/>
      <c r="F67" s="111"/>
      <c r="G67" s="111"/>
      <c r="H67" s="111"/>
      <c r="I67" s="39" t="str">
        <f ca="1">(IF(E71&gt;99%,"All work completed. Please provide OC.",IF(E71&gt;89.8%,"Plinth, RCC, Brick, Plaster, Flooring, Painting work Completed. Finishing work is in process.",IF(E71&lt;94%,(IF(C71=0,"Work not yet Started.",IF(D71=25%,"Piling work in process",IF(D71=50%,"Excavation work in process",IF(D71=100%,"Excavation work Completed. ","0")))&amp;(IF(C72=0%,"",IF(C72=J73,"Footing work is process",IF(C72=J74,"Footing work Completed",IF(C72=J75,"1st Basement Completed",IF(C72=J76,"1st &amp; 2nd Basement Completed",IF(C72=J77,"1st to 3rd Basement Completed",IF(C72=J78,"1st to 4th Basement Completed",IF(C72=J79,"Plinth work is process",IF(C72=J80,"Plinth work completed","0")))))))))))&amp;(IF(C73=(D68+F68+H68),", RCC Slab",IF(C73&gt;0,", RCC upto "&amp;C73&amp;" Slab",""))&amp;(IF(C74=H68,", Brickwork",IF(C74&gt;0,", Brickwork upto "&amp;C74&amp;" Floor",""))&amp;(IF(C75=H68,", Internal Plaster",IF(C75&gt;0,", Internal Plaster upto "&amp;C75&amp;" Floor",""))&amp;(IF(C76=H68,", External Plaster",IF(C76&gt;0,", External Plaster upto "&amp;C76&amp;" Floor",""))&amp;(IF(C77=H68,", Flooring",IF(C77&gt;0,", Flooring upto "&amp;C77&amp;" Floor",""))&amp;(IF(C78=H68,", Painting",IF(C78&gt;0,", Painting upto "&amp;C78&amp;" Floor",""))&amp;(IF(C79&gt;0,", Finishing upto "&amp;C79&amp;" Floor","")&amp;(IF(C73&gt;0.5," Completed",""))))))))))))))</f>
        <v>Excavation work Completed. Plinth work completed, RCC upto 6 Slab, Brickwork upto 5 Floor, Internal Plaster upto 3.5 Floor, External Plaster upto 3.5 Floor Completed</v>
      </c>
      <c r="J67" s="19"/>
    </row>
    <row r="68" spans="1:11" x14ac:dyDescent="0.25">
      <c r="A68" s="47" t="s">
        <v>177</v>
      </c>
      <c r="B68" s="47">
        <v>0</v>
      </c>
      <c r="C68" s="47" t="s">
        <v>100</v>
      </c>
      <c r="D68" s="47">
        <v>1</v>
      </c>
      <c r="E68" s="47" t="s">
        <v>99</v>
      </c>
      <c r="F68" s="47">
        <v>0</v>
      </c>
      <c r="G68" s="47" t="s">
        <v>112</v>
      </c>
      <c r="H68" s="47">
        <f ca="1">--TRIM(RIGHT(SUBSTITUTE(LEFT(C67,_xlfn.AGGREGATE(16,6,FIND({0,1,2,3,4,5,6,7,8,9},C67,ROW(INDIRECT("1:"&amp;LEN(C67)))),1))," ",REPT(" ",LEN(C67))),LEN(C67)))</f>
        <v>22</v>
      </c>
      <c r="I68" s="17"/>
      <c r="J68" s="20"/>
    </row>
    <row r="69" spans="1:11" ht="47.45" customHeight="1" x14ac:dyDescent="0.25">
      <c r="A69" s="110" t="s">
        <v>122</v>
      </c>
      <c r="B69" s="110"/>
      <c r="C69" s="111" t="str">
        <f ca="1">I67</f>
        <v>Excavation work Completed. Plinth work completed, RCC upto 6 Slab, Brickwork upto 5 Floor, Internal Plaster upto 3.5 Floor, External Plaster upto 3.5 Floor Completed</v>
      </c>
      <c r="D69" s="111"/>
      <c r="E69" s="111"/>
      <c r="F69" s="111"/>
      <c r="G69" s="111"/>
      <c r="H69" s="111"/>
      <c r="I69" s="17" t="s">
        <v>136</v>
      </c>
      <c r="J69" s="20"/>
    </row>
    <row r="70" spans="1:11" ht="15.75" customHeight="1" x14ac:dyDescent="0.25">
      <c r="A70" s="108" t="s">
        <v>51</v>
      </c>
      <c r="B70" s="108"/>
      <c r="C70" s="50" t="s">
        <v>174</v>
      </c>
      <c r="D70" s="50" t="s">
        <v>115</v>
      </c>
      <c r="E70" s="108" t="s">
        <v>117</v>
      </c>
      <c r="F70" s="108"/>
      <c r="G70" s="108" t="s">
        <v>116</v>
      </c>
      <c r="H70" s="108"/>
      <c r="I70" s="35" t="s">
        <v>176</v>
      </c>
      <c r="J70" s="21">
        <f ca="1">H68*25%</f>
        <v>5.5</v>
      </c>
    </row>
    <row r="71" spans="1:11" x14ac:dyDescent="0.25">
      <c r="A71" s="107" t="s">
        <v>163</v>
      </c>
      <c r="B71" s="108"/>
      <c r="C71" s="51">
        <f ca="1">J72</f>
        <v>22</v>
      </c>
      <c r="D71" s="52">
        <f ca="1">((100/H68)*C71)/100</f>
        <v>1.0000000000000002</v>
      </c>
      <c r="E71" s="112">
        <f ca="1">(((C72/H68*10)+(40/(D68+F68+H68)*C73)+(7.5/(H68)*C74)+(7.5/(H68)*C75)+(10/H68*C76)+(10/H68*C77)+(5/H68*C78)+(5/H68*C79)+(5/H68*C80))/100)</f>
        <v>0.24923418972332012</v>
      </c>
      <c r="F71" s="112"/>
      <c r="G71" s="112">
        <f ca="1">((((C71/H68)*20)+((C72/H68)*25)+(30/(H68+F68+D68)*C73)+(5/H68*C74)+(5/H68*C75)+(5/H68*C76)+(5/H68*C77)+(0/H68*C78)+(0/H68*C79)+(5/H68*C80))/100)</f>
        <v>0.55553359683794468</v>
      </c>
      <c r="H71" s="156"/>
      <c r="I71" s="35" t="s">
        <v>131</v>
      </c>
      <c r="J71" s="38">
        <f ca="1">H68*50%</f>
        <v>11</v>
      </c>
    </row>
    <row r="72" spans="1:11" x14ac:dyDescent="0.25">
      <c r="A72" s="107" t="s">
        <v>52</v>
      </c>
      <c r="B72" s="108"/>
      <c r="C72" s="53">
        <f ca="1">J80</f>
        <v>22</v>
      </c>
      <c r="D72" s="52">
        <f ca="1">((100/H68)*C72)/100</f>
        <v>1.0000000000000002</v>
      </c>
      <c r="E72" s="112"/>
      <c r="F72" s="112"/>
      <c r="G72" s="112"/>
      <c r="H72" s="156"/>
      <c r="I72" s="35" t="s">
        <v>132</v>
      </c>
      <c r="J72" s="38">
        <f ca="1">H68</f>
        <v>22</v>
      </c>
    </row>
    <row r="73" spans="1:11" ht="15.75" customHeight="1" x14ac:dyDescent="0.25">
      <c r="A73" s="155" t="s">
        <v>164</v>
      </c>
      <c r="B73" s="138"/>
      <c r="C73" s="53">
        <v>6</v>
      </c>
      <c r="D73" s="52">
        <f ca="1">((100/(D68+F68+H68))*C73)/100</f>
        <v>0.2608695652173913</v>
      </c>
      <c r="E73" s="112"/>
      <c r="F73" s="112"/>
      <c r="G73" s="112"/>
      <c r="H73" s="156"/>
      <c r="I73" s="35" t="s">
        <v>133</v>
      </c>
      <c r="J73" s="41">
        <f ca="1">(IF(B68&gt;1,(H68/(B68+2)),H68/4))</f>
        <v>5.5</v>
      </c>
    </row>
    <row r="74" spans="1:11" ht="15.75" customHeight="1" x14ac:dyDescent="0.25">
      <c r="A74" s="107" t="s">
        <v>171</v>
      </c>
      <c r="B74" s="108" t="s">
        <v>165</v>
      </c>
      <c r="C74" s="53">
        <f>C73-D68</f>
        <v>5</v>
      </c>
      <c r="D74" s="52">
        <f ca="1">((100/H68)*C74)/100</f>
        <v>0.22727272727272729</v>
      </c>
      <c r="E74" s="112"/>
      <c r="F74" s="112"/>
      <c r="G74" s="112"/>
      <c r="H74" s="156"/>
      <c r="I74" s="35" t="s">
        <v>134</v>
      </c>
      <c r="J74" s="41">
        <f ca="1">(IF(B68&gt;1,(H68/(B68+2)+J73),H68/4+J73))</f>
        <v>11</v>
      </c>
    </row>
    <row r="75" spans="1:11" ht="15.75" customHeight="1" x14ac:dyDescent="0.25">
      <c r="A75" s="107" t="s">
        <v>172</v>
      </c>
      <c r="B75" s="108" t="s">
        <v>165</v>
      </c>
      <c r="C75" s="53">
        <f>C74*0.7</f>
        <v>3.5</v>
      </c>
      <c r="D75" s="52">
        <f ca="1">((100/H68)*C75)/100</f>
        <v>0.15909090909090909</v>
      </c>
      <c r="E75" s="112"/>
      <c r="F75" s="112"/>
      <c r="G75" s="112"/>
      <c r="H75" s="156"/>
      <c r="I75" s="35" t="s">
        <v>184</v>
      </c>
      <c r="J75" s="41">
        <f>(IF(B68&gt;1,(H68/(B68+2)+J74),0))</f>
        <v>0</v>
      </c>
    </row>
    <row r="76" spans="1:11" ht="15" customHeight="1" x14ac:dyDescent="0.25">
      <c r="A76" s="107" t="s">
        <v>170</v>
      </c>
      <c r="B76" s="108" t="s">
        <v>167</v>
      </c>
      <c r="C76" s="53">
        <f>C75</f>
        <v>3.5</v>
      </c>
      <c r="D76" s="52">
        <f ca="1">((100/(H68))*C76)/100</f>
        <v>0.15909090909090909</v>
      </c>
      <c r="E76" s="112"/>
      <c r="F76" s="112"/>
      <c r="G76" s="112"/>
      <c r="H76" s="156"/>
      <c r="I76" s="35" t="s">
        <v>178</v>
      </c>
      <c r="J76" s="41">
        <f>(IF(B68&gt;2,(H68/(B68+2)+J75),0))</f>
        <v>0</v>
      </c>
    </row>
    <row r="77" spans="1:11" ht="15.75" customHeight="1" x14ac:dyDescent="0.25">
      <c r="A77" s="107" t="s">
        <v>166</v>
      </c>
      <c r="B77" s="108" t="s">
        <v>166</v>
      </c>
      <c r="C77" s="51">
        <v>0</v>
      </c>
      <c r="D77" s="52">
        <f ca="1">((100/H68)*C77)/100</f>
        <v>0</v>
      </c>
      <c r="E77" s="112"/>
      <c r="F77" s="112"/>
      <c r="G77" s="112"/>
      <c r="H77" s="156"/>
      <c r="I77" s="35" t="s">
        <v>179</v>
      </c>
      <c r="J77" s="42">
        <f>(IF(B68&gt;3,(H68/(B68+2)+J76),0))</f>
        <v>0</v>
      </c>
    </row>
    <row r="78" spans="1:11" ht="15.75" customHeight="1" x14ac:dyDescent="0.25">
      <c r="A78" s="107" t="s">
        <v>173</v>
      </c>
      <c r="B78" s="108"/>
      <c r="C78" s="51">
        <v>0</v>
      </c>
      <c r="D78" s="52">
        <f ca="1">((100/H68)*C78)/100</f>
        <v>0</v>
      </c>
      <c r="E78" s="112"/>
      <c r="F78" s="112"/>
      <c r="G78" s="112"/>
      <c r="H78" s="156"/>
      <c r="I78" s="35" t="s">
        <v>180</v>
      </c>
      <c r="J78" s="41">
        <f>(IF(B68&gt;4,(H68/(B68+2)+J77),0))</f>
        <v>0</v>
      </c>
    </row>
    <row r="79" spans="1:11" ht="15.75" customHeight="1" x14ac:dyDescent="0.25">
      <c r="A79" s="107" t="s">
        <v>168</v>
      </c>
      <c r="B79" s="108" t="s">
        <v>168</v>
      </c>
      <c r="C79" s="51">
        <v>0</v>
      </c>
      <c r="D79" s="52">
        <f ca="1">((100/(H68))*C79)/100</f>
        <v>0</v>
      </c>
      <c r="E79" s="112"/>
      <c r="F79" s="112"/>
      <c r="G79" s="112"/>
      <c r="H79" s="156"/>
      <c r="I79" s="35" t="s">
        <v>185</v>
      </c>
      <c r="J79" s="41">
        <f ca="1">(IF(B68=1,(H68/(B68+3)+J74),IF(B68=0,(H68/4+J74),IF(B68&gt;1,0))))</f>
        <v>16.5</v>
      </c>
    </row>
    <row r="80" spans="1:11" ht="16.5" thickBot="1" x14ac:dyDescent="0.3">
      <c r="A80" s="158" t="s">
        <v>169</v>
      </c>
      <c r="B80" s="159"/>
      <c r="C80" s="54">
        <v>0</v>
      </c>
      <c r="D80" s="55">
        <f ca="1">((100/(H68))*C80)/100</f>
        <v>0</v>
      </c>
      <c r="E80" s="113"/>
      <c r="F80" s="113"/>
      <c r="G80" s="113"/>
      <c r="H80" s="157"/>
      <c r="I80" s="40" t="s">
        <v>135</v>
      </c>
      <c r="J80" s="43">
        <f ca="1">(IF(B68&gt;1.5,(H68/(B68+2)+J74+MAX(0,J75-J74)+MAX(0,J76-J75)+MAX(0,J77-J76)+MAX(0,J78-J77)+MAX(0,J79-J78)),IF(B68=1,(H68/(B68+3)+J79),IF(B68=0,H68/4+J79))))</f>
        <v>22</v>
      </c>
    </row>
    <row r="81" spans="1:10" ht="15.75" customHeight="1" x14ac:dyDescent="0.25">
      <c r="A81" s="102" t="s">
        <v>175</v>
      </c>
      <c r="B81" s="103"/>
      <c r="C81" s="104" t="str">
        <f>D62</f>
        <v>B Wing = St + 1st to 22nd Floor</v>
      </c>
      <c r="D81" s="105"/>
      <c r="E81" s="105"/>
      <c r="F81" s="105"/>
      <c r="G81" s="105"/>
      <c r="H81" s="106"/>
      <c r="I81" s="39" t="str">
        <f ca="1">(IF(E85&gt;99%,"All work completed. Please provide OC.",IF(E85&gt;89.8%,"Plinth, RCC, Brick, Plaster, Flooring, Painting work Completed. Finishing work is in process.",IF(E85&lt;94%,(IF(C85=0,"Work not yet Started.",IF(D85=25%,"Piling work in process",IF(D85=50%,"Excavation work in process",IF(D85=100%,"Excavation work Completed. ","0")))&amp;(IF(C86=0%,"",IF(C86=J87,"Footing work is process",IF(C86=J88,"Footing work Completed",IF(C86=J89,"1st Basement Completed",IF(C86=J90,"1st &amp; 2nd Basement Completed",IF(C86=J91,"1st to 3rd Basement Completed",IF(C86=J92,"1st to 4th Basement Completed",IF(C86=J93,"Plinth work is process",IF(C86=J94,"Plinth work completed","0")))))))))))&amp;(IF(C87=(D82+F82+H82),", RCC Slab",IF(C87&gt;0,", RCC upto "&amp;C87&amp;" Slab",""))&amp;(IF(C88=H82,", Brickwork",IF(C88&gt;0,", Brickwork upto "&amp;C88&amp;" Floor",""))&amp;(IF(C89=H82,", Internal Plaster",IF(C89&gt;0,", Internal Plaster upto "&amp;C89&amp;" Floor",""))&amp;(IF(C90=H82,", External Plaster",IF(C90&gt;0,", External Plaster upto "&amp;C90&amp;" Floor",""))&amp;(IF(C91=H82,", Flooring",IF(C91&gt;0,", Flooring upto "&amp;C91&amp;" Floor",""))&amp;(IF(C92=H82,", Painting",IF(C92&gt;0,", Painting upto "&amp;C92&amp;" Floor",""))&amp;(IF(C93&gt;0,", Finishing upto "&amp;C93&amp;" Floor","")&amp;(IF(C87&gt;0.5," Completed",""))))))))))))))</f>
        <v>Excavation work Completed. Plinth work completed, RCC upto 20 Slab, Brickwork upto 19 Floor, Internal Plaster upto 13.3 Floor, External Plaster upto 13.3 Floor Completed</v>
      </c>
      <c r="J81" s="19"/>
    </row>
    <row r="82" spans="1:10" x14ac:dyDescent="0.25">
      <c r="A82" s="44" t="s">
        <v>177</v>
      </c>
      <c r="B82" s="47">
        <v>0</v>
      </c>
      <c r="C82" s="47" t="s">
        <v>100</v>
      </c>
      <c r="D82" s="47">
        <v>1</v>
      </c>
      <c r="E82" s="47" t="s">
        <v>99</v>
      </c>
      <c r="F82" s="47">
        <v>0</v>
      </c>
      <c r="G82" s="47" t="s">
        <v>112</v>
      </c>
      <c r="H82" s="45">
        <f ca="1">--TRIM(RIGHT(SUBSTITUTE(LEFT(C81,_xlfn.AGGREGATE(16,6,FIND({0,1,2,3,4,5,6,7,8,9},C81,ROW(INDIRECT("1:"&amp;LEN(C81)))),1))," ",REPT(" ",LEN(C81))),LEN(C81)))</f>
        <v>22</v>
      </c>
      <c r="I82" s="17"/>
      <c r="J82" s="20"/>
    </row>
    <row r="83" spans="1:10" ht="48" customHeight="1" x14ac:dyDescent="0.25">
      <c r="A83" s="169" t="s">
        <v>122</v>
      </c>
      <c r="B83" s="110"/>
      <c r="C83" s="111" t="str">
        <f ca="1">I81</f>
        <v>Excavation work Completed. Plinth work completed, RCC upto 20 Slab, Brickwork upto 19 Floor, Internal Plaster upto 13.3 Floor, External Plaster upto 13.3 Floor Completed</v>
      </c>
      <c r="D83" s="111"/>
      <c r="E83" s="111"/>
      <c r="F83" s="111"/>
      <c r="G83" s="111"/>
      <c r="H83" s="170"/>
      <c r="I83" s="17" t="s">
        <v>136</v>
      </c>
      <c r="J83" s="20"/>
    </row>
    <row r="84" spans="1:10" ht="15.75" customHeight="1" x14ac:dyDescent="0.25">
      <c r="A84" s="107" t="s">
        <v>51</v>
      </c>
      <c r="B84" s="108"/>
      <c r="C84" s="50" t="s">
        <v>174</v>
      </c>
      <c r="D84" s="50" t="s">
        <v>115</v>
      </c>
      <c r="E84" s="108" t="s">
        <v>117</v>
      </c>
      <c r="F84" s="108"/>
      <c r="G84" s="108" t="s">
        <v>116</v>
      </c>
      <c r="H84" s="171"/>
      <c r="I84" s="35" t="s">
        <v>176</v>
      </c>
      <c r="J84" s="21">
        <f ca="1">H82*25%</f>
        <v>5.5</v>
      </c>
    </row>
    <row r="85" spans="1:10" x14ac:dyDescent="0.25">
      <c r="A85" s="107" t="s">
        <v>163</v>
      </c>
      <c r="B85" s="108"/>
      <c r="C85" s="51">
        <f ca="1">J86</f>
        <v>22</v>
      </c>
      <c r="D85" s="52">
        <f ca="1">((100/H82)*C85)/100</f>
        <v>1.0000000000000002</v>
      </c>
      <c r="E85" s="112">
        <f ca="1">(((C86/H82*10)+(40/(D82+F82+H82)*C87)+(7.5/(H82)*C88)+(7.5/(H82)*C89)+(10/H82*C90)+(10/H82*C91)+(5/H82*C92)+(5/H82*C93)+(5/H82*C94))/100)</f>
        <v>0.61839426877470349</v>
      </c>
      <c r="F85" s="112"/>
      <c r="G85" s="112">
        <f ca="1">((((C85/H82)*20)+((C86/H82)*25)+(30/(H82+F82+D82)*C87)+(5/H82*C88)+(5/H82*C89)+(5/H82*C90)+(5/H82*C91)+(0/H82*C92)+(0/H82*C93)+(5/H82*C94))/100)</f>
        <v>0.81450592885375472</v>
      </c>
      <c r="H85" s="156"/>
      <c r="I85" s="35" t="s">
        <v>131</v>
      </c>
      <c r="J85" s="38">
        <f ca="1">H82*50%</f>
        <v>11</v>
      </c>
    </row>
    <row r="86" spans="1:10" x14ac:dyDescent="0.25">
      <c r="A86" s="107" t="s">
        <v>52</v>
      </c>
      <c r="B86" s="108"/>
      <c r="C86" s="53">
        <f ca="1">J94</f>
        <v>22</v>
      </c>
      <c r="D86" s="52">
        <f ca="1">((100/H82)*C86)/100</f>
        <v>1.0000000000000002</v>
      </c>
      <c r="E86" s="112"/>
      <c r="F86" s="112"/>
      <c r="G86" s="112"/>
      <c r="H86" s="156"/>
      <c r="I86" s="35" t="s">
        <v>132</v>
      </c>
      <c r="J86" s="38">
        <f ca="1">H82</f>
        <v>22</v>
      </c>
    </row>
    <row r="87" spans="1:10" ht="15.75" customHeight="1" x14ac:dyDescent="0.25">
      <c r="A87" s="155" t="s">
        <v>164</v>
      </c>
      <c r="B87" s="138"/>
      <c r="C87" s="53">
        <v>20</v>
      </c>
      <c r="D87" s="52">
        <f ca="1">((100/(D82+F82+H82))*C87)/100</f>
        <v>0.86956521739130432</v>
      </c>
      <c r="E87" s="112"/>
      <c r="F87" s="112"/>
      <c r="G87" s="112"/>
      <c r="H87" s="156"/>
      <c r="I87" s="35" t="s">
        <v>133</v>
      </c>
      <c r="J87" s="41">
        <f ca="1">(IF(B82&gt;1,(H82/(B82+2)),H82/4))</f>
        <v>5.5</v>
      </c>
    </row>
    <row r="88" spans="1:10" ht="15.75" customHeight="1" x14ac:dyDescent="0.25">
      <c r="A88" s="107" t="s">
        <v>171</v>
      </c>
      <c r="B88" s="108" t="s">
        <v>165</v>
      </c>
      <c r="C88" s="53">
        <f>C87-D82</f>
        <v>19</v>
      </c>
      <c r="D88" s="52">
        <f ca="1">((100/H82)*C88)/100</f>
        <v>0.86363636363636376</v>
      </c>
      <c r="E88" s="112"/>
      <c r="F88" s="112"/>
      <c r="G88" s="112"/>
      <c r="H88" s="156"/>
      <c r="I88" s="35" t="s">
        <v>134</v>
      </c>
      <c r="J88" s="41">
        <f ca="1">(IF(B82&gt;1,(H82/(B82+2)+J87),H82/4+J87))</f>
        <v>11</v>
      </c>
    </row>
    <row r="89" spans="1:10" ht="15.75" customHeight="1" x14ac:dyDescent="0.25">
      <c r="A89" s="107" t="s">
        <v>172</v>
      </c>
      <c r="B89" s="108" t="s">
        <v>165</v>
      </c>
      <c r="C89" s="53">
        <f>C88*0.7</f>
        <v>13.299999999999999</v>
      </c>
      <c r="D89" s="52">
        <f ca="1">((100/H82)*C89)/100</f>
        <v>0.6045454545454545</v>
      </c>
      <c r="E89" s="112"/>
      <c r="F89" s="112"/>
      <c r="G89" s="112"/>
      <c r="H89" s="156"/>
      <c r="I89" s="35" t="s">
        <v>184</v>
      </c>
      <c r="J89" s="41">
        <f>(IF(B82&gt;1,(H82/(B82+2)+J88),0))</f>
        <v>0</v>
      </c>
    </row>
    <row r="90" spans="1:10" ht="15" customHeight="1" x14ac:dyDescent="0.25">
      <c r="A90" s="107" t="s">
        <v>170</v>
      </c>
      <c r="B90" s="108" t="s">
        <v>167</v>
      </c>
      <c r="C90" s="53">
        <f>C89</f>
        <v>13.299999999999999</v>
      </c>
      <c r="D90" s="52">
        <f ca="1">((100/(H82))*C90)/100</f>
        <v>0.6045454545454545</v>
      </c>
      <c r="E90" s="112"/>
      <c r="F90" s="112"/>
      <c r="G90" s="112"/>
      <c r="H90" s="156"/>
      <c r="I90" s="35" t="s">
        <v>178</v>
      </c>
      <c r="J90" s="41">
        <f>(IF(B82&gt;2,(H82/(B82+2)+J89),0))</f>
        <v>0</v>
      </c>
    </row>
    <row r="91" spans="1:10" ht="15.75" customHeight="1" x14ac:dyDescent="0.25">
      <c r="A91" s="107" t="s">
        <v>166</v>
      </c>
      <c r="B91" s="108" t="s">
        <v>166</v>
      </c>
      <c r="C91" s="51">
        <v>0</v>
      </c>
      <c r="D91" s="52">
        <f ca="1">((100/H82)*C91)/100</f>
        <v>0</v>
      </c>
      <c r="E91" s="112"/>
      <c r="F91" s="112"/>
      <c r="G91" s="112"/>
      <c r="H91" s="156"/>
      <c r="I91" s="35" t="s">
        <v>179</v>
      </c>
      <c r="J91" s="42">
        <f>(IF(B82&gt;3,(H82/(B82+2)+J90),0))</f>
        <v>0</v>
      </c>
    </row>
    <row r="92" spans="1:10" ht="15.75" customHeight="1" x14ac:dyDescent="0.25">
      <c r="A92" s="107" t="s">
        <v>173</v>
      </c>
      <c r="B92" s="108"/>
      <c r="C92" s="51">
        <v>0</v>
      </c>
      <c r="D92" s="52">
        <f ca="1">((100/H82)*C92)/100</f>
        <v>0</v>
      </c>
      <c r="E92" s="112"/>
      <c r="F92" s="112"/>
      <c r="G92" s="112"/>
      <c r="H92" s="156"/>
      <c r="I92" s="35" t="s">
        <v>180</v>
      </c>
      <c r="J92" s="41">
        <f>(IF(B82&gt;4,(H82/(B82+2)+J91),0))</f>
        <v>0</v>
      </c>
    </row>
    <row r="93" spans="1:10" ht="15.75" customHeight="1" x14ac:dyDescent="0.25">
      <c r="A93" s="107" t="s">
        <v>168</v>
      </c>
      <c r="B93" s="108" t="s">
        <v>168</v>
      </c>
      <c r="C93" s="51">
        <v>0</v>
      </c>
      <c r="D93" s="52">
        <f ca="1">((100/(H82))*C93)/100</f>
        <v>0</v>
      </c>
      <c r="E93" s="112"/>
      <c r="F93" s="112"/>
      <c r="G93" s="112"/>
      <c r="H93" s="156"/>
      <c r="I93" s="35" t="s">
        <v>185</v>
      </c>
      <c r="J93" s="41">
        <f ca="1">(IF(B82=1,(H82/(B82+3)+J88),IF(B82=0,(H82/4+J88),IF(B82&gt;1,0))))</f>
        <v>16.5</v>
      </c>
    </row>
    <row r="94" spans="1:10" ht="16.5" thickBot="1" x14ac:dyDescent="0.3">
      <c r="A94" s="158" t="s">
        <v>169</v>
      </c>
      <c r="B94" s="159"/>
      <c r="C94" s="54">
        <v>0</v>
      </c>
      <c r="D94" s="55">
        <f ca="1">((100/(H82))*C94)/100</f>
        <v>0</v>
      </c>
      <c r="E94" s="113"/>
      <c r="F94" s="113"/>
      <c r="G94" s="113"/>
      <c r="H94" s="157"/>
      <c r="I94" s="40" t="s">
        <v>135</v>
      </c>
      <c r="J94" s="43">
        <f ca="1">(IF(B82&gt;1.5,(H82/(B82+2)+J88+MAX(0,J89-J88)+MAX(0,J90-J89)+MAX(0,J91-J90)+MAX(0,J92-J91)+MAX(0,J93-J92)),IF(B82=1,(H82/(B82+3)+J93),IF(B82=0,H82/4+J93))))</f>
        <v>22</v>
      </c>
    </row>
    <row r="95" spans="1:10" x14ac:dyDescent="0.25">
      <c r="A95" s="142" t="s">
        <v>149</v>
      </c>
      <c r="B95" s="143"/>
      <c r="C95" s="143"/>
      <c r="D95" s="143"/>
      <c r="E95" s="144"/>
      <c r="F95" s="142" t="str">
        <f ca="1">(IF(D66="Nothing","Yes",IF(D66="Cement, Aggregate, Steel, etc","Under Construction",IF(D66="Work not yet Started","Work not yet Started"))))</f>
        <v>Under Construction</v>
      </c>
      <c r="G95" s="143"/>
      <c r="H95" s="144"/>
    </row>
    <row r="96" spans="1:10" x14ac:dyDescent="0.25">
      <c r="A96" s="115" t="s">
        <v>53</v>
      </c>
      <c r="B96" s="115"/>
      <c r="C96" s="115"/>
      <c r="D96" s="115"/>
      <c r="E96" s="115"/>
      <c r="F96" s="115"/>
      <c r="G96" s="115"/>
      <c r="H96" s="115"/>
    </row>
    <row r="97" spans="1:12" ht="15" customHeight="1" x14ac:dyDescent="0.25">
      <c r="A97" s="110" t="s">
        <v>102</v>
      </c>
      <c r="B97" s="110"/>
      <c r="C97" s="111" t="s">
        <v>103</v>
      </c>
      <c r="D97" s="111"/>
      <c r="E97" s="111"/>
      <c r="F97" s="111"/>
      <c r="G97" s="111"/>
      <c r="H97" s="111"/>
    </row>
    <row r="98" spans="1:12" x14ac:dyDescent="0.25">
      <c r="A98" s="133" t="s">
        <v>54</v>
      </c>
      <c r="B98" s="133"/>
      <c r="C98" s="133"/>
      <c r="D98" s="133"/>
      <c r="E98" s="133"/>
      <c r="F98" s="133"/>
      <c r="G98" s="133"/>
      <c r="H98" s="133"/>
      <c r="I98" s="8" t="s">
        <v>235</v>
      </c>
      <c r="J98" s="36">
        <v>45290</v>
      </c>
      <c r="K98" s="8" t="s">
        <v>236</v>
      </c>
    </row>
    <row r="99" spans="1:12" x14ac:dyDescent="0.25">
      <c r="A99" s="101" t="s">
        <v>104</v>
      </c>
      <c r="B99" s="101"/>
      <c r="C99" s="101"/>
      <c r="D99" s="101"/>
      <c r="E99" s="101"/>
      <c r="F99" s="65">
        <v>13000</v>
      </c>
      <c r="G99" s="65"/>
      <c r="H99" s="65"/>
      <c r="I99" s="8" t="s">
        <v>269</v>
      </c>
    </row>
    <row r="100" spans="1:12" hidden="1" x14ac:dyDescent="0.25">
      <c r="A100" s="115" t="s">
        <v>110</v>
      </c>
      <c r="B100" s="115"/>
      <c r="C100" s="115"/>
      <c r="D100" s="115"/>
      <c r="E100" s="115"/>
      <c r="F100" s="65"/>
      <c r="G100" s="65"/>
      <c r="H100" s="65"/>
    </row>
    <row r="101" spans="1:12" hidden="1" x14ac:dyDescent="0.25">
      <c r="A101" s="115" t="s">
        <v>111</v>
      </c>
      <c r="B101" s="115"/>
      <c r="C101" s="115"/>
      <c r="D101" s="115"/>
      <c r="E101" s="115"/>
      <c r="F101" s="65"/>
      <c r="G101" s="65"/>
      <c r="H101" s="65"/>
    </row>
    <row r="102" spans="1:12" s="12" customFormat="1" hidden="1" x14ac:dyDescent="0.25">
      <c r="A102" s="115" t="s">
        <v>127</v>
      </c>
      <c r="B102" s="115"/>
      <c r="C102" s="115"/>
      <c r="D102" s="115"/>
      <c r="E102" s="115"/>
      <c r="F102" s="65" t="s">
        <v>29</v>
      </c>
      <c r="G102" s="65"/>
      <c r="H102" s="65"/>
    </row>
    <row r="103" spans="1:12" s="12" customFormat="1" hidden="1" x14ac:dyDescent="0.25">
      <c r="A103" s="115" t="s">
        <v>128</v>
      </c>
      <c r="B103" s="115"/>
      <c r="C103" s="115"/>
      <c r="D103" s="115"/>
      <c r="E103" s="115"/>
      <c r="F103" s="65" t="s">
        <v>29</v>
      </c>
      <c r="G103" s="65"/>
      <c r="H103" s="65"/>
    </row>
    <row r="104" spans="1:12" s="12" customFormat="1" hidden="1" x14ac:dyDescent="0.25">
      <c r="A104" s="115" t="s">
        <v>129</v>
      </c>
      <c r="B104" s="115"/>
      <c r="C104" s="115"/>
      <c r="D104" s="115"/>
      <c r="E104" s="115"/>
      <c r="F104" s="65" t="s">
        <v>29</v>
      </c>
      <c r="G104" s="65"/>
      <c r="H104" s="65"/>
    </row>
    <row r="105" spans="1:12" s="12" customFormat="1" ht="31.5" customHeight="1" x14ac:dyDescent="0.25">
      <c r="A105" s="109" t="s">
        <v>222</v>
      </c>
      <c r="B105" s="109"/>
      <c r="C105" s="109"/>
      <c r="D105" s="109"/>
      <c r="E105" s="109"/>
      <c r="F105" s="65" t="s">
        <v>220</v>
      </c>
      <c r="G105" s="65"/>
      <c r="H105" s="65"/>
      <c r="I105" s="12" t="s">
        <v>281</v>
      </c>
      <c r="J105" s="12" t="s">
        <v>282</v>
      </c>
      <c r="L105" s="12" t="s">
        <v>283</v>
      </c>
    </row>
    <row r="106" spans="1:12" s="12" customFormat="1" hidden="1" x14ac:dyDescent="0.25">
      <c r="A106" s="115" t="s">
        <v>130</v>
      </c>
      <c r="B106" s="115"/>
      <c r="C106" s="115"/>
      <c r="D106" s="115"/>
      <c r="E106" s="115"/>
      <c r="F106" s="65" t="s">
        <v>29</v>
      </c>
      <c r="G106" s="65"/>
      <c r="H106" s="65"/>
    </row>
    <row r="107" spans="1:12" s="12" customFormat="1" x14ac:dyDescent="0.25">
      <c r="A107" s="115" t="s">
        <v>237</v>
      </c>
      <c r="B107" s="115"/>
      <c r="C107" s="115"/>
      <c r="D107" s="115"/>
      <c r="E107" s="115"/>
      <c r="F107" s="65" t="s">
        <v>223</v>
      </c>
      <c r="G107" s="65"/>
      <c r="H107" s="65"/>
      <c r="J107" s="12" t="s">
        <v>284</v>
      </c>
    </row>
    <row r="108" spans="1:12" s="12" customFormat="1" x14ac:dyDescent="0.25">
      <c r="A108" s="115" t="s">
        <v>224</v>
      </c>
      <c r="B108" s="115"/>
      <c r="C108" s="115"/>
      <c r="D108" s="115"/>
      <c r="E108" s="115"/>
      <c r="F108" s="65" t="s">
        <v>225</v>
      </c>
      <c r="G108" s="65"/>
      <c r="H108" s="65"/>
    </row>
    <row r="109" spans="1:12" s="12" customFormat="1" x14ac:dyDescent="0.25">
      <c r="A109" s="115" t="s">
        <v>221</v>
      </c>
      <c r="B109" s="115"/>
      <c r="C109" s="115"/>
      <c r="D109" s="115"/>
      <c r="E109" s="115"/>
      <c r="F109" s="65">
        <v>10000</v>
      </c>
      <c r="G109" s="65"/>
      <c r="H109" s="65"/>
    </row>
    <row r="110" spans="1:12" x14ac:dyDescent="0.25">
      <c r="A110" s="115" t="s">
        <v>55</v>
      </c>
      <c r="B110" s="115"/>
      <c r="C110" s="115"/>
      <c r="D110" s="115"/>
      <c r="E110" s="115"/>
      <c r="F110" s="64" t="s">
        <v>229</v>
      </c>
      <c r="G110" s="64"/>
      <c r="H110" s="64"/>
    </row>
    <row r="111" spans="1:12" s="9" customFormat="1" x14ac:dyDescent="0.25">
      <c r="A111" s="133" t="s">
        <v>56</v>
      </c>
      <c r="B111" s="133"/>
      <c r="C111" s="133"/>
      <c r="D111" s="133"/>
      <c r="E111" s="133"/>
      <c r="F111" s="65">
        <f>F99*0.8</f>
        <v>10400</v>
      </c>
      <c r="G111" s="65"/>
      <c r="H111" s="65"/>
    </row>
    <row r="112" spans="1:12" s="1" customFormat="1" ht="15.75" hidden="1" customHeight="1" x14ac:dyDescent="0.25">
      <c r="A112" s="121" t="s">
        <v>105</v>
      </c>
      <c r="B112" s="121"/>
      <c r="C112" s="121"/>
      <c r="D112" s="121"/>
      <c r="E112" s="121"/>
      <c r="F112" s="121"/>
      <c r="G112" s="121"/>
      <c r="H112" s="121"/>
    </row>
    <row r="113" spans="1:14" s="1" customFormat="1" ht="15.75" hidden="1" customHeight="1" x14ac:dyDescent="0.25">
      <c r="A113" s="147" t="s">
        <v>57</v>
      </c>
      <c r="B113" s="147"/>
      <c r="C113" s="146" t="s">
        <v>108</v>
      </c>
      <c r="D113" s="146"/>
      <c r="E113" s="150" t="s">
        <v>58</v>
      </c>
      <c r="F113" s="150"/>
      <c r="G113" s="147" t="s">
        <v>59</v>
      </c>
      <c r="H113" s="147"/>
    </row>
    <row r="114" spans="1:14" s="1" customFormat="1" hidden="1" x14ac:dyDescent="0.25">
      <c r="A114" s="114"/>
      <c r="B114" s="114"/>
      <c r="C114" s="148"/>
      <c r="D114" s="148"/>
      <c r="E114" s="149"/>
      <c r="F114" s="149"/>
      <c r="G114" s="141"/>
      <c r="H114" s="141"/>
    </row>
    <row r="115" spans="1:14" s="1" customFormat="1" x14ac:dyDescent="0.25">
      <c r="A115" s="121" t="s">
        <v>98</v>
      </c>
      <c r="B115" s="121"/>
      <c r="C115" s="121"/>
      <c r="D115" s="121"/>
      <c r="E115" s="121"/>
      <c r="F115" s="121"/>
      <c r="G115" s="121"/>
      <c r="H115" s="121"/>
    </row>
    <row r="116" spans="1:14" s="1" customFormat="1" x14ac:dyDescent="0.25">
      <c r="A116" s="147" t="s">
        <v>57</v>
      </c>
      <c r="B116" s="147"/>
      <c r="C116" s="146" t="s">
        <v>108</v>
      </c>
      <c r="D116" s="146"/>
      <c r="E116" s="150" t="s">
        <v>58</v>
      </c>
      <c r="F116" s="150"/>
      <c r="G116" s="147" t="s">
        <v>59</v>
      </c>
      <c r="H116" s="147"/>
    </row>
    <row r="117" spans="1:14" s="1" customFormat="1" x14ac:dyDescent="0.25">
      <c r="A117" s="114" t="s">
        <v>198</v>
      </c>
      <c r="B117" s="114"/>
      <c r="C117" s="116">
        <f>COUNT(D140:D143)+COUNT(D155:D164)+COUNT(D170:D179)+COUNT(D185:D194)*3+COUNT(D202:D211)*2+COUNT(D213:D226)*13+COUNT(D228:D230)+COUNT(D232:D241)</f>
        <v>269</v>
      </c>
      <c r="D117" s="116"/>
      <c r="E117" s="116">
        <f>SUM(D140:D143)+SUM(D155:D164)+SUM(D170:D179)+SUM(D185:D194)*3+SUM(D202:D211)*2+SUM(D213:D226)*13+SUM(D228:D230)+SUM(D232:D241)</f>
        <v>56414.823660000002</v>
      </c>
      <c r="F117" s="116"/>
      <c r="G117" s="116">
        <f>SUM(F140:F143)+SUM(F155:F164)+SUM(F170:F179)+SUM(F185:F194)*3+SUM(F202:F211)*2+SUM(F213:F226)*13+SUM(F228:F230)+SUM(F232:F241)</f>
        <v>84622.235489999992</v>
      </c>
      <c r="H117" s="116"/>
    </row>
    <row r="118" spans="1:14" s="1" customFormat="1" x14ac:dyDescent="0.25">
      <c r="A118" s="114" t="s">
        <v>202</v>
      </c>
      <c r="B118" s="114"/>
      <c r="C118" s="153">
        <f>COUNT(D248:D251)+COUNT(D263:D276)+COUNT(D278:D291)+COUNT(D293:D306)*3+COUNT(D312:D321)*2+COUNT(D323:D336)*13+COUNT(D338:D340)+COUNT(D342:D351)</f>
        <v>289</v>
      </c>
      <c r="D118" s="153"/>
      <c r="E118" s="116">
        <f>SUM(D248:D251)+SUM(D263:D276)+SUM(D278:D291)+SUM(D293:D306)*3+SUM(D312:D321)*2+SUM(D323:D336)*13+SUM(D338:D340)+SUM(D342:D351)</f>
        <v>60223.503599999982</v>
      </c>
      <c r="F118" s="116"/>
      <c r="G118" s="116">
        <f>SUM(F248:F251)+SUM(F263:F276)+SUM(F278:F291)+SUM(F293:F306)*3+SUM(F312:F321)*2+SUM(F323:F336)*13+SUM(F338:F340)+SUM(F342:F351)</f>
        <v>90335.255399999995</v>
      </c>
      <c r="H118" s="116"/>
      <c r="I118" s="62" t="s">
        <v>274</v>
      </c>
    </row>
    <row r="119" spans="1:14" s="1" customFormat="1" x14ac:dyDescent="0.25">
      <c r="A119" s="121" t="s">
        <v>61</v>
      </c>
      <c r="B119" s="121"/>
      <c r="C119" s="151">
        <f>SUM(C117:D118)</f>
        <v>558</v>
      </c>
      <c r="D119" s="151"/>
      <c r="E119" s="152">
        <f>SUM(E117:F118)</f>
        <v>116638.32725999999</v>
      </c>
      <c r="F119" s="150"/>
      <c r="G119" s="147">
        <f>SUM(G117:H118)</f>
        <v>174957.49088999999</v>
      </c>
      <c r="H119" s="147"/>
    </row>
    <row r="120" spans="1:14" s="9" customFormat="1" x14ac:dyDescent="0.25">
      <c r="A120" s="131" t="s">
        <v>62</v>
      </c>
      <c r="B120" s="131"/>
      <c r="C120" s="131"/>
      <c r="D120" s="131"/>
      <c r="E120" s="131"/>
      <c r="F120" s="131"/>
      <c r="G120" s="131"/>
      <c r="H120" s="131"/>
    </row>
    <row r="121" spans="1:14" hidden="1" x14ac:dyDescent="0.25">
      <c r="A121" s="131" t="s">
        <v>63</v>
      </c>
      <c r="B121" s="131"/>
      <c r="C121" s="131"/>
      <c r="D121" s="131"/>
      <c r="E121" s="131"/>
      <c r="F121" s="131"/>
      <c r="G121" s="131"/>
      <c r="H121" s="131"/>
    </row>
    <row r="122" spans="1:14" ht="47.25" hidden="1" customHeight="1" x14ac:dyDescent="0.25">
      <c r="A122" s="88" t="s">
        <v>153</v>
      </c>
      <c r="B122" s="88" t="s">
        <v>152</v>
      </c>
      <c r="C122" s="88" t="s">
        <v>64</v>
      </c>
      <c r="D122" s="88" t="s">
        <v>65</v>
      </c>
      <c r="E122" s="90" t="s">
        <v>66</v>
      </c>
      <c r="F122" s="32" t="s">
        <v>150</v>
      </c>
      <c r="G122" s="92" t="s">
        <v>67</v>
      </c>
      <c r="H122" s="93"/>
    </row>
    <row r="123" spans="1:14" s="2" customFormat="1" hidden="1" x14ac:dyDescent="0.25">
      <c r="A123" s="89"/>
      <c r="B123" s="89"/>
      <c r="C123" s="89"/>
      <c r="D123" s="89"/>
      <c r="E123" s="91"/>
      <c r="F123" s="33">
        <v>0.6</v>
      </c>
      <c r="G123" s="94"/>
      <c r="H123" s="95"/>
    </row>
    <row r="124" spans="1:14" s="2" customFormat="1" hidden="1" x14ac:dyDescent="0.25">
      <c r="A124" s="97" t="s">
        <v>151</v>
      </c>
      <c r="B124" s="98"/>
      <c r="C124" s="98"/>
      <c r="D124" s="98"/>
      <c r="E124" s="98"/>
      <c r="F124" s="98"/>
      <c r="G124" s="98"/>
      <c r="H124" s="99"/>
    </row>
    <row r="125" spans="1:14" s="2" customFormat="1" hidden="1" x14ac:dyDescent="0.25">
      <c r="A125" s="75">
        <v>1</v>
      </c>
      <c r="B125" s="77"/>
      <c r="C125" s="18"/>
      <c r="D125" s="18"/>
      <c r="E125" s="18">
        <v>0</v>
      </c>
      <c r="F125" s="18">
        <f>D125*(($F$123)+1)+E125</f>
        <v>0</v>
      </c>
      <c r="G125" s="75" t="str">
        <f>A124</f>
        <v>Ground Floor</v>
      </c>
      <c r="H125" s="77"/>
      <c r="I125" s="34"/>
      <c r="L125" s="96"/>
      <c r="M125" s="96"/>
      <c r="N125" s="34"/>
    </row>
    <row r="126" spans="1:14" s="2" customFormat="1" hidden="1" x14ac:dyDescent="0.25">
      <c r="A126" s="75">
        <f>A125+1</f>
        <v>2</v>
      </c>
      <c r="B126" s="77"/>
      <c r="C126" s="18"/>
      <c r="D126" s="18"/>
      <c r="E126" s="18">
        <v>0</v>
      </c>
      <c r="F126" s="18">
        <f t="shared" ref="F126:F127" si="0">D126*(($F$123)+1)+E126</f>
        <v>0</v>
      </c>
      <c r="G126" s="75" t="str">
        <f t="shared" ref="G126:G131" si="1">G125</f>
        <v>Ground Floor</v>
      </c>
      <c r="H126" s="77"/>
      <c r="I126" s="34"/>
      <c r="L126" s="96"/>
      <c r="M126" s="96"/>
      <c r="N126" s="34"/>
    </row>
    <row r="127" spans="1:14" s="2" customFormat="1" hidden="1" x14ac:dyDescent="0.25">
      <c r="A127" s="75">
        <f t="shared" ref="A127:A129" si="2">A126+1</f>
        <v>3</v>
      </c>
      <c r="B127" s="77"/>
      <c r="C127" s="18"/>
      <c r="D127" s="18"/>
      <c r="E127" s="18">
        <v>0</v>
      </c>
      <c r="F127" s="18">
        <f t="shared" si="0"/>
        <v>0</v>
      </c>
      <c r="G127" s="75" t="str">
        <f t="shared" si="1"/>
        <v>Ground Floor</v>
      </c>
      <c r="H127" s="77"/>
      <c r="I127" s="34"/>
      <c r="L127" s="96"/>
      <c r="M127" s="96"/>
      <c r="N127" s="34"/>
    </row>
    <row r="128" spans="1:14" s="2" customFormat="1" hidden="1" x14ac:dyDescent="0.25">
      <c r="A128" s="75">
        <f t="shared" si="2"/>
        <v>4</v>
      </c>
      <c r="B128" s="77"/>
      <c r="C128" s="18"/>
      <c r="D128" s="18"/>
      <c r="E128" s="18">
        <v>0</v>
      </c>
      <c r="F128" s="18">
        <f t="shared" ref="F128:F129" si="3">D128*(($F$123)+1)+E128</f>
        <v>0</v>
      </c>
      <c r="G128" s="75" t="str">
        <f t="shared" si="1"/>
        <v>Ground Floor</v>
      </c>
      <c r="H128" s="77"/>
      <c r="I128" s="34"/>
      <c r="L128" s="96"/>
      <c r="M128" s="96"/>
      <c r="N128" s="34"/>
    </row>
    <row r="129" spans="1:14" s="2" customFormat="1" hidden="1" x14ac:dyDescent="0.25">
      <c r="A129" s="75">
        <f t="shared" si="2"/>
        <v>5</v>
      </c>
      <c r="B129" s="77"/>
      <c r="C129" s="18"/>
      <c r="D129" s="18"/>
      <c r="E129" s="18">
        <v>0</v>
      </c>
      <c r="F129" s="18">
        <f t="shared" si="3"/>
        <v>0</v>
      </c>
      <c r="G129" s="75" t="str">
        <f t="shared" si="1"/>
        <v>Ground Floor</v>
      </c>
      <c r="H129" s="77"/>
      <c r="I129" s="34"/>
      <c r="L129" s="96"/>
      <c r="M129" s="96"/>
      <c r="N129" s="34"/>
    </row>
    <row r="130" spans="1:14" s="2" customFormat="1" hidden="1" x14ac:dyDescent="0.25">
      <c r="A130" s="75">
        <f t="shared" ref="A130:A131" si="4">A129+1</f>
        <v>6</v>
      </c>
      <c r="B130" s="77"/>
      <c r="C130" s="18"/>
      <c r="D130" s="18"/>
      <c r="E130" s="18">
        <v>0</v>
      </c>
      <c r="F130" s="18">
        <f t="shared" ref="F130:F131" si="5">D130*(($F$123)+1)+E130</f>
        <v>0</v>
      </c>
      <c r="G130" s="75" t="str">
        <f t="shared" si="1"/>
        <v>Ground Floor</v>
      </c>
      <c r="H130" s="77"/>
      <c r="I130" s="34"/>
      <c r="L130" s="96"/>
      <c r="M130" s="96"/>
      <c r="N130" s="34"/>
    </row>
    <row r="131" spans="1:14" s="2" customFormat="1" hidden="1" x14ac:dyDescent="0.25">
      <c r="A131" s="75">
        <f t="shared" si="4"/>
        <v>7</v>
      </c>
      <c r="B131" s="77"/>
      <c r="C131" s="18"/>
      <c r="D131" s="18"/>
      <c r="E131" s="18">
        <v>0</v>
      </c>
      <c r="F131" s="18">
        <f t="shared" si="5"/>
        <v>0</v>
      </c>
      <c r="G131" s="75" t="str">
        <f t="shared" si="1"/>
        <v>Ground Floor</v>
      </c>
      <c r="H131" s="77"/>
      <c r="I131" s="34"/>
      <c r="L131" s="96"/>
      <c r="M131" s="96"/>
      <c r="N131" s="34"/>
    </row>
    <row r="132" spans="1:14" s="2" customFormat="1" hidden="1" x14ac:dyDescent="0.25">
      <c r="A132" s="75"/>
      <c r="B132" s="76"/>
      <c r="C132" s="76"/>
      <c r="D132" s="76"/>
      <c r="E132" s="76"/>
      <c r="F132" s="76"/>
      <c r="G132" s="76"/>
      <c r="H132" s="77"/>
      <c r="I132" s="34"/>
      <c r="N132" s="34"/>
    </row>
    <row r="133" spans="1:14" ht="47.25" customHeight="1" x14ac:dyDescent="0.25">
      <c r="A133" s="92" t="s">
        <v>154</v>
      </c>
      <c r="B133" s="92" t="s">
        <v>155</v>
      </c>
      <c r="C133" s="88" t="s">
        <v>64</v>
      </c>
      <c r="D133" s="88" t="s">
        <v>65</v>
      </c>
      <c r="E133" s="90" t="s">
        <v>66</v>
      </c>
      <c r="F133" s="32" t="s">
        <v>150</v>
      </c>
      <c r="G133" s="92" t="s">
        <v>67</v>
      </c>
      <c r="H133" s="93"/>
      <c r="I133" s="34"/>
    </row>
    <row r="134" spans="1:14" s="2" customFormat="1" x14ac:dyDescent="0.25">
      <c r="A134" s="94"/>
      <c r="B134" s="94"/>
      <c r="C134" s="89"/>
      <c r="D134" s="89"/>
      <c r="E134" s="91"/>
      <c r="F134" s="58">
        <v>0.5</v>
      </c>
      <c r="G134" s="94"/>
      <c r="H134" s="95"/>
      <c r="I134" s="34"/>
    </row>
    <row r="135" spans="1:14" s="2" customFormat="1" x14ac:dyDescent="0.25">
      <c r="A135" s="87" t="s">
        <v>198</v>
      </c>
      <c r="B135" s="87"/>
      <c r="C135" s="87"/>
      <c r="D135" s="87"/>
      <c r="E135" s="87"/>
      <c r="F135" s="87"/>
      <c r="G135" s="87"/>
      <c r="H135" s="100"/>
      <c r="I135" s="34"/>
      <c r="L135" s="96"/>
      <c r="M135" s="96"/>
    </row>
    <row r="136" spans="1:14" s="2" customFormat="1" x14ac:dyDescent="0.25">
      <c r="A136" s="87" t="s">
        <v>251</v>
      </c>
      <c r="B136" s="87"/>
      <c r="C136" s="87"/>
      <c r="D136" s="87"/>
      <c r="E136" s="87"/>
      <c r="F136" s="87"/>
      <c r="G136" s="87"/>
      <c r="H136" s="87"/>
      <c r="I136" s="34"/>
      <c r="L136" s="96"/>
      <c r="M136" s="96"/>
    </row>
    <row r="137" spans="1:14" s="2" customFormat="1" x14ac:dyDescent="0.25">
      <c r="A137" s="87" t="s">
        <v>263</v>
      </c>
      <c r="B137" s="87"/>
      <c r="C137" s="87"/>
      <c r="D137" s="87"/>
      <c r="E137" s="87"/>
      <c r="F137" s="87"/>
      <c r="G137" s="87"/>
      <c r="H137" s="87"/>
      <c r="I137" s="34"/>
      <c r="L137" s="96"/>
      <c r="M137" s="96"/>
    </row>
    <row r="138" spans="1:14" s="2" customFormat="1" ht="15.75" customHeight="1" x14ac:dyDescent="0.25">
      <c r="A138" s="73">
        <v>1</v>
      </c>
      <c r="B138" s="73"/>
      <c r="C138" s="78" t="s">
        <v>261</v>
      </c>
      <c r="D138" s="79"/>
      <c r="E138" s="79"/>
      <c r="F138" s="80"/>
      <c r="G138" s="78" t="str">
        <f>A137</f>
        <v>1st Floor for Residential &amp; Parking</v>
      </c>
      <c r="H138" s="80"/>
      <c r="I138" s="34"/>
    </row>
    <row r="139" spans="1:14" s="2" customFormat="1" x14ac:dyDescent="0.25">
      <c r="A139" s="73">
        <v>2</v>
      </c>
      <c r="B139" s="73"/>
      <c r="C139" s="84"/>
      <c r="D139" s="85"/>
      <c r="E139" s="85"/>
      <c r="F139" s="86"/>
      <c r="G139" s="81"/>
      <c r="H139" s="83"/>
      <c r="I139" s="34"/>
    </row>
    <row r="140" spans="1:14" s="2" customFormat="1" ht="15.75" customHeight="1" x14ac:dyDescent="0.25">
      <c r="A140" s="73">
        <v>3</v>
      </c>
      <c r="B140" s="73"/>
      <c r="C140" s="18" t="s">
        <v>200</v>
      </c>
      <c r="D140" s="18">
        <f>17*10.764</f>
        <v>182.988</v>
      </c>
      <c r="E140" s="18">
        <v>0</v>
      </c>
      <c r="F140" s="18">
        <f>D140*(($F$134)+1)+E140</f>
        <v>274.48199999999997</v>
      </c>
      <c r="G140" s="81"/>
      <c r="H140" s="83"/>
      <c r="I140" s="34"/>
      <c r="L140" s="2">
        <f>6*F140*60</f>
        <v>98813.51999999999</v>
      </c>
      <c r="N140" s="34"/>
    </row>
    <row r="141" spans="1:14" s="2" customFormat="1" ht="15.75" customHeight="1" x14ac:dyDescent="0.25">
      <c r="A141" s="73">
        <v>4</v>
      </c>
      <c r="B141" s="73"/>
      <c r="C141" s="18" t="s">
        <v>200</v>
      </c>
      <c r="D141" s="18">
        <f>19.6*10.764</f>
        <v>210.9744</v>
      </c>
      <c r="E141" s="18">
        <v>0</v>
      </c>
      <c r="F141" s="18">
        <f>D141*(($F$134)+1)+E141</f>
        <v>316.46159999999998</v>
      </c>
      <c r="G141" s="81"/>
      <c r="H141" s="83"/>
      <c r="I141" s="34"/>
      <c r="N141" s="34"/>
    </row>
    <row r="142" spans="1:14" s="2" customFormat="1" ht="15.75" customHeight="1" x14ac:dyDescent="0.25">
      <c r="A142" s="73">
        <v>5</v>
      </c>
      <c r="B142" s="73"/>
      <c r="C142" s="18" t="s">
        <v>200</v>
      </c>
      <c r="D142" s="18">
        <f>19.6*10.764</f>
        <v>210.9744</v>
      </c>
      <c r="E142" s="18">
        <v>0</v>
      </c>
      <c r="F142" s="18">
        <f t="shared" ref="F142:F143" si="6">D142*(($F$134)+1)+E142</f>
        <v>316.46159999999998</v>
      </c>
      <c r="G142" s="81"/>
      <c r="H142" s="83"/>
      <c r="I142" s="34"/>
      <c r="N142" s="34"/>
    </row>
    <row r="143" spans="1:14" s="2" customFormat="1" ht="15.75" customHeight="1" x14ac:dyDescent="0.25">
      <c r="A143" s="73">
        <v>6</v>
      </c>
      <c r="B143" s="73"/>
      <c r="C143" s="18" t="s">
        <v>201</v>
      </c>
      <c r="D143" s="18">
        <f>30.005*10.764</f>
        <v>322.97381999999999</v>
      </c>
      <c r="E143" s="18">
        <v>0</v>
      </c>
      <c r="F143" s="18">
        <f t="shared" si="6"/>
        <v>484.46073000000001</v>
      </c>
      <c r="G143" s="81"/>
      <c r="H143" s="83"/>
      <c r="I143" s="34"/>
      <c r="N143" s="34"/>
    </row>
    <row r="144" spans="1:14" s="2" customFormat="1" ht="15.75" customHeight="1" x14ac:dyDescent="0.25">
      <c r="A144" s="75">
        <v>7</v>
      </c>
      <c r="B144" s="77"/>
      <c r="C144" s="78" t="s">
        <v>262</v>
      </c>
      <c r="D144" s="79"/>
      <c r="E144" s="79"/>
      <c r="F144" s="80"/>
      <c r="G144" s="81"/>
      <c r="H144" s="83"/>
      <c r="I144" s="34"/>
      <c r="N144" s="34"/>
    </row>
    <row r="145" spans="1:14" s="2" customFormat="1" ht="15.75" customHeight="1" x14ac:dyDescent="0.25">
      <c r="A145" s="75">
        <v>8</v>
      </c>
      <c r="B145" s="77"/>
      <c r="C145" s="81"/>
      <c r="D145" s="82"/>
      <c r="E145" s="82"/>
      <c r="F145" s="83"/>
      <c r="G145" s="81"/>
      <c r="H145" s="83"/>
      <c r="I145" s="34"/>
      <c r="N145" s="34"/>
    </row>
    <row r="146" spans="1:14" s="2" customFormat="1" ht="15.75" customHeight="1" x14ac:dyDescent="0.25">
      <c r="A146" s="75">
        <v>9</v>
      </c>
      <c r="B146" s="77"/>
      <c r="C146" s="81"/>
      <c r="D146" s="82"/>
      <c r="E146" s="82"/>
      <c r="F146" s="83"/>
      <c r="G146" s="81"/>
      <c r="H146" s="83"/>
      <c r="I146" s="34"/>
      <c r="N146" s="34"/>
    </row>
    <row r="147" spans="1:14" s="2" customFormat="1" ht="15.75" customHeight="1" x14ac:dyDescent="0.25">
      <c r="A147" s="75">
        <v>10</v>
      </c>
      <c r="B147" s="77"/>
      <c r="C147" s="81"/>
      <c r="D147" s="82"/>
      <c r="E147" s="82"/>
      <c r="F147" s="83"/>
      <c r="G147" s="81"/>
      <c r="H147" s="83"/>
      <c r="I147" s="34"/>
      <c r="N147" s="34"/>
    </row>
    <row r="148" spans="1:14" s="2" customFormat="1" ht="15.75" customHeight="1" x14ac:dyDescent="0.25">
      <c r="A148" s="75">
        <v>11</v>
      </c>
      <c r="B148" s="77"/>
      <c r="C148" s="81"/>
      <c r="D148" s="82"/>
      <c r="E148" s="82"/>
      <c r="F148" s="83"/>
      <c r="G148" s="81"/>
      <c r="H148" s="83"/>
      <c r="I148" s="34"/>
      <c r="N148" s="34"/>
    </row>
    <row r="149" spans="1:14" s="2" customFormat="1" ht="15.75" customHeight="1" x14ac:dyDescent="0.25">
      <c r="A149" s="75">
        <v>12</v>
      </c>
      <c r="B149" s="77"/>
      <c r="C149" s="84"/>
      <c r="D149" s="85"/>
      <c r="E149" s="85"/>
      <c r="F149" s="86"/>
      <c r="G149" s="81"/>
      <c r="H149" s="83"/>
      <c r="I149" s="34"/>
      <c r="N149" s="34"/>
    </row>
    <row r="150" spans="1:14" s="2" customFormat="1" ht="15.75" customHeight="1" x14ac:dyDescent="0.25">
      <c r="A150" s="75">
        <v>13</v>
      </c>
      <c r="B150" s="77"/>
      <c r="C150" s="78" t="s">
        <v>261</v>
      </c>
      <c r="D150" s="79"/>
      <c r="E150" s="79"/>
      <c r="F150" s="80"/>
      <c r="G150" s="81"/>
      <c r="H150" s="83"/>
      <c r="I150" s="34"/>
      <c r="N150" s="34"/>
    </row>
    <row r="151" spans="1:14" s="2" customFormat="1" ht="15.75" customHeight="1" x14ac:dyDescent="0.25">
      <c r="A151" s="75">
        <v>14</v>
      </c>
      <c r="B151" s="77"/>
      <c r="C151" s="84"/>
      <c r="D151" s="85"/>
      <c r="E151" s="85"/>
      <c r="F151" s="86"/>
      <c r="G151" s="84"/>
      <c r="H151" s="86"/>
      <c r="I151" s="34"/>
      <c r="N151" s="34"/>
    </row>
    <row r="152" spans="1:14" s="2" customFormat="1" x14ac:dyDescent="0.25">
      <c r="A152" s="87" t="s">
        <v>204</v>
      </c>
      <c r="B152" s="87"/>
      <c r="C152" s="87"/>
      <c r="D152" s="87"/>
      <c r="E152" s="87"/>
      <c r="F152" s="87"/>
      <c r="G152" s="87"/>
      <c r="H152" s="87"/>
      <c r="I152" s="34"/>
      <c r="L152" s="96"/>
      <c r="M152" s="96"/>
    </row>
    <row r="153" spans="1:14" s="2" customFormat="1" ht="15.75" customHeight="1" x14ac:dyDescent="0.25">
      <c r="A153" s="73">
        <v>1</v>
      </c>
      <c r="B153" s="73"/>
      <c r="C153" s="73" t="s">
        <v>261</v>
      </c>
      <c r="D153" s="73"/>
      <c r="E153" s="73"/>
      <c r="F153" s="73"/>
      <c r="G153" s="73" t="str">
        <f>A152</f>
        <v>2nd Floor for Residential</v>
      </c>
      <c r="H153" s="73"/>
      <c r="I153" s="34"/>
    </row>
    <row r="154" spans="1:14" s="2" customFormat="1" x14ac:dyDescent="0.25">
      <c r="A154" s="73">
        <v>2</v>
      </c>
      <c r="B154" s="73"/>
      <c r="C154" s="73"/>
      <c r="D154" s="73"/>
      <c r="E154" s="73"/>
      <c r="F154" s="73"/>
      <c r="G154" s="73"/>
      <c r="H154" s="73"/>
      <c r="I154" s="34"/>
    </row>
    <row r="155" spans="1:14" s="2" customFormat="1" ht="15.75" customHeight="1" x14ac:dyDescent="0.25">
      <c r="A155" s="73">
        <v>3</v>
      </c>
      <c r="B155" s="73"/>
      <c r="C155" s="18" t="s">
        <v>200</v>
      </c>
      <c r="D155" s="18">
        <f>17*10.764</f>
        <v>182.988</v>
      </c>
      <c r="E155" s="18">
        <v>0</v>
      </c>
      <c r="F155" s="18">
        <f>D155*(($F$134)+1)+E155</f>
        <v>274.48199999999997</v>
      </c>
      <c r="G155" s="73"/>
      <c r="H155" s="73"/>
      <c r="I155" s="34"/>
      <c r="L155" s="2">
        <f>6*F155*60</f>
        <v>98813.51999999999</v>
      </c>
      <c r="N155" s="34"/>
    </row>
    <row r="156" spans="1:14" s="2" customFormat="1" ht="15.75" customHeight="1" x14ac:dyDescent="0.25">
      <c r="A156" s="73">
        <v>4</v>
      </c>
      <c r="B156" s="73"/>
      <c r="C156" s="18" t="s">
        <v>200</v>
      </c>
      <c r="D156" s="18">
        <f>19.6*10.764</f>
        <v>210.9744</v>
      </c>
      <c r="E156" s="18">
        <v>0</v>
      </c>
      <c r="F156" s="18">
        <f>D156*(($F$134)+1)+E156</f>
        <v>316.46159999999998</v>
      </c>
      <c r="G156" s="73"/>
      <c r="H156" s="73"/>
      <c r="I156" s="34"/>
      <c r="N156" s="34"/>
    </row>
    <row r="157" spans="1:14" s="2" customFormat="1" ht="15.75" customHeight="1" x14ac:dyDescent="0.25">
      <c r="A157" s="73">
        <v>5</v>
      </c>
      <c r="B157" s="73"/>
      <c r="C157" s="18" t="s">
        <v>200</v>
      </c>
      <c r="D157" s="18">
        <f>19.6*10.764</f>
        <v>210.9744</v>
      </c>
      <c r="E157" s="18">
        <v>0</v>
      </c>
      <c r="F157" s="18">
        <f t="shared" ref="F157:F158" si="7">D157*(($F$134)+1)+E157</f>
        <v>316.46159999999998</v>
      </c>
      <c r="G157" s="73"/>
      <c r="H157" s="73"/>
      <c r="I157" s="34"/>
      <c r="N157" s="34"/>
    </row>
    <row r="158" spans="1:14" s="2" customFormat="1" ht="15.75" customHeight="1" x14ac:dyDescent="0.25">
      <c r="A158" s="73">
        <v>6</v>
      </c>
      <c r="B158" s="73"/>
      <c r="C158" s="18" t="s">
        <v>201</v>
      </c>
      <c r="D158" s="18">
        <f>30*10.764</f>
        <v>322.91999999999996</v>
      </c>
      <c r="E158" s="18">
        <v>0</v>
      </c>
      <c r="F158" s="18">
        <f t="shared" si="7"/>
        <v>484.37999999999994</v>
      </c>
      <c r="G158" s="73"/>
      <c r="H158" s="73"/>
      <c r="I158" s="34"/>
      <c r="N158" s="34"/>
    </row>
    <row r="159" spans="1:14" s="2" customFormat="1" x14ac:dyDescent="0.25">
      <c r="A159" s="73">
        <v>7</v>
      </c>
      <c r="B159" s="73"/>
      <c r="C159" s="18" t="s">
        <v>200</v>
      </c>
      <c r="D159" s="18">
        <f>15.24*10.764</f>
        <v>164.04335999999998</v>
      </c>
      <c r="E159" s="18">
        <v>0</v>
      </c>
      <c r="F159" s="18">
        <f>D159*(($F$134)+1)+E159</f>
        <v>246.06503999999995</v>
      </c>
      <c r="G159" s="73"/>
      <c r="H159" s="73"/>
      <c r="I159" s="34">
        <f>D159*17000</f>
        <v>2788737.1199999996</v>
      </c>
      <c r="J159" s="2">
        <f>I159/F159</f>
        <v>11333.333333333334</v>
      </c>
      <c r="N159" s="34"/>
    </row>
    <row r="160" spans="1:14" s="2" customFormat="1" x14ac:dyDescent="0.25">
      <c r="A160" s="73">
        <v>8</v>
      </c>
      <c r="B160" s="73"/>
      <c r="C160" s="18" t="s">
        <v>200</v>
      </c>
      <c r="D160" s="18">
        <f>22.02*10.764</f>
        <v>237.02327999999997</v>
      </c>
      <c r="E160" s="18">
        <v>0</v>
      </c>
      <c r="F160" s="18">
        <f>D160*(($F$134)+1)+E160</f>
        <v>355.53491999999994</v>
      </c>
      <c r="G160" s="73"/>
      <c r="H160" s="73"/>
      <c r="I160" s="34"/>
      <c r="N160" s="34"/>
    </row>
    <row r="161" spans="1:14" s="2" customFormat="1" x14ac:dyDescent="0.25">
      <c r="A161" s="73">
        <v>9</v>
      </c>
      <c r="B161" s="73"/>
      <c r="C161" s="18" t="s">
        <v>200</v>
      </c>
      <c r="D161" s="18">
        <f>17*10.764</f>
        <v>182.988</v>
      </c>
      <c r="E161" s="18">
        <v>0</v>
      </c>
      <c r="F161" s="18">
        <f t="shared" ref="F161:F162" si="8">D161*(($F$134)+1)+E161</f>
        <v>274.48199999999997</v>
      </c>
      <c r="G161" s="73"/>
      <c r="H161" s="73"/>
      <c r="I161" s="34"/>
      <c r="N161" s="34"/>
    </row>
    <row r="162" spans="1:14" s="2" customFormat="1" x14ac:dyDescent="0.25">
      <c r="A162" s="73">
        <v>10</v>
      </c>
      <c r="B162" s="73"/>
      <c r="C162" s="18" t="s">
        <v>200</v>
      </c>
      <c r="D162" s="18">
        <f>19.6*10.764</f>
        <v>210.9744</v>
      </c>
      <c r="E162" s="18">
        <v>0</v>
      </c>
      <c r="F162" s="18">
        <f t="shared" si="8"/>
        <v>316.46159999999998</v>
      </c>
      <c r="G162" s="73"/>
      <c r="H162" s="73"/>
      <c r="I162" s="34"/>
      <c r="N162" s="34"/>
    </row>
    <row r="163" spans="1:14" s="2" customFormat="1" x14ac:dyDescent="0.25">
      <c r="A163" s="73">
        <v>11</v>
      </c>
      <c r="B163" s="73"/>
      <c r="C163" s="18" t="s">
        <v>200</v>
      </c>
      <c r="D163" s="18">
        <f>19.6*10.764</f>
        <v>210.9744</v>
      </c>
      <c r="E163" s="18">
        <v>0</v>
      </c>
      <c r="F163" s="18">
        <f t="shared" ref="F163:F164" si="9">D163*(($F$134)+1)+E163</f>
        <v>316.46159999999998</v>
      </c>
      <c r="G163" s="73"/>
      <c r="H163" s="73"/>
      <c r="I163" s="34"/>
      <c r="N163" s="34"/>
    </row>
    <row r="164" spans="1:14" s="2" customFormat="1" x14ac:dyDescent="0.25">
      <c r="A164" s="73">
        <v>12</v>
      </c>
      <c r="B164" s="73"/>
      <c r="C164" s="18" t="s">
        <v>200</v>
      </c>
      <c r="D164" s="18">
        <f>17*10.764</f>
        <v>182.988</v>
      </c>
      <c r="E164" s="18">
        <v>0</v>
      </c>
      <c r="F164" s="18">
        <f t="shared" si="9"/>
        <v>274.48199999999997</v>
      </c>
      <c r="G164" s="73"/>
      <c r="H164" s="73"/>
      <c r="I164" s="34"/>
      <c r="N164" s="34"/>
    </row>
    <row r="165" spans="1:14" s="2" customFormat="1" x14ac:dyDescent="0.25">
      <c r="A165" s="73">
        <v>13</v>
      </c>
      <c r="B165" s="73"/>
      <c r="C165" s="73" t="s">
        <v>261</v>
      </c>
      <c r="D165" s="73"/>
      <c r="E165" s="73"/>
      <c r="F165" s="73"/>
      <c r="G165" s="73"/>
      <c r="H165" s="73"/>
      <c r="I165" s="34"/>
      <c r="N165" s="34"/>
    </row>
    <row r="166" spans="1:14" s="2" customFormat="1" x14ac:dyDescent="0.25">
      <c r="A166" s="73">
        <v>14</v>
      </c>
      <c r="B166" s="73"/>
      <c r="C166" s="73"/>
      <c r="D166" s="73"/>
      <c r="E166" s="73"/>
      <c r="F166" s="73"/>
      <c r="G166" s="73"/>
      <c r="H166" s="73"/>
      <c r="I166" s="34"/>
      <c r="N166" s="34"/>
    </row>
    <row r="167" spans="1:14" s="2" customFormat="1" x14ac:dyDescent="0.25">
      <c r="A167" s="87" t="s">
        <v>205</v>
      </c>
      <c r="B167" s="87"/>
      <c r="C167" s="87"/>
      <c r="D167" s="87"/>
      <c r="E167" s="87"/>
      <c r="F167" s="87"/>
      <c r="G167" s="87"/>
      <c r="H167" s="87"/>
      <c r="I167" s="34"/>
      <c r="L167" s="96"/>
      <c r="M167" s="96"/>
    </row>
    <row r="168" spans="1:14" s="2" customFormat="1" x14ac:dyDescent="0.25">
      <c r="A168" s="73">
        <v>1</v>
      </c>
      <c r="B168" s="73"/>
      <c r="C168" s="73" t="s">
        <v>261</v>
      </c>
      <c r="D168" s="73"/>
      <c r="E168" s="73"/>
      <c r="F168" s="73"/>
      <c r="G168" s="73" t="str">
        <f>A167</f>
        <v>3rd Floor</v>
      </c>
      <c r="H168" s="73"/>
      <c r="I168" s="34"/>
    </row>
    <row r="169" spans="1:14" s="2" customFormat="1" x14ac:dyDescent="0.25">
      <c r="A169" s="73">
        <v>2</v>
      </c>
      <c r="B169" s="73"/>
      <c r="C169" s="73"/>
      <c r="D169" s="73"/>
      <c r="E169" s="73"/>
      <c r="F169" s="73"/>
      <c r="G169" s="73"/>
      <c r="H169" s="73"/>
      <c r="I169" s="34"/>
    </row>
    <row r="170" spans="1:14" s="2" customFormat="1" x14ac:dyDescent="0.25">
      <c r="A170" s="73">
        <v>3</v>
      </c>
      <c r="B170" s="73"/>
      <c r="C170" s="18" t="s">
        <v>200</v>
      </c>
      <c r="D170" s="18">
        <f>17*10.764</f>
        <v>182.988</v>
      </c>
      <c r="E170" s="18">
        <v>0</v>
      </c>
      <c r="F170" s="18">
        <f>D170*(($F$134)+1)+E170</f>
        <v>274.48199999999997</v>
      </c>
      <c r="G170" s="73"/>
      <c r="H170" s="73"/>
      <c r="I170" s="34"/>
      <c r="N170" s="34"/>
    </row>
    <row r="171" spans="1:14" s="2" customFormat="1" x14ac:dyDescent="0.25">
      <c r="A171" s="73">
        <v>4</v>
      </c>
      <c r="B171" s="73"/>
      <c r="C171" s="18" t="s">
        <v>200</v>
      </c>
      <c r="D171" s="18">
        <f>19.6*10.764</f>
        <v>210.9744</v>
      </c>
      <c r="E171" s="18">
        <v>0</v>
      </c>
      <c r="F171" s="18">
        <f t="shared" ref="F171:F173" si="10">D171*(($F$134)+1)+E171</f>
        <v>316.46159999999998</v>
      </c>
      <c r="G171" s="73"/>
      <c r="H171" s="73"/>
      <c r="I171" s="34"/>
      <c r="N171" s="34"/>
    </row>
    <row r="172" spans="1:14" s="2" customFormat="1" x14ac:dyDescent="0.25">
      <c r="A172" s="73">
        <v>5</v>
      </c>
      <c r="B172" s="73"/>
      <c r="C172" s="18" t="s">
        <v>200</v>
      </c>
      <c r="D172" s="18">
        <f>19.6*10.764</f>
        <v>210.9744</v>
      </c>
      <c r="E172" s="18">
        <v>0</v>
      </c>
      <c r="F172" s="18">
        <f t="shared" si="10"/>
        <v>316.46159999999998</v>
      </c>
      <c r="G172" s="73"/>
      <c r="H172" s="73"/>
      <c r="I172" s="34"/>
      <c r="N172" s="34"/>
    </row>
    <row r="173" spans="1:14" s="2" customFormat="1" x14ac:dyDescent="0.25">
      <c r="A173" s="73">
        <v>6</v>
      </c>
      <c r="B173" s="73"/>
      <c r="C173" s="18" t="s">
        <v>201</v>
      </c>
      <c r="D173" s="18">
        <f>30*10.764</f>
        <v>322.91999999999996</v>
      </c>
      <c r="E173" s="18">
        <v>0</v>
      </c>
      <c r="F173" s="18">
        <f t="shared" si="10"/>
        <v>484.37999999999994</v>
      </c>
      <c r="G173" s="73"/>
      <c r="H173" s="73"/>
      <c r="I173" s="34"/>
      <c r="N173" s="34"/>
    </row>
    <row r="174" spans="1:14" s="2" customFormat="1" x14ac:dyDescent="0.25">
      <c r="A174" s="73">
        <v>7</v>
      </c>
      <c r="B174" s="73"/>
      <c r="C174" s="18" t="s">
        <v>200</v>
      </c>
      <c r="D174" s="18">
        <f>15.24*10.764</f>
        <v>164.04335999999998</v>
      </c>
      <c r="E174" s="18">
        <v>0</v>
      </c>
      <c r="F174" s="18">
        <f>D174*(($F$134)+1)+E174</f>
        <v>246.06503999999995</v>
      </c>
      <c r="G174" s="73"/>
      <c r="H174" s="73"/>
      <c r="I174" s="34"/>
      <c r="N174" s="34"/>
    </row>
    <row r="175" spans="1:14" s="2" customFormat="1" x14ac:dyDescent="0.25">
      <c r="A175" s="73">
        <v>8</v>
      </c>
      <c r="B175" s="73"/>
      <c r="C175" s="18" t="s">
        <v>200</v>
      </c>
      <c r="D175" s="18">
        <f>22.02*10.764</f>
        <v>237.02327999999997</v>
      </c>
      <c r="E175" s="18">
        <v>0</v>
      </c>
      <c r="F175" s="18">
        <f t="shared" ref="F175:F179" si="11">D175*(($F$134)+1)+E175</f>
        <v>355.53491999999994</v>
      </c>
      <c r="G175" s="73"/>
      <c r="H175" s="73"/>
      <c r="I175" s="34"/>
      <c r="N175" s="34"/>
    </row>
    <row r="176" spans="1:14" s="2" customFormat="1" x14ac:dyDescent="0.25">
      <c r="A176" s="73">
        <v>9</v>
      </c>
      <c r="B176" s="73"/>
      <c r="C176" s="18" t="s">
        <v>200</v>
      </c>
      <c r="D176" s="18">
        <f>17*10.764</f>
        <v>182.988</v>
      </c>
      <c r="E176" s="18">
        <v>0</v>
      </c>
      <c r="F176" s="18">
        <f t="shared" si="11"/>
        <v>274.48199999999997</v>
      </c>
      <c r="G176" s="73"/>
      <c r="H176" s="73"/>
      <c r="I176" s="34"/>
      <c r="N176" s="34"/>
    </row>
    <row r="177" spans="1:14" s="2" customFormat="1" x14ac:dyDescent="0.25">
      <c r="A177" s="73">
        <v>10</v>
      </c>
      <c r="B177" s="73"/>
      <c r="C177" s="18" t="s">
        <v>200</v>
      </c>
      <c r="D177" s="18">
        <f>19.6*10.764</f>
        <v>210.9744</v>
      </c>
      <c r="E177" s="18">
        <v>0</v>
      </c>
      <c r="F177" s="18">
        <f t="shared" si="11"/>
        <v>316.46159999999998</v>
      </c>
      <c r="G177" s="73"/>
      <c r="H177" s="73"/>
      <c r="I177" s="34"/>
      <c r="N177" s="34"/>
    </row>
    <row r="178" spans="1:14" s="2" customFormat="1" x14ac:dyDescent="0.25">
      <c r="A178" s="73">
        <v>11</v>
      </c>
      <c r="B178" s="73"/>
      <c r="C178" s="18" t="s">
        <v>200</v>
      </c>
      <c r="D178" s="18">
        <f>19.6*10.764</f>
        <v>210.9744</v>
      </c>
      <c r="E178" s="18">
        <v>0</v>
      </c>
      <c r="F178" s="18">
        <f t="shared" si="11"/>
        <v>316.46159999999998</v>
      </c>
      <c r="G178" s="73"/>
      <c r="H178" s="73"/>
      <c r="I178" s="34"/>
      <c r="N178" s="34"/>
    </row>
    <row r="179" spans="1:14" s="2" customFormat="1" x14ac:dyDescent="0.25">
      <c r="A179" s="73">
        <v>12</v>
      </c>
      <c r="B179" s="73"/>
      <c r="C179" s="18" t="s">
        <v>200</v>
      </c>
      <c r="D179" s="18">
        <f>17*10.764</f>
        <v>182.988</v>
      </c>
      <c r="E179" s="18">
        <v>0</v>
      </c>
      <c r="F179" s="18">
        <f t="shared" si="11"/>
        <v>274.48199999999997</v>
      </c>
      <c r="G179" s="73"/>
      <c r="H179" s="73"/>
      <c r="I179" s="34"/>
      <c r="N179" s="34"/>
    </row>
    <row r="180" spans="1:14" s="2" customFormat="1" x14ac:dyDescent="0.25">
      <c r="A180" s="73">
        <v>13</v>
      </c>
      <c r="B180" s="73"/>
      <c r="C180" s="73" t="s">
        <v>261</v>
      </c>
      <c r="D180" s="73"/>
      <c r="E180" s="73"/>
      <c r="F180" s="73"/>
      <c r="G180" s="73"/>
      <c r="H180" s="73"/>
      <c r="I180" s="34"/>
      <c r="N180" s="34"/>
    </row>
    <row r="181" spans="1:14" s="2" customFormat="1" x14ac:dyDescent="0.25">
      <c r="A181" s="73">
        <v>14</v>
      </c>
      <c r="B181" s="73"/>
      <c r="C181" s="73"/>
      <c r="D181" s="73"/>
      <c r="E181" s="73"/>
      <c r="F181" s="73"/>
      <c r="G181" s="73"/>
      <c r="H181" s="73"/>
      <c r="I181" s="34"/>
      <c r="N181" s="34"/>
    </row>
    <row r="182" spans="1:14" s="2" customFormat="1" x14ac:dyDescent="0.25">
      <c r="A182" s="87" t="s">
        <v>206</v>
      </c>
      <c r="B182" s="87"/>
      <c r="C182" s="87"/>
      <c r="D182" s="87"/>
      <c r="E182" s="87"/>
      <c r="F182" s="87"/>
      <c r="G182" s="87"/>
      <c r="H182" s="87"/>
      <c r="I182" s="34"/>
      <c r="L182" s="96"/>
      <c r="M182" s="96"/>
    </row>
    <row r="183" spans="1:14" s="2" customFormat="1" ht="15.75" customHeight="1" x14ac:dyDescent="0.25">
      <c r="A183" s="73">
        <v>1</v>
      </c>
      <c r="B183" s="73"/>
      <c r="C183" s="78" t="s">
        <v>264</v>
      </c>
      <c r="D183" s="79"/>
      <c r="E183" s="79"/>
      <c r="F183" s="80"/>
      <c r="G183" s="78" t="str">
        <f>A182</f>
        <v>4th to 6th Floor</v>
      </c>
      <c r="H183" s="80"/>
      <c r="I183" s="34"/>
    </row>
    <row r="184" spans="1:14" s="2" customFormat="1" x14ac:dyDescent="0.25">
      <c r="A184" s="73">
        <v>2</v>
      </c>
      <c r="B184" s="73"/>
      <c r="C184" s="84"/>
      <c r="D184" s="85"/>
      <c r="E184" s="85"/>
      <c r="F184" s="86"/>
      <c r="G184" s="81"/>
      <c r="H184" s="83"/>
      <c r="I184" s="34"/>
    </row>
    <row r="185" spans="1:14" s="2" customFormat="1" ht="15.75" customHeight="1" x14ac:dyDescent="0.25">
      <c r="A185" s="73">
        <v>3</v>
      </c>
      <c r="B185" s="73"/>
      <c r="C185" s="18" t="s">
        <v>200</v>
      </c>
      <c r="D185" s="18">
        <f>17*10.764</f>
        <v>182.988</v>
      </c>
      <c r="E185" s="18">
        <v>0</v>
      </c>
      <c r="F185" s="18">
        <f>D185*(($F$134)+1)+E185</f>
        <v>274.48199999999997</v>
      </c>
      <c r="G185" s="81"/>
      <c r="H185" s="83"/>
      <c r="I185" s="34"/>
      <c r="N185" s="34"/>
    </row>
    <row r="186" spans="1:14" s="2" customFormat="1" ht="15.75" customHeight="1" x14ac:dyDescent="0.25">
      <c r="A186" s="73">
        <v>4</v>
      </c>
      <c r="B186" s="73"/>
      <c r="C186" s="18" t="s">
        <v>200</v>
      </c>
      <c r="D186" s="18">
        <f>19.6*10.764</f>
        <v>210.9744</v>
      </c>
      <c r="E186" s="18">
        <v>0</v>
      </c>
      <c r="F186" s="18">
        <f t="shared" ref="F186:F188" si="12">D186*(($F$134)+1)+E186</f>
        <v>316.46159999999998</v>
      </c>
      <c r="G186" s="81"/>
      <c r="H186" s="83"/>
      <c r="I186" s="34"/>
      <c r="N186" s="34"/>
    </row>
    <row r="187" spans="1:14" s="2" customFormat="1" ht="15.75" customHeight="1" x14ac:dyDescent="0.25">
      <c r="A187" s="73">
        <v>5</v>
      </c>
      <c r="B187" s="73"/>
      <c r="C187" s="18" t="s">
        <v>200</v>
      </c>
      <c r="D187" s="18">
        <f>19.6*10.764</f>
        <v>210.9744</v>
      </c>
      <c r="E187" s="18">
        <v>0</v>
      </c>
      <c r="F187" s="18">
        <f t="shared" si="12"/>
        <v>316.46159999999998</v>
      </c>
      <c r="G187" s="81"/>
      <c r="H187" s="83"/>
      <c r="I187" s="34"/>
      <c r="N187" s="34"/>
    </row>
    <row r="188" spans="1:14" s="2" customFormat="1" ht="15.75" customHeight="1" x14ac:dyDescent="0.25">
      <c r="A188" s="73">
        <v>6</v>
      </c>
      <c r="B188" s="73"/>
      <c r="C188" s="18" t="s">
        <v>201</v>
      </c>
      <c r="D188" s="18">
        <f>30*10.764</f>
        <v>322.91999999999996</v>
      </c>
      <c r="E188" s="18">
        <v>0</v>
      </c>
      <c r="F188" s="18">
        <f t="shared" si="12"/>
        <v>484.37999999999994</v>
      </c>
      <c r="G188" s="81"/>
      <c r="H188" s="83"/>
      <c r="I188" s="34"/>
      <c r="N188" s="34"/>
    </row>
    <row r="189" spans="1:14" s="2" customFormat="1" x14ac:dyDescent="0.25">
      <c r="A189" s="73">
        <v>7</v>
      </c>
      <c r="B189" s="73"/>
      <c r="C189" s="18" t="s">
        <v>200</v>
      </c>
      <c r="D189" s="18">
        <f>15.24*10.764</f>
        <v>164.04335999999998</v>
      </c>
      <c r="E189" s="18">
        <v>0</v>
      </c>
      <c r="F189" s="18">
        <f>D189*(($F$134)+1)+E189</f>
        <v>246.06503999999995</v>
      </c>
      <c r="G189" s="81"/>
      <c r="H189" s="83"/>
      <c r="I189" s="34"/>
      <c r="N189" s="34"/>
    </row>
    <row r="190" spans="1:14" s="2" customFormat="1" x14ac:dyDescent="0.25">
      <c r="A190" s="73">
        <v>8</v>
      </c>
      <c r="B190" s="73"/>
      <c r="C190" s="18" t="s">
        <v>200</v>
      </c>
      <c r="D190" s="18">
        <f>22.02*10.764</f>
        <v>237.02327999999997</v>
      </c>
      <c r="E190" s="18">
        <v>0</v>
      </c>
      <c r="F190" s="18">
        <f t="shared" ref="F190:F194" si="13">D190*(($F$134)+1)+E190</f>
        <v>355.53491999999994</v>
      </c>
      <c r="G190" s="81"/>
      <c r="H190" s="83"/>
      <c r="I190" s="34"/>
      <c r="N190" s="34"/>
    </row>
    <row r="191" spans="1:14" s="2" customFormat="1" x14ac:dyDescent="0.25">
      <c r="A191" s="73">
        <v>9</v>
      </c>
      <c r="B191" s="73"/>
      <c r="C191" s="18" t="s">
        <v>200</v>
      </c>
      <c r="D191" s="18">
        <f>17*10.764</f>
        <v>182.988</v>
      </c>
      <c r="E191" s="18">
        <v>0</v>
      </c>
      <c r="F191" s="18">
        <f t="shared" si="13"/>
        <v>274.48199999999997</v>
      </c>
      <c r="G191" s="81"/>
      <c r="H191" s="83"/>
      <c r="I191" s="34"/>
      <c r="N191" s="34"/>
    </row>
    <row r="192" spans="1:14" s="2" customFormat="1" x14ac:dyDescent="0.25">
      <c r="A192" s="73">
        <v>10</v>
      </c>
      <c r="B192" s="73"/>
      <c r="C192" s="18" t="s">
        <v>200</v>
      </c>
      <c r="D192" s="18">
        <f>19.6*10.764</f>
        <v>210.9744</v>
      </c>
      <c r="E192" s="18">
        <v>0</v>
      </c>
      <c r="F192" s="18">
        <f t="shared" si="13"/>
        <v>316.46159999999998</v>
      </c>
      <c r="G192" s="81"/>
      <c r="H192" s="83"/>
      <c r="I192" s="34"/>
      <c r="N192" s="34"/>
    </row>
    <row r="193" spans="1:14" s="2" customFormat="1" x14ac:dyDescent="0.25">
      <c r="A193" s="73">
        <v>11</v>
      </c>
      <c r="B193" s="73"/>
      <c r="C193" s="18" t="s">
        <v>200</v>
      </c>
      <c r="D193" s="18">
        <f>19.6*10.764</f>
        <v>210.9744</v>
      </c>
      <c r="E193" s="18">
        <v>0</v>
      </c>
      <c r="F193" s="18">
        <f t="shared" si="13"/>
        <v>316.46159999999998</v>
      </c>
      <c r="G193" s="81"/>
      <c r="H193" s="83"/>
      <c r="I193" s="34"/>
      <c r="N193" s="34"/>
    </row>
    <row r="194" spans="1:14" s="2" customFormat="1" x14ac:dyDescent="0.25">
      <c r="A194" s="73">
        <v>12</v>
      </c>
      <c r="B194" s="73"/>
      <c r="C194" s="18" t="s">
        <v>200</v>
      </c>
      <c r="D194" s="18">
        <f>17*10.764</f>
        <v>182.988</v>
      </c>
      <c r="E194" s="18">
        <v>0</v>
      </c>
      <c r="F194" s="18">
        <f t="shared" si="13"/>
        <v>274.48199999999997</v>
      </c>
      <c r="G194" s="81"/>
      <c r="H194" s="83"/>
      <c r="I194" s="34"/>
      <c r="N194" s="34"/>
    </row>
    <row r="195" spans="1:14" s="2" customFormat="1" x14ac:dyDescent="0.25">
      <c r="A195" s="73">
        <v>13</v>
      </c>
      <c r="B195" s="73"/>
      <c r="C195" s="78" t="s">
        <v>264</v>
      </c>
      <c r="D195" s="79"/>
      <c r="E195" s="79"/>
      <c r="F195" s="80"/>
      <c r="G195" s="81"/>
      <c r="H195" s="83"/>
      <c r="I195" s="34"/>
      <c r="N195" s="34"/>
    </row>
    <row r="196" spans="1:14" s="2" customFormat="1" x14ac:dyDescent="0.25">
      <c r="A196" s="73">
        <v>14</v>
      </c>
      <c r="B196" s="73"/>
      <c r="C196" s="84"/>
      <c r="D196" s="85"/>
      <c r="E196" s="85"/>
      <c r="F196" s="86"/>
      <c r="G196" s="84"/>
      <c r="H196" s="86"/>
      <c r="I196" s="34"/>
      <c r="N196" s="34"/>
    </row>
    <row r="197" spans="1:14" s="2" customFormat="1" x14ac:dyDescent="0.25">
      <c r="A197" s="87" t="s">
        <v>208</v>
      </c>
      <c r="B197" s="87"/>
      <c r="C197" s="87"/>
      <c r="D197" s="87"/>
      <c r="E197" s="87"/>
      <c r="F197" s="87"/>
      <c r="G197" s="87"/>
      <c r="H197" s="87"/>
      <c r="I197" s="34"/>
      <c r="L197" s="96"/>
      <c r="M197" s="96"/>
    </row>
    <row r="198" spans="1:14" s="2" customFormat="1" x14ac:dyDescent="0.25">
      <c r="A198" s="73">
        <v>1</v>
      </c>
      <c r="B198" s="73"/>
      <c r="C198" s="73" t="s">
        <v>207</v>
      </c>
      <c r="D198" s="73"/>
      <c r="E198" s="73"/>
      <c r="F198" s="73"/>
      <c r="G198" s="73" t="str">
        <f>A197</f>
        <v>7th &amp; 14th Floor (Part Refuge Area)</v>
      </c>
      <c r="H198" s="73"/>
      <c r="I198" s="34"/>
    </row>
    <row r="199" spans="1:14" s="2" customFormat="1" x14ac:dyDescent="0.25">
      <c r="A199" s="73">
        <v>2</v>
      </c>
      <c r="B199" s="73"/>
      <c r="C199" s="73"/>
      <c r="D199" s="73"/>
      <c r="E199" s="73"/>
      <c r="F199" s="73"/>
      <c r="G199" s="73"/>
      <c r="H199" s="73"/>
      <c r="I199" s="34"/>
    </row>
    <row r="200" spans="1:14" s="2" customFormat="1" ht="15.75" customHeight="1" x14ac:dyDescent="0.25">
      <c r="A200" s="73">
        <v>3</v>
      </c>
      <c r="B200" s="73"/>
      <c r="C200" s="73"/>
      <c r="D200" s="73"/>
      <c r="E200" s="73"/>
      <c r="F200" s="73"/>
      <c r="G200" s="73"/>
      <c r="H200" s="73"/>
      <c r="I200" s="34"/>
      <c r="N200" s="34"/>
    </row>
    <row r="201" spans="1:14" s="2" customFormat="1" ht="15.75" customHeight="1" x14ac:dyDescent="0.25">
      <c r="A201" s="73">
        <v>4</v>
      </c>
      <c r="B201" s="73"/>
      <c r="C201" s="73"/>
      <c r="D201" s="73"/>
      <c r="E201" s="73"/>
      <c r="F201" s="73"/>
      <c r="G201" s="73"/>
      <c r="H201" s="73"/>
      <c r="I201" s="34"/>
      <c r="N201" s="34"/>
    </row>
    <row r="202" spans="1:14" s="2" customFormat="1" ht="15.75" customHeight="1" x14ac:dyDescent="0.25">
      <c r="A202" s="73">
        <v>5</v>
      </c>
      <c r="B202" s="73"/>
      <c r="C202" s="18" t="s">
        <v>200</v>
      </c>
      <c r="D202" s="18">
        <f>19.6*10.764</f>
        <v>210.9744</v>
      </c>
      <c r="E202" s="18">
        <v>0</v>
      </c>
      <c r="F202" s="18">
        <f t="shared" ref="F202:F203" si="14">D202*(($F$134)+1)+E202</f>
        <v>316.46159999999998</v>
      </c>
      <c r="G202" s="73"/>
      <c r="H202" s="73"/>
      <c r="I202" s="34"/>
      <c r="N202" s="34"/>
    </row>
    <row r="203" spans="1:14" s="2" customFormat="1" ht="15.75" customHeight="1" x14ac:dyDescent="0.25">
      <c r="A203" s="73">
        <v>6</v>
      </c>
      <c r="B203" s="73"/>
      <c r="C203" s="18" t="s">
        <v>201</v>
      </c>
      <c r="D203" s="18">
        <f>30*10.764</f>
        <v>322.91999999999996</v>
      </c>
      <c r="E203" s="18">
        <v>0</v>
      </c>
      <c r="F203" s="18">
        <f t="shared" si="14"/>
        <v>484.37999999999994</v>
      </c>
      <c r="G203" s="73"/>
      <c r="H203" s="73"/>
      <c r="I203" s="34"/>
      <c r="N203" s="34"/>
    </row>
    <row r="204" spans="1:14" s="2" customFormat="1" x14ac:dyDescent="0.25">
      <c r="A204" s="73">
        <v>7</v>
      </c>
      <c r="B204" s="73"/>
      <c r="C204" s="18" t="s">
        <v>200</v>
      </c>
      <c r="D204" s="18">
        <f>15.24*10.764</f>
        <v>164.04335999999998</v>
      </c>
      <c r="E204" s="18">
        <v>0</v>
      </c>
      <c r="F204" s="18">
        <f>D204*(($F$134)+1)+E204</f>
        <v>246.06503999999995</v>
      </c>
      <c r="G204" s="73"/>
      <c r="H204" s="73"/>
      <c r="I204" s="34"/>
      <c r="N204" s="34"/>
    </row>
    <row r="205" spans="1:14" s="2" customFormat="1" x14ac:dyDescent="0.25">
      <c r="A205" s="73">
        <v>8</v>
      </c>
      <c r="B205" s="73"/>
      <c r="C205" s="18" t="s">
        <v>200</v>
      </c>
      <c r="D205" s="18">
        <f>22.02*10.764</f>
        <v>237.02327999999997</v>
      </c>
      <c r="E205" s="18">
        <v>0</v>
      </c>
      <c r="F205" s="18">
        <f t="shared" ref="F205:F209" si="15">D205*(($F$134)+1)+E205</f>
        <v>355.53491999999994</v>
      </c>
      <c r="G205" s="73"/>
      <c r="H205" s="73"/>
      <c r="I205" s="34"/>
      <c r="N205" s="34"/>
    </row>
    <row r="206" spans="1:14" s="2" customFormat="1" x14ac:dyDescent="0.25">
      <c r="A206" s="73">
        <v>9</v>
      </c>
      <c r="B206" s="73"/>
      <c r="C206" s="18" t="s">
        <v>200</v>
      </c>
      <c r="D206" s="18">
        <f>17*10.764</f>
        <v>182.988</v>
      </c>
      <c r="E206" s="18">
        <v>0</v>
      </c>
      <c r="F206" s="18">
        <f t="shared" si="15"/>
        <v>274.48199999999997</v>
      </c>
      <c r="G206" s="73"/>
      <c r="H206" s="73"/>
      <c r="I206" s="34"/>
      <c r="N206" s="34"/>
    </row>
    <row r="207" spans="1:14" s="2" customFormat="1" x14ac:dyDescent="0.25">
      <c r="A207" s="73">
        <v>10</v>
      </c>
      <c r="B207" s="73"/>
      <c r="C207" s="18" t="s">
        <v>200</v>
      </c>
      <c r="D207" s="18">
        <f>19.6*10.764</f>
        <v>210.9744</v>
      </c>
      <c r="E207" s="18">
        <v>0</v>
      </c>
      <c r="F207" s="18">
        <f t="shared" si="15"/>
        <v>316.46159999999998</v>
      </c>
      <c r="G207" s="73"/>
      <c r="H207" s="73"/>
      <c r="I207" s="34"/>
      <c r="N207" s="34"/>
    </row>
    <row r="208" spans="1:14" s="2" customFormat="1" x14ac:dyDescent="0.25">
      <c r="A208" s="73">
        <v>11</v>
      </c>
      <c r="B208" s="73"/>
      <c r="C208" s="18" t="s">
        <v>200</v>
      </c>
      <c r="D208" s="18">
        <f>19.6*10.764</f>
        <v>210.9744</v>
      </c>
      <c r="E208" s="18">
        <v>0</v>
      </c>
      <c r="F208" s="18">
        <f t="shared" si="15"/>
        <v>316.46159999999998</v>
      </c>
      <c r="G208" s="73"/>
      <c r="H208" s="73"/>
      <c r="I208" s="34"/>
      <c r="N208" s="34"/>
    </row>
    <row r="209" spans="1:14" s="2" customFormat="1" x14ac:dyDescent="0.25">
      <c r="A209" s="73">
        <v>12</v>
      </c>
      <c r="B209" s="73"/>
      <c r="C209" s="18" t="s">
        <v>200</v>
      </c>
      <c r="D209" s="18">
        <f>17*10.764</f>
        <v>182.988</v>
      </c>
      <c r="E209" s="18">
        <v>0</v>
      </c>
      <c r="F209" s="18">
        <f t="shared" si="15"/>
        <v>274.48199999999997</v>
      </c>
      <c r="G209" s="73"/>
      <c r="H209" s="73"/>
      <c r="I209" s="34"/>
      <c r="N209" s="34"/>
    </row>
    <row r="210" spans="1:14" s="2" customFormat="1" x14ac:dyDescent="0.25">
      <c r="A210" s="73">
        <v>13</v>
      </c>
      <c r="B210" s="73"/>
      <c r="C210" s="18" t="s">
        <v>200</v>
      </c>
      <c r="D210" s="18">
        <f>22.02*10.764</f>
        <v>237.02327999999997</v>
      </c>
      <c r="E210" s="18">
        <v>0</v>
      </c>
      <c r="F210" s="18">
        <f t="shared" ref="F210:F211" si="16">D210*(($F$134)+1)+E210</f>
        <v>355.53491999999994</v>
      </c>
      <c r="G210" s="73"/>
      <c r="H210" s="73"/>
      <c r="I210" s="34"/>
      <c r="N210" s="34"/>
    </row>
    <row r="211" spans="1:14" s="2" customFormat="1" x14ac:dyDescent="0.25">
      <c r="A211" s="73">
        <v>14</v>
      </c>
      <c r="B211" s="73"/>
      <c r="C211" s="18" t="s">
        <v>200</v>
      </c>
      <c r="D211" s="18">
        <f>15.24*10.764</f>
        <v>164.04335999999998</v>
      </c>
      <c r="E211" s="18">
        <v>0</v>
      </c>
      <c r="F211" s="18">
        <f t="shared" si="16"/>
        <v>246.06503999999995</v>
      </c>
      <c r="G211" s="73"/>
      <c r="H211" s="73"/>
      <c r="I211" s="34"/>
      <c r="N211" s="34"/>
    </row>
    <row r="212" spans="1:14" s="2" customFormat="1" x14ac:dyDescent="0.25">
      <c r="A212" s="87" t="s">
        <v>248</v>
      </c>
      <c r="B212" s="87"/>
      <c r="C212" s="87"/>
      <c r="D212" s="87"/>
      <c r="E212" s="87"/>
      <c r="F212" s="87"/>
      <c r="G212" s="87"/>
      <c r="H212" s="87"/>
      <c r="I212" s="34"/>
      <c r="L212" s="96"/>
      <c r="M212" s="96"/>
    </row>
    <row r="213" spans="1:14" s="2" customFormat="1" x14ac:dyDescent="0.25">
      <c r="A213" s="73">
        <v>1</v>
      </c>
      <c r="B213" s="73"/>
      <c r="C213" s="18" t="s">
        <v>200</v>
      </c>
      <c r="D213" s="18">
        <f>15.24*10.764</f>
        <v>164.04335999999998</v>
      </c>
      <c r="E213" s="18">
        <v>0</v>
      </c>
      <c r="F213" s="18">
        <f>D213*(($F$134)+1)+E213</f>
        <v>246.06503999999995</v>
      </c>
      <c r="G213" s="73" t="str">
        <f>A212</f>
        <v>8th to 13th, 15th to 20th &amp; 22nd Floor</v>
      </c>
      <c r="H213" s="73"/>
      <c r="I213" s="34"/>
      <c r="N213" s="34"/>
    </row>
    <row r="214" spans="1:14" s="2" customFormat="1" x14ac:dyDescent="0.25">
      <c r="A214" s="73">
        <v>2</v>
      </c>
      <c r="B214" s="73"/>
      <c r="C214" s="18" t="s">
        <v>200</v>
      </c>
      <c r="D214" s="18">
        <f>22.02*10.764</f>
        <v>237.02327999999997</v>
      </c>
      <c r="E214" s="18">
        <v>0</v>
      </c>
      <c r="F214" s="18">
        <f t="shared" ref="F214" si="17">D214*(($F$134)+1)+E214</f>
        <v>355.53491999999994</v>
      </c>
      <c r="G214" s="73"/>
      <c r="H214" s="73"/>
      <c r="I214" s="34"/>
      <c r="N214" s="34"/>
    </row>
    <row r="215" spans="1:14" s="2" customFormat="1" ht="15.75" customHeight="1" x14ac:dyDescent="0.25">
      <c r="A215" s="73">
        <v>3</v>
      </c>
      <c r="B215" s="73"/>
      <c r="C215" s="18" t="s">
        <v>200</v>
      </c>
      <c r="D215" s="18">
        <f>17*10.764</f>
        <v>182.988</v>
      </c>
      <c r="E215" s="18">
        <v>0</v>
      </c>
      <c r="F215" s="18">
        <f>D215*(($F$134)+1)+E215</f>
        <v>274.48199999999997</v>
      </c>
      <c r="G215" s="73"/>
      <c r="H215" s="73"/>
      <c r="I215" s="34"/>
      <c r="N215" s="34"/>
    </row>
    <row r="216" spans="1:14" s="2" customFormat="1" ht="15.75" customHeight="1" x14ac:dyDescent="0.25">
      <c r="A216" s="73">
        <v>4</v>
      </c>
      <c r="B216" s="73"/>
      <c r="C216" s="18" t="s">
        <v>200</v>
      </c>
      <c r="D216" s="18">
        <f>19.6*10.764</f>
        <v>210.9744</v>
      </c>
      <c r="E216" s="18">
        <v>0</v>
      </c>
      <c r="F216" s="18">
        <f t="shared" ref="F216:F218" si="18">D216*(($F$134)+1)+E216</f>
        <v>316.46159999999998</v>
      </c>
      <c r="G216" s="73"/>
      <c r="H216" s="73"/>
      <c r="I216" s="34"/>
      <c r="N216" s="34"/>
    </row>
    <row r="217" spans="1:14" s="2" customFormat="1" ht="15.75" customHeight="1" x14ac:dyDescent="0.25">
      <c r="A217" s="73">
        <v>5</v>
      </c>
      <c r="B217" s="73"/>
      <c r="C217" s="18" t="s">
        <v>200</v>
      </c>
      <c r="D217" s="18">
        <f>19.6*10.764</f>
        <v>210.9744</v>
      </c>
      <c r="E217" s="18">
        <v>0</v>
      </c>
      <c r="F217" s="18">
        <f t="shared" si="18"/>
        <v>316.46159999999998</v>
      </c>
      <c r="G217" s="73"/>
      <c r="H217" s="73"/>
      <c r="I217" s="34"/>
      <c r="N217" s="34"/>
    </row>
    <row r="218" spans="1:14" s="2" customFormat="1" ht="15.75" customHeight="1" x14ac:dyDescent="0.25">
      <c r="A218" s="73">
        <v>6</v>
      </c>
      <c r="B218" s="73"/>
      <c r="C218" s="18" t="s">
        <v>201</v>
      </c>
      <c r="D218" s="18">
        <f>30*10.764</f>
        <v>322.91999999999996</v>
      </c>
      <c r="E218" s="18">
        <v>0</v>
      </c>
      <c r="F218" s="18">
        <f t="shared" si="18"/>
        <v>484.37999999999994</v>
      </c>
      <c r="G218" s="73"/>
      <c r="H218" s="73"/>
      <c r="I218" s="34"/>
      <c r="N218" s="34"/>
    </row>
    <row r="219" spans="1:14" s="2" customFormat="1" x14ac:dyDescent="0.25">
      <c r="A219" s="73">
        <v>7</v>
      </c>
      <c r="B219" s="73"/>
      <c r="C219" s="18" t="s">
        <v>200</v>
      </c>
      <c r="D219" s="18">
        <f>15.24*10.764</f>
        <v>164.04335999999998</v>
      </c>
      <c r="E219" s="18">
        <v>0</v>
      </c>
      <c r="F219" s="18">
        <f>D219*(($F$134)+1)+E219</f>
        <v>246.06503999999995</v>
      </c>
      <c r="G219" s="73"/>
      <c r="H219" s="73"/>
      <c r="I219" s="34"/>
      <c r="N219" s="34"/>
    </row>
    <row r="220" spans="1:14" s="2" customFormat="1" x14ac:dyDescent="0.25">
      <c r="A220" s="73">
        <v>8</v>
      </c>
      <c r="B220" s="73"/>
      <c r="C220" s="18" t="s">
        <v>200</v>
      </c>
      <c r="D220" s="18">
        <f>22.02*10.764</f>
        <v>237.02327999999997</v>
      </c>
      <c r="E220" s="18">
        <v>0</v>
      </c>
      <c r="F220" s="18">
        <f t="shared" ref="F220:F226" si="19">D220*(($F$134)+1)+E220</f>
        <v>355.53491999999994</v>
      </c>
      <c r="G220" s="73"/>
      <c r="H220" s="73"/>
      <c r="I220" s="34"/>
      <c r="N220" s="34"/>
    </row>
    <row r="221" spans="1:14" s="2" customFormat="1" x14ac:dyDescent="0.25">
      <c r="A221" s="73">
        <v>9</v>
      </c>
      <c r="B221" s="73"/>
      <c r="C221" s="18" t="s">
        <v>200</v>
      </c>
      <c r="D221" s="18">
        <f>17*10.764</f>
        <v>182.988</v>
      </c>
      <c r="E221" s="18">
        <v>0</v>
      </c>
      <c r="F221" s="18">
        <f t="shared" si="19"/>
        <v>274.48199999999997</v>
      </c>
      <c r="G221" s="73"/>
      <c r="H221" s="73"/>
      <c r="I221" s="34"/>
      <c r="N221" s="34"/>
    </row>
    <row r="222" spans="1:14" s="2" customFormat="1" x14ac:dyDescent="0.25">
      <c r="A222" s="73">
        <v>10</v>
      </c>
      <c r="B222" s="73"/>
      <c r="C222" s="18" t="s">
        <v>200</v>
      </c>
      <c r="D222" s="18">
        <f>19.6*10.764</f>
        <v>210.9744</v>
      </c>
      <c r="E222" s="18">
        <v>0</v>
      </c>
      <c r="F222" s="18">
        <f t="shared" si="19"/>
        <v>316.46159999999998</v>
      </c>
      <c r="G222" s="73"/>
      <c r="H222" s="73"/>
      <c r="I222" s="34"/>
      <c r="N222" s="34"/>
    </row>
    <row r="223" spans="1:14" s="2" customFormat="1" x14ac:dyDescent="0.25">
      <c r="A223" s="73">
        <v>11</v>
      </c>
      <c r="B223" s="73"/>
      <c r="C223" s="18" t="s">
        <v>200</v>
      </c>
      <c r="D223" s="18">
        <f>19.6*10.764</f>
        <v>210.9744</v>
      </c>
      <c r="E223" s="18">
        <v>0</v>
      </c>
      <c r="F223" s="18">
        <f t="shared" si="19"/>
        <v>316.46159999999998</v>
      </c>
      <c r="G223" s="73"/>
      <c r="H223" s="73"/>
      <c r="I223" s="34"/>
      <c r="N223" s="34"/>
    </row>
    <row r="224" spans="1:14" s="2" customFormat="1" x14ac:dyDescent="0.25">
      <c r="A224" s="73">
        <v>12</v>
      </c>
      <c r="B224" s="73"/>
      <c r="C224" s="18" t="s">
        <v>200</v>
      </c>
      <c r="D224" s="18">
        <f>17*10.764</f>
        <v>182.988</v>
      </c>
      <c r="E224" s="18">
        <v>0</v>
      </c>
      <c r="F224" s="18">
        <f t="shared" si="19"/>
        <v>274.48199999999997</v>
      </c>
      <c r="G224" s="73"/>
      <c r="H224" s="73"/>
      <c r="I224" s="34"/>
      <c r="N224" s="34"/>
    </row>
    <row r="225" spans="1:14" s="2" customFormat="1" x14ac:dyDescent="0.25">
      <c r="A225" s="73">
        <v>13</v>
      </c>
      <c r="B225" s="73"/>
      <c r="C225" s="18" t="s">
        <v>200</v>
      </c>
      <c r="D225" s="18">
        <f>22.02*10.764</f>
        <v>237.02327999999997</v>
      </c>
      <c r="E225" s="18">
        <v>0</v>
      </c>
      <c r="F225" s="18">
        <f t="shared" si="19"/>
        <v>355.53491999999994</v>
      </c>
      <c r="G225" s="73"/>
      <c r="H225" s="73"/>
      <c r="I225" s="34"/>
      <c r="N225" s="34"/>
    </row>
    <row r="226" spans="1:14" s="2" customFormat="1" x14ac:dyDescent="0.25">
      <c r="A226" s="73">
        <v>14</v>
      </c>
      <c r="B226" s="73"/>
      <c r="C226" s="18" t="s">
        <v>200</v>
      </c>
      <c r="D226" s="18">
        <f>15.24*10.764</f>
        <v>164.04335999999998</v>
      </c>
      <c r="E226" s="18">
        <v>0</v>
      </c>
      <c r="F226" s="18">
        <f t="shared" si="19"/>
        <v>246.06503999999995</v>
      </c>
      <c r="G226" s="73"/>
      <c r="H226" s="73"/>
      <c r="I226" s="34"/>
      <c r="N226" s="34"/>
    </row>
    <row r="227" spans="1:14" s="2" customFormat="1" x14ac:dyDescent="0.25">
      <c r="A227" s="87" t="s">
        <v>209</v>
      </c>
      <c r="B227" s="87"/>
      <c r="C227" s="87"/>
      <c r="D227" s="87"/>
      <c r="E227" s="87"/>
      <c r="F227" s="87"/>
      <c r="G227" s="87"/>
      <c r="H227" s="87"/>
      <c r="I227" s="34"/>
      <c r="L227" s="96"/>
      <c r="M227" s="96"/>
    </row>
    <row r="228" spans="1:14" s="2" customFormat="1" x14ac:dyDescent="0.25">
      <c r="A228" s="73">
        <v>1</v>
      </c>
      <c r="B228" s="73"/>
      <c r="C228" s="18" t="s">
        <v>200</v>
      </c>
      <c r="D228" s="18">
        <f>15.24*10.764</f>
        <v>164.04335999999998</v>
      </c>
      <c r="E228" s="18">
        <v>0</v>
      </c>
      <c r="F228" s="18">
        <f>D228*(($F$134)+1)+E228</f>
        <v>246.06503999999995</v>
      </c>
      <c r="G228" s="78" t="str">
        <f>A227</f>
        <v>21st Floor (Part Refuge Area)</v>
      </c>
      <c r="H228" s="80"/>
      <c r="I228" s="34"/>
      <c r="N228" s="34"/>
    </row>
    <row r="229" spans="1:14" s="2" customFormat="1" x14ac:dyDescent="0.25">
      <c r="A229" s="73">
        <v>2</v>
      </c>
      <c r="B229" s="73"/>
      <c r="C229" s="18" t="s">
        <v>200</v>
      </c>
      <c r="D229" s="18">
        <f>22.02*10.764</f>
        <v>237.02327999999997</v>
      </c>
      <c r="E229" s="18">
        <v>0</v>
      </c>
      <c r="F229" s="18">
        <f t="shared" ref="F229" si="20">D229*(($F$134)+1)+E229</f>
        <v>355.53491999999994</v>
      </c>
      <c r="G229" s="81"/>
      <c r="H229" s="83"/>
      <c r="I229" s="34"/>
      <c r="N229" s="34"/>
    </row>
    <row r="230" spans="1:14" s="2" customFormat="1" ht="15.75" customHeight="1" x14ac:dyDescent="0.25">
      <c r="A230" s="73">
        <v>3</v>
      </c>
      <c r="B230" s="73"/>
      <c r="C230" s="18" t="s">
        <v>200</v>
      </c>
      <c r="D230" s="18">
        <f>17*10.764</f>
        <v>182.988</v>
      </c>
      <c r="E230" s="18">
        <v>0</v>
      </c>
      <c r="F230" s="18">
        <f>D230*(($F$134)+1)+E230</f>
        <v>274.48199999999997</v>
      </c>
      <c r="G230" s="81"/>
      <c r="H230" s="83"/>
      <c r="I230" s="34"/>
      <c r="N230" s="34"/>
    </row>
    <row r="231" spans="1:14" s="2" customFormat="1" ht="15.75" customHeight="1" x14ac:dyDescent="0.25">
      <c r="A231" s="73">
        <v>4</v>
      </c>
      <c r="B231" s="73"/>
      <c r="C231" s="75" t="s">
        <v>207</v>
      </c>
      <c r="D231" s="76"/>
      <c r="E231" s="76"/>
      <c r="F231" s="77"/>
      <c r="G231" s="81"/>
      <c r="H231" s="83"/>
      <c r="I231" s="34"/>
      <c r="N231" s="34"/>
    </row>
    <row r="232" spans="1:14" s="2" customFormat="1" ht="15.75" customHeight="1" x14ac:dyDescent="0.25">
      <c r="A232" s="73">
        <v>5</v>
      </c>
      <c r="B232" s="73"/>
      <c r="C232" s="18" t="s">
        <v>200</v>
      </c>
      <c r="D232" s="18">
        <f>19.6*10.764</f>
        <v>210.9744</v>
      </c>
      <c r="E232" s="18">
        <v>0</v>
      </c>
      <c r="F232" s="18">
        <f>D232*(($F$134)+1)+E232</f>
        <v>316.46159999999998</v>
      </c>
      <c r="G232" s="81"/>
      <c r="H232" s="83"/>
      <c r="I232" s="34"/>
      <c r="N232" s="34"/>
    </row>
    <row r="233" spans="1:14" s="2" customFormat="1" ht="15.75" customHeight="1" x14ac:dyDescent="0.25">
      <c r="A233" s="73">
        <v>6</v>
      </c>
      <c r="B233" s="73"/>
      <c r="C233" s="18" t="s">
        <v>201</v>
      </c>
      <c r="D233" s="18">
        <f>30*10.764</f>
        <v>322.91999999999996</v>
      </c>
      <c r="E233" s="18">
        <v>0</v>
      </c>
      <c r="F233" s="18">
        <f>D233*(($F$134)+1)+E233</f>
        <v>484.37999999999994</v>
      </c>
      <c r="G233" s="81"/>
      <c r="H233" s="83"/>
      <c r="I233" s="34"/>
      <c r="N233" s="34"/>
    </row>
    <row r="234" spans="1:14" s="2" customFormat="1" x14ac:dyDescent="0.25">
      <c r="A234" s="73">
        <v>7</v>
      </c>
      <c r="B234" s="73"/>
      <c r="C234" s="18" t="s">
        <v>200</v>
      </c>
      <c r="D234" s="18">
        <f>15.24*10.764</f>
        <v>164.04335999999998</v>
      </c>
      <c r="E234" s="18">
        <v>0</v>
      </c>
      <c r="F234" s="18">
        <f>D234*(($F$134)+1)+E234</f>
        <v>246.06503999999995</v>
      </c>
      <c r="G234" s="81"/>
      <c r="H234" s="83"/>
      <c r="I234" s="34"/>
      <c r="N234" s="34"/>
    </row>
    <row r="235" spans="1:14" s="2" customFormat="1" x14ac:dyDescent="0.25">
      <c r="A235" s="73">
        <v>8</v>
      </c>
      <c r="B235" s="73"/>
      <c r="C235" s="18" t="s">
        <v>200</v>
      </c>
      <c r="D235" s="18">
        <f>22.02*10.764</f>
        <v>237.02327999999997</v>
      </c>
      <c r="E235" s="18">
        <v>0</v>
      </c>
      <c r="F235" s="18">
        <f t="shared" ref="F235:F241" si="21">D235*(($F$134)+1)+E235</f>
        <v>355.53491999999994</v>
      </c>
      <c r="G235" s="81"/>
      <c r="H235" s="83"/>
      <c r="I235" s="34"/>
      <c r="N235" s="34"/>
    </row>
    <row r="236" spans="1:14" s="2" customFormat="1" x14ac:dyDescent="0.25">
      <c r="A236" s="73">
        <v>9</v>
      </c>
      <c r="B236" s="73"/>
      <c r="C236" s="18" t="s">
        <v>200</v>
      </c>
      <c r="D236" s="18">
        <f>17*10.764</f>
        <v>182.988</v>
      </c>
      <c r="E236" s="18">
        <v>0</v>
      </c>
      <c r="F236" s="18">
        <f t="shared" si="21"/>
        <v>274.48199999999997</v>
      </c>
      <c r="G236" s="81"/>
      <c r="H236" s="83"/>
      <c r="I236" s="34"/>
      <c r="N236" s="34"/>
    </row>
    <row r="237" spans="1:14" s="2" customFormat="1" x14ac:dyDescent="0.25">
      <c r="A237" s="73">
        <v>10</v>
      </c>
      <c r="B237" s="73"/>
      <c r="C237" s="18" t="s">
        <v>200</v>
      </c>
      <c r="D237" s="18">
        <f>19.6*10.764</f>
        <v>210.9744</v>
      </c>
      <c r="E237" s="18">
        <v>0</v>
      </c>
      <c r="F237" s="18">
        <f t="shared" si="21"/>
        <v>316.46159999999998</v>
      </c>
      <c r="G237" s="81"/>
      <c r="H237" s="83"/>
      <c r="I237" s="34"/>
      <c r="N237" s="34"/>
    </row>
    <row r="238" spans="1:14" s="2" customFormat="1" x14ac:dyDescent="0.25">
      <c r="A238" s="73">
        <v>11</v>
      </c>
      <c r="B238" s="73"/>
      <c r="C238" s="18" t="s">
        <v>200</v>
      </c>
      <c r="D238" s="18">
        <f>19.6*10.764</f>
        <v>210.9744</v>
      </c>
      <c r="E238" s="18">
        <v>0</v>
      </c>
      <c r="F238" s="18">
        <f t="shared" si="21"/>
        <v>316.46159999999998</v>
      </c>
      <c r="G238" s="81"/>
      <c r="H238" s="83"/>
      <c r="I238" s="34"/>
      <c r="N238" s="34"/>
    </row>
    <row r="239" spans="1:14" s="2" customFormat="1" x14ac:dyDescent="0.25">
      <c r="A239" s="73">
        <v>12</v>
      </c>
      <c r="B239" s="73"/>
      <c r="C239" s="18" t="s">
        <v>200</v>
      </c>
      <c r="D239" s="18">
        <f>17*10.764</f>
        <v>182.988</v>
      </c>
      <c r="E239" s="18">
        <v>0</v>
      </c>
      <c r="F239" s="18">
        <f t="shared" si="21"/>
        <v>274.48199999999997</v>
      </c>
      <c r="G239" s="81"/>
      <c r="H239" s="83"/>
      <c r="I239" s="34"/>
      <c r="N239" s="34"/>
    </row>
    <row r="240" spans="1:14" s="2" customFormat="1" x14ac:dyDescent="0.25">
      <c r="A240" s="73">
        <v>13</v>
      </c>
      <c r="B240" s="73"/>
      <c r="C240" s="18" t="s">
        <v>200</v>
      </c>
      <c r="D240" s="18">
        <f>22.02*10.764</f>
        <v>237.02327999999997</v>
      </c>
      <c r="E240" s="18">
        <v>0</v>
      </c>
      <c r="F240" s="18">
        <f t="shared" si="21"/>
        <v>355.53491999999994</v>
      </c>
      <c r="G240" s="81"/>
      <c r="H240" s="83"/>
      <c r="I240" s="34"/>
      <c r="N240" s="34"/>
    </row>
    <row r="241" spans="1:14" s="2" customFormat="1" x14ac:dyDescent="0.25">
      <c r="A241" s="73">
        <v>14</v>
      </c>
      <c r="B241" s="73"/>
      <c r="C241" s="18" t="s">
        <v>200</v>
      </c>
      <c r="D241" s="18">
        <f>15.24*10.764</f>
        <v>164.04335999999998</v>
      </c>
      <c r="E241" s="18">
        <v>0</v>
      </c>
      <c r="F241" s="18">
        <f t="shared" si="21"/>
        <v>246.06503999999995</v>
      </c>
      <c r="G241" s="84"/>
      <c r="H241" s="86"/>
      <c r="I241" s="34"/>
      <c r="N241" s="34"/>
    </row>
    <row r="242" spans="1:14" s="2" customFormat="1" hidden="1" x14ac:dyDescent="0.25">
      <c r="A242" s="75"/>
      <c r="B242" s="76"/>
      <c r="C242" s="76"/>
      <c r="D242" s="76"/>
      <c r="E242" s="76"/>
      <c r="F242" s="76"/>
      <c r="G242" s="76"/>
      <c r="H242" s="77"/>
      <c r="I242" s="34"/>
      <c r="N242" s="34"/>
    </row>
    <row r="243" spans="1:14" ht="47.25" hidden="1" customHeight="1" x14ac:dyDescent="0.25">
      <c r="A243" s="92" t="s">
        <v>154</v>
      </c>
      <c r="B243" s="92" t="s">
        <v>155</v>
      </c>
      <c r="C243" s="88" t="s">
        <v>64</v>
      </c>
      <c r="D243" s="88" t="s">
        <v>65</v>
      </c>
      <c r="E243" s="90" t="s">
        <v>66</v>
      </c>
      <c r="F243" s="32" t="s">
        <v>150</v>
      </c>
      <c r="G243" s="92" t="s">
        <v>67</v>
      </c>
      <c r="H243" s="93"/>
      <c r="I243" s="34"/>
    </row>
    <row r="244" spans="1:14" s="2" customFormat="1" hidden="1" x14ac:dyDescent="0.25">
      <c r="A244" s="94"/>
      <c r="B244" s="94"/>
      <c r="C244" s="89"/>
      <c r="D244" s="89"/>
      <c r="E244" s="91"/>
      <c r="F244" s="33">
        <v>0.5</v>
      </c>
      <c r="G244" s="94"/>
      <c r="H244" s="95"/>
      <c r="I244" s="34"/>
    </row>
    <row r="245" spans="1:14" s="2" customFormat="1" x14ac:dyDescent="0.25">
      <c r="A245" s="87" t="s">
        <v>202</v>
      </c>
      <c r="B245" s="87"/>
      <c r="C245" s="87"/>
      <c r="D245" s="87"/>
      <c r="E245" s="87"/>
      <c r="F245" s="87"/>
      <c r="G245" s="87"/>
      <c r="H245" s="87"/>
      <c r="I245" s="34"/>
      <c r="L245" s="96"/>
      <c r="M245" s="96"/>
    </row>
    <row r="246" spans="1:14" s="2" customFormat="1" x14ac:dyDescent="0.25">
      <c r="A246" s="87" t="s">
        <v>251</v>
      </c>
      <c r="B246" s="87"/>
      <c r="C246" s="87"/>
      <c r="D246" s="87"/>
      <c r="E246" s="87"/>
      <c r="F246" s="87"/>
      <c r="G246" s="87"/>
      <c r="H246" s="87"/>
      <c r="I246" s="34"/>
      <c r="L246" s="96"/>
      <c r="M246" s="96"/>
    </row>
    <row r="247" spans="1:14" s="2" customFormat="1" x14ac:dyDescent="0.25">
      <c r="A247" s="87" t="s">
        <v>203</v>
      </c>
      <c r="B247" s="87"/>
      <c r="C247" s="87"/>
      <c r="D247" s="87"/>
      <c r="E247" s="87"/>
      <c r="F247" s="87"/>
      <c r="G247" s="87"/>
      <c r="H247" s="87"/>
      <c r="I247" s="34"/>
      <c r="L247" s="96"/>
      <c r="M247" s="96"/>
    </row>
    <row r="248" spans="1:14" s="2" customFormat="1" ht="15.75" customHeight="1" x14ac:dyDescent="0.25">
      <c r="A248" s="73">
        <v>1</v>
      </c>
      <c r="B248" s="73"/>
      <c r="C248" s="18" t="s">
        <v>200</v>
      </c>
      <c r="D248" s="18">
        <f>15.24*10.764</f>
        <v>164.04335999999998</v>
      </c>
      <c r="E248" s="18">
        <v>0</v>
      </c>
      <c r="F248" s="18">
        <f>D248*(($F$244)+1)+E248</f>
        <v>246.06503999999995</v>
      </c>
      <c r="G248" s="73" t="str">
        <f>A247</f>
        <v>1st Floor (Part Fitness Centre &amp; Society Office)</v>
      </c>
      <c r="H248" s="73"/>
      <c r="I248" s="34"/>
      <c r="N248" s="34"/>
    </row>
    <row r="249" spans="1:14" s="2" customFormat="1" x14ac:dyDescent="0.25">
      <c r="A249" s="73">
        <v>2</v>
      </c>
      <c r="B249" s="73"/>
      <c r="C249" s="18" t="s">
        <v>200</v>
      </c>
      <c r="D249" s="18">
        <f>22.02*10.764</f>
        <v>237.02327999999997</v>
      </c>
      <c r="E249" s="18">
        <v>0</v>
      </c>
      <c r="F249" s="18">
        <f>D249*(($F$244)+1)+E249</f>
        <v>355.53491999999994</v>
      </c>
      <c r="G249" s="73"/>
      <c r="H249" s="73"/>
      <c r="I249" s="34"/>
      <c r="N249" s="34"/>
    </row>
    <row r="250" spans="1:14" s="2" customFormat="1" ht="15.75" customHeight="1" x14ac:dyDescent="0.25">
      <c r="A250" s="73">
        <v>3</v>
      </c>
      <c r="B250" s="73"/>
      <c r="C250" s="18" t="s">
        <v>200</v>
      </c>
      <c r="D250" s="18">
        <f>15.42*10.764</f>
        <v>165.98087999999998</v>
      </c>
      <c r="E250" s="18">
        <v>0</v>
      </c>
      <c r="F250" s="18">
        <f>D250*(($F$244)+1)+E250</f>
        <v>248.97131999999999</v>
      </c>
      <c r="G250" s="73"/>
      <c r="H250" s="73"/>
      <c r="I250" s="34"/>
      <c r="N250" s="34"/>
    </row>
    <row r="251" spans="1:14" s="2" customFormat="1" ht="15.75" customHeight="1" x14ac:dyDescent="0.25">
      <c r="A251" s="73">
        <v>4</v>
      </c>
      <c r="B251" s="73"/>
      <c r="C251" s="18" t="s">
        <v>200</v>
      </c>
      <c r="D251" s="18">
        <f>22.76*10.764</f>
        <v>244.98864</v>
      </c>
      <c r="E251" s="18">
        <v>0</v>
      </c>
      <c r="F251" s="18">
        <f>D251*(($F$244)+1)+E251</f>
        <v>367.48295999999999</v>
      </c>
      <c r="G251" s="73"/>
      <c r="H251" s="73"/>
      <c r="I251" s="34"/>
      <c r="N251" s="34"/>
    </row>
    <row r="252" spans="1:14" s="2" customFormat="1" ht="15.75" customHeight="1" x14ac:dyDescent="0.25">
      <c r="A252" s="73">
        <v>5</v>
      </c>
      <c r="B252" s="73"/>
      <c r="C252" s="73" t="s">
        <v>265</v>
      </c>
      <c r="D252" s="73"/>
      <c r="E252" s="73"/>
      <c r="F252" s="73"/>
      <c r="G252" s="73"/>
      <c r="H252" s="73"/>
      <c r="I252" s="34"/>
      <c r="N252" s="34"/>
    </row>
    <row r="253" spans="1:14" s="2" customFormat="1" x14ac:dyDescent="0.25">
      <c r="A253" s="73">
        <v>6</v>
      </c>
      <c r="B253" s="73"/>
      <c r="C253" s="73" t="s">
        <v>266</v>
      </c>
      <c r="D253" s="73"/>
      <c r="E253" s="73"/>
      <c r="F253" s="73"/>
      <c r="G253" s="73"/>
      <c r="H253" s="73"/>
      <c r="I253" s="34"/>
      <c r="N253" s="34"/>
    </row>
    <row r="254" spans="1:14" s="2" customFormat="1" x14ac:dyDescent="0.25">
      <c r="A254" s="73">
        <v>7</v>
      </c>
      <c r="B254" s="73"/>
      <c r="C254" s="73"/>
      <c r="D254" s="73"/>
      <c r="E254" s="73"/>
      <c r="F254" s="73"/>
      <c r="G254" s="73"/>
      <c r="H254" s="73"/>
      <c r="I254" s="34"/>
      <c r="N254" s="34"/>
    </row>
    <row r="255" spans="1:14" s="2" customFormat="1" x14ac:dyDescent="0.25">
      <c r="A255" s="73">
        <v>8</v>
      </c>
      <c r="B255" s="73"/>
      <c r="C255" s="73"/>
      <c r="D255" s="73"/>
      <c r="E255" s="73"/>
      <c r="F255" s="73"/>
      <c r="G255" s="73"/>
      <c r="H255" s="73"/>
      <c r="I255" s="34"/>
      <c r="N255" s="34"/>
    </row>
    <row r="256" spans="1:14" s="2" customFormat="1" x14ac:dyDescent="0.25">
      <c r="A256" s="73">
        <v>9</v>
      </c>
      <c r="B256" s="73"/>
      <c r="C256" s="73"/>
      <c r="D256" s="73"/>
      <c r="E256" s="73"/>
      <c r="F256" s="73"/>
      <c r="G256" s="73"/>
      <c r="H256" s="73"/>
      <c r="I256" s="34"/>
      <c r="N256" s="34"/>
    </row>
    <row r="257" spans="1:14" s="2" customFormat="1" x14ac:dyDescent="0.25">
      <c r="A257" s="73">
        <v>10</v>
      </c>
      <c r="B257" s="73"/>
      <c r="C257" s="73"/>
      <c r="D257" s="73"/>
      <c r="E257" s="73"/>
      <c r="F257" s="73"/>
      <c r="G257" s="73"/>
      <c r="H257" s="73"/>
      <c r="I257" s="34"/>
      <c r="N257" s="34"/>
    </row>
    <row r="258" spans="1:14" s="2" customFormat="1" x14ac:dyDescent="0.25">
      <c r="A258" s="73">
        <v>11</v>
      </c>
      <c r="B258" s="73"/>
      <c r="C258" s="73"/>
      <c r="D258" s="73"/>
      <c r="E258" s="73"/>
      <c r="F258" s="73"/>
      <c r="G258" s="73"/>
      <c r="H258" s="73"/>
      <c r="I258" s="34"/>
      <c r="N258" s="34"/>
    </row>
    <row r="259" spans="1:14" s="2" customFormat="1" x14ac:dyDescent="0.25">
      <c r="A259" s="73">
        <v>12</v>
      </c>
      <c r="B259" s="73"/>
      <c r="C259" s="73"/>
      <c r="D259" s="73"/>
      <c r="E259" s="73"/>
      <c r="F259" s="73"/>
      <c r="G259" s="73"/>
      <c r="H259" s="73"/>
      <c r="I259" s="34"/>
      <c r="N259" s="34"/>
    </row>
    <row r="260" spans="1:14" s="2" customFormat="1" x14ac:dyDescent="0.25">
      <c r="A260" s="73">
        <v>13</v>
      </c>
      <c r="B260" s="73"/>
      <c r="C260" s="73"/>
      <c r="D260" s="73"/>
      <c r="E260" s="73"/>
      <c r="F260" s="73"/>
      <c r="G260" s="73"/>
      <c r="H260" s="73"/>
      <c r="I260" s="34"/>
      <c r="N260" s="34"/>
    </row>
    <row r="261" spans="1:14" s="2" customFormat="1" x14ac:dyDescent="0.25">
      <c r="A261" s="73">
        <v>14</v>
      </c>
      <c r="B261" s="73"/>
      <c r="C261" s="73"/>
      <c r="D261" s="73"/>
      <c r="E261" s="73"/>
      <c r="F261" s="73"/>
      <c r="G261" s="73"/>
      <c r="H261" s="73"/>
      <c r="I261" s="34"/>
      <c r="N261" s="34"/>
    </row>
    <row r="262" spans="1:14" s="2" customFormat="1" x14ac:dyDescent="0.25">
      <c r="A262" s="87" t="s">
        <v>204</v>
      </c>
      <c r="B262" s="87"/>
      <c r="C262" s="87"/>
      <c r="D262" s="87"/>
      <c r="E262" s="87"/>
      <c r="F262" s="87"/>
      <c r="G262" s="87"/>
      <c r="H262" s="87"/>
      <c r="I262" s="34"/>
      <c r="L262" s="96"/>
      <c r="M262" s="96"/>
    </row>
    <row r="263" spans="1:14" s="2" customFormat="1" ht="15.75" customHeight="1" x14ac:dyDescent="0.25">
      <c r="A263" s="73">
        <v>1</v>
      </c>
      <c r="B263" s="73"/>
      <c r="C263" s="18" t="s">
        <v>200</v>
      </c>
      <c r="D263" s="18">
        <f>15.24*10.764</f>
        <v>164.04335999999998</v>
      </c>
      <c r="E263" s="18">
        <v>0</v>
      </c>
      <c r="F263" s="18">
        <f t="shared" ref="F263:F276" si="22">D263*(($F$244)+1)+E263</f>
        <v>246.06503999999995</v>
      </c>
      <c r="G263" s="78" t="str">
        <f>A262</f>
        <v>2nd Floor for Residential</v>
      </c>
      <c r="H263" s="80"/>
      <c r="I263" s="34"/>
      <c r="N263" s="34"/>
    </row>
    <row r="264" spans="1:14" s="2" customFormat="1" ht="15.75" customHeight="1" x14ac:dyDescent="0.25">
      <c r="A264" s="73">
        <v>2</v>
      </c>
      <c r="B264" s="73"/>
      <c r="C264" s="18" t="s">
        <v>200</v>
      </c>
      <c r="D264" s="18">
        <f>22.02*10.764</f>
        <v>237.02327999999997</v>
      </c>
      <c r="E264" s="18">
        <v>0</v>
      </c>
      <c r="F264" s="18">
        <f t="shared" si="22"/>
        <v>355.53491999999994</v>
      </c>
      <c r="G264" s="81"/>
      <c r="H264" s="83"/>
      <c r="I264" s="34"/>
      <c r="N264" s="34"/>
    </row>
    <row r="265" spans="1:14" s="2" customFormat="1" ht="15.75" customHeight="1" x14ac:dyDescent="0.25">
      <c r="A265" s="73">
        <v>3</v>
      </c>
      <c r="B265" s="73"/>
      <c r="C265" s="18" t="s">
        <v>200</v>
      </c>
      <c r="D265" s="18">
        <f>15.42*10.764</f>
        <v>165.98087999999998</v>
      </c>
      <c r="E265" s="18">
        <v>0</v>
      </c>
      <c r="F265" s="18">
        <f t="shared" si="22"/>
        <v>248.97131999999999</v>
      </c>
      <c r="G265" s="81"/>
      <c r="H265" s="83"/>
      <c r="I265" s="34"/>
      <c r="N265" s="34"/>
    </row>
    <row r="266" spans="1:14" s="2" customFormat="1" ht="15.75" customHeight="1" x14ac:dyDescent="0.25">
      <c r="A266" s="73">
        <v>4</v>
      </c>
      <c r="B266" s="73"/>
      <c r="C266" s="18" t="s">
        <v>200</v>
      </c>
      <c r="D266" s="18">
        <f>22.76*10.764</f>
        <v>244.98864</v>
      </c>
      <c r="E266" s="18">
        <v>0</v>
      </c>
      <c r="F266" s="18">
        <f t="shared" si="22"/>
        <v>367.48295999999999</v>
      </c>
      <c r="G266" s="81"/>
      <c r="H266" s="83"/>
      <c r="I266" s="34"/>
      <c r="N266" s="34"/>
    </row>
    <row r="267" spans="1:14" s="2" customFormat="1" x14ac:dyDescent="0.25">
      <c r="A267" s="73">
        <v>5</v>
      </c>
      <c r="B267" s="73"/>
      <c r="C267" s="18" t="s">
        <v>200</v>
      </c>
      <c r="D267" s="18">
        <f>22.76*10.764</f>
        <v>244.98864</v>
      </c>
      <c r="E267" s="18">
        <v>0</v>
      </c>
      <c r="F267" s="18">
        <f t="shared" si="22"/>
        <v>367.48295999999999</v>
      </c>
      <c r="G267" s="81"/>
      <c r="H267" s="83"/>
      <c r="I267" s="34"/>
      <c r="N267" s="34"/>
    </row>
    <row r="268" spans="1:14" s="2" customFormat="1" x14ac:dyDescent="0.25">
      <c r="A268" s="73">
        <v>6</v>
      </c>
      <c r="B268" s="73"/>
      <c r="C268" s="18" t="s">
        <v>200</v>
      </c>
      <c r="D268" s="18">
        <f>15.42*10.764</f>
        <v>165.98087999999998</v>
      </c>
      <c r="E268" s="18">
        <v>0</v>
      </c>
      <c r="F268" s="18">
        <f t="shared" si="22"/>
        <v>248.97131999999999</v>
      </c>
      <c r="G268" s="81"/>
      <c r="H268" s="83"/>
      <c r="I268" s="34"/>
      <c r="N268" s="34"/>
    </row>
    <row r="269" spans="1:14" s="2" customFormat="1" x14ac:dyDescent="0.25">
      <c r="A269" s="73">
        <v>7</v>
      </c>
      <c r="B269" s="73"/>
      <c r="C269" s="18" t="s">
        <v>200</v>
      </c>
      <c r="D269" s="18">
        <f>22.02*10.764</f>
        <v>237.02327999999997</v>
      </c>
      <c r="E269" s="18">
        <v>0</v>
      </c>
      <c r="F269" s="18">
        <f t="shared" si="22"/>
        <v>355.53491999999994</v>
      </c>
      <c r="G269" s="81"/>
      <c r="H269" s="83"/>
      <c r="I269" s="34"/>
      <c r="N269" s="34"/>
    </row>
    <row r="270" spans="1:14" s="2" customFormat="1" x14ac:dyDescent="0.25">
      <c r="A270" s="73">
        <v>8</v>
      </c>
      <c r="B270" s="73"/>
      <c r="C270" s="18" t="s">
        <v>200</v>
      </c>
      <c r="D270" s="18">
        <f>15.24*10.764</f>
        <v>164.04335999999998</v>
      </c>
      <c r="E270" s="18">
        <v>0</v>
      </c>
      <c r="F270" s="18">
        <f t="shared" si="22"/>
        <v>246.06503999999995</v>
      </c>
      <c r="G270" s="81"/>
      <c r="H270" s="83"/>
      <c r="I270" s="34"/>
      <c r="N270" s="34"/>
    </row>
    <row r="271" spans="1:14" s="2" customFormat="1" x14ac:dyDescent="0.25">
      <c r="A271" s="73">
        <v>9</v>
      </c>
      <c r="B271" s="73"/>
      <c r="C271" s="18" t="s">
        <v>200</v>
      </c>
      <c r="D271" s="18">
        <f>15.24*10.764</f>
        <v>164.04335999999998</v>
      </c>
      <c r="E271" s="18">
        <v>0</v>
      </c>
      <c r="F271" s="18">
        <f t="shared" si="22"/>
        <v>246.06503999999995</v>
      </c>
      <c r="G271" s="81"/>
      <c r="H271" s="83"/>
      <c r="I271" s="34"/>
      <c r="N271" s="34"/>
    </row>
    <row r="272" spans="1:14" s="2" customFormat="1" x14ac:dyDescent="0.25">
      <c r="A272" s="73">
        <v>10</v>
      </c>
      <c r="B272" s="73"/>
      <c r="C272" s="18" t="s">
        <v>200</v>
      </c>
      <c r="D272" s="18">
        <f>22.02*10.764</f>
        <v>237.02327999999997</v>
      </c>
      <c r="E272" s="18">
        <v>0</v>
      </c>
      <c r="F272" s="18">
        <f t="shared" si="22"/>
        <v>355.53491999999994</v>
      </c>
      <c r="G272" s="81"/>
      <c r="H272" s="83"/>
      <c r="I272" s="34"/>
      <c r="N272" s="34"/>
    </row>
    <row r="273" spans="1:14" s="2" customFormat="1" x14ac:dyDescent="0.25">
      <c r="A273" s="73">
        <v>11</v>
      </c>
      <c r="B273" s="73"/>
      <c r="C273" s="18" t="s">
        <v>200</v>
      </c>
      <c r="D273" s="18">
        <f>15.42*10.764</f>
        <v>165.98087999999998</v>
      </c>
      <c r="E273" s="18">
        <v>0</v>
      </c>
      <c r="F273" s="18">
        <f t="shared" si="22"/>
        <v>248.97131999999999</v>
      </c>
      <c r="G273" s="81"/>
      <c r="H273" s="83"/>
      <c r="I273" s="34"/>
      <c r="N273" s="34"/>
    </row>
    <row r="274" spans="1:14" s="2" customFormat="1" x14ac:dyDescent="0.25">
      <c r="A274" s="73">
        <v>12</v>
      </c>
      <c r="B274" s="73"/>
      <c r="C274" s="18" t="s">
        <v>200</v>
      </c>
      <c r="D274" s="18">
        <f>22.76*10.764</f>
        <v>244.98864</v>
      </c>
      <c r="E274" s="18">
        <v>0</v>
      </c>
      <c r="F274" s="18">
        <f t="shared" si="22"/>
        <v>367.48295999999999</v>
      </c>
      <c r="G274" s="81"/>
      <c r="H274" s="83"/>
      <c r="I274" s="34"/>
      <c r="N274" s="34"/>
    </row>
    <row r="275" spans="1:14" s="2" customFormat="1" x14ac:dyDescent="0.25">
      <c r="A275" s="73">
        <v>13</v>
      </c>
      <c r="B275" s="73"/>
      <c r="C275" s="18" t="s">
        <v>200</v>
      </c>
      <c r="D275" s="18">
        <f>22.76*10.764</f>
        <v>244.98864</v>
      </c>
      <c r="E275" s="18">
        <v>0</v>
      </c>
      <c r="F275" s="18">
        <f t="shared" si="22"/>
        <v>367.48295999999999</v>
      </c>
      <c r="G275" s="81"/>
      <c r="H275" s="83"/>
      <c r="I275" s="34"/>
      <c r="N275" s="34"/>
    </row>
    <row r="276" spans="1:14" s="2" customFormat="1" x14ac:dyDescent="0.25">
      <c r="A276" s="73">
        <v>14</v>
      </c>
      <c r="B276" s="73"/>
      <c r="C276" s="18" t="s">
        <v>200</v>
      </c>
      <c r="D276" s="18">
        <f>22.02*10.764</f>
        <v>237.02327999999997</v>
      </c>
      <c r="E276" s="18">
        <v>0</v>
      </c>
      <c r="F276" s="18">
        <f t="shared" si="22"/>
        <v>355.53491999999994</v>
      </c>
      <c r="G276" s="84"/>
      <c r="H276" s="86"/>
      <c r="I276" s="34"/>
      <c r="N276" s="34"/>
    </row>
    <row r="277" spans="1:14" s="2" customFormat="1" x14ac:dyDescent="0.25">
      <c r="A277" s="87" t="s">
        <v>205</v>
      </c>
      <c r="B277" s="87"/>
      <c r="C277" s="87"/>
      <c r="D277" s="87"/>
      <c r="E277" s="87"/>
      <c r="F277" s="87"/>
      <c r="G277" s="87"/>
      <c r="H277" s="87"/>
      <c r="I277" s="34"/>
      <c r="L277" s="96"/>
      <c r="M277" s="96"/>
    </row>
    <row r="278" spans="1:14" s="2" customFormat="1" x14ac:dyDescent="0.25">
      <c r="A278" s="73">
        <v>1</v>
      </c>
      <c r="B278" s="73"/>
      <c r="C278" s="18" t="s">
        <v>200</v>
      </c>
      <c r="D278" s="18">
        <f>15.24*10.764</f>
        <v>164.04335999999998</v>
      </c>
      <c r="E278" s="18">
        <v>0</v>
      </c>
      <c r="F278" s="18">
        <f t="shared" ref="F278:F291" si="23">D278*(($F$244)+1)+E278</f>
        <v>246.06503999999995</v>
      </c>
      <c r="G278" s="78" t="str">
        <f>A277</f>
        <v>3rd Floor</v>
      </c>
      <c r="H278" s="80"/>
      <c r="I278" s="34"/>
      <c r="N278" s="34"/>
    </row>
    <row r="279" spans="1:14" s="2" customFormat="1" x14ac:dyDescent="0.25">
      <c r="A279" s="73">
        <v>2</v>
      </c>
      <c r="B279" s="73"/>
      <c r="C279" s="18" t="s">
        <v>200</v>
      </c>
      <c r="D279" s="18">
        <f>22.02*10.764</f>
        <v>237.02327999999997</v>
      </c>
      <c r="E279" s="18">
        <v>0</v>
      </c>
      <c r="F279" s="18">
        <f t="shared" si="23"/>
        <v>355.53491999999994</v>
      </c>
      <c r="G279" s="81"/>
      <c r="H279" s="83"/>
      <c r="I279" s="34"/>
      <c r="N279" s="34"/>
    </row>
    <row r="280" spans="1:14" s="2" customFormat="1" x14ac:dyDescent="0.25">
      <c r="A280" s="73">
        <v>3</v>
      </c>
      <c r="B280" s="73"/>
      <c r="C280" s="18" t="s">
        <v>200</v>
      </c>
      <c r="D280" s="18">
        <f>15.42*10.764</f>
        <v>165.98087999999998</v>
      </c>
      <c r="E280" s="18">
        <v>0</v>
      </c>
      <c r="F280" s="18">
        <f t="shared" si="23"/>
        <v>248.97131999999999</v>
      </c>
      <c r="G280" s="81"/>
      <c r="H280" s="83"/>
      <c r="I280" s="34"/>
      <c r="N280" s="34"/>
    </row>
    <row r="281" spans="1:14" s="2" customFormat="1" x14ac:dyDescent="0.25">
      <c r="A281" s="73">
        <v>4</v>
      </c>
      <c r="B281" s="73"/>
      <c r="C281" s="18" t="s">
        <v>200</v>
      </c>
      <c r="D281" s="18">
        <f>22.76*10.764</f>
        <v>244.98864</v>
      </c>
      <c r="E281" s="18">
        <v>0</v>
      </c>
      <c r="F281" s="18">
        <f t="shared" si="23"/>
        <v>367.48295999999999</v>
      </c>
      <c r="G281" s="81"/>
      <c r="H281" s="83"/>
      <c r="I281" s="34"/>
      <c r="N281" s="34"/>
    </row>
    <row r="282" spans="1:14" s="2" customFormat="1" x14ac:dyDescent="0.25">
      <c r="A282" s="73">
        <v>5</v>
      </c>
      <c r="B282" s="73"/>
      <c r="C282" s="18" t="s">
        <v>200</v>
      </c>
      <c r="D282" s="18">
        <f>22.76*10.764</f>
        <v>244.98864</v>
      </c>
      <c r="E282" s="18">
        <v>0</v>
      </c>
      <c r="F282" s="18">
        <f t="shared" si="23"/>
        <v>367.48295999999999</v>
      </c>
      <c r="G282" s="81"/>
      <c r="H282" s="83"/>
      <c r="I282" s="34"/>
      <c r="N282" s="34"/>
    </row>
    <row r="283" spans="1:14" s="2" customFormat="1" x14ac:dyDescent="0.25">
      <c r="A283" s="73">
        <v>6</v>
      </c>
      <c r="B283" s="73"/>
      <c r="C283" s="18" t="s">
        <v>200</v>
      </c>
      <c r="D283" s="18">
        <f>15.42*10.764</f>
        <v>165.98087999999998</v>
      </c>
      <c r="E283" s="18">
        <v>0</v>
      </c>
      <c r="F283" s="18">
        <f t="shared" si="23"/>
        <v>248.97131999999999</v>
      </c>
      <c r="G283" s="81"/>
      <c r="H283" s="83"/>
      <c r="I283" s="34"/>
      <c r="N283" s="34"/>
    </row>
    <row r="284" spans="1:14" s="2" customFormat="1" x14ac:dyDescent="0.25">
      <c r="A284" s="73">
        <v>7</v>
      </c>
      <c r="B284" s="73"/>
      <c r="C284" s="18" t="s">
        <v>200</v>
      </c>
      <c r="D284" s="18">
        <f>22.02*10.764</f>
        <v>237.02327999999997</v>
      </c>
      <c r="E284" s="18">
        <v>0</v>
      </c>
      <c r="F284" s="18">
        <f t="shared" si="23"/>
        <v>355.53491999999994</v>
      </c>
      <c r="G284" s="81"/>
      <c r="H284" s="83"/>
      <c r="I284" s="34"/>
      <c r="N284" s="34"/>
    </row>
    <row r="285" spans="1:14" s="2" customFormat="1" x14ac:dyDescent="0.25">
      <c r="A285" s="73">
        <v>8</v>
      </c>
      <c r="B285" s="73"/>
      <c r="C285" s="18" t="s">
        <v>200</v>
      </c>
      <c r="D285" s="18">
        <f>15.24*10.764</f>
        <v>164.04335999999998</v>
      </c>
      <c r="E285" s="18">
        <v>0</v>
      </c>
      <c r="F285" s="18">
        <f t="shared" si="23"/>
        <v>246.06503999999995</v>
      </c>
      <c r="G285" s="81"/>
      <c r="H285" s="83"/>
      <c r="I285" s="34"/>
      <c r="N285" s="34"/>
    </row>
    <row r="286" spans="1:14" s="2" customFormat="1" x14ac:dyDescent="0.25">
      <c r="A286" s="73">
        <v>9</v>
      </c>
      <c r="B286" s="73"/>
      <c r="C286" s="18" t="s">
        <v>200</v>
      </c>
      <c r="D286" s="18">
        <f>15.24*10.764</f>
        <v>164.04335999999998</v>
      </c>
      <c r="E286" s="18">
        <v>0</v>
      </c>
      <c r="F286" s="18">
        <f t="shared" si="23"/>
        <v>246.06503999999995</v>
      </c>
      <c r="G286" s="81"/>
      <c r="H286" s="83"/>
      <c r="I286" s="34"/>
      <c r="N286" s="34"/>
    </row>
    <row r="287" spans="1:14" s="2" customFormat="1" x14ac:dyDescent="0.25">
      <c r="A287" s="73">
        <v>10</v>
      </c>
      <c r="B287" s="73"/>
      <c r="C287" s="18" t="s">
        <v>200</v>
      </c>
      <c r="D287" s="18">
        <f>22.02*10.764</f>
        <v>237.02327999999997</v>
      </c>
      <c r="E287" s="18">
        <v>0</v>
      </c>
      <c r="F287" s="18">
        <f t="shared" si="23"/>
        <v>355.53491999999994</v>
      </c>
      <c r="G287" s="81"/>
      <c r="H287" s="83"/>
      <c r="I287" s="34"/>
      <c r="N287" s="34"/>
    </row>
    <row r="288" spans="1:14" s="2" customFormat="1" x14ac:dyDescent="0.25">
      <c r="A288" s="73">
        <v>11</v>
      </c>
      <c r="B288" s="73"/>
      <c r="C288" s="18" t="s">
        <v>200</v>
      </c>
      <c r="D288" s="18">
        <f>15.42*10.764</f>
        <v>165.98087999999998</v>
      </c>
      <c r="E288" s="18">
        <v>0</v>
      </c>
      <c r="F288" s="18">
        <f t="shared" si="23"/>
        <v>248.97131999999999</v>
      </c>
      <c r="G288" s="81"/>
      <c r="H288" s="83"/>
      <c r="I288" s="34"/>
      <c r="N288" s="34"/>
    </row>
    <row r="289" spans="1:14" s="2" customFormat="1" x14ac:dyDescent="0.25">
      <c r="A289" s="73">
        <v>12</v>
      </c>
      <c r="B289" s="73"/>
      <c r="C289" s="18" t="s">
        <v>200</v>
      </c>
      <c r="D289" s="18">
        <f>22.76*10.764</f>
        <v>244.98864</v>
      </c>
      <c r="E289" s="18">
        <v>0</v>
      </c>
      <c r="F289" s="18">
        <f t="shared" si="23"/>
        <v>367.48295999999999</v>
      </c>
      <c r="G289" s="81"/>
      <c r="H289" s="83"/>
      <c r="I289" s="34"/>
      <c r="N289" s="34"/>
    </row>
    <row r="290" spans="1:14" s="2" customFormat="1" x14ac:dyDescent="0.25">
      <c r="A290" s="73">
        <v>13</v>
      </c>
      <c r="B290" s="73"/>
      <c r="C290" s="18" t="s">
        <v>200</v>
      </c>
      <c r="D290" s="18">
        <f>22.76*10.764</f>
        <v>244.98864</v>
      </c>
      <c r="E290" s="18">
        <v>0</v>
      </c>
      <c r="F290" s="18">
        <f t="shared" si="23"/>
        <v>367.48295999999999</v>
      </c>
      <c r="G290" s="81"/>
      <c r="H290" s="83"/>
      <c r="I290" s="34"/>
      <c r="N290" s="34"/>
    </row>
    <row r="291" spans="1:14" s="2" customFormat="1" x14ac:dyDescent="0.25">
      <c r="A291" s="73">
        <v>14</v>
      </c>
      <c r="B291" s="73"/>
      <c r="C291" s="18" t="s">
        <v>200</v>
      </c>
      <c r="D291" s="18">
        <f>22.02*10.764</f>
        <v>237.02327999999997</v>
      </c>
      <c r="E291" s="18">
        <v>0</v>
      </c>
      <c r="F291" s="18">
        <f t="shared" si="23"/>
        <v>355.53491999999994</v>
      </c>
      <c r="G291" s="84"/>
      <c r="H291" s="86"/>
      <c r="I291" s="34"/>
      <c r="N291" s="34"/>
    </row>
    <row r="292" spans="1:14" s="2" customFormat="1" x14ac:dyDescent="0.25">
      <c r="A292" s="87" t="s">
        <v>206</v>
      </c>
      <c r="B292" s="87"/>
      <c r="C292" s="87"/>
      <c r="D292" s="87"/>
      <c r="E292" s="87"/>
      <c r="F292" s="87"/>
      <c r="G292" s="87"/>
      <c r="H292" s="87"/>
      <c r="I292" s="34"/>
      <c r="L292" s="96"/>
      <c r="M292" s="96"/>
    </row>
    <row r="293" spans="1:14" s="2" customFormat="1" ht="15.75" customHeight="1" x14ac:dyDescent="0.25">
      <c r="A293" s="73">
        <v>1</v>
      </c>
      <c r="B293" s="73"/>
      <c r="C293" s="18" t="s">
        <v>200</v>
      </c>
      <c r="D293" s="18">
        <f>15.24*10.764</f>
        <v>164.04335999999998</v>
      </c>
      <c r="E293" s="18">
        <v>0</v>
      </c>
      <c r="F293" s="18">
        <f t="shared" ref="F293:F306" si="24">D293*(($F$244)+1)+E293</f>
        <v>246.06503999999995</v>
      </c>
      <c r="G293" s="78" t="str">
        <f>A292</f>
        <v>4th to 6th Floor</v>
      </c>
      <c r="H293" s="80"/>
      <c r="I293" s="34"/>
      <c r="N293" s="34"/>
    </row>
    <row r="294" spans="1:14" s="2" customFormat="1" ht="15.75" customHeight="1" x14ac:dyDescent="0.25">
      <c r="A294" s="73">
        <v>2</v>
      </c>
      <c r="B294" s="73"/>
      <c r="C294" s="18" t="s">
        <v>200</v>
      </c>
      <c r="D294" s="18">
        <f>22.02*10.764</f>
        <v>237.02327999999997</v>
      </c>
      <c r="E294" s="18">
        <v>0</v>
      </c>
      <c r="F294" s="18">
        <f t="shared" si="24"/>
        <v>355.53491999999994</v>
      </c>
      <c r="G294" s="81"/>
      <c r="H294" s="83"/>
      <c r="I294" s="34"/>
      <c r="N294" s="34"/>
    </row>
    <row r="295" spans="1:14" s="2" customFormat="1" ht="15.75" customHeight="1" x14ac:dyDescent="0.25">
      <c r="A295" s="73">
        <v>3</v>
      </c>
      <c r="B295" s="73"/>
      <c r="C295" s="18" t="s">
        <v>200</v>
      </c>
      <c r="D295" s="18">
        <f>15.42*10.764</f>
        <v>165.98087999999998</v>
      </c>
      <c r="E295" s="18">
        <v>0</v>
      </c>
      <c r="F295" s="18">
        <f t="shared" si="24"/>
        <v>248.97131999999999</v>
      </c>
      <c r="G295" s="81"/>
      <c r="H295" s="83"/>
      <c r="I295" s="34"/>
      <c r="N295" s="34"/>
    </row>
    <row r="296" spans="1:14" s="2" customFormat="1" ht="15.75" customHeight="1" x14ac:dyDescent="0.25">
      <c r="A296" s="73">
        <v>4</v>
      </c>
      <c r="B296" s="73"/>
      <c r="C296" s="18" t="s">
        <v>200</v>
      </c>
      <c r="D296" s="18">
        <f>22.76*10.764</f>
        <v>244.98864</v>
      </c>
      <c r="E296" s="18">
        <v>0</v>
      </c>
      <c r="F296" s="18">
        <f t="shared" si="24"/>
        <v>367.48295999999999</v>
      </c>
      <c r="G296" s="81"/>
      <c r="H296" s="83"/>
      <c r="I296" s="34"/>
      <c r="N296" s="34"/>
    </row>
    <row r="297" spans="1:14" s="2" customFormat="1" x14ac:dyDescent="0.25">
      <c r="A297" s="73">
        <v>5</v>
      </c>
      <c r="B297" s="73"/>
      <c r="C297" s="18" t="s">
        <v>200</v>
      </c>
      <c r="D297" s="18">
        <f>22.76*10.764</f>
        <v>244.98864</v>
      </c>
      <c r="E297" s="18">
        <v>0</v>
      </c>
      <c r="F297" s="18">
        <f t="shared" si="24"/>
        <v>367.48295999999999</v>
      </c>
      <c r="G297" s="81"/>
      <c r="H297" s="83"/>
      <c r="I297" s="34"/>
      <c r="N297" s="34"/>
    </row>
    <row r="298" spans="1:14" s="2" customFormat="1" x14ac:dyDescent="0.25">
      <c r="A298" s="73">
        <v>6</v>
      </c>
      <c r="B298" s="73"/>
      <c r="C298" s="18" t="s">
        <v>200</v>
      </c>
      <c r="D298" s="18">
        <f>15.42*10.764</f>
        <v>165.98087999999998</v>
      </c>
      <c r="E298" s="18">
        <v>0</v>
      </c>
      <c r="F298" s="18">
        <f t="shared" si="24"/>
        <v>248.97131999999999</v>
      </c>
      <c r="G298" s="81"/>
      <c r="H298" s="83"/>
      <c r="I298" s="34"/>
      <c r="N298" s="34"/>
    </row>
    <row r="299" spans="1:14" s="2" customFormat="1" x14ac:dyDescent="0.25">
      <c r="A299" s="73">
        <v>7</v>
      </c>
      <c r="B299" s="73"/>
      <c r="C299" s="18" t="s">
        <v>200</v>
      </c>
      <c r="D299" s="18">
        <f>22.02*10.764</f>
        <v>237.02327999999997</v>
      </c>
      <c r="E299" s="18">
        <v>0</v>
      </c>
      <c r="F299" s="18">
        <f t="shared" si="24"/>
        <v>355.53491999999994</v>
      </c>
      <c r="G299" s="81"/>
      <c r="H299" s="83"/>
      <c r="I299" s="34"/>
      <c r="N299" s="34"/>
    </row>
    <row r="300" spans="1:14" s="2" customFormat="1" x14ac:dyDescent="0.25">
      <c r="A300" s="73">
        <v>8</v>
      </c>
      <c r="B300" s="73"/>
      <c r="C300" s="18" t="s">
        <v>200</v>
      </c>
      <c r="D300" s="18">
        <f>15.24*10.764</f>
        <v>164.04335999999998</v>
      </c>
      <c r="E300" s="18">
        <v>0</v>
      </c>
      <c r="F300" s="18">
        <f t="shared" si="24"/>
        <v>246.06503999999995</v>
      </c>
      <c r="G300" s="81"/>
      <c r="H300" s="83"/>
      <c r="I300" s="34"/>
      <c r="N300" s="34"/>
    </row>
    <row r="301" spans="1:14" s="2" customFormat="1" x14ac:dyDescent="0.25">
      <c r="A301" s="73">
        <v>9</v>
      </c>
      <c r="B301" s="73"/>
      <c r="C301" s="18" t="s">
        <v>200</v>
      </c>
      <c r="D301" s="18">
        <f>15.24*10.764</f>
        <v>164.04335999999998</v>
      </c>
      <c r="E301" s="18">
        <v>0</v>
      </c>
      <c r="F301" s="18">
        <f t="shared" si="24"/>
        <v>246.06503999999995</v>
      </c>
      <c r="G301" s="81"/>
      <c r="H301" s="83"/>
      <c r="I301" s="34"/>
      <c r="N301" s="34"/>
    </row>
    <row r="302" spans="1:14" s="2" customFormat="1" x14ac:dyDescent="0.25">
      <c r="A302" s="73">
        <v>10</v>
      </c>
      <c r="B302" s="73"/>
      <c r="C302" s="18" t="s">
        <v>200</v>
      </c>
      <c r="D302" s="18">
        <f>22.02*10.764</f>
        <v>237.02327999999997</v>
      </c>
      <c r="E302" s="18">
        <v>0</v>
      </c>
      <c r="F302" s="18">
        <f t="shared" si="24"/>
        <v>355.53491999999994</v>
      </c>
      <c r="G302" s="81"/>
      <c r="H302" s="83"/>
      <c r="I302" s="34"/>
      <c r="N302" s="34"/>
    </row>
    <row r="303" spans="1:14" s="2" customFormat="1" x14ac:dyDescent="0.25">
      <c r="A303" s="73">
        <v>11</v>
      </c>
      <c r="B303" s="73"/>
      <c r="C303" s="18" t="s">
        <v>200</v>
      </c>
      <c r="D303" s="18">
        <f>15.42*10.764</f>
        <v>165.98087999999998</v>
      </c>
      <c r="E303" s="18">
        <v>0</v>
      </c>
      <c r="F303" s="18">
        <f t="shared" si="24"/>
        <v>248.97131999999999</v>
      </c>
      <c r="G303" s="81"/>
      <c r="H303" s="83"/>
      <c r="I303" s="34"/>
      <c r="N303" s="34"/>
    </row>
    <row r="304" spans="1:14" s="2" customFormat="1" x14ac:dyDescent="0.25">
      <c r="A304" s="73">
        <v>12</v>
      </c>
      <c r="B304" s="73"/>
      <c r="C304" s="18" t="s">
        <v>200</v>
      </c>
      <c r="D304" s="18">
        <f>22.76*10.764</f>
        <v>244.98864</v>
      </c>
      <c r="E304" s="18">
        <v>0</v>
      </c>
      <c r="F304" s="18">
        <f t="shared" si="24"/>
        <v>367.48295999999999</v>
      </c>
      <c r="G304" s="81"/>
      <c r="H304" s="83"/>
      <c r="I304" s="34"/>
      <c r="N304" s="34"/>
    </row>
    <row r="305" spans="1:14" s="2" customFormat="1" x14ac:dyDescent="0.25">
      <c r="A305" s="73">
        <v>13</v>
      </c>
      <c r="B305" s="73"/>
      <c r="C305" s="18" t="s">
        <v>200</v>
      </c>
      <c r="D305" s="18">
        <f>22.76*10.764</f>
        <v>244.98864</v>
      </c>
      <c r="E305" s="18">
        <v>0</v>
      </c>
      <c r="F305" s="18">
        <f t="shared" si="24"/>
        <v>367.48295999999999</v>
      </c>
      <c r="G305" s="81"/>
      <c r="H305" s="83"/>
      <c r="I305" s="34"/>
      <c r="N305" s="34"/>
    </row>
    <row r="306" spans="1:14" s="2" customFormat="1" x14ac:dyDescent="0.25">
      <c r="A306" s="73">
        <v>14</v>
      </c>
      <c r="B306" s="73"/>
      <c r="C306" s="18" t="s">
        <v>200</v>
      </c>
      <c r="D306" s="18">
        <f>22.02*10.764</f>
        <v>237.02327999999997</v>
      </c>
      <c r="E306" s="18">
        <v>0</v>
      </c>
      <c r="F306" s="18">
        <f t="shared" si="24"/>
        <v>355.53491999999994</v>
      </c>
      <c r="G306" s="84"/>
      <c r="H306" s="86"/>
      <c r="I306" s="34"/>
      <c r="N306" s="34"/>
    </row>
    <row r="307" spans="1:14" s="2" customFormat="1" x14ac:dyDescent="0.25">
      <c r="A307" s="87" t="s">
        <v>249</v>
      </c>
      <c r="B307" s="87"/>
      <c r="C307" s="87"/>
      <c r="D307" s="87"/>
      <c r="E307" s="87"/>
      <c r="F307" s="87"/>
      <c r="G307" s="87"/>
      <c r="H307" s="87"/>
      <c r="I307" s="34"/>
      <c r="L307" s="96"/>
      <c r="M307" s="96"/>
    </row>
    <row r="308" spans="1:14" s="2" customFormat="1" ht="15.75" customHeight="1" x14ac:dyDescent="0.25">
      <c r="A308" s="73">
        <v>1</v>
      </c>
      <c r="B308" s="73"/>
      <c r="C308" s="78" t="s">
        <v>207</v>
      </c>
      <c r="D308" s="79"/>
      <c r="E308" s="79"/>
      <c r="F308" s="80"/>
      <c r="G308" s="78" t="str">
        <f>A307</f>
        <v>7th &amp; 14th (Part Refuge Area)</v>
      </c>
      <c r="H308" s="80"/>
      <c r="I308" s="34"/>
      <c r="N308" s="34"/>
    </row>
    <row r="309" spans="1:14" s="2" customFormat="1" ht="15.75" customHeight="1" x14ac:dyDescent="0.25">
      <c r="A309" s="73">
        <v>2</v>
      </c>
      <c r="B309" s="73"/>
      <c r="C309" s="81"/>
      <c r="D309" s="82"/>
      <c r="E309" s="82"/>
      <c r="F309" s="83"/>
      <c r="G309" s="81"/>
      <c r="H309" s="83"/>
      <c r="I309" s="34"/>
      <c r="N309" s="34"/>
    </row>
    <row r="310" spans="1:14" s="2" customFormat="1" ht="15.75" customHeight="1" x14ac:dyDescent="0.25">
      <c r="A310" s="73">
        <v>3</v>
      </c>
      <c r="B310" s="73"/>
      <c r="C310" s="81"/>
      <c r="D310" s="82"/>
      <c r="E310" s="82"/>
      <c r="F310" s="83"/>
      <c r="G310" s="81"/>
      <c r="H310" s="83"/>
      <c r="I310" s="34"/>
      <c r="N310" s="34"/>
    </row>
    <row r="311" spans="1:14" s="2" customFormat="1" ht="15.75" customHeight="1" x14ac:dyDescent="0.25">
      <c r="A311" s="73">
        <v>4</v>
      </c>
      <c r="B311" s="73"/>
      <c r="C311" s="84"/>
      <c r="D311" s="85"/>
      <c r="E311" s="85"/>
      <c r="F311" s="86"/>
      <c r="G311" s="81"/>
      <c r="H311" s="83"/>
      <c r="I311" s="34"/>
      <c r="N311" s="34"/>
    </row>
    <row r="312" spans="1:14" s="2" customFormat="1" x14ac:dyDescent="0.25">
      <c r="A312" s="73">
        <v>5</v>
      </c>
      <c r="B312" s="73"/>
      <c r="C312" s="18" t="s">
        <v>200</v>
      </c>
      <c r="D312" s="18">
        <f>22.76*10.764</f>
        <v>244.98864</v>
      </c>
      <c r="E312" s="18">
        <v>0</v>
      </c>
      <c r="F312" s="18">
        <f t="shared" ref="F312:F321" si="25">D312*(($F$244)+1)+E312</f>
        <v>367.48295999999999</v>
      </c>
      <c r="G312" s="81"/>
      <c r="H312" s="83"/>
      <c r="I312" s="34"/>
      <c r="N312" s="34"/>
    </row>
    <row r="313" spans="1:14" s="2" customFormat="1" x14ac:dyDescent="0.25">
      <c r="A313" s="73">
        <v>6</v>
      </c>
      <c r="B313" s="73"/>
      <c r="C313" s="18" t="s">
        <v>200</v>
      </c>
      <c r="D313" s="18">
        <f>15.42*10.764</f>
        <v>165.98087999999998</v>
      </c>
      <c r="E313" s="18">
        <v>0</v>
      </c>
      <c r="F313" s="18">
        <f t="shared" si="25"/>
        <v>248.97131999999999</v>
      </c>
      <c r="G313" s="81"/>
      <c r="H313" s="83"/>
      <c r="I313" s="34"/>
      <c r="N313" s="34"/>
    </row>
    <row r="314" spans="1:14" s="2" customFormat="1" x14ac:dyDescent="0.25">
      <c r="A314" s="73">
        <v>7</v>
      </c>
      <c r="B314" s="73"/>
      <c r="C314" s="18" t="s">
        <v>200</v>
      </c>
      <c r="D314" s="18">
        <f>22.02*10.764</f>
        <v>237.02327999999997</v>
      </c>
      <c r="E314" s="18">
        <v>0</v>
      </c>
      <c r="F314" s="18">
        <f t="shared" si="25"/>
        <v>355.53491999999994</v>
      </c>
      <c r="G314" s="81"/>
      <c r="H314" s="83"/>
      <c r="I314" s="34"/>
      <c r="N314" s="34"/>
    </row>
    <row r="315" spans="1:14" s="2" customFormat="1" x14ac:dyDescent="0.25">
      <c r="A315" s="73">
        <v>8</v>
      </c>
      <c r="B315" s="73"/>
      <c r="C315" s="18" t="s">
        <v>200</v>
      </c>
      <c r="D315" s="18">
        <f>15.24*10.764</f>
        <v>164.04335999999998</v>
      </c>
      <c r="E315" s="18">
        <v>0</v>
      </c>
      <c r="F315" s="18">
        <f t="shared" si="25"/>
        <v>246.06503999999995</v>
      </c>
      <c r="G315" s="81"/>
      <c r="H315" s="83"/>
      <c r="I315" s="34"/>
      <c r="N315" s="34"/>
    </row>
    <row r="316" spans="1:14" s="2" customFormat="1" x14ac:dyDescent="0.25">
      <c r="A316" s="73">
        <v>9</v>
      </c>
      <c r="B316" s="73"/>
      <c r="C316" s="18" t="s">
        <v>200</v>
      </c>
      <c r="D316" s="18">
        <f>15.24*10.764</f>
        <v>164.04335999999998</v>
      </c>
      <c r="E316" s="18">
        <v>0</v>
      </c>
      <c r="F316" s="18">
        <f t="shared" si="25"/>
        <v>246.06503999999995</v>
      </c>
      <c r="G316" s="81"/>
      <c r="H316" s="83"/>
      <c r="I316" s="34"/>
      <c r="N316" s="34"/>
    </row>
    <row r="317" spans="1:14" s="2" customFormat="1" x14ac:dyDescent="0.25">
      <c r="A317" s="73">
        <v>10</v>
      </c>
      <c r="B317" s="73"/>
      <c r="C317" s="18" t="s">
        <v>200</v>
      </c>
      <c r="D317" s="18">
        <f>22.02*10.764</f>
        <v>237.02327999999997</v>
      </c>
      <c r="E317" s="18">
        <v>0</v>
      </c>
      <c r="F317" s="18">
        <f t="shared" si="25"/>
        <v>355.53491999999994</v>
      </c>
      <c r="G317" s="81"/>
      <c r="H317" s="83"/>
      <c r="I317" s="34"/>
      <c r="N317" s="34"/>
    </row>
    <row r="318" spans="1:14" s="2" customFormat="1" x14ac:dyDescent="0.25">
      <c r="A318" s="73">
        <v>11</v>
      </c>
      <c r="B318" s="73"/>
      <c r="C318" s="18" t="s">
        <v>200</v>
      </c>
      <c r="D318" s="18">
        <f>15.42*10.764</f>
        <v>165.98087999999998</v>
      </c>
      <c r="E318" s="18">
        <v>0</v>
      </c>
      <c r="F318" s="18">
        <f t="shared" si="25"/>
        <v>248.97131999999999</v>
      </c>
      <c r="G318" s="81"/>
      <c r="H318" s="83"/>
      <c r="I318" s="34"/>
      <c r="N318" s="34"/>
    </row>
    <row r="319" spans="1:14" s="2" customFormat="1" x14ac:dyDescent="0.25">
      <c r="A319" s="73">
        <v>12</v>
      </c>
      <c r="B319" s="73"/>
      <c r="C319" s="18" t="s">
        <v>200</v>
      </c>
      <c r="D319" s="18">
        <f>22.76*10.764</f>
        <v>244.98864</v>
      </c>
      <c r="E319" s="18">
        <v>0</v>
      </c>
      <c r="F319" s="18">
        <f t="shared" si="25"/>
        <v>367.48295999999999</v>
      </c>
      <c r="G319" s="81"/>
      <c r="H319" s="83"/>
      <c r="I319" s="34"/>
      <c r="N319" s="34"/>
    </row>
    <row r="320" spans="1:14" s="2" customFormat="1" x14ac:dyDescent="0.25">
      <c r="A320" s="73">
        <v>13</v>
      </c>
      <c r="B320" s="73"/>
      <c r="C320" s="18" t="s">
        <v>200</v>
      </c>
      <c r="D320" s="18">
        <f>22.76*10.764</f>
        <v>244.98864</v>
      </c>
      <c r="E320" s="18">
        <v>0</v>
      </c>
      <c r="F320" s="18">
        <f t="shared" si="25"/>
        <v>367.48295999999999</v>
      </c>
      <c r="G320" s="81"/>
      <c r="H320" s="83"/>
      <c r="I320" s="34"/>
      <c r="N320" s="34"/>
    </row>
    <row r="321" spans="1:14" s="2" customFormat="1" x14ac:dyDescent="0.25">
      <c r="A321" s="73">
        <v>14</v>
      </c>
      <c r="B321" s="73"/>
      <c r="C321" s="18" t="s">
        <v>200</v>
      </c>
      <c r="D321" s="18">
        <f>22.02*10.764</f>
        <v>237.02327999999997</v>
      </c>
      <c r="E321" s="18">
        <v>0</v>
      </c>
      <c r="F321" s="18">
        <f t="shared" si="25"/>
        <v>355.53491999999994</v>
      </c>
      <c r="G321" s="84"/>
      <c r="H321" s="86"/>
      <c r="I321" s="34"/>
      <c r="N321" s="34"/>
    </row>
    <row r="322" spans="1:14" s="2" customFormat="1" x14ac:dyDescent="0.25">
      <c r="A322" s="87" t="s">
        <v>248</v>
      </c>
      <c r="B322" s="87"/>
      <c r="C322" s="87"/>
      <c r="D322" s="87"/>
      <c r="E322" s="87"/>
      <c r="F322" s="87"/>
      <c r="G322" s="87"/>
      <c r="H322" s="87"/>
      <c r="I322" s="34"/>
      <c r="L322" s="96"/>
      <c r="M322" s="96"/>
    </row>
    <row r="323" spans="1:14" s="2" customFormat="1" ht="15.75" customHeight="1" x14ac:dyDescent="0.25">
      <c r="A323" s="73">
        <v>1</v>
      </c>
      <c r="B323" s="73"/>
      <c r="C323" s="18" t="s">
        <v>200</v>
      </c>
      <c r="D323" s="18">
        <f>15.24*10.764</f>
        <v>164.04335999999998</v>
      </c>
      <c r="E323" s="18">
        <v>0</v>
      </c>
      <c r="F323" s="18">
        <f t="shared" ref="F323:F336" si="26">D323*(($F$244)+1)+E323</f>
        <v>246.06503999999995</v>
      </c>
      <c r="G323" s="78" t="str">
        <f>A322</f>
        <v>8th to 13th, 15th to 20th &amp; 22nd Floor</v>
      </c>
      <c r="H323" s="80"/>
      <c r="I323" s="34"/>
      <c r="N323" s="34"/>
    </row>
    <row r="324" spans="1:14" s="2" customFormat="1" ht="15.75" customHeight="1" x14ac:dyDescent="0.25">
      <c r="A324" s="73">
        <v>2</v>
      </c>
      <c r="B324" s="73"/>
      <c r="C324" s="18" t="s">
        <v>200</v>
      </c>
      <c r="D324" s="18">
        <f>22.02*10.764</f>
        <v>237.02327999999997</v>
      </c>
      <c r="E324" s="18">
        <v>0</v>
      </c>
      <c r="F324" s="18">
        <f t="shared" si="26"/>
        <v>355.53491999999994</v>
      </c>
      <c r="G324" s="81"/>
      <c r="H324" s="83"/>
      <c r="I324" s="34"/>
      <c r="N324" s="34"/>
    </row>
    <row r="325" spans="1:14" s="2" customFormat="1" ht="15.75" customHeight="1" x14ac:dyDescent="0.25">
      <c r="A325" s="73">
        <v>3</v>
      </c>
      <c r="B325" s="73"/>
      <c r="C325" s="18" t="s">
        <v>200</v>
      </c>
      <c r="D325" s="18">
        <f>15.42*10.764</f>
        <v>165.98087999999998</v>
      </c>
      <c r="E325" s="18">
        <v>0</v>
      </c>
      <c r="F325" s="18">
        <f t="shared" si="26"/>
        <v>248.97131999999999</v>
      </c>
      <c r="G325" s="81"/>
      <c r="H325" s="83"/>
      <c r="I325" s="34"/>
      <c r="N325" s="34"/>
    </row>
    <row r="326" spans="1:14" s="2" customFormat="1" ht="15.75" customHeight="1" x14ac:dyDescent="0.25">
      <c r="A326" s="73">
        <v>4</v>
      </c>
      <c r="B326" s="73"/>
      <c r="C326" s="18" t="s">
        <v>200</v>
      </c>
      <c r="D326" s="18">
        <f>22.76*10.764</f>
        <v>244.98864</v>
      </c>
      <c r="E326" s="18">
        <v>0</v>
      </c>
      <c r="F326" s="18">
        <f t="shared" si="26"/>
        <v>367.48295999999999</v>
      </c>
      <c r="G326" s="81"/>
      <c r="H326" s="83"/>
      <c r="I326" s="34"/>
      <c r="N326" s="34"/>
    </row>
    <row r="327" spans="1:14" s="2" customFormat="1" x14ac:dyDescent="0.25">
      <c r="A327" s="73">
        <v>5</v>
      </c>
      <c r="B327" s="73"/>
      <c r="C327" s="18" t="s">
        <v>200</v>
      </c>
      <c r="D327" s="18">
        <f>22.76*10.764</f>
        <v>244.98864</v>
      </c>
      <c r="E327" s="18">
        <v>0</v>
      </c>
      <c r="F327" s="18">
        <f t="shared" si="26"/>
        <v>367.48295999999999</v>
      </c>
      <c r="G327" s="81"/>
      <c r="H327" s="83"/>
      <c r="I327" s="34"/>
      <c r="N327" s="34"/>
    </row>
    <row r="328" spans="1:14" s="2" customFormat="1" x14ac:dyDescent="0.25">
      <c r="A328" s="73">
        <v>6</v>
      </c>
      <c r="B328" s="73"/>
      <c r="C328" s="18" t="s">
        <v>200</v>
      </c>
      <c r="D328" s="18">
        <f>15.42*10.764</f>
        <v>165.98087999999998</v>
      </c>
      <c r="E328" s="18">
        <v>0</v>
      </c>
      <c r="F328" s="18">
        <f t="shared" si="26"/>
        <v>248.97131999999999</v>
      </c>
      <c r="G328" s="81"/>
      <c r="H328" s="83"/>
      <c r="I328" s="34"/>
      <c r="N328" s="34"/>
    </row>
    <row r="329" spans="1:14" s="2" customFormat="1" x14ac:dyDescent="0.25">
      <c r="A329" s="73">
        <v>7</v>
      </c>
      <c r="B329" s="73"/>
      <c r="C329" s="18" t="s">
        <v>200</v>
      </c>
      <c r="D329" s="18">
        <f>22.02*10.764</f>
        <v>237.02327999999997</v>
      </c>
      <c r="E329" s="18">
        <v>0</v>
      </c>
      <c r="F329" s="18">
        <f t="shared" si="26"/>
        <v>355.53491999999994</v>
      </c>
      <c r="G329" s="81"/>
      <c r="H329" s="83"/>
      <c r="I329" s="34"/>
      <c r="N329" s="34"/>
    </row>
    <row r="330" spans="1:14" s="2" customFormat="1" x14ac:dyDescent="0.25">
      <c r="A330" s="73">
        <v>8</v>
      </c>
      <c r="B330" s="73"/>
      <c r="C330" s="18" t="s">
        <v>200</v>
      </c>
      <c r="D330" s="18">
        <f>15.24*10.764</f>
        <v>164.04335999999998</v>
      </c>
      <c r="E330" s="18">
        <v>0</v>
      </c>
      <c r="F330" s="18">
        <f t="shared" si="26"/>
        <v>246.06503999999995</v>
      </c>
      <c r="G330" s="81"/>
      <c r="H330" s="83"/>
      <c r="I330" s="34"/>
      <c r="N330" s="34"/>
    </row>
    <row r="331" spans="1:14" s="2" customFormat="1" x14ac:dyDescent="0.25">
      <c r="A331" s="73">
        <v>9</v>
      </c>
      <c r="B331" s="73"/>
      <c r="C331" s="18" t="s">
        <v>200</v>
      </c>
      <c r="D331" s="18">
        <f>15.24*10.764</f>
        <v>164.04335999999998</v>
      </c>
      <c r="E331" s="18">
        <v>0</v>
      </c>
      <c r="F331" s="18">
        <f t="shared" si="26"/>
        <v>246.06503999999995</v>
      </c>
      <c r="G331" s="81"/>
      <c r="H331" s="83"/>
      <c r="I331" s="34"/>
      <c r="N331" s="34"/>
    </row>
    <row r="332" spans="1:14" s="2" customFormat="1" x14ac:dyDescent="0.25">
      <c r="A332" s="73">
        <v>10</v>
      </c>
      <c r="B332" s="73"/>
      <c r="C332" s="18" t="s">
        <v>200</v>
      </c>
      <c r="D332" s="18">
        <f>22.02*10.764</f>
        <v>237.02327999999997</v>
      </c>
      <c r="E332" s="18">
        <v>0</v>
      </c>
      <c r="F332" s="18">
        <f t="shared" si="26"/>
        <v>355.53491999999994</v>
      </c>
      <c r="G332" s="81"/>
      <c r="H332" s="83"/>
      <c r="I332" s="34"/>
      <c r="N332" s="34"/>
    </row>
    <row r="333" spans="1:14" s="2" customFormat="1" x14ac:dyDescent="0.25">
      <c r="A333" s="73">
        <v>11</v>
      </c>
      <c r="B333" s="73"/>
      <c r="C333" s="18" t="s">
        <v>200</v>
      </c>
      <c r="D333" s="18">
        <f>15.42*10.764</f>
        <v>165.98087999999998</v>
      </c>
      <c r="E333" s="18">
        <v>0</v>
      </c>
      <c r="F333" s="18">
        <f t="shared" si="26"/>
        <v>248.97131999999999</v>
      </c>
      <c r="G333" s="81"/>
      <c r="H333" s="83"/>
      <c r="I333" s="34"/>
      <c r="N333" s="34"/>
    </row>
    <row r="334" spans="1:14" s="2" customFormat="1" x14ac:dyDescent="0.25">
      <c r="A334" s="73">
        <v>12</v>
      </c>
      <c r="B334" s="73"/>
      <c r="C334" s="18" t="s">
        <v>200</v>
      </c>
      <c r="D334" s="18">
        <f>22.76*10.764</f>
        <v>244.98864</v>
      </c>
      <c r="E334" s="18">
        <v>0</v>
      </c>
      <c r="F334" s="18">
        <f t="shared" si="26"/>
        <v>367.48295999999999</v>
      </c>
      <c r="G334" s="81"/>
      <c r="H334" s="83"/>
      <c r="I334" s="34"/>
      <c r="N334" s="34"/>
    </row>
    <row r="335" spans="1:14" s="2" customFormat="1" x14ac:dyDescent="0.25">
      <c r="A335" s="73">
        <v>13</v>
      </c>
      <c r="B335" s="73"/>
      <c r="C335" s="18" t="s">
        <v>200</v>
      </c>
      <c r="D335" s="18">
        <f>22.76*10.764</f>
        <v>244.98864</v>
      </c>
      <c r="E335" s="18">
        <v>0</v>
      </c>
      <c r="F335" s="18">
        <f t="shared" si="26"/>
        <v>367.48295999999999</v>
      </c>
      <c r="G335" s="81"/>
      <c r="H335" s="83"/>
      <c r="I335" s="34"/>
      <c r="N335" s="34"/>
    </row>
    <row r="336" spans="1:14" s="2" customFormat="1" x14ac:dyDescent="0.25">
      <c r="A336" s="73">
        <v>14</v>
      </c>
      <c r="B336" s="73"/>
      <c r="C336" s="18" t="s">
        <v>200</v>
      </c>
      <c r="D336" s="18">
        <f>22.02*10.764</f>
        <v>237.02327999999997</v>
      </c>
      <c r="E336" s="18">
        <v>0</v>
      </c>
      <c r="F336" s="18">
        <f t="shared" si="26"/>
        <v>355.53491999999994</v>
      </c>
      <c r="G336" s="84"/>
      <c r="H336" s="86"/>
      <c r="I336" s="34"/>
      <c r="N336" s="34"/>
    </row>
    <row r="337" spans="1:14" s="2" customFormat="1" x14ac:dyDescent="0.25">
      <c r="A337" s="87" t="s">
        <v>209</v>
      </c>
      <c r="B337" s="87"/>
      <c r="C337" s="87"/>
      <c r="D337" s="87"/>
      <c r="E337" s="87"/>
      <c r="F337" s="87"/>
      <c r="G337" s="87"/>
      <c r="H337" s="87"/>
      <c r="I337" s="34"/>
      <c r="L337" s="96"/>
      <c r="M337" s="96"/>
    </row>
    <row r="338" spans="1:14" s="2" customFormat="1" ht="15.75" customHeight="1" x14ac:dyDescent="0.25">
      <c r="A338" s="73">
        <v>1</v>
      </c>
      <c r="B338" s="73"/>
      <c r="C338" s="18" t="s">
        <v>200</v>
      </c>
      <c r="D338" s="18">
        <f>15.24*10.764</f>
        <v>164.04335999999998</v>
      </c>
      <c r="E338" s="18">
        <v>0</v>
      </c>
      <c r="F338" s="18">
        <f>D338*(($F$244)+1)+E338</f>
        <v>246.06503999999995</v>
      </c>
      <c r="G338" s="73" t="str">
        <f>A337</f>
        <v>21st Floor (Part Refuge Area)</v>
      </c>
      <c r="H338" s="73"/>
      <c r="I338" s="34"/>
      <c r="N338" s="34"/>
    </row>
    <row r="339" spans="1:14" s="2" customFormat="1" ht="15.75" customHeight="1" x14ac:dyDescent="0.25">
      <c r="A339" s="73">
        <v>2</v>
      </c>
      <c r="B339" s="73"/>
      <c r="C339" s="18" t="s">
        <v>200</v>
      </c>
      <c r="D339" s="18">
        <f>22.02*10.764</f>
        <v>237.02327999999997</v>
      </c>
      <c r="E339" s="18">
        <v>0</v>
      </c>
      <c r="F339" s="18">
        <f>D339*(($F$244)+1)+E339</f>
        <v>355.53491999999994</v>
      </c>
      <c r="G339" s="73"/>
      <c r="H339" s="73"/>
      <c r="I339" s="34"/>
      <c r="N339" s="34"/>
    </row>
    <row r="340" spans="1:14" s="2" customFormat="1" ht="15.75" customHeight="1" x14ac:dyDescent="0.25">
      <c r="A340" s="73">
        <v>3</v>
      </c>
      <c r="B340" s="73"/>
      <c r="C340" s="18" t="s">
        <v>200</v>
      </c>
      <c r="D340" s="18">
        <f>15.42*10.764</f>
        <v>165.98087999999998</v>
      </c>
      <c r="E340" s="18">
        <v>0</v>
      </c>
      <c r="F340" s="18">
        <f>D340*(($F$244)+1)+E340</f>
        <v>248.97131999999999</v>
      </c>
      <c r="G340" s="73"/>
      <c r="H340" s="73"/>
      <c r="I340" s="34"/>
      <c r="N340" s="34"/>
    </row>
    <row r="341" spans="1:14" s="2" customFormat="1" ht="15.75" customHeight="1" x14ac:dyDescent="0.25">
      <c r="A341" s="73">
        <v>4</v>
      </c>
      <c r="B341" s="73"/>
      <c r="C341" s="73" t="s">
        <v>207</v>
      </c>
      <c r="D341" s="73"/>
      <c r="E341" s="73"/>
      <c r="F341" s="73"/>
      <c r="G341" s="73"/>
      <c r="H341" s="73"/>
      <c r="I341" s="34"/>
      <c r="N341" s="34"/>
    </row>
    <row r="342" spans="1:14" s="2" customFormat="1" x14ac:dyDescent="0.25">
      <c r="A342" s="73">
        <v>5</v>
      </c>
      <c r="B342" s="73"/>
      <c r="C342" s="18" t="s">
        <v>200</v>
      </c>
      <c r="D342" s="18">
        <f>22.76*10.764</f>
        <v>244.98864</v>
      </c>
      <c r="E342" s="18">
        <v>0</v>
      </c>
      <c r="F342" s="18">
        <f t="shared" ref="F342:F351" si="27">D342*(($F$244)+1)+E342</f>
        <v>367.48295999999999</v>
      </c>
      <c r="G342" s="73"/>
      <c r="H342" s="73"/>
      <c r="I342" s="34"/>
      <c r="N342" s="34"/>
    </row>
    <row r="343" spans="1:14" s="2" customFormat="1" x14ac:dyDescent="0.25">
      <c r="A343" s="73">
        <v>6</v>
      </c>
      <c r="B343" s="73"/>
      <c r="C343" s="18" t="s">
        <v>200</v>
      </c>
      <c r="D343" s="18">
        <f>15.42*10.764</f>
        <v>165.98087999999998</v>
      </c>
      <c r="E343" s="18">
        <v>0</v>
      </c>
      <c r="F343" s="18">
        <f t="shared" si="27"/>
        <v>248.97131999999999</v>
      </c>
      <c r="G343" s="73"/>
      <c r="H343" s="73"/>
      <c r="I343" s="34"/>
      <c r="N343" s="34"/>
    </row>
    <row r="344" spans="1:14" s="2" customFormat="1" x14ac:dyDescent="0.25">
      <c r="A344" s="73">
        <v>7</v>
      </c>
      <c r="B344" s="73"/>
      <c r="C344" s="18" t="s">
        <v>200</v>
      </c>
      <c r="D344" s="18">
        <f>22.02*10.764</f>
        <v>237.02327999999997</v>
      </c>
      <c r="E344" s="18">
        <v>0</v>
      </c>
      <c r="F344" s="18">
        <f t="shared" si="27"/>
        <v>355.53491999999994</v>
      </c>
      <c r="G344" s="73"/>
      <c r="H344" s="73"/>
      <c r="I344" s="34"/>
      <c r="N344" s="34"/>
    </row>
    <row r="345" spans="1:14" s="2" customFormat="1" x14ac:dyDescent="0.25">
      <c r="A345" s="73">
        <v>8</v>
      </c>
      <c r="B345" s="73"/>
      <c r="C345" s="18" t="s">
        <v>200</v>
      </c>
      <c r="D345" s="18">
        <f>15.24*10.764</f>
        <v>164.04335999999998</v>
      </c>
      <c r="E345" s="18">
        <v>0</v>
      </c>
      <c r="F345" s="18">
        <f t="shared" si="27"/>
        <v>246.06503999999995</v>
      </c>
      <c r="G345" s="73"/>
      <c r="H345" s="73"/>
      <c r="I345" s="34"/>
      <c r="N345" s="34"/>
    </row>
    <row r="346" spans="1:14" s="2" customFormat="1" x14ac:dyDescent="0.25">
      <c r="A346" s="73">
        <v>9</v>
      </c>
      <c r="B346" s="73"/>
      <c r="C346" s="18" t="s">
        <v>200</v>
      </c>
      <c r="D346" s="18">
        <f>15.24*10.764</f>
        <v>164.04335999999998</v>
      </c>
      <c r="E346" s="18">
        <v>0</v>
      </c>
      <c r="F346" s="18">
        <f t="shared" si="27"/>
        <v>246.06503999999995</v>
      </c>
      <c r="G346" s="73"/>
      <c r="H346" s="73"/>
      <c r="I346" s="34"/>
      <c r="N346" s="34"/>
    </row>
    <row r="347" spans="1:14" s="2" customFormat="1" x14ac:dyDescent="0.25">
      <c r="A347" s="73">
        <v>10</v>
      </c>
      <c r="B347" s="73"/>
      <c r="C347" s="18" t="s">
        <v>200</v>
      </c>
      <c r="D347" s="18">
        <f>22.02*10.764</f>
        <v>237.02327999999997</v>
      </c>
      <c r="E347" s="18">
        <v>0</v>
      </c>
      <c r="F347" s="18">
        <f t="shared" si="27"/>
        <v>355.53491999999994</v>
      </c>
      <c r="G347" s="73"/>
      <c r="H347" s="73"/>
      <c r="I347" s="34"/>
      <c r="N347" s="34"/>
    </row>
    <row r="348" spans="1:14" s="2" customFormat="1" x14ac:dyDescent="0.25">
      <c r="A348" s="73">
        <v>11</v>
      </c>
      <c r="B348" s="73"/>
      <c r="C348" s="18" t="s">
        <v>200</v>
      </c>
      <c r="D348" s="18">
        <f>15.42*10.764</f>
        <v>165.98087999999998</v>
      </c>
      <c r="E348" s="18">
        <v>0</v>
      </c>
      <c r="F348" s="18">
        <f t="shared" si="27"/>
        <v>248.97131999999999</v>
      </c>
      <c r="G348" s="73"/>
      <c r="H348" s="73"/>
      <c r="I348" s="34"/>
      <c r="N348" s="34"/>
    </row>
    <row r="349" spans="1:14" s="2" customFormat="1" x14ac:dyDescent="0.25">
      <c r="A349" s="73">
        <v>12</v>
      </c>
      <c r="B349" s="73"/>
      <c r="C349" s="18" t="s">
        <v>200</v>
      </c>
      <c r="D349" s="18">
        <f>22.76*10.764</f>
        <v>244.98864</v>
      </c>
      <c r="E349" s="18">
        <v>0</v>
      </c>
      <c r="F349" s="18">
        <f t="shared" si="27"/>
        <v>367.48295999999999</v>
      </c>
      <c r="G349" s="73"/>
      <c r="H349" s="73"/>
      <c r="I349" s="34"/>
      <c r="N349" s="34"/>
    </row>
    <row r="350" spans="1:14" s="2" customFormat="1" x14ac:dyDescent="0.25">
      <c r="A350" s="73">
        <v>13</v>
      </c>
      <c r="B350" s="73"/>
      <c r="C350" s="18" t="s">
        <v>200</v>
      </c>
      <c r="D350" s="18">
        <f>22.76*10.764</f>
        <v>244.98864</v>
      </c>
      <c r="E350" s="18">
        <v>0</v>
      </c>
      <c r="F350" s="18">
        <f t="shared" si="27"/>
        <v>367.48295999999999</v>
      </c>
      <c r="G350" s="73"/>
      <c r="H350" s="73"/>
      <c r="I350" s="34"/>
      <c r="N350" s="34"/>
    </row>
    <row r="351" spans="1:14" s="2" customFormat="1" x14ac:dyDescent="0.25">
      <c r="A351" s="73">
        <v>14</v>
      </c>
      <c r="B351" s="73"/>
      <c r="C351" s="18" t="s">
        <v>200</v>
      </c>
      <c r="D351" s="18">
        <f>22.02*10.764</f>
        <v>237.02327999999997</v>
      </c>
      <c r="E351" s="18">
        <v>0</v>
      </c>
      <c r="F351" s="18">
        <f t="shared" si="27"/>
        <v>355.53491999999994</v>
      </c>
      <c r="G351" s="73"/>
      <c r="H351" s="73"/>
      <c r="I351" s="34"/>
      <c r="N351" s="34"/>
    </row>
    <row r="352" spans="1:14" s="2" customFormat="1" hidden="1" x14ac:dyDescent="0.25">
      <c r="A352" s="87" t="s">
        <v>199</v>
      </c>
      <c r="B352" s="87"/>
      <c r="C352" s="87"/>
      <c r="D352" s="87"/>
      <c r="E352" s="87"/>
      <c r="F352" s="87"/>
      <c r="G352" s="87"/>
      <c r="H352" s="87"/>
      <c r="I352" s="34"/>
      <c r="L352" s="96"/>
      <c r="M352" s="96"/>
    </row>
    <row r="353" spans="1:16" s="2" customFormat="1" hidden="1" x14ac:dyDescent="0.25">
      <c r="A353" s="73">
        <f>LEFT(A352,SUM(LEN(A352)-LEN(SUBSTITUTE(A352,{"0","1","2","3","4","5","6","7","8","9"},""))))*100+1</f>
        <v>101</v>
      </c>
      <c r="B353" s="73"/>
      <c r="C353" s="18"/>
      <c r="D353" s="18"/>
      <c r="E353" s="18">
        <v>0</v>
      </c>
      <c r="F353" s="18">
        <f>D353*(($F$134)+1)+E353</f>
        <v>0</v>
      </c>
      <c r="G353" s="73" t="str">
        <f>A352</f>
        <v>1st Floor</v>
      </c>
      <c r="H353" s="73"/>
      <c r="I353" s="34"/>
      <c r="N353" s="34"/>
    </row>
    <row r="354" spans="1:16" s="2" customFormat="1" hidden="1" x14ac:dyDescent="0.25">
      <c r="A354" s="73">
        <f>A353+1</f>
        <v>102</v>
      </c>
      <c r="B354" s="73"/>
      <c r="C354" s="18"/>
      <c r="D354" s="18"/>
      <c r="E354" s="18">
        <v>0</v>
      </c>
      <c r="F354" s="18">
        <f t="shared" ref="F354:F358" si="28">D354*(($F$134)+1)+E354</f>
        <v>0</v>
      </c>
      <c r="G354" s="73" t="str">
        <f t="shared" ref="G354:G358" si="29">G353</f>
        <v>1st Floor</v>
      </c>
      <c r="H354" s="73"/>
      <c r="I354" s="34"/>
      <c r="N354" s="34"/>
    </row>
    <row r="355" spans="1:16" s="2" customFormat="1" hidden="1" x14ac:dyDescent="0.25">
      <c r="A355" s="73">
        <f>A354+1</f>
        <v>103</v>
      </c>
      <c r="B355" s="73"/>
      <c r="C355" s="18"/>
      <c r="D355" s="18"/>
      <c r="E355" s="18">
        <v>0</v>
      </c>
      <c r="F355" s="18">
        <f t="shared" si="28"/>
        <v>0</v>
      </c>
      <c r="G355" s="73" t="str">
        <f t="shared" si="29"/>
        <v>1st Floor</v>
      </c>
      <c r="H355" s="73"/>
      <c r="I355" s="34"/>
      <c r="N355" s="34"/>
    </row>
    <row r="356" spans="1:16" s="2" customFormat="1" hidden="1" x14ac:dyDescent="0.25">
      <c r="A356" s="73">
        <f t="shared" ref="A356:A358" si="30">A355+1</f>
        <v>104</v>
      </c>
      <c r="B356" s="73"/>
      <c r="C356" s="18"/>
      <c r="D356" s="18"/>
      <c r="E356" s="18">
        <v>0</v>
      </c>
      <c r="F356" s="18">
        <f t="shared" si="28"/>
        <v>0</v>
      </c>
      <c r="G356" s="73" t="str">
        <f t="shared" si="29"/>
        <v>1st Floor</v>
      </c>
      <c r="H356" s="73"/>
      <c r="I356" s="34"/>
      <c r="N356" s="34"/>
    </row>
    <row r="357" spans="1:16" s="2" customFormat="1" hidden="1" x14ac:dyDescent="0.25">
      <c r="A357" s="73">
        <f t="shared" si="30"/>
        <v>105</v>
      </c>
      <c r="B357" s="73"/>
      <c r="C357" s="18"/>
      <c r="D357" s="18"/>
      <c r="E357" s="18">
        <v>0</v>
      </c>
      <c r="F357" s="18">
        <f t="shared" si="28"/>
        <v>0</v>
      </c>
      <c r="G357" s="73" t="str">
        <f t="shared" si="29"/>
        <v>1st Floor</v>
      </c>
      <c r="H357" s="73"/>
      <c r="I357" s="34"/>
      <c r="N357" s="34"/>
    </row>
    <row r="358" spans="1:16" s="2" customFormat="1" hidden="1" x14ac:dyDescent="0.25">
      <c r="A358" s="73">
        <f t="shared" si="30"/>
        <v>106</v>
      </c>
      <c r="B358" s="73"/>
      <c r="C358" s="18"/>
      <c r="D358" s="18"/>
      <c r="E358" s="18">
        <v>0</v>
      </c>
      <c r="F358" s="18">
        <f t="shared" si="28"/>
        <v>0</v>
      </c>
      <c r="G358" s="73" t="str">
        <f t="shared" si="29"/>
        <v>1st Floor</v>
      </c>
      <c r="H358" s="73"/>
      <c r="I358" s="34"/>
      <c r="N358" s="34"/>
    </row>
    <row r="359" spans="1:16" s="2" customFormat="1" ht="15.75" hidden="1" customHeight="1" x14ac:dyDescent="0.25">
      <c r="A359" s="97" t="s">
        <v>183</v>
      </c>
      <c r="B359" s="98"/>
      <c r="C359" s="98"/>
      <c r="D359" s="98"/>
      <c r="E359" s="98"/>
      <c r="F359" s="98"/>
      <c r="G359" s="98"/>
      <c r="H359" s="99"/>
      <c r="I359" s="34"/>
    </row>
    <row r="360" spans="1:16" s="2" customFormat="1" hidden="1" x14ac:dyDescent="0.25">
      <c r="A360" s="75" t="str">
        <f t="shared" ref="A360:A365" ca="1" si="31">N360</f>
        <v>201,..,901</v>
      </c>
      <c r="B360" s="77"/>
      <c r="C360" s="18"/>
      <c r="D360" s="18"/>
      <c r="E360" s="18">
        <v>0</v>
      </c>
      <c r="F360" s="18">
        <f t="shared" ref="F360:F364" si="32">D360*(($F$134)+1)+E360</f>
        <v>0</v>
      </c>
      <c r="G360" s="75" t="str">
        <f>A359</f>
        <v>2nd, 3rd, 4th, 6th, 8th, 7th, 9th Floor</v>
      </c>
      <c r="H360" s="77"/>
      <c r="I360" s="34"/>
      <c r="N360" s="2" t="str">
        <f t="shared" ref="N360:N365" ca="1" si="33">O360&amp;""&amp;",..,"&amp;""&amp;P360</f>
        <v>201,..,901</v>
      </c>
      <c r="O360" s="2">
        <f ca="1">(SUMPRODUCT(MID(0&amp;(LEFT(A359,SUM(LEN(A359)-LEN(SUBSTITUTE(A359,{"0","1","2"},""))))), LARGE(INDEX(ISNUMBER(--MID((LEFT(A359,SUM(LEN(A359)-LEN(SUBSTITUTE(A359,{"0","1","2"},""))))), ROW(INDIRECT("1:"&amp;LEN((LEFT(A359,SUM(LEN(A359)-LEN(SUBSTITUTE(A359,{"0","1","2"},"")))))))), 1)) * ROW(INDIRECT("1:"&amp;LEN((LEFT(A359,SUM(LEN(A359)-LEN(SUBSTITUTE(A359,{"0","1","2"},"")))))))), 0), ROW(INDIRECT("1:"&amp;LEN((LEFT(A359,SUM(LEN(A359)-LEN(SUBSTITUTE(A359,{"0","1","2"},"")))))))))+1, 1) * 10^ROW(INDIRECT("1:"&amp;LEN((LEFT(A359,SUM(LEN(A359)-LEN(SUBSTITUTE(A359,{"0","1","2"},""))))))))/10))*100+1</f>
        <v>201</v>
      </c>
      <c r="P360" s="2">
        <f ca="1">(SUMPRODUCT(MID(0&amp;(--TRIM(RIGHT(SUBSTITUTE(LEFT(A359,_xlfn.AGGREGATE(16,6,FIND({0,1,2,3,4,5,6,7,8,9},A359,ROW(INDIRECT("1:"&amp;LEN(A359)))),1))," ",REPT(" ",LEN(A359))),LEN(A359)))), LARGE(INDEX(ISNUMBER(--MID((--TRIM(RIGHT(SUBSTITUTE(LEFT(A359,_xlfn.AGGREGATE(16,6,FIND({0,1,2,3,4,5,6,7,8,9},A359,ROW(INDIRECT("1:"&amp;LEN(A359)))),1))," ",REPT(" ",LEN(A359))),LEN(A359)))), ROW(INDIRECT("1:"&amp;LEN((--TRIM(RIGHT(SUBSTITUTE(LEFT(A359,_xlfn.AGGREGATE(16,6,FIND({0,1,2,3,4,5,6,7,8,9},A359,ROW(INDIRECT("1:"&amp;LEN(A359)))),1))," ",REPT(" ",LEN(A359))),LEN(A359))))))), 1)) * ROW(INDIRECT("1:"&amp;LEN((--TRIM(RIGHT(SUBSTITUTE(LEFT(A359,_xlfn.AGGREGATE(16,6,FIND({0,1,2,3,4,5,6,7,8,9},A359,ROW(INDIRECT("1:"&amp;LEN(A359)))),1))," ",REPT(" ",LEN(A359))),LEN(A359))))))), 0), ROW(INDIRECT("1:"&amp;LEN((--TRIM(RIGHT(SUBSTITUTE(LEFT(A359,_xlfn.AGGREGATE(16,6,FIND({0,1,2,3,4,5,6,7,8,9},A359,ROW(INDIRECT("1:"&amp;LEN(A359)))),1))," ",REPT(" ",LEN(A359))),LEN(A359))))))))+1, 1) * 10^ROW(INDIRECT("1:"&amp;LEN((--TRIM(RIGHT(SUBSTITUTE(LEFT(A359,_xlfn.AGGREGATE(16,6,FIND({0,1,2,3,4,5,6,7,8,9},A359,ROW(INDIRECT("1:"&amp;LEN(A359)))),1))," ",REPT(" ",LEN(A359))),LEN(A359)))))))/10))*100+1</f>
        <v>901</v>
      </c>
    </row>
    <row r="361" spans="1:16" s="2" customFormat="1" hidden="1" x14ac:dyDescent="0.25">
      <c r="A361" s="75" t="str">
        <f t="shared" ca="1" si="31"/>
        <v>202,..,902</v>
      </c>
      <c r="B361" s="77"/>
      <c r="C361" s="18"/>
      <c r="D361" s="18"/>
      <c r="E361" s="18">
        <v>0</v>
      </c>
      <c r="F361" s="18">
        <f t="shared" si="32"/>
        <v>0</v>
      </c>
      <c r="G361" s="75" t="str">
        <f t="shared" ref="G361:G365" si="34">G360</f>
        <v>2nd, 3rd, 4th, 6th, 8th, 7th, 9th Floor</v>
      </c>
      <c r="H361" s="77"/>
      <c r="I361" s="34"/>
      <c r="N361" s="2" t="str">
        <f t="shared" ca="1" si="33"/>
        <v>202,..,902</v>
      </c>
      <c r="O361" s="2">
        <f t="shared" ref="O361:P364" ca="1" si="35">O360+1</f>
        <v>202</v>
      </c>
      <c r="P361" s="2">
        <f t="shared" ca="1" si="35"/>
        <v>902</v>
      </c>
    </row>
    <row r="362" spans="1:16" s="2" customFormat="1" hidden="1" x14ac:dyDescent="0.25">
      <c r="A362" s="75" t="str">
        <f t="shared" ca="1" si="31"/>
        <v>203,..,903</v>
      </c>
      <c r="B362" s="77"/>
      <c r="C362" s="18"/>
      <c r="D362" s="18"/>
      <c r="E362" s="18">
        <v>0</v>
      </c>
      <c r="F362" s="18">
        <f t="shared" si="32"/>
        <v>0</v>
      </c>
      <c r="G362" s="75" t="str">
        <f t="shared" si="34"/>
        <v>2nd, 3rd, 4th, 6th, 8th, 7th, 9th Floor</v>
      </c>
      <c r="H362" s="77"/>
      <c r="I362" s="34"/>
      <c r="N362" s="2" t="str">
        <f t="shared" ca="1" si="33"/>
        <v>203,..,903</v>
      </c>
      <c r="O362" s="2">
        <f t="shared" ca="1" si="35"/>
        <v>203</v>
      </c>
      <c r="P362" s="2">
        <f t="shared" ca="1" si="35"/>
        <v>903</v>
      </c>
    </row>
    <row r="363" spans="1:16" s="2" customFormat="1" hidden="1" x14ac:dyDescent="0.25">
      <c r="A363" s="75" t="str">
        <f t="shared" ca="1" si="31"/>
        <v>204,..,904</v>
      </c>
      <c r="B363" s="77"/>
      <c r="C363" s="18"/>
      <c r="D363" s="18"/>
      <c r="E363" s="18">
        <v>0</v>
      </c>
      <c r="F363" s="18">
        <f t="shared" si="32"/>
        <v>0</v>
      </c>
      <c r="G363" s="75" t="str">
        <f t="shared" si="34"/>
        <v>2nd, 3rd, 4th, 6th, 8th, 7th, 9th Floor</v>
      </c>
      <c r="H363" s="77"/>
      <c r="I363" s="34"/>
      <c r="N363" s="2" t="str">
        <f t="shared" ca="1" si="33"/>
        <v>204,..,904</v>
      </c>
      <c r="O363" s="2">
        <f t="shared" ca="1" si="35"/>
        <v>204</v>
      </c>
      <c r="P363" s="2">
        <f t="shared" ca="1" si="35"/>
        <v>904</v>
      </c>
    </row>
    <row r="364" spans="1:16" s="2" customFormat="1" hidden="1" x14ac:dyDescent="0.25">
      <c r="A364" s="75" t="str">
        <f t="shared" ca="1" si="31"/>
        <v>205,..,905</v>
      </c>
      <c r="B364" s="77"/>
      <c r="C364" s="18"/>
      <c r="D364" s="18"/>
      <c r="E364" s="18">
        <v>0</v>
      </c>
      <c r="F364" s="18">
        <f t="shared" si="32"/>
        <v>0</v>
      </c>
      <c r="G364" s="75" t="str">
        <f t="shared" si="34"/>
        <v>2nd, 3rd, 4th, 6th, 8th, 7th, 9th Floor</v>
      </c>
      <c r="H364" s="77"/>
      <c r="I364" s="34"/>
      <c r="N364" s="2" t="str">
        <f t="shared" ca="1" si="33"/>
        <v>205,..,905</v>
      </c>
      <c r="O364" s="2">
        <f t="shared" ca="1" si="35"/>
        <v>205</v>
      </c>
      <c r="P364" s="2">
        <f t="shared" ca="1" si="35"/>
        <v>905</v>
      </c>
    </row>
    <row r="365" spans="1:16" s="2" customFormat="1" hidden="1" x14ac:dyDescent="0.25">
      <c r="A365" s="75" t="str">
        <f t="shared" ca="1" si="31"/>
        <v>206,..,906</v>
      </c>
      <c r="B365" s="77"/>
      <c r="C365" s="18"/>
      <c r="D365" s="18"/>
      <c r="E365" s="18">
        <v>0</v>
      </c>
      <c r="F365" s="18">
        <f t="shared" ref="F365" si="36">D365*(($F$134)+1)+E365</f>
        <v>0</v>
      </c>
      <c r="G365" s="75" t="str">
        <f t="shared" si="34"/>
        <v>2nd, 3rd, 4th, 6th, 8th, 7th, 9th Floor</v>
      </c>
      <c r="H365" s="77"/>
      <c r="I365" s="34"/>
      <c r="N365" s="2" t="str">
        <f t="shared" ca="1" si="33"/>
        <v>206,..,906</v>
      </c>
      <c r="O365" s="2">
        <f t="shared" ref="O365:P365" ca="1" si="37">O364+1</f>
        <v>206</v>
      </c>
      <c r="P365" s="2">
        <f t="shared" ca="1" si="37"/>
        <v>906</v>
      </c>
    </row>
    <row r="366" spans="1:16" s="2" customFormat="1" hidden="1" x14ac:dyDescent="0.25">
      <c r="A366" s="97" t="s">
        <v>181</v>
      </c>
      <c r="B366" s="98"/>
      <c r="C366" s="98"/>
      <c r="D366" s="98"/>
      <c r="E366" s="98"/>
      <c r="F366" s="98"/>
      <c r="G366" s="98"/>
      <c r="H366" s="99"/>
      <c r="I366" s="34"/>
    </row>
    <row r="367" spans="1:16" s="2" customFormat="1" hidden="1" x14ac:dyDescent="0.25">
      <c r="A367" s="75" t="str">
        <f t="shared" ref="A367:A372" ca="1" si="38">N367</f>
        <v>201 to 501</v>
      </c>
      <c r="B367" s="77"/>
      <c r="C367" s="18"/>
      <c r="D367" s="18"/>
      <c r="E367" s="18">
        <v>0</v>
      </c>
      <c r="F367" s="18">
        <f t="shared" ref="F367:F371" si="39">D367*(($F$134)+1)+E367</f>
        <v>0</v>
      </c>
      <c r="G367" s="75" t="str">
        <f>A366</f>
        <v>2nd to 5th Floor</v>
      </c>
      <c r="H367" s="77"/>
      <c r="I367" s="34"/>
      <c r="N367" s="2" t="str">
        <f t="shared" ref="N367:N372" ca="1" si="40">O367&amp;""&amp;" to "&amp;""&amp;P367</f>
        <v>201 to 501</v>
      </c>
      <c r="O367" s="2">
        <f ca="1">(SUMPRODUCT(MID(0&amp;(LEFT(A366,SUM(LEN(A366)-LEN(SUBSTITUTE(A366,{"0","1","2"},""))))), LARGE(INDEX(ISNUMBER(--MID((LEFT(A366,SUM(LEN(A366)-LEN(SUBSTITUTE(A366,{"0","1","2"},""))))), ROW(INDIRECT("1:"&amp;LEN((LEFT(A366,SUM(LEN(A366)-LEN(SUBSTITUTE(A366,{"0","1","2"},"")))))))), 1)) * ROW(INDIRECT("1:"&amp;LEN((LEFT(A366,SUM(LEN(A366)-LEN(SUBSTITUTE(A366,{"0","1","2"},"")))))))), 0), ROW(INDIRECT("1:"&amp;LEN((LEFT(A366,SUM(LEN(A366)-LEN(SUBSTITUTE(A366,{"0","1","2"},"")))))))))+1, 1) * 10^ROW(INDIRECT("1:"&amp;LEN((LEFT(A366,SUM(LEN(A366)-LEN(SUBSTITUTE(A366,{"0","1","2"},""))))))))/10))*100+1</f>
        <v>201</v>
      </c>
      <c r="P367" s="2">
        <f ca="1">(SUMPRODUCT(MID(0&amp;(--TRIM(RIGHT(SUBSTITUTE(LEFT(A366,_xlfn.AGGREGATE(16,6,FIND({0,1,2,3,4,5,6,7,8,9},A366,ROW(INDIRECT("1:"&amp;LEN(A366)))),1))," ",REPT(" ",LEN(A366))),LEN(A366)))), LARGE(INDEX(ISNUMBER(--MID((--TRIM(RIGHT(SUBSTITUTE(LEFT(A366,_xlfn.AGGREGATE(16,6,FIND({0,1,2,3,4,5,6,7,8,9},A366,ROW(INDIRECT("1:"&amp;LEN(A366)))),1))," ",REPT(" ",LEN(A366))),LEN(A366)))), ROW(INDIRECT("1:"&amp;LEN((--TRIM(RIGHT(SUBSTITUTE(LEFT(A366,_xlfn.AGGREGATE(16,6,FIND({0,1,2,3,4,5,6,7,8,9},A366,ROW(INDIRECT("1:"&amp;LEN(A366)))),1))," ",REPT(" ",LEN(A366))),LEN(A366))))))), 1)) * ROW(INDIRECT("1:"&amp;LEN((--TRIM(RIGHT(SUBSTITUTE(LEFT(A366,_xlfn.AGGREGATE(16,6,FIND({0,1,2,3,4,5,6,7,8,9},A366,ROW(INDIRECT("1:"&amp;LEN(A366)))),1))," ",REPT(" ",LEN(A366))),LEN(A366))))))), 0), ROW(INDIRECT("1:"&amp;LEN((--TRIM(RIGHT(SUBSTITUTE(LEFT(A366,_xlfn.AGGREGATE(16,6,FIND({0,1,2,3,4,5,6,7,8,9},A366,ROW(INDIRECT("1:"&amp;LEN(A366)))),1))," ",REPT(" ",LEN(A366))),LEN(A366))))))))+1, 1) * 10^ROW(INDIRECT("1:"&amp;LEN((--TRIM(RIGHT(SUBSTITUTE(LEFT(A366,_xlfn.AGGREGATE(16,6,FIND({0,1,2,3,4,5,6,7,8,9},A366,ROW(INDIRECT("1:"&amp;LEN(A366)))),1))," ",REPT(" ",LEN(A366))),LEN(A366)))))))/10))*100+1</f>
        <v>501</v>
      </c>
    </row>
    <row r="368" spans="1:16" s="2" customFormat="1" hidden="1" x14ac:dyDescent="0.25">
      <c r="A368" s="75" t="str">
        <f t="shared" ca="1" si="38"/>
        <v>202 to 502</v>
      </c>
      <c r="B368" s="77"/>
      <c r="C368" s="18"/>
      <c r="D368" s="18"/>
      <c r="E368" s="18">
        <v>0</v>
      </c>
      <c r="F368" s="18">
        <f t="shared" si="39"/>
        <v>0</v>
      </c>
      <c r="G368" s="75" t="str">
        <f t="shared" ref="G368:G372" si="41">G367</f>
        <v>2nd to 5th Floor</v>
      </c>
      <c r="H368" s="77"/>
      <c r="I368" s="34"/>
      <c r="N368" s="2" t="str">
        <f t="shared" ca="1" si="40"/>
        <v>202 to 502</v>
      </c>
      <c r="O368" s="2">
        <f t="shared" ref="O368:P371" ca="1" si="42">O367+1</f>
        <v>202</v>
      </c>
      <c r="P368" s="2">
        <f t="shared" ca="1" si="42"/>
        <v>502</v>
      </c>
    </row>
    <row r="369" spans="1:16" s="2" customFormat="1" hidden="1" x14ac:dyDescent="0.25">
      <c r="A369" s="75" t="str">
        <f t="shared" ca="1" si="38"/>
        <v>203 to 503</v>
      </c>
      <c r="B369" s="77"/>
      <c r="C369" s="18"/>
      <c r="D369" s="18"/>
      <c r="E369" s="18">
        <v>0</v>
      </c>
      <c r="F369" s="18">
        <f t="shared" si="39"/>
        <v>0</v>
      </c>
      <c r="G369" s="75" t="str">
        <f t="shared" si="41"/>
        <v>2nd to 5th Floor</v>
      </c>
      <c r="H369" s="77"/>
      <c r="I369" s="34"/>
      <c r="N369" s="2" t="str">
        <f t="shared" ca="1" si="40"/>
        <v>203 to 503</v>
      </c>
      <c r="O369" s="2">
        <f t="shared" ca="1" si="42"/>
        <v>203</v>
      </c>
      <c r="P369" s="2">
        <f t="shared" ca="1" si="42"/>
        <v>503</v>
      </c>
    </row>
    <row r="370" spans="1:16" s="2" customFormat="1" hidden="1" x14ac:dyDescent="0.25">
      <c r="A370" s="75" t="str">
        <f t="shared" ca="1" si="38"/>
        <v>204 to 504</v>
      </c>
      <c r="B370" s="77"/>
      <c r="C370" s="18"/>
      <c r="D370" s="18"/>
      <c r="E370" s="18">
        <v>0</v>
      </c>
      <c r="F370" s="18">
        <f>D370*(($F$134)+1)+E370</f>
        <v>0</v>
      </c>
      <c r="G370" s="75" t="str">
        <f t="shared" si="41"/>
        <v>2nd to 5th Floor</v>
      </c>
      <c r="H370" s="77"/>
      <c r="I370" s="34"/>
      <c r="N370" s="2" t="str">
        <f t="shared" ca="1" si="40"/>
        <v>204 to 504</v>
      </c>
      <c r="O370" s="2">
        <f t="shared" ca="1" si="42"/>
        <v>204</v>
      </c>
      <c r="P370" s="2">
        <f t="shared" ca="1" si="42"/>
        <v>504</v>
      </c>
    </row>
    <row r="371" spans="1:16" s="2" customFormat="1" hidden="1" x14ac:dyDescent="0.25">
      <c r="A371" s="75" t="str">
        <f t="shared" ca="1" si="38"/>
        <v>205 to 505</v>
      </c>
      <c r="B371" s="77"/>
      <c r="C371" s="18"/>
      <c r="D371" s="18"/>
      <c r="E371" s="18">
        <v>0</v>
      </c>
      <c r="F371" s="18">
        <f t="shared" si="39"/>
        <v>0</v>
      </c>
      <c r="G371" s="75" t="str">
        <f t="shared" si="41"/>
        <v>2nd to 5th Floor</v>
      </c>
      <c r="H371" s="77"/>
      <c r="I371" s="34"/>
      <c r="N371" s="2" t="str">
        <f t="shared" ca="1" si="40"/>
        <v>205 to 505</v>
      </c>
      <c r="O371" s="2">
        <f t="shared" ca="1" si="42"/>
        <v>205</v>
      </c>
      <c r="P371" s="2">
        <f t="shared" ca="1" si="42"/>
        <v>505</v>
      </c>
    </row>
    <row r="372" spans="1:16" s="2" customFormat="1" hidden="1" x14ac:dyDescent="0.25">
      <c r="A372" s="75" t="str">
        <f t="shared" ca="1" si="38"/>
        <v>206 to 506</v>
      </c>
      <c r="B372" s="77"/>
      <c r="C372" s="18"/>
      <c r="D372" s="18"/>
      <c r="E372" s="18">
        <v>0</v>
      </c>
      <c r="F372" s="18">
        <f t="shared" ref="F372" si="43">D372*(($F$134)+1)+E372</f>
        <v>0</v>
      </c>
      <c r="G372" s="75" t="str">
        <f t="shared" si="41"/>
        <v>2nd to 5th Floor</v>
      </c>
      <c r="H372" s="77"/>
      <c r="I372" s="34"/>
      <c r="N372" s="2" t="str">
        <f t="shared" ca="1" si="40"/>
        <v>206 to 506</v>
      </c>
      <c r="O372" s="2">
        <f t="shared" ref="O372:P372" ca="1" si="44">O371+1</f>
        <v>206</v>
      </c>
      <c r="P372" s="2">
        <f t="shared" ca="1" si="44"/>
        <v>506</v>
      </c>
    </row>
    <row r="373" spans="1:16" s="2" customFormat="1" hidden="1" x14ac:dyDescent="0.25">
      <c r="A373" s="97" t="s">
        <v>182</v>
      </c>
      <c r="B373" s="98"/>
      <c r="C373" s="98"/>
      <c r="D373" s="98"/>
      <c r="E373" s="98"/>
      <c r="F373" s="98"/>
      <c r="G373" s="98"/>
      <c r="H373" s="99"/>
      <c r="I373" s="34"/>
    </row>
    <row r="374" spans="1:16" s="2" customFormat="1" hidden="1" x14ac:dyDescent="0.25">
      <c r="A374" s="75" t="str">
        <f t="shared" ref="A374:A379" ca="1" si="45">N374</f>
        <v>201 &amp; 501</v>
      </c>
      <c r="B374" s="77"/>
      <c r="C374" s="18"/>
      <c r="D374" s="18"/>
      <c r="E374" s="18">
        <v>0</v>
      </c>
      <c r="F374" s="18">
        <f t="shared" ref="F374:F379" si="46">D374*(($F$134)+1)+E374</f>
        <v>0</v>
      </c>
      <c r="G374" s="75" t="str">
        <f>A373</f>
        <v>2nd &amp; 5th Floor</v>
      </c>
      <c r="H374" s="77"/>
      <c r="I374" s="34"/>
      <c r="N374" s="2" t="str">
        <f t="shared" ref="N374:N379" ca="1" si="47">O374&amp;""&amp;" &amp; "&amp;""&amp;P374</f>
        <v>201 &amp; 501</v>
      </c>
      <c r="O374" s="2">
        <f ca="1">(SUMPRODUCT(MID(0&amp;(LEFT(A373,SUM(LEN(A373)-LEN(SUBSTITUTE(A373,{"0","1","2"},""))))), LARGE(INDEX(ISNUMBER(--MID((LEFT(A373,SUM(LEN(A373)-LEN(SUBSTITUTE(A373,{"0","1","2"},""))))), ROW(INDIRECT("1:"&amp;LEN((LEFT(A373,SUM(LEN(A373)-LEN(SUBSTITUTE(A373,{"0","1","2"},"")))))))), 1)) * ROW(INDIRECT("1:"&amp;LEN((LEFT(A373,SUM(LEN(A373)-LEN(SUBSTITUTE(A373,{"0","1","2"},"")))))))), 0), ROW(INDIRECT("1:"&amp;LEN((LEFT(A373,SUM(LEN(A373)-LEN(SUBSTITUTE(A373,{"0","1","2"},"")))))))))+1, 1) * 10^ROW(INDIRECT("1:"&amp;LEN((LEFT(A373,SUM(LEN(A373)-LEN(SUBSTITUTE(A373,{"0","1","2"},""))))))))/10))*100+1</f>
        <v>201</v>
      </c>
      <c r="P374" s="2">
        <f ca="1">(SUMPRODUCT(MID(0&amp;(--TRIM(RIGHT(SUBSTITUTE(LEFT(A373,_xlfn.AGGREGATE(16,6,FIND({0,1,2,3,4,5,6,7,8,9},A373,ROW(INDIRECT("1:"&amp;LEN(A373)))),1))," ",REPT(" ",LEN(A373))),LEN(A373)))), LARGE(INDEX(ISNUMBER(--MID((--TRIM(RIGHT(SUBSTITUTE(LEFT(A373,_xlfn.AGGREGATE(16,6,FIND({0,1,2,3,4,5,6,7,8,9},A373,ROW(INDIRECT("1:"&amp;LEN(A373)))),1))," ",REPT(" ",LEN(A373))),LEN(A373)))), ROW(INDIRECT("1:"&amp;LEN((--TRIM(RIGHT(SUBSTITUTE(LEFT(A373,_xlfn.AGGREGATE(16,6,FIND({0,1,2,3,4,5,6,7,8,9},A373,ROW(INDIRECT("1:"&amp;LEN(A373)))),1))," ",REPT(" ",LEN(A373))),LEN(A373))))))), 1)) * ROW(INDIRECT("1:"&amp;LEN((--TRIM(RIGHT(SUBSTITUTE(LEFT(A373,_xlfn.AGGREGATE(16,6,FIND({0,1,2,3,4,5,6,7,8,9},A373,ROW(INDIRECT("1:"&amp;LEN(A373)))),1))," ",REPT(" ",LEN(A373))),LEN(A373))))))), 0), ROW(INDIRECT("1:"&amp;LEN((--TRIM(RIGHT(SUBSTITUTE(LEFT(A373,_xlfn.AGGREGATE(16,6,FIND({0,1,2,3,4,5,6,7,8,9},A373,ROW(INDIRECT("1:"&amp;LEN(A373)))),1))," ",REPT(" ",LEN(A373))),LEN(A373))))))))+1, 1) * 10^ROW(INDIRECT("1:"&amp;LEN((--TRIM(RIGHT(SUBSTITUTE(LEFT(A373,_xlfn.AGGREGATE(16,6,FIND({0,1,2,3,4,5,6,7,8,9},A373,ROW(INDIRECT("1:"&amp;LEN(A373)))),1))," ",REPT(" ",LEN(A373))),LEN(A373)))))))/10))*100+1</f>
        <v>501</v>
      </c>
    </row>
    <row r="375" spans="1:16" s="2" customFormat="1" hidden="1" x14ac:dyDescent="0.25">
      <c r="A375" s="75" t="str">
        <f t="shared" ca="1" si="45"/>
        <v>202 &amp; 502</v>
      </c>
      <c r="B375" s="77"/>
      <c r="C375" s="18"/>
      <c r="D375" s="18"/>
      <c r="E375" s="18">
        <v>0</v>
      </c>
      <c r="F375" s="18">
        <f t="shared" si="46"/>
        <v>0</v>
      </c>
      <c r="G375" s="75" t="str">
        <f t="shared" ref="G375:G379" si="48">G374</f>
        <v>2nd &amp; 5th Floor</v>
      </c>
      <c r="H375" s="77"/>
      <c r="I375" s="34"/>
      <c r="N375" s="2" t="str">
        <f t="shared" ca="1" si="47"/>
        <v>202 &amp; 502</v>
      </c>
      <c r="O375" s="2">
        <f t="shared" ref="O375:P375" ca="1" si="49">O374+1</f>
        <v>202</v>
      </c>
      <c r="P375" s="2">
        <f t="shared" ca="1" si="49"/>
        <v>502</v>
      </c>
    </row>
    <row r="376" spans="1:16" s="2" customFormat="1" hidden="1" x14ac:dyDescent="0.25">
      <c r="A376" s="75" t="str">
        <f t="shared" ca="1" si="45"/>
        <v>203 &amp; 503</v>
      </c>
      <c r="B376" s="77"/>
      <c r="C376" s="18"/>
      <c r="D376" s="18"/>
      <c r="E376" s="18">
        <v>0</v>
      </c>
      <c r="F376" s="18">
        <f t="shared" si="46"/>
        <v>0</v>
      </c>
      <c r="G376" s="75" t="str">
        <f t="shared" si="48"/>
        <v>2nd &amp; 5th Floor</v>
      </c>
      <c r="H376" s="77"/>
      <c r="I376" s="34"/>
      <c r="N376" s="2" t="str">
        <f t="shared" ca="1" si="47"/>
        <v>203 &amp; 503</v>
      </c>
      <c r="O376" s="2">
        <f t="shared" ref="O376:P376" ca="1" si="50">O375+1</f>
        <v>203</v>
      </c>
      <c r="P376" s="2">
        <f t="shared" ca="1" si="50"/>
        <v>503</v>
      </c>
    </row>
    <row r="377" spans="1:16" s="2" customFormat="1" hidden="1" x14ac:dyDescent="0.25">
      <c r="A377" s="75" t="str">
        <f t="shared" ca="1" si="45"/>
        <v>204 &amp; 504</v>
      </c>
      <c r="B377" s="77"/>
      <c r="C377" s="18"/>
      <c r="D377" s="18"/>
      <c r="E377" s="18">
        <v>0</v>
      </c>
      <c r="F377" s="18">
        <f t="shared" si="46"/>
        <v>0</v>
      </c>
      <c r="G377" s="75" t="str">
        <f t="shared" si="48"/>
        <v>2nd &amp; 5th Floor</v>
      </c>
      <c r="H377" s="77"/>
      <c r="I377" s="34"/>
      <c r="N377" s="2" t="str">
        <f t="shared" ca="1" si="47"/>
        <v>204 &amp; 504</v>
      </c>
      <c r="O377" s="2">
        <f t="shared" ref="O377:P377" ca="1" si="51">O376+1</f>
        <v>204</v>
      </c>
      <c r="P377" s="2">
        <f t="shared" ca="1" si="51"/>
        <v>504</v>
      </c>
    </row>
    <row r="378" spans="1:16" s="2" customFormat="1" hidden="1" x14ac:dyDescent="0.25">
      <c r="A378" s="75" t="str">
        <f t="shared" ca="1" si="45"/>
        <v>205 &amp; 505</v>
      </c>
      <c r="B378" s="77"/>
      <c r="C378" s="18"/>
      <c r="D378" s="18"/>
      <c r="E378" s="18">
        <v>0</v>
      </c>
      <c r="F378" s="18">
        <f t="shared" si="46"/>
        <v>0</v>
      </c>
      <c r="G378" s="75" t="str">
        <f t="shared" si="48"/>
        <v>2nd &amp; 5th Floor</v>
      </c>
      <c r="H378" s="77"/>
      <c r="I378" s="34"/>
      <c r="N378" s="2" t="str">
        <f t="shared" ca="1" si="47"/>
        <v>205 &amp; 505</v>
      </c>
      <c r="O378" s="2">
        <f t="shared" ref="O378:P378" ca="1" si="52">O377+1</f>
        <v>205</v>
      </c>
      <c r="P378" s="2">
        <f t="shared" ca="1" si="52"/>
        <v>505</v>
      </c>
    </row>
    <row r="379" spans="1:16" s="2" customFormat="1" hidden="1" x14ac:dyDescent="0.25">
      <c r="A379" s="75" t="str">
        <f t="shared" ca="1" si="45"/>
        <v>206 &amp; 506</v>
      </c>
      <c r="B379" s="77"/>
      <c r="C379" s="18"/>
      <c r="D379" s="18"/>
      <c r="E379" s="18">
        <v>0</v>
      </c>
      <c r="F379" s="18">
        <f t="shared" si="46"/>
        <v>0</v>
      </c>
      <c r="G379" s="75" t="str">
        <f t="shared" si="48"/>
        <v>2nd &amp; 5th Floor</v>
      </c>
      <c r="H379" s="77"/>
      <c r="I379" s="34"/>
      <c r="N379" s="2" t="str">
        <f t="shared" ca="1" si="47"/>
        <v>206 &amp; 506</v>
      </c>
      <c r="O379" s="2">
        <f t="shared" ref="O379:P379" ca="1" si="53">O378+1</f>
        <v>206</v>
      </c>
      <c r="P379" s="2">
        <f t="shared" ca="1" si="53"/>
        <v>506</v>
      </c>
    </row>
    <row r="380" spans="1:16" s="1" customFormat="1" x14ac:dyDescent="0.25">
      <c r="A380" s="120" t="s">
        <v>75</v>
      </c>
      <c r="B380" s="120"/>
      <c r="C380" s="120"/>
      <c r="D380" s="120"/>
      <c r="E380" s="120"/>
      <c r="F380" s="120"/>
      <c r="G380" s="120"/>
      <c r="H380" s="120"/>
    </row>
    <row r="381" spans="1:16" s="1" customFormat="1" ht="15.75" customHeight="1" x14ac:dyDescent="0.25">
      <c r="A381" s="49">
        <v>1</v>
      </c>
      <c r="B381" s="70" t="s">
        <v>280</v>
      </c>
      <c r="C381" s="71"/>
      <c r="D381" s="71"/>
      <c r="E381" s="71"/>
      <c r="F381" s="71"/>
      <c r="G381" s="71"/>
      <c r="H381" s="72"/>
      <c r="I381" s="60"/>
      <c r="K381" s="61"/>
    </row>
    <row r="382" spans="1:16" s="1" customFormat="1" x14ac:dyDescent="0.25">
      <c r="A382" s="49">
        <f>A381+1</f>
        <v>2</v>
      </c>
      <c r="B382" s="70" t="s">
        <v>212</v>
      </c>
      <c r="C382" s="71"/>
      <c r="D382" s="71"/>
      <c r="E382" s="71"/>
      <c r="F382" s="71"/>
      <c r="G382" s="71"/>
      <c r="H382" s="72"/>
    </row>
    <row r="383" spans="1:16" s="1" customFormat="1" x14ac:dyDescent="0.25">
      <c r="A383" s="49">
        <f t="shared" ref="A383:A394" si="54">A382+1</f>
        <v>3</v>
      </c>
      <c r="B383" s="70" t="s">
        <v>158</v>
      </c>
      <c r="C383" s="71"/>
      <c r="D383" s="71"/>
      <c r="E383" s="71"/>
      <c r="F383" s="71"/>
      <c r="G383" s="71"/>
      <c r="H383" s="72"/>
    </row>
    <row r="384" spans="1:16" s="1" customFormat="1" x14ac:dyDescent="0.25">
      <c r="A384" s="49">
        <f t="shared" si="54"/>
        <v>4</v>
      </c>
      <c r="B384" s="70" t="s">
        <v>211</v>
      </c>
      <c r="C384" s="71"/>
      <c r="D384" s="71"/>
      <c r="E384" s="71"/>
      <c r="F384" s="71"/>
      <c r="G384" s="71"/>
      <c r="H384" s="72"/>
    </row>
    <row r="385" spans="1:8" s="1" customFormat="1" x14ac:dyDescent="0.25">
      <c r="A385" s="49">
        <f t="shared" si="54"/>
        <v>5</v>
      </c>
      <c r="B385" s="70" t="s">
        <v>159</v>
      </c>
      <c r="C385" s="71"/>
      <c r="D385" s="71"/>
      <c r="E385" s="71"/>
      <c r="F385" s="71"/>
      <c r="G385" s="71"/>
      <c r="H385" s="72"/>
    </row>
    <row r="386" spans="1:8" s="1" customFormat="1" x14ac:dyDescent="0.25">
      <c r="A386" s="49">
        <f t="shared" si="54"/>
        <v>6</v>
      </c>
      <c r="B386" s="70" t="s">
        <v>160</v>
      </c>
      <c r="C386" s="71"/>
      <c r="D386" s="71"/>
      <c r="E386" s="71"/>
      <c r="F386" s="71"/>
      <c r="G386" s="71"/>
      <c r="H386" s="72"/>
    </row>
    <row r="387" spans="1:8" s="1" customFormat="1" hidden="1" x14ac:dyDescent="0.25">
      <c r="A387" s="49">
        <f t="shared" si="54"/>
        <v>7</v>
      </c>
      <c r="B387" s="70" t="s">
        <v>210</v>
      </c>
      <c r="C387" s="71"/>
      <c r="D387" s="71"/>
      <c r="E387" s="71"/>
      <c r="F387" s="71"/>
      <c r="G387" s="71"/>
      <c r="H387" s="72"/>
    </row>
    <row r="388" spans="1:8" s="1" customFormat="1" x14ac:dyDescent="0.25">
      <c r="A388" s="49">
        <f t="shared" si="54"/>
        <v>8</v>
      </c>
      <c r="B388" s="70" t="s">
        <v>245</v>
      </c>
      <c r="C388" s="71"/>
      <c r="D388" s="71"/>
      <c r="E388" s="71"/>
      <c r="F388" s="71"/>
      <c r="G388" s="71"/>
      <c r="H388" s="72"/>
    </row>
    <row r="389" spans="1:8" s="1" customFormat="1" x14ac:dyDescent="0.25">
      <c r="A389" s="49">
        <f t="shared" si="54"/>
        <v>9</v>
      </c>
      <c r="B389" s="70" t="s">
        <v>267</v>
      </c>
      <c r="C389" s="71"/>
      <c r="D389" s="71"/>
      <c r="E389" s="71"/>
      <c r="F389" s="71"/>
      <c r="G389" s="71"/>
      <c r="H389" s="72"/>
    </row>
    <row r="390" spans="1:8" s="1" customFormat="1" hidden="1" x14ac:dyDescent="0.25">
      <c r="A390" s="49">
        <f t="shared" si="54"/>
        <v>10</v>
      </c>
      <c r="B390" s="70" t="s">
        <v>276</v>
      </c>
      <c r="C390" s="71"/>
      <c r="D390" s="71"/>
      <c r="E390" s="71"/>
      <c r="F390" s="71"/>
      <c r="G390" s="71"/>
      <c r="H390" s="72"/>
    </row>
    <row r="391" spans="1:8" s="1" customFormat="1" x14ac:dyDescent="0.25">
      <c r="A391" s="49">
        <f t="shared" si="54"/>
        <v>11</v>
      </c>
      <c r="B391" s="70" t="s">
        <v>272</v>
      </c>
      <c r="C391" s="71"/>
      <c r="D391" s="71"/>
      <c r="E391" s="71"/>
      <c r="F391" s="71"/>
      <c r="G391" s="71"/>
      <c r="H391" s="72"/>
    </row>
    <row r="392" spans="1:8" s="1" customFormat="1" x14ac:dyDescent="0.25">
      <c r="A392" s="49">
        <f t="shared" si="54"/>
        <v>12</v>
      </c>
      <c r="B392" s="70" t="s">
        <v>275</v>
      </c>
      <c r="C392" s="71"/>
      <c r="D392" s="71"/>
      <c r="E392" s="71"/>
      <c r="F392" s="71"/>
      <c r="G392" s="71"/>
      <c r="H392" s="72"/>
    </row>
    <row r="393" spans="1:8" s="1" customFormat="1" ht="15.4" customHeight="1" x14ac:dyDescent="0.25">
      <c r="A393" s="49">
        <f t="shared" si="54"/>
        <v>13</v>
      </c>
      <c r="B393" s="70" t="s">
        <v>278</v>
      </c>
      <c r="C393" s="71"/>
      <c r="D393" s="71"/>
      <c r="E393" s="71"/>
      <c r="F393" s="71"/>
      <c r="G393" s="71"/>
      <c r="H393" s="72"/>
    </row>
    <row r="394" spans="1:8" s="1" customFormat="1" ht="31.5" customHeight="1" x14ac:dyDescent="0.25">
      <c r="A394" s="180">
        <f t="shared" si="54"/>
        <v>14</v>
      </c>
      <c r="B394" s="181" t="s">
        <v>285</v>
      </c>
      <c r="C394" s="182"/>
      <c r="D394" s="182"/>
      <c r="E394" s="182"/>
      <c r="F394" s="182"/>
      <c r="G394" s="182"/>
      <c r="H394" s="183"/>
    </row>
    <row r="395" spans="1:8" x14ac:dyDescent="0.25">
      <c r="A395" s="123" t="s">
        <v>68</v>
      </c>
      <c r="B395" s="123"/>
      <c r="C395" s="123"/>
      <c r="D395" s="123"/>
      <c r="E395" s="123"/>
      <c r="F395" s="123"/>
      <c r="G395" s="123"/>
      <c r="H395" s="123"/>
    </row>
    <row r="396" spans="1:8" x14ac:dyDescent="0.25">
      <c r="A396" s="115" t="s">
        <v>69</v>
      </c>
      <c r="B396" s="115"/>
      <c r="C396" s="115"/>
      <c r="D396" s="115"/>
      <c r="E396" s="115"/>
      <c r="F396" s="115"/>
      <c r="G396" s="115"/>
      <c r="H396" s="115"/>
    </row>
    <row r="397" spans="1:8" ht="15.75" customHeight="1" x14ac:dyDescent="0.25">
      <c r="A397" s="122" t="s">
        <v>70</v>
      </c>
      <c r="B397" s="122"/>
      <c r="C397" s="122"/>
      <c r="D397" s="122"/>
      <c r="E397" s="122"/>
      <c r="F397" s="122"/>
      <c r="G397" s="122"/>
      <c r="H397" s="122"/>
    </row>
    <row r="398" spans="1:8" x14ac:dyDescent="0.25">
      <c r="A398" s="115" t="s">
        <v>71</v>
      </c>
      <c r="B398" s="115"/>
      <c r="C398" s="115"/>
      <c r="D398" s="115"/>
      <c r="E398" s="115"/>
      <c r="F398" s="115"/>
      <c r="G398" s="115"/>
      <c r="H398" s="115"/>
    </row>
    <row r="399" spans="1:8" x14ac:dyDescent="0.25">
      <c r="A399" s="115" t="s">
        <v>72</v>
      </c>
      <c r="B399" s="115"/>
      <c r="C399" s="115"/>
      <c r="D399" s="115"/>
      <c r="E399" s="115"/>
      <c r="F399" s="115"/>
      <c r="G399" s="115"/>
      <c r="H399" s="115"/>
    </row>
    <row r="400" spans="1:8" x14ac:dyDescent="0.25">
      <c r="A400" s="115" t="s">
        <v>161</v>
      </c>
      <c r="B400" s="115"/>
      <c r="C400" s="115"/>
      <c r="D400" s="115"/>
      <c r="E400" s="115"/>
      <c r="F400" s="115"/>
      <c r="G400" s="115"/>
      <c r="H400" s="115"/>
    </row>
    <row r="401" spans="1:8" ht="35.25" customHeight="1" x14ac:dyDescent="0.25">
      <c r="A401" s="74" t="s">
        <v>162</v>
      </c>
      <c r="B401" s="74"/>
      <c r="C401" s="74"/>
      <c r="D401" s="74"/>
      <c r="E401" s="74"/>
      <c r="F401" s="74"/>
      <c r="G401" s="74"/>
      <c r="H401" s="74"/>
    </row>
    <row r="402" spans="1:8" x14ac:dyDescent="0.25">
      <c r="A402" s="119" t="s">
        <v>107</v>
      </c>
      <c r="B402" s="119"/>
      <c r="C402" s="119" t="s">
        <v>234</v>
      </c>
      <c r="D402" s="119"/>
      <c r="E402" s="119" t="s">
        <v>138</v>
      </c>
      <c r="F402" s="119"/>
      <c r="G402" s="119" t="s">
        <v>279</v>
      </c>
      <c r="H402" s="119"/>
    </row>
    <row r="403" spans="1:8" x14ac:dyDescent="0.25">
      <c r="A403" s="118" t="s">
        <v>109</v>
      </c>
      <c r="B403" s="118"/>
      <c r="C403" s="118"/>
      <c r="D403" s="118"/>
      <c r="E403" s="118"/>
      <c r="F403" s="118"/>
      <c r="G403" s="118"/>
      <c r="H403" s="118"/>
    </row>
    <row r="404" spans="1:8" x14ac:dyDescent="0.25">
      <c r="A404" s="118"/>
      <c r="B404" s="118"/>
      <c r="C404" s="118"/>
      <c r="D404" s="118"/>
      <c r="E404" s="118"/>
      <c r="F404" s="118"/>
      <c r="G404" s="118"/>
      <c r="H404" s="118"/>
    </row>
    <row r="405" spans="1:8" x14ac:dyDescent="0.25">
      <c r="A405" s="118"/>
      <c r="B405" s="118"/>
      <c r="C405" s="118"/>
      <c r="D405" s="118"/>
      <c r="E405" s="118"/>
      <c r="F405" s="118"/>
      <c r="G405" s="118"/>
      <c r="H405" s="118"/>
    </row>
    <row r="406" spans="1:8" x14ac:dyDescent="0.25">
      <c r="A406" s="118"/>
      <c r="B406" s="118"/>
      <c r="C406" s="118"/>
      <c r="D406" s="118"/>
      <c r="E406" s="118"/>
      <c r="F406" s="118"/>
      <c r="G406" s="118"/>
      <c r="H406" s="118"/>
    </row>
    <row r="407" spans="1:8" x14ac:dyDescent="0.25">
      <c r="A407" s="13" t="s">
        <v>73</v>
      </c>
      <c r="B407" s="14"/>
      <c r="C407" s="14"/>
      <c r="D407" s="13" t="str">
        <f>E8</f>
        <v>Marathon Neovalley</v>
      </c>
      <c r="F407" s="14"/>
      <c r="G407" s="14"/>
      <c r="H407" s="14"/>
    </row>
    <row r="408" spans="1:8" x14ac:dyDescent="0.25">
      <c r="A408" s="14"/>
      <c r="B408" s="14"/>
      <c r="C408" s="14"/>
      <c r="D408" s="14"/>
      <c r="E408" s="14"/>
      <c r="F408" s="14"/>
      <c r="G408" s="14"/>
      <c r="H408" s="14"/>
    </row>
    <row r="409" spans="1:8" x14ac:dyDescent="0.25">
      <c r="A409" s="14"/>
      <c r="B409" s="14"/>
      <c r="C409" s="14"/>
      <c r="D409" s="14"/>
      <c r="E409" s="14"/>
      <c r="F409" s="14"/>
      <c r="G409" s="14"/>
      <c r="H409" s="14"/>
    </row>
    <row r="410" spans="1:8" ht="15" customHeight="1" x14ac:dyDescent="0.25"/>
    <row r="450" spans="1:1" hidden="1" x14ac:dyDescent="0.25">
      <c r="A450" s="16"/>
    </row>
    <row r="451" spans="1:1" hidden="1" x14ac:dyDescent="0.25"/>
    <row r="452" spans="1:1" hidden="1" x14ac:dyDescent="0.25"/>
    <row r="453" spans="1:1" hidden="1" x14ac:dyDescent="0.25"/>
    <row r="454" spans="1:1" hidden="1" x14ac:dyDescent="0.25"/>
    <row r="455" spans="1:1" hidden="1" x14ac:dyDescent="0.25"/>
    <row r="456" spans="1:1" hidden="1" x14ac:dyDescent="0.25"/>
    <row r="457" spans="1:1" hidden="1" x14ac:dyDescent="0.25"/>
    <row r="458" spans="1:1" hidden="1" x14ac:dyDescent="0.25"/>
    <row r="459" spans="1:1" x14ac:dyDescent="0.25">
      <c r="A459" s="16" t="s">
        <v>246</v>
      </c>
    </row>
    <row r="501" spans="1:1" x14ac:dyDescent="0.25">
      <c r="A501" s="16" t="s">
        <v>74</v>
      </c>
    </row>
  </sheetData>
  <mergeCells count="620">
    <mergeCell ref="B392:H392"/>
    <mergeCell ref="A36:B36"/>
    <mergeCell ref="A50:B51"/>
    <mergeCell ref="C50:E50"/>
    <mergeCell ref="G50:H50"/>
    <mergeCell ref="C51:H51"/>
    <mergeCell ref="C49:H49"/>
    <mergeCell ref="B390:H390"/>
    <mergeCell ref="A45:B45"/>
    <mergeCell ref="C45:H45"/>
    <mergeCell ref="A94:B94"/>
    <mergeCell ref="C36:H36"/>
    <mergeCell ref="A83:B83"/>
    <mergeCell ref="C83:H83"/>
    <mergeCell ref="A84:B84"/>
    <mergeCell ref="E84:F84"/>
    <mergeCell ref="G84:H84"/>
    <mergeCell ref="A41:D41"/>
    <mergeCell ref="A42:D42"/>
    <mergeCell ref="A43:D43"/>
    <mergeCell ref="A44:H44"/>
    <mergeCell ref="D60:H60"/>
    <mergeCell ref="A60:C60"/>
    <mergeCell ref="G47:H47"/>
    <mergeCell ref="G116:H116"/>
    <mergeCell ref="A52:B53"/>
    <mergeCell ref="G375:H375"/>
    <mergeCell ref="A373:H373"/>
    <mergeCell ref="A374:B374"/>
    <mergeCell ref="A375:B375"/>
    <mergeCell ref="A262:H262"/>
    <mergeCell ref="A275:B275"/>
    <mergeCell ref="A120:H120"/>
    <mergeCell ref="A113:B113"/>
    <mergeCell ref="A128:B128"/>
    <mergeCell ref="A129:B129"/>
    <mergeCell ref="A121:H121"/>
    <mergeCell ref="A372:B372"/>
    <mergeCell ref="G372:H372"/>
    <mergeCell ref="A357:B357"/>
    <mergeCell ref="A354:B354"/>
    <mergeCell ref="A355:B355"/>
    <mergeCell ref="A367:B367"/>
    <mergeCell ref="A368:B368"/>
    <mergeCell ref="A369:B369"/>
    <mergeCell ref="A72:B72"/>
    <mergeCell ref="D66:H66"/>
    <mergeCell ref="G353:H353"/>
    <mergeCell ref="A37:H37"/>
    <mergeCell ref="G85:H94"/>
    <mergeCell ref="A86:B86"/>
    <mergeCell ref="A87:B87"/>
    <mergeCell ref="A88:B88"/>
    <mergeCell ref="A63:C63"/>
    <mergeCell ref="A64:C64"/>
    <mergeCell ref="D63:H63"/>
    <mergeCell ref="E71:F80"/>
    <mergeCell ref="G71:H80"/>
    <mergeCell ref="A79:B79"/>
    <mergeCell ref="A80:B80"/>
    <mergeCell ref="D64:H64"/>
    <mergeCell ref="A40:D40"/>
    <mergeCell ref="E40:H40"/>
    <mergeCell ref="E41:H41"/>
    <mergeCell ref="E39:H39"/>
    <mergeCell ref="A39:D39"/>
    <mergeCell ref="A46:B46"/>
    <mergeCell ref="A75:B75"/>
    <mergeCell ref="A66:C66"/>
    <mergeCell ref="A92:B92"/>
    <mergeCell ref="A93:B93"/>
    <mergeCell ref="A65:C65"/>
    <mergeCell ref="A259:B259"/>
    <mergeCell ref="L352:M352"/>
    <mergeCell ref="A305:B305"/>
    <mergeCell ref="A306:B306"/>
    <mergeCell ref="A297:B297"/>
    <mergeCell ref="A324:B324"/>
    <mergeCell ref="L322:M322"/>
    <mergeCell ref="A38:D38"/>
    <mergeCell ref="E38:H38"/>
    <mergeCell ref="B122:B123"/>
    <mergeCell ref="A104:E104"/>
    <mergeCell ref="F104:H104"/>
    <mergeCell ref="A100:E100"/>
    <mergeCell ref="F108:H108"/>
    <mergeCell ref="F101:H101"/>
    <mergeCell ref="A77:B77"/>
    <mergeCell ref="A70:B70"/>
    <mergeCell ref="A73:B73"/>
    <mergeCell ref="A78:B78"/>
    <mergeCell ref="A102:E102"/>
    <mergeCell ref="A116:B116"/>
    <mergeCell ref="E116:F116"/>
    <mergeCell ref="A117:B117"/>
    <mergeCell ref="C116:D116"/>
    <mergeCell ref="A112:H112"/>
    <mergeCell ref="C119:D119"/>
    <mergeCell ref="E119:F119"/>
    <mergeCell ref="G119:H119"/>
    <mergeCell ref="A118:B118"/>
    <mergeCell ref="C118:D118"/>
    <mergeCell ref="E118:F118"/>
    <mergeCell ref="A327:B327"/>
    <mergeCell ref="A328:B328"/>
    <mergeCell ref="A322:H322"/>
    <mergeCell ref="A263:B263"/>
    <mergeCell ref="A264:B264"/>
    <mergeCell ref="A265:B265"/>
    <mergeCell ref="A266:B266"/>
    <mergeCell ref="A326:B326"/>
    <mergeCell ref="A273:B273"/>
    <mergeCell ref="A283:B283"/>
    <mergeCell ref="A277:H277"/>
    <mergeCell ref="A274:B274"/>
    <mergeCell ref="A308:B308"/>
    <mergeCell ref="A304:B304"/>
    <mergeCell ref="G263:H276"/>
    <mergeCell ref="A174:B174"/>
    <mergeCell ref="A175:B175"/>
    <mergeCell ref="L167:M167"/>
    <mergeCell ref="L131:M131"/>
    <mergeCell ref="L130:M130"/>
    <mergeCell ref="G127:H127"/>
    <mergeCell ref="G125:H125"/>
    <mergeCell ref="G131:H131"/>
    <mergeCell ref="G130:H130"/>
    <mergeCell ref="G126:H126"/>
    <mergeCell ref="G129:H129"/>
    <mergeCell ref="G128:H128"/>
    <mergeCell ref="L129:M129"/>
    <mergeCell ref="L128:M128"/>
    <mergeCell ref="L127:M127"/>
    <mergeCell ref="L126:M126"/>
    <mergeCell ref="L125:M125"/>
    <mergeCell ref="A34:H34"/>
    <mergeCell ref="A33:B33"/>
    <mergeCell ref="C33:E33"/>
    <mergeCell ref="F99:H99"/>
    <mergeCell ref="A96:H96"/>
    <mergeCell ref="A97:B97"/>
    <mergeCell ref="A98:H98"/>
    <mergeCell ref="G114:H114"/>
    <mergeCell ref="A95:E95"/>
    <mergeCell ref="F95:H95"/>
    <mergeCell ref="F33:H33"/>
    <mergeCell ref="A35:B35"/>
    <mergeCell ref="C35:H35"/>
    <mergeCell ref="F106:H106"/>
    <mergeCell ref="C113:D113"/>
    <mergeCell ref="F102:H102"/>
    <mergeCell ref="F109:H109"/>
    <mergeCell ref="F107:H107"/>
    <mergeCell ref="A105:E105"/>
    <mergeCell ref="G113:H113"/>
    <mergeCell ref="A108:E108"/>
    <mergeCell ref="C114:D114"/>
    <mergeCell ref="E114:F114"/>
    <mergeCell ref="A109:E109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29:H29"/>
    <mergeCell ref="A30:B30"/>
    <mergeCell ref="A29:B29"/>
    <mergeCell ref="C30:E30"/>
    <mergeCell ref="A31:B31"/>
    <mergeCell ref="C31:E31"/>
    <mergeCell ref="A11:D11"/>
    <mergeCell ref="E11:H11"/>
    <mergeCell ref="A12:D12"/>
    <mergeCell ref="E23:H23"/>
    <mergeCell ref="A25:D25"/>
    <mergeCell ref="E25:H25"/>
    <mergeCell ref="A22:D22"/>
    <mergeCell ref="E22:H22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E12:H12"/>
    <mergeCell ref="A13:B13"/>
    <mergeCell ref="C13:H13"/>
    <mergeCell ref="C14:H14"/>
    <mergeCell ref="A14:B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400:H400"/>
    <mergeCell ref="A358:B358"/>
    <mergeCell ref="E42:H42"/>
    <mergeCell ref="E43:H43"/>
    <mergeCell ref="A74:B74"/>
    <mergeCell ref="E70:F70"/>
    <mergeCell ref="G46:H46"/>
    <mergeCell ref="G52:H52"/>
    <mergeCell ref="D58:H58"/>
    <mergeCell ref="C52:E52"/>
    <mergeCell ref="A61:C62"/>
    <mergeCell ref="D61:H61"/>
    <mergeCell ref="D62:H62"/>
    <mergeCell ref="C47:E47"/>
    <mergeCell ref="A56:B56"/>
    <mergeCell ref="C56:E56"/>
    <mergeCell ref="A47:B47"/>
    <mergeCell ref="A57:H57"/>
    <mergeCell ref="C53:H53"/>
    <mergeCell ref="C46:E46"/>
    <mergeCell ref="D65:H65"/>
    <mergeCell ref="C69:H69"/>
    <mergeCell ref="A398:H398"/>
    <mergeCell ref="A115:H115"/>
    <mergeCell ref="A401:H401"/>
    <mergeCell ref="A399:H399"/>
    <mergeCell ref="A397:H397"/>
    <mergeCell ref="G370:H370"/>
    <mergeCell ref="A395:H395"/>
    <mergeCell ref="A396:H396"/>
    <mergeCell ref="G368:H368"/>
    <mergeCell ref="A361:B361"/>
    <mergeCell ref="G118:H118"/>
    <mergeCell ref="A356:B356"/>
    <mergeCell ref="A365:B365"/>
    <mergeCell ref="G357:H357"/>
    <mergeCell ref="G364:H364"/>
    <mergeCell ref="G363:H363"/>
    <mergeCell ref="G365:H365"/>
    <mergeCell ref="G371:H371"/>
    <mergeCell ref="G367:H367"/>
    <mergeCell ref="A370:B370"/>
    <mergeCell ref="A371:B371"/>
    <mergeCell ref="A119:B119"/>
    <mergeCell ref="E117:F117"/>
    <mergeCell ref="G117:H117"/>
    <mergeCell ref="A403:H406"/>
    <mergeCell ref="A402:B402"/>
    <mergeCell ref="E402:F402"/>
    <mergeCell ref="C402:D402"/>
    <mergeCell ref="G402:H402"/>
    <mergeCell ref="A352:H352"/>
    <mergeCell ref="G362:H362"/>
    <mergeCell ref="A380:H380"/>
    <mergeCell ref="G374:H374"/>
    <mergeCell ref="B381:H381"/>
    <mergeCell ref="B394:H394"/>
    <mergeCell ref="B387:H387"/>
    <mergeCell ref="A378:B378"/>
    <mergeCell ref="G378:H378"/>
    <mergeCell ref="A379:B379"/>
    <mergeCell ref="A377:B377"/>
    <mergeCell ref="G377:H377"/>
    <mergeCell ref="B388:H388"/>
    <mergeCell ref="B386:H386"/>
    <mergeCell ref="B384:H384"/>
    <mergeCell ref="B385:H385"/>
    <mergeCell ref="G379:H379"/>
    <mergeCell ref="B382:H382"/>
    <mergeCell ref="B383:H383"/>
    <mergeCell ref="A224:B224"/>
    <mergeCell ref="A209:B209"/>
    <mergeCell ref="A210:B210"/>
    <mergeCell ref="A185:B185"/>
    <mergeCell ref="A186:B186"/>
    <mergeCell ref="A187:B187"/>
    <mergeCell ref="B133:B134"/>
    <mergeCell ref="A207:B207"/>
    <mergeCell ref="A208:B208"/>
    <mergeCell ref="A211:B211"/>
    <mergeCell ref="A219:B219"/>
    <mergeCell ref="A170:B170"/>
    <mergeCell ref="A182:H182"/>
    <mergeCell ref="A212:H212"/>
    <mergeCell ref="A221:B221"/>
    <mergeCell ref="A222:B222"/>
    <mergeCell ref="A223:B223"/>
    <mergeCell ref="A167:H167"/>
    <mergeCell ref="G183:H196"/>
    <mergeCell ref="G198:H211"/>
    <mergeCell ref="A168:B168"/>
    <mergeCell ref="A169:B169"/>
    <mergeCell ref="A178:B178"/>
    <mergeCell ref="A179:B179"/>
    <mergeCell ref="A192:B192"/>
    <mergeCell ref="A205:B205"/>
    <mergeCell ref="A138:B138"/>
    <mergeCell ref="A139:B139"/>
    <mergeCell ref="A140:B140"/>
    <mergeCell ref="A141:B141"/>
    <mergeCell ref="A142:B142"/>
    <mergeCell ref="A143:B143"/>
    <mergeCell ref="G138:H151"/>
    <mergeCell ref="A150:B150"/>
    <mergeCell ref="A151:B151"/>
    <mergeCell ref="C138:F139"/>
    <mergeCell ref="A176:B176"/>
    <mergeCell ref="A89:B89"/>
    <mergeCell ref="A90:B90"/>
    <mergeCell ref="A91:B91"/>
    <mergeCell ref="C150:F151"/>
    <mergeCell ref="C144:F149"/>
    <mergeCell ref="A146:B146"/>
    <mergeCell ref="A48:B49"/>
    <mergeCell ref="C48:E48"/>
    <mergeCell ref="G48:H48"/>
    <mergeCell ref="C117:D117"/>
    <mergeCell ref="G56:H56"/>
    <mergeCell ref="A130:B130"/>
    <mergeCell ref="A131:B131"/>
    <mergeCell ref="A136:H136"/>
    <mergeCell ref="A101:E101"/>
    <mergeCell ref="A85:B85"/>
    <mergeCell ref="C97:H97"/>
    <mergeCell ref="F100:H100"/>
    <mergeCell ref="F105:H105"/>
    <mergeCell ref="A103:E103"/>
    <mergeCell ref="F103:H103"/>
    <mergeCell ref="E113:F113"/>
    <mergeCell ref="A107:E107"/>
    <mergeCell ref="A106:E106"/>
    <mergeCell ref="L292:M292"/>
    <mergeCell ref="L277:M277"/>
    <mergeCell ref="A278:B278"/>
    <mergeCell ref="L262:M262"/>
    <mergeCell ref="A81:B81"/>
    <mergeCell ref="C81:H81"/>
    <mergeCell ref="A76:B76"/>
    <mergeCell ref="A58:C58"/>
    <mergeCell ref="A59:C59"/>
    <mergeCell ref="D59:H59"/>
    <mergeCell ref="A71:B71"/>
    <mergeCell ref="G70:H70"/>
    <mergeCell ref="A69:B69"/>
    <mergeCell ref="A67:B67"/>
    <mergeCell ref="C67:H67"/>
    <mergeCell ref="E85:F94"/>
    <mergeCell ref="A137:H137"/>
    <mergeCell ref="L137:M137"/>
    <mergeCell ref="A166:B166"/>
    <mergeCell ref="G153:H166"/>
    <mergeCell ref="G168:H181"/>
    <mergeCell ref="A171:B171"/>
    <mergeCell ref="A172:B172"/>
    <mergeCell ref="A173:B173"/>
    <mergeCell ref="A163:B163"/>
    <mergeCell ref="A323:B323"/>
    <mergeCell ref="A227:H227"/>
    <mergeCell ref="A149:B149"/>
    <mergeCell ref="L227:M227"/>
    <mergeCell ref="A228:B228"/>
    <mergeCell ref="A229:B229"/>
    <mergeCell ref="A317:B317"/>
    <mergeCell ref="A318:B318"/>
    <mergeCell ref="A319:B319"/>
    <mergeCell ref="A320:B320"/>
    <mergeCell ref="A321:B321"/>
    <mergeCell ref="A312:B312"/>
    <mergeCell ref="A313:B313"/>
    <mergeCell ref="A314:B314"/>
    <mergeCell ref="A315:B315"/>
    <mergeCell ref="A316:B316"/>
    <mergeCell ref="A307:H307"/>
    <mergeCell ref="L307:M307"/>
    <mergeCell ref="A234:B234"/>
    <mergeCell ref="A272:B272"/>
    <mergeCell ref="A261:B261"/>
    <mergeCell ref="G248:H261"/>
    <mergeCell ref="B243:B244"/>
    <mergeCell ref="A135:H135"/>
    <mergeCell ref="A158:B158"/>
    <mergeCell ref="A99:E99"/>
    <mergeCell ref="A122:A123"/>
    <mergeCell ref="C133:C134"/>
    <mergeCell ref="A124:H124"/>
    <mergeCell ref="E122:E123"/>
    <mergeCell ref="D133:D134"/>
    <mergeCell ref="E133:E134"/>
    <mergeCell ref="G133:H134"/>
    <mergeCell ref="C122:C123"/>
    <mergeCell ref="D122:D123"/>
    <mergeCell ref="A152:H152"/>
    <mergeCell ref="G122:H123"/>
    <mergeCell ref="A125:B125"/>
    <mergeCell ref="A126:B126"/>
    <mergeCell ref="A127:B127"/>
    <mergeCell ref="A132:H132"/>
    <mergeCell ref="A133:A134"/>
    <mergeCell ref="A114:B114"/>
    <mergeCell ref="A110:E110"/>
    <mergeCell ref="F110:H110"/>
    <mergeCell ref="A111:E111"/>
    <mergeCell ref="F111:H111"/>
    <mergeCell ref="A353:B353"/>
    <mergeCell ref="G360:H360"/>
    <mergeCell ref="G361:H361"/>
    <mergeCell ref="G356:H356"/>
    <mergeCell ref="A362:B362"/>
    <mergeCell ref="A349:B349"/>
    <mergeCell ref="A344:B344"/>
    <mergeCell ref="A345:B345"/>
    <mergeCell ref="A346:B346"/>
    <mergeCell ref="A364:B364"/>
    <mergeCell ref="A363:B363"/>
    <mergeCell ref="A360:B360"/>
    <mergeCell ref="G369:H369"/>
    <mergeCell ref="G358:H358"/>
    <mergeCell ref="A359:H359"/>
    <mergeCell ref="G355:H355"/>
    <mergeCell ref="G354:H354"/>
    <mergeCell ref="A366:H366"/>
    <mergeCell ref="L182:M182"/>
    <mergeCell ref="A376:B376"/>
    <mergeCell ref="G376:H376"/>
    <mergeCell ref="A338:B338"/>
    <mergeCell ref="G338:H351"/>
    <mergeCell ref="A334:B334"/>
    <mergeCell ref="G308:H321"/>
    <mergeCell ref="G293:H306"/>
    <mergeCell ref="A294:B294"/>
    <mergeCell ref="A295:B295"/>
    <mergeCell ref="A296:B296"/>
    <mergeCell ref="A340:B340"/>
    <mergeCell ref="A341:B341"/>
    <mergeCell ref="A348:B348"/>
    <mergeCell ref="A309:B309"/>
    <mergeCell ref="A310:B310"/>
    <mergeCell ref="A311:B311"/>
    <mergeCell ref="A332:B332"/>
    <mergeCell ref="A339:B339"/>
    <mergeCell ref="A347:B347"/>
    <mergeCell ref="G323:H336"/>
    <mergeCell ref="A333:B333"/>
    <mergeCell ref="A350:B350"/>
    <mergeCell ref="A351:B351"/>
    <mergeCell ref="A200:B200"/>
    <mergeCell ref="A201:B201"/>
    <mergeCell ref="A180:B180"/>
    <mergeCell ref="A181:B181"/>
    <mergeCell ref="A154:B154"/>
    <mergeCell ref="C195:F196"/>
    <mergeCell ref="C198:F201"/>
    <mergeCell ref="A177:B177"/>
    <mergeCell ref="A161:B161"/>
    <mergeCell ref="A162:B162"/>
    <mergeCell ref="C153:F154"/>
    <mergeCell ref="C165:F166"/>
    <mergeCell ref="C168:F169"/>
    <mergeCell ref="C180:F181"/>
    <mergeCell ref="C183:F184"/>
    <mergeCell ref="A165:B165"/>
    <mergeCell ref="A188:B188"/>
    <mergeCell ref="A193:B193"/>
    <mergeCell ref="A194:B194"/>
    <mergeCell ref="A197:H197"/>
    <mergeCell ref="A183:B183"/>
    <mergeCell ref="A164:B164"/>
    <mergeCell ref="A159:B159"/>
    <mergeCell ref="A160:B160"/>
    <mergeCell ref="A147:B147"/>
    <mergeCell ref="A148:B148"/>
    <mergeCell ref="L245:M245"/>
    <mergeCell ref="L246:M246"/>
    <mergeCell ref="L247:M247"/>
    <mergeCell ref="A241:B241"/>
    <mergeCell ref="A243:A244"/>
    <mergeCell ref="A230:B230"/>
    <mergeCell ref="A231:B231"/>
    <mergeCell ref="A232:B232"/>
    <mergeCell ref="A240:B240"/>
    <mergeCell ref="A189:B189"/>
    <mergeCell ref="A190:B190"/>
    <mergeCell ref="A191:B191"/>
    <mergeCell ref="A184:B184"/>
    <mergeCell ref="A198:B198"/>
    <mergeCell ref="A199:B199"/>
    <mergeCell ref="A195:B195"/>
    <mergeCell ref="A196:B196"/>
    <mergeCell ref="A206:B206"/>
    <mergeCell ref="A202:B202"/>
    <mergeCell ref="A233:B233"/>
    <mergeCell ref="C243:C244"/>
    <mergeCell ref="L197:M197"/>
    <mergeCell ref="A293:B293"/>
    <mergeCell ref="A337:H337"/>
    <mergeCell ref="A269:B269"/>
    <mergeCell ref="A260:B260"/>
    <mergeCell ref="L136:M136"/>
    <mergeCell ref="L135:M135"/>
    <mergeCell ref="A153:B153"/>
    <mergeCell ref="A144:B144"/>
    <mergeCell ref="A145:B145"/>
    <mergeCell ref="L212:M212"/>
    <mergeCell ref="A213:B213"/>
    <mergeCell ref="G213:H226"/>
    <mergeCell ref="A214:B214"/>
    <mergeCell ref="A215:B215"/>
    <mergeCell ref="A216:B216"/>
    <mergeCell ref="A217:B217"/>
    <mergeCell ref="A218:B218"/>
    <mergeCell ref="L152:M152"/>
    <mergeCell ref="A155:B155"/>
    <mergeCell ref="A156:B156"/>
    <mergeCell ref="A157:B157"/>
    <mergeCell ref="G228:H241"/>
    <mergeCell ref="A235:B235"/>
    <mergeCell ref="A236:B236"/>
    <mergeCell ref="L337:M337"/>
    <mergeCell ref="A335:B335"/>
    <mergeCell ref="A336:B336"/>
    <mergeCell ref="A329:B329"/>
    <mergeCell ref="A330:B330"/>
    <mergeCell ref="A331:B331"/>
    <mergeCell ref="A325:B325"/>
    <mergeCell ref="A302:B302"/>
    <mergeCell ref="A298:B298"/>
    <mergeCell ref="A299:B299"/>
    <mergeCell ref="A300:B300"/>
    <mergeCell ref="A301:B301"/>
    <mergeCell ref="A303:B303"/>
    <mergeCell ref="A252:B252"/>
    <mergeCell ref="A253:B253"/>
    <mergeCell ref="A254:B254"/>
    <mergeCell ref="A255:B255"/>
    <mergeCell ref="A256:B256"/>
    <mergeCell ref="A257:B257"/>
    <mergeCell ref="A258:B258"/>
    <mergeCell ref="A237:B237"/>
    <mergeCell ref="A238:B238"/>
    <mergeCell ref="A239:B239"/>
    <mergeCell ref="A245:H245"/>
    <mergeCell ref="A250:B250"/>
    <mergeCell ref="A246:H246"/>
    <mergeCell ref="A248:B248"/>
    <mergeCell ref="A249:B249"/>
    <mergeCell ref="A247:H247"/>
    <mergeCell ref="D243:D244"/>
    <mergeCell ref="E243:E244"/>
    <mergeCell ref="G243:H244"/>
    <mergeCell ref="A242:H242"/>
    <mergeCell ref="A288:B288"/>
    <mergeCell ref="A279:B279"/>
    <mergeCell ref="A280:B280"/>
    <mergeCell ref="A281:B281"/>
    <mergeCell ref="G278:H291"/>
    <mergeCell ref="A286:B286"/>
    <mergeCell ref="A287:B287"/>
    <mergeCell ref="A267:B267"/>
    <mergeCell ref="A268:B268"/>
    <mergeCell ref="A289:B289"/>
    <mergeCell ref="A290:B290"/>
    <mergeCell ref="A291:B291"/>
    <mergeCell ref="A284:B284"/>
    <mergeCell ref="A282:B282"/>
    <mergeCell ref="A276:B276"/>
    <mergeCell ref="C54:E54"/>
    <mergeCell ref="G54:H54"/>
    <mergeCell ref="C55:H55"/>
    <mergeCell ref="B393:H393"/>
    <mergeCell ref="A203:B203"/>
    <mergeCell ref="A204:B204"/>
    <mergeCell ref="A225:B225"/>
    <mergeCell ref="A226:B226"/>
    <mergeCell ref="A220:B220"/>
    <mergeCell ref="A251:B251"/>
    <mergeCell ref="A270:B270"/>
    <mergeCell ref="A271:B271"/>
    <mergeCell ref="A54:B55"/>
    <mergeCell ref="B391:H391"/>
    <mergeCell ref="C231:F231"/>
    <mergeCell ref="C252:F252"/>
    <mergeCell ref="C253:F261"/>
    <mergeCell ref="C308:F311"/>
    <mergeCell ref="C341:F341"/>
    <mergeCell ref="B389:H389"/>
    <mergeCell ref="A342:B342"/>
    <mergeCell ref="A343:B343"/>
    <mergeCell ref="A292:H292"/>
    <mergeCell ref="A285:B285"/>
  </mergeCells>
  <dataValidations disablePrompts="1" count="1">
    <dataValidation type="list" allowBlank="1" showInputMessage="1" showErrorMessage="1" sqref="C45:H45">
      <formula1>OFFSET($S$53,1,MATCH($G16,$S$53:$W$53,0)-1,15,1)</formula1>
    </dataValidation>
  </dataValidation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&amp;P</oddFooter>
  </headerFooter>
  <rowBreaks count="4" manualBreakCount="4">
    <brk id="66" max="16383" man="1"/>
    <brk id="406" max="16383" man="1"/>
    <brk id="458" max="16383" man="1"/>
    <brk id="5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22" workbookViewId="0">
      <selection activeCell="D11" sqref="D11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76</v>
      </c>
      <c r="C2" s="177"/>
      <c r="D2" s="177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77</v>
      </c>
      <c r="B4" s="5" t="s">
        <v>78</v>
      </c>
      <c r="C4" s="178" t="s">
        <v>79</v>
      </c>
      <c r="D4" s="178"/>
      <c r="E4" s="178"/>
      <c r="F4" s="6"/>
      <c r="G4" s="178" t="s">
        <v>80</v>
      </c>
      <c r="H4" s="178"/>
      <c r="I4" s="178"/>
      <c r="J4" s="178" t="s">
        <v>81</v>
      </c>
      <c r="K4" s="178"/>
      <c r="L4" s="178"/>
    </row>
    <row r="5" spans="1:12" x14ac:dyDescent="0.25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25">
      <c r="B6" s="7" t="s">
        <v>84</v>
      </c>
      <c r="C6" s="7">
        <v>4.0999999999999996</v>
      </c>
      <c r="D6" s="7">
        <v>2.75</v>
      </c>
      <c r="E6" s="7">
        <f>C6*D6</f>
        <v>11.274999999999999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87</v>
      </c>
      <c r="C9" s="7">
        <v>2.5249999999999999</v>
      </c>
      <c r="D9" s="7">
        <v>2.2749999999999999</v>
      </c>
      <c r="E9" s="7">
        <f t="shared" si="0"/>
        <v>5.7443749999999998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>
        <v>1.55</v>
      </c>
      <c r="D10" s="7">
        <v>1.3</v>
      </c>
      <c r="E10" s="7">
        <f t="shared" si="0"/>
        <v>2.0150000000000001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61</v>
      </c>
      <c r="C34" s="7"/>
      <c r="D34" s="7">
        <f>E34*10.764</f>
        <v>204.88601249999996</v>
      </c>
      <c r="E34" s="7">
        <f>SUM(E6:E33)</f>
        <v>19.034374999999997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204.88601249999996</v>
      </c>
      <c r="E36">
        <f>E34+I34</f>
        <v>19.034374999999997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zoomScale="115" zoomScaleNormal="115" workbookViewId="0">
      <selection activeCell="F6" sqref="F6"/>
    </sheetView>
  </sheetViews>
  <sheetFormatPr defaultColWidth="8.7109375" defaultRowHeight="15" x14ac:dyDescent="0.25"/>
  <cols>
    <col min="1" max="1" width="8.7109375" style="22"/>
    <col min="2" max="2" width="22.28515625" style="22" customWidth="1"/>
    <col min="3" max="3" width="37" style="22" customWidth="1"/>
    <col min="4" max="5" width="11.42578125" style="22" customWidth="1"/>
    <col min="6" max="6" width="14" style="22" customWidth="1"/>
    <col min="7" max="7" width="20" style="22" customWidth="1"/>
    <col min="8" max="8" width="16.42578125" style="22" customWidth="1"/>
    <col min="9" max="16384" width="8.7109375" style="22"/>
  </cols>
  <sheetData>
    <row r="1" spans="1:9" ht="15" customHeight="1" x14ac:dyDescent="0.25"/>
    <row r="2" spans="1:9" ht="15" customHeight="1" x14ac:dyDescent="0.25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25">
      <c r="A3" s="23"/>
      <c r="B3" s="179" t="s">
        <v>139</v>
      </c>
      <c r="C3" s="179"/>
      <c r="D3" s="179"/>
      <c r="E3" s="179"/>
      <c r="F3" s="179"/>
      <c r="G3" s="179"/>
      <c r="H3" s="179"/>
    </row>
    <row r="4" spans="1:9" x14ac:dyDescent="0.25">
      <c r="A4" s="23"/>
      <c r="B4" s="24" t="s">
        <v>140</v>
      </c>
      <c r="C4" s="24" t="s">
        <v>141</v>
      </c>
      <c r="D4" s="24" t="s">
        <v>77</v>
      </c>
      <c r="E4" s="24" t="s">
        <v>142</v>
      </c>
      <c r="F4" s="24" t="s">
        <v>147</v>
      </c>
      <c r="G4" s="24" t="s">
        <v>148</v>
      </c>
      <c r="H4" s="24" t="s">
        <v>143</v>
      </c>
    </row>
    <row r="5" spans="1:9" ht="15" customHeight="1" x14ac:dyDescent="0.25">
      <c r="A5" s="23"/>
      <c r="B5" s="57" t="s">
        <v>218</v>
      </c>
      <c r="C5" s="56" t="s">
        <v>187</v>
      </c>
      <c r="D5" s="57" t="s">
        <v>201</v>
      </c>
      <c r="E5" s="26">
        <v>237</v>
      </c>
      <c r="F5" s="27">
        <f>E5*1.6</f>
        <v>379.20000000000005</v>
      </c>
      <c r="G5" s="27">
        <f>H5/F5</f>
        <v>11603.375527426158</v>
      </c>
      <c r="H5" s="28">
        <v>4400000</v>
      </c>
    </row>
    <row r="6" spans="1:9" x14ac:dyDescent="0.25">
      <c r="A6" s="23"/>
      <c r="B6" s="57" t="s">
        <v>218</v>
      </c>
      <c r="C6" s="56" t="s">
        <v>187</v>
      </c>
      <c r="D6" s="57" t="s">
        <v>201</v>
      </c>
      <c r="E6" s="26">
        <v>323</v>
      </c>
      <c r="F6" s="27">
        <f t="shared" ref="F6:F9" si="0">E6*1.6</f>
        <v>516.80000000000007</v>
      </c>
      <c r="G6" s="27">
        <f t="shared" ref="G6:G9" si="1">H6/F6</f>
        <v>11609.907120743033</v>
      </c>
      <c r="H6" s="28">
        <v>6000000</v>
      </c>
    </row>
    <row r="7" spans="1:9" ht="15" customHeight="1" x14ac:dyDescent="0.25">
      <c r="A7" s="23"/>
      <c r="B7" s="57" t="s">
        <v>218</v>
      </c>
      <c r="C7" s="56" t="s">
        <v>187</v>
      </c>
      <c r="D7" s="57" t="s">
        <v>219</v>
      </c>
      <c r="E7" s="26">
        <v>164</v>
      </c>
      <c r="F7" s="27">
        <f t="shared" si="0"/>
        <v>262.40000000000003</v>
      </c>
      <c r="G7" s="27">
        <f t="shared" si="1"/>
        <v>11051.829268292682</v>
      </c>
      <c r="H7" s="28">
        <v>2900000</v>
      </c>
    </row>
    <row r="8" spans="1:9" x14ac:dyDescent="0.25">
      <c r="A8" s="23"/>
      <c r="B8" s="26" t="s">
        <v>144</v>
      </c>
      <c r="C8" s="56" t="s">
        <v>187</v>
      </c>
      <c r="D8" s="57" t="s">
        <v>219</v>
      </c>
      <c r="E8" s="26">
        <v>183</v>
      </c>
      <c r="F8" s="27">
        <f t="shared" si="0"/>
        <v>292.8</v>
      </c>
      <c r="G8" s="27">
        <f t="shared" si="1"/>
        <v>11270.491803278688</v>
      </c>
      <c r="H8" s="28">
        <v>3300000</v>
      </c>
    </row>
    <row r="9" spans="1:9" ht="15" customHeight="1" x14ac:dyDescent="0.25">
      <c r="A9" s="23"/>
      <c r="B9" s="26" t="s">
        <v>144</v>
      </c>
      <c r="C9" s="56" t="s">
        <v>187</v>
      </c>
      <c r="D9" s="57" t="s">
        <v>219</v>
      </c>
      <c r="E9" s="26">
        <v>211</v>
      </c>
      <c r="F9" s="27">
        <f t="shared" si="0"/>
        <v>337.6</v>
      </c>
      <c r="G9" s="27">
        <f t="shared" si="1"/>
        <v>11255.924170616114</v>
      </c>
      <c r="H9" s="28">
        <v>3800000</v>
      </c>
    </row>
    <row r="10" spans="1:9" ht="15" customHeight="1" x14ac:dyDescent="0.25">
      <c r="A10" s="23"/>
      <c r="B10" s="29" t="s">
        <v>145</v>
      </c>
      <c r="C10" s="26"/>
      <c r="D10" s="26"/>
      <c r="E10" s="26"/>
      <c r="F10" s="26"/>
      <c r="G10" s="30">
        <f>AVERAGE(G5:G9)</f>
        <v>11358.305578071335</v>
      </c>
      <c r="H10" s="26"/>
    </row>
    <row r="11" spans="1:9" ht="15" customHeight="1" x14ac:dyDescent="0.25">
      <c r="B11" s="29" t="s">
        <v>146</v>
      </c>
      <c r="C11" s="26"/>
      <c r="D11" s="26"/>
      <c r="E11" s="26"/>
      <c r="F11" s="31"/>
      <c r="G11" s="29">
        <v>11300</v>
      </c>
      <c r="H11" s="29"/>
      <c r="I11" s="25"/>
    </row>
    <row r="12" spans="1:9" ht="15" customHeight="1" x14ac:dyDescent="0.25"/>
    <row r="13" spans="1:9" ht="15" customHeight="1" x14ac:dyDescent="0.25"/>
    <row r="14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2025-09-20T12:25:02Z</cp:lastPrinted>
  <dcterms:created xsi:type="dcterms:W3CDTF">2019-07-16T09:29:46Z</dcterms:created>
  <dcterms:modified xsi:type="dcterms:W3CDTF">2025-09-20T12:32:57Z</dcterms:modified>
</cp:coreProperties>
</file>