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20490" windowHeight="6555" tabRatio="724"/>
  </bookViews>
  <sheets>
    <sheet name="Sheet1" sheetId="1" r:id="rId1"/>
    <sheet name="Construction %" sheetId="14" r:id="rId2"/>
    <sheet name="Sheet2" sheetId="20" r:id="rId3"/>
    <sheet name="Wing A" sheetId="11" r:id="rId4"/>
    <sheet name="Construction % (2)" sheetId="18" state="hidden" r:id="rId5"/>
    <sheet name="Construction % (3)" sheetId="19" state="hidden" r:id="rId6"/>
  </sheets>
  <definedNames>
    <definedName name="_xlnm.Print_Area" localSheetId="0">Sheet1!$A$1:$J$293</definedName>
  </definedNames>
  <calcPr calcId="144525"/>
</workbook>
</file>

<file path=xl/calcChain.xml><?xml version="1.0" encoding="utf-8"?>
<calcChain xmlns="http://schemas.openxmlformats.org/spreadsheetml/2006/main">
  <c r="F40" i="1" l="1"/>
  <c r="F38" i="1" s="1"/>
  <c r="F39" i="1" s="1"/>
  <c r="L86" i="1" l="1"/>
  <c r="F3" i="1"/>
  <c r="D151" i="1" l="1"/>
  <c r="G151" i="1" s="1"/>
  <c r="D189" i="1"/>
  <c r="G189" i="1" s="1"/>
  <c r="D188" i="1"/>
  <c r="G188" i="1" s="1"/>
  <c r="D187" i="1"/>
  <c r="G187" i="1" s="1"/>
  <c r="D186" i="1"/>
  <c r="G186" i="1" s="1"/>
  <c r="D185" i="1"/>
  <c r="G185" i="1" s="1"/>
  <c r="D184" i="1"/>
  <c r="G184" i="1" s="1"/>
  <c r="D183" i="1"/>
  <c r="G183" i="1" s="1"/>
  <c r="D182" i="1"/>
  <c r="G182" i="1" s="1"/>
  <c r="D181" i="1"/>
  <c r="G181" i="1" s="1"/>
  <c r="D180" i="1"/>
  <c r="G180" i="1" s="1"/>
  <c r="D179" i="1"/>
  <c r="G179" i="1" s="1"/>
  <c r="D177" i="1"/>
  <c r="G177" i="1" s="1"/>
  <c r="D176" i="1"/>
  <c r="G176" i="1" s="1"/>
  <c r="D175" i="1"/>
  <c r="G175" i="1" s="1"/>
  <c r="D174" i="1"/>
  <c r="G174" i="1" s="1"/>
  <c r="D173" i="1"/>
  <c r="G173" i="1" s="1"/>
  <c r="D172" i="1"/>
  <c r="G172" i="1" s="1"/>
  <c r="D171" i="1"/>
  <c r="G171" i="1" s="1"/>
  <c r="D170" i="1"/>
  <c r="G170" i="1" s="1"/>
  <c r="D169" i="1"/>
  <c r="G169" i="1" s="1"/>
  <c r="D168" i="1"/>
  <c r="G168" i="1" s="1"/>
  <c r="D167" i="1"/>
  <c r="G167" i="1" s="1"/>
  <c r="D157" i="1"/>
  <c r="G157" i="1" s="1"/>
  <c r="D142" i="1"/>
  <c r="G142" i="1" s="1"/>
  <c r="D141" i="1"/>
  <c r="G141" i="1" s="1"/>
  <c r="D140" i="1"/>
  <c r="G140" i="1" s="1"/>
  <c r="D139" i="1"/>
  <c r="G139" i="1" s="1"/>
  <c r="D138" i="1"/>
  <c r="G138" i="1" s="1"/>
  <c r="D137" i="1"/>
  <c r="G137" i="1" s="1"/>
  <c r="D136" i="1"/>
  <c r="G136" i="1" s="1"/>
  <c r="D135" i="1"/>
  <c r="G135" i="1" s="1"/>
  <c r="D134" i="1"/>
  <c r="G134" i="1" s="1"/>
  <c r="D133" i="1"/>
  <c r="G133" i="1" s="1"/>
  <c r="D132" i="1"/>
  <c r="G132" i="1" s="1"/>
  <c r="D131" i="1"/>
  <c r="G131" i="1" s="1"/>
  <c r="D129" i="1"/>
  <c r="G129" i="1" s="1"/>
  <c r="D128" i="1"/>
  <c r="G128" i="1" s="1"/>
  <c r="D127" i="1"/>
  <c r="G127" i="1" s="1"/>
  <c r="D126" i="1"/>
  <c r="G126" i="1" s="1"/>
  <c r="D125" i="1"/>
  <c r="G125" i="1" s="1"/>
  <c r="D124" i="1"/>
  <c r="G124" i="1" s="1"/>
  <c r="D123" i="1"/>
  <c r="G123" i="1" s="1"/>
  <c r="D122" i="1"/>
  <c r="G122" i="1" s="1"/>
  <c r="D121" i="1"/>
  <c r="G121" i="1" s="1"/>
  <c r="D120" i="1"/>
  <c r="G120" i="1" s="1"/>
  <c r="D119" i="1"/>
  <c r="G119" i="1" s="1"/>
  <c r="D118" i="1"/>
  <c r="G118" i="1" s="1"/>
  <c r="D105" i="1"/>
  <c r="G105" i="1" s="1"/>
  <c r="D96" i="1"/>
  <c r="G96" i="1" s="1"/>
  <c r="K99" i="1" l="1"/>
  <c r="K94" i="1"/>
  <c r="K104" i="1"/>
  <c r="K117" i="1"/>
  <c r="K130" i="1"/>
  <c r="K143" i="1"/>
  <c r="K154" i="1"/>
  <c r="K166" i="1"/>
  <c r="K178" i="1"/>
  <c r="I179" i="1"/>
  <c r="I167" i="1"/>
  <c r="D165" i="1"/>
  <c r="G165" i="1" s="1"/>
  <c r="D164" i="1"/>
  <c r="G164" i="1" s="1"/>
  <c r="D163" i="1"/>
  <c r="G163" i="1" s="1"/>
  <c r="D162" i="1"/>
  <c r="G162" i="1" s="1"/>
  <c r="D161" i="1"/>
  <c r="G161" i="1" s="1"/>
  <c r="D160" i="1"/>
  <c r="G160" i="1" s="1"/>
  <c r="D159" i="1"/>
  <c r="G159" i="1" s="1"/>
  <c r="D158" i="1"/>
  <c r="G158" i="1" s="1"/>
  <c r="D156" i="1"/>
  <c r="G156" i="1" s="1"/>
  <c r="I155" i="1"/>
  <c r="D155" i="1"/>
  <c r="G155" i="1" s="1"/>
  <c r="D152" i="1"/>
  <c r="G152" i="1" s="1"/>
  <c r="D149" i="1"/>
  <c r="G149" i="1" s="1"/>
  <c r="D147" i="1"/>
  <c r="G147" i="1" s="1"/>
  <c r="D146" i="1"/>
  <c r="G146" i="1" s="1"/>
  <c r="D145" i="1"/>
  <c r="G145" i="1" s="1"/>
  <c r="D144" i="1"/>
  <c r="G144" i="1" s="1"/>
  <c r="D153" i="1"/>
  <c r="G153" i="1" s="1"/>
  <c r="D148" i="1"/>
  <c r="G148" i="1" s="1"/>
  <c r="I144" i="1"/>
  <c r="I131" i="1"/>
  <c r="I118" i="1"/>
  <c r="I105" i="1"/>
  <c r="D116" i="1"/>
  <c r="G116" i="1" s="1"/>
  <c r="D115" i="1"/>
  <c r="G115" i="1" s="1"/>
  <c r="D114" i="1"/>
  <c r="G114" i="1" s="1"/>
  <c r="D113" i="1"/>
  <c r="G113" i="1" s="1"/>
  <c r="D112" i="1"/>
  <c r="G112" i="1" s="1"/>
  <c r="D111" i="1"/>
  <c r="G111" i="1" s="1"/>
  <c r="D110" i="1"/>
  <c r="G110" i="1" s="1"/>
  <c r="D109" i="1"/>
  <c r="G109" i="1" s="1"/>
  <c r="D108" i="1"/>
  <c r="G108" i="1" s="1"/>
  <c r="D107" i="1"/>
  <c r="G107" i="1" s="1"/>
  <c r="D106" i="1"/>
  <c r="G106" i="1" s="1"/>
  <c r="D101" i="1"/>
  <c r="G101" i="1" s="1"/>
  <c r="D100" i="1"/>
  <c r="G100" i="1" s="1"/>
  <c r="D98" i="1"/>
  <c r="G98" i="1" s="1"/>
  <c r="D97" i="1"/>
  <c r="G97" i="1" s="1"/>
  <c r="D95" i="1"/>
  <c r="K90" i="1"/>
  <c r="P44" i="1"/>
  <c r="K44" i="1"/>
  <c r="F204" i="1"/>
  <c r="D67" i="1"/>
  <c r="M66" i="1"/>
  <c r="C59" i="1" s="1"/>
  <c r="D59" i="1" s="1"/>
  <c r="D66" i="1"/>
  <c r="M65" i="1"/>
  <c r="D65" i="1"/>
  <c r="M64" i="1"/>
  <c r="D64" i="1"/>
  <c r="M63" i="1"/>
  <c r="D63" i="1"/>
  <c r="D62" i="1"/>
  <c r="M61" i="1"/>
  <c r="C58" i="1" s="1"/>
  <c r="D61" i="1"/>
  <c r="M60" i="1"/>
  <c r="D60" i="1"/>
  <c r="G39" i="14"/>
  <c r="B39" i="14"/>
  <c r="G40" i="14"/>
  <c r="C39" i="14"/>
  <c r="C36" i="14"/>
  <c r="B10" i="14"/>
  <c r="B12" i="14"/>
  <c r="M39" i="14"/>
  <c r="B45" i="14"/>
  <c r="M40" i="14"/>
  <c r="C45" i="14"/>
  <c r="B11" i="14"/>
  <c r="L39" i="14"/>
  <c r="B44" i="14"/>
  <c r="B9" i="14"/>
  <c r="J40" i="14"/>
  <c r="C42" i="14"/>
  <c r="B8" i="14"/>
  <c r="I40" i="14"/>
  <c r="C41" i="14"/>
  <c r="B7" i="14"/>
  <c r="D7" i="14"/>
  <c r="H39" i="14"/>
  <c r="B40" i="14"/>
  <c r="D6" i="14"/>
  <c r="B1" i="20"/>
  <c r="C1" i="20"/>
  <c r="E13" i="11"/>
  <c r="F13" i="11"/>
  <c r="E9" i="11"/>
  <c r="F9" i="11"/>
  <c r="B16" i="19"/>
  <c r="E16" i="19"/>
  <c r="B14" i="19"/>
  <c r="O6" i="19"/>
  <c r="K18" i="19"/>
  <c r="B12" i="19"/>
  <c r="N6" i="19"/>
  <c r="K17" i="19"/>
  <c r="B10" i="19"/>
  <c r="E10" i="19"/>
  <c r="B8" i="19"/>
  <c r="L7" i="19"/>
  <c r="L15" i="19"/>
  <c r="J6" i="19"/>
  <c r="J7" i="19"/>
  <c r="L13" i="19"/>
  <c r="K13" i="19"/>
  <c r="B6" i="19"/>
  <c r="K6" i="19"/>
  <c r="K14" i="19"/>
  <c r="E4" i="19"/>
  <c r="G82" i="1"/>
  <c r="B16" i="18"/>
  <c r="E16" i="18"/>
  <c r="P6" i="18"/>
  <c r="K19" i="18"/>
  <c r="B14" i="18"/>
  <c r="E14" i="18"/>
  <c r="B12" i="18"/>
  <c r="N7" i="18"/>
  <c r="L17" i="18"/>
  <c r="E12" i="18"/>
  <c r="B10" i="18"/>
  <c r="M6" i="18"/>
  <c r="K16" i="18"/>
  <c r="E10" i="18"/>
  <c r="B8" i="18"/>
  <c r="E8" i="18"/>
  <c r="L6" i="18"/>
  <c r="K15" i="18"/>
  <c r="O7" i="18"/>
  <c r="L18" i="18"/>
  <c r="N6" i="18"/>
  <c r="K17" i="18"/>
  <c r="J6" i="18"/>
  <c r="K13" i="18"/>
  <c r="J7" i="18"/>
  <c r="L13" i="18"/>
  <c r="B6" i="18"/>
  <c r="K6" i="18"/>
  <c r="K14" i="18"/>
  <c r="K7" i="18"/>
  <c r="L14" i="18"/>
  <c r="E4" i="18"/>
  <c r="E6" i="18"/>
  <c r="L7" i="18"/>
  <c r="L15" i="18"/>
  <c r="P7" i="18"/>
  <c r="L19" i="18"/>
  <c r="C44" i="1"/>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34" i="11"/>
  <c r="L34"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34" i="11"/>
  <c r="E34" i="11"/>
  <c r="F10" i="11"/>
  <c r="F11" i="11"/>
  <c r="F12" i="11"/>
  <c r="F14" i="11"/>
  <c r="F15" i="11"/>
  <c r="F16" i="11"/>
  <c r="F17" i="11"/>
  <c r="F18" i="11"/>
  <c r="F19" i="11"/>
  <c r="F20" i="11"/>
  <c r="M33" i="11"/>
  <c r="J33" i="11"/>
  <c r="M32" i="11"/>
  <c r="J32" i="11"/>
  <c r="M31" i="11"/>
  <c r="J31" i="11"/>
  <c r="M30" i="11"/>
  <c r="J30" i="11"/>
  <c r="M6" i="11"/>
  <c r="J6" i="11"/>
  <c r="J34" i="11"/>
  <c r="I34" i="11"/>
  <c r="F6" i="11"/>
  <c r="M7" i="19"/>
  <c r="L16" i="19"/>
  <c r="N7" i="19"/>
  <c r="L17" i="19"/>
  <c r="E8" i="19"/>
  <c r="E12" i="19"/>
  <c r="E14" i="19"/>
  <c r="O7" i="19"/>
  <c r="L18" i="19"/>
  <c r="O6" i="18"/>
  <c r="K18" i="18"/>
  <c r="M7" i="18"/>
  <c r="L16" i="18"/>
  <c r="P7" i="19"/>
  <c r="L19" i="19"/>
  <c r="K7" i="19"/>
  <c r="L14" i="19"/>
  <c r="E6" i="19"/>
  <c r="L6" i="19"/>
  <c r="K15" i="19"/>
  <c r="L40" i="14"/>
  <c r="C44" i="14"/>
  <c r="D12" i="14"/>
  <c r="J39" i="14"/>
  <c r="B42" i="14"/>
  <c r="D11" i="14"/>
  <c r="L20" i="19"/>
  <c r="K20" i="18"/>
  <c r="K39" i="14"/>
  <c r="B43" i="14"/>
  <c r="K40" i="14"/>
  <c r="C43" i="14"/>
  <c r="D10" i="14"/>
  <c r="L20" i="18"/>
  <c r="C14" i="14"/>
  <c r="I39" i="14"/>
  <c r="B41" i="14"/>
  <c r="B14" i="14"/>
  <c r="H40" i="14"/>
  <c r="C40" i="14"/>
  <c r="D9" i="14"/>
  <c r="D8" i="14"/>
  <c r="P6" i="19"/>
  <c r="K19" i="19"/>
  <c r="M6" i="19"/>
  <c r="K16" i="19"/>
  <c r="K20" i="19"/>
  <c r="G95" i="1" l="1"/>
  <c r="H86" i="1" s="1"/>
  <c r="C86" i="1"/>
  <c r="E86" i="1"/>
  <c r="H58" i="1"/>
  <c r="D58" i="1"/>
  <c r="K54" i="1" s="1"/>
  <c r="C56" i="1" s="1"/>
  <c r="F58" i="1" s="1"/>
</calcChain>
</file>

<file path=xl/sharedStrings.xml><?xml version="1.0" encoding="utf-8"?>
<sst xmlns="http://schemas.openxmlformats.org/spreadsheetml/2006/main" count="583" uniqueCount="268">
  <si>
    <t>Date:</t>
  </si>
  <si>
    <t>CPC Name:</t>
  </si>
  <si>
    <t>Date Of Property Visit</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</si>
  <si>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</si>
  <si>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</si>
  <si>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</si>
  <si>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</si>
  <si>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</si>
  <si>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</si>
  <si>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</si>
  <si>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</si>
  <si>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</si>
  <si>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</si>
  <si>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</si>
  <si>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</si>
  <si>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</si>
  <si>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</si>
  <si>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</si>
  <si>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</si>
  <si>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</si>
  <si>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</si>
  <si>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</si>
  <si>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</si>
  <si>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</si>
  <si>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</si>
  <si>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</si>
  <si>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</si>
  <si>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</si>
  <si>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</si>
  <si>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</si>
  <si>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</si>
  <si>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</si>
  <si>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</si>
  <si>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</si>
  <si>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</si>
  <si>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</si>
  <si>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</si>
  <si>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</si>
  <si>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</si>
  <si>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</si>
  <si>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</si>
  <si>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</si>
  <si>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</si>
  <si>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</si>
  <si>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Finishing</t>
  </si>
  <si>
    <t xml:space="preserve">Valuation Report </t>
  </si>
  <si>
    <t xml:space="preserve">Details of Flats in Building   </t>
  </si>
  <si>
    <t>Yes</t>
  </si>
  <si>
    <t>Violations Observed if any : NA</t>
  </si>
  <si>
    <t>NA</t>
  </si>
  <si>
    <t>South</t>
  </si>
  <si>
    <t xml:space="preserve">Distance from city centre: </t>
  </si>
  <si>
    <t>Plane</t>
  </si>
  <si>
    <t>Projected life of the structure: 60 Years After Completion</t>
  </si>
  <si>
    <t>No of floors at site : See Construction details</t>
  </si>
  <si>
    <t>Does the boundaries at site match, as mentioned in the Docoumentation: NA</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</si>
  <si>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</si>
  <si>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</si>
  <si>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</si>
  <si>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</si>
  <si>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</si>
  <si>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</si>
  <si>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</si>
  <si>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</si>
  <si>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</si>
  <si>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</si>
  <si>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</si>
  <si>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</si>
  <si>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</si>
  <si>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</si>
  <si>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t>Floor rise rate  Per Sq. Ft.</t>
  </si>
  <si>
    <t>Development charges Per Sq. Ft.</t>
  </si>
  <si>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</si>
  <si>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</si>
  <si>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</si>
  <si>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</si>
  <si>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</si>
  <si>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</si>
  <si>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</si>
  <si>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</si>
  <si>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</si>
  <si>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</si>
  <si>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</si>
  <si>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</si>
  <si>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</si>
  <si>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</si>
  <si>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</si>
  <si>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</si>
  <si>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</si>
  <si>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</si>
  <si>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</si>
  <si>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</si>
  <si>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</si>
  <si>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</si>
  <si>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</si>
  <si>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</si>
  <si>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</si>
  <si>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</si>
  <si>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</si>
  <si>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</si>
  <si>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O. Certificate No.: </t>
  </si>
  <si>
    <t>Contect Details ( Name &amp; Contect No.)</t>
  </si>
  <si>
    <t>Name / no of the Building</t>
  </si>
  <si>
    <t>Plot No</t>
  </si>
  <si>
    <t>Accessibility to the Project from the City:
(Proximity to civic amenities like school, hospital, market, etc.)</t>
  </si>
  <si>
    <t>Does property have Electricity / Water / Drainage Connection</t>
  </si>
  <si>
    <t>PLC charges</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</si>
  <si>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</si>
  <si>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</si>
  <si>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</si>
  <si>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</si>
  <si>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</si>
  <si>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</si>
  <si>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</si>
  <si>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</si>
  <si>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</si>
  <si>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</si>
  <si>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</si>
  <si>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</si>
  <si>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</si>
  <si>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</si>
  <si>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</si>
  <si>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</si>
  <si>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</si>
  <si>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</si>
  <si>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</si>
  <si>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</si>
  <si>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</si>
  <si>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</si>
  <si>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</si>
  <si>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</si>
  <si>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 xml:space="preserve">Name of the builder </t>
  </si>
  <si>
    <t>Type of Structure : RCC Framed Structure</t>
  </si>
  <si>
    <t>Other Charges</t>
  </si>
  <si>
    <t>S No /G. No</t>
  </si>
  <si>
    <t>NA Order</t>
  </si>
  <si>
    <t>Axis Sanpada</t>
  </si>
  <si>
    <t>Approved Layout, Approved Building Plan, CC.</t>
  </si>
  <si>
    <t>4)  The Saleable Area is as per our calculation.</t>
  </si>
  <si>
    <t>Recommended rate of the Shop Per Sq. Ft. ( on Saleable area)</t>
  </si>
  <si>
    <t>all available at  1 to 3 km.</t>
  </si>
  <si>
    <t>RERA Number</t>
  </si>
  <si>
    <t>Material laying at Site: : Bricks, Sand &amp; Steel etc..</t>
  </si>
  <si>
    <t>Wheather the construction is as per approved Building plan : Under construction.</t>
  </si>
  <si>
    <t>Quality of construction: Good</t>
  </si>
  <si>
    <t>B Wing</t>
  </si>
  <si>
    <t>P51800006703</t>
  </si>
  <si>
    <t>M/s.Suchita Orange HDM Project</t>
  </si>
  <si>
    <t>Orange Builders &amp; Developers and 
Suchita Construction Co.</t>
  </si>
  <si>
    <t>O &amp; S Business Suites</t>
  </si>
  <si>
    <t>Hirachand Desai Road</t>
  </si>
  <si>
    <t>Plot No. 11</t>
  </si>
  <si>
    <t>CTS No. 3214 TPS II</t>
  </si>
  <si>
    <t>Ghatkoper</t>
  </si>
  <si>
    <t>Mumbai</t>
  </si>
  <si>
    <t>Next to Ghatkoper Metro Station</t>
  </si>
  <si>
    <t>Ghatkopar</t>
  </si>
  <si>
    <t xml:space="preserve">Approved usage of the Property: Commercial
(Restrictive Covenants in regard to Land Use, if any) : No                                                                                                                                         </t>
  </si>
  <si>
    <t>Anand Bhavan Building</t>
  </si>
  <si>
    <t>Doshi Wadi Compound</t>
  </si>
  <si>
    <t>Sanskar Building</t>
  </si>
  <si>
    <t>About 180M from Ghatkoper Metro Station</t>
  </si>
  <si>
    <t>Upper Class</t>
  </si>
  <si>
    <t>Developed</t>
  </si>
  <si>
    <r>
      <t xml:space="preserve">Proposed Amenities                                                                                                                                                                                                                                   </t>
    </r>
    <r>
      <rPr>
        <sz val="11"/>
        <rFont val="Times New Roman"/>
        <family val="1"/>
      </rPr>
      <t xml:space="preserve">1.  Vitrified tiles flooring 2. Decorative Enternace  etc.   </t>
    </r>
    <r>
      <rPr>
        <b/>
        <sz val="11"/>
        <rFont val="Times New Roman"/>
        <family val="1"/>
      </rPr>
      <t xml:space="preserve">                                               </t>
    </r>
  </si>
  <si>
    <t>Basement For Parking</t>
  </si>
  <si>
    <t>O &amp; S Business Suites/01 Building - B Wing</t>
  </si>
  <si>
    <t>O &amp; S Business Suites, Final Plot No. 11 CTS No. 3214 TPS II, Ghatkopar West, Mumbai.</t>
  </si>
  <si>
    <t>Office</t>
  </si>
  <si>
    <t>Saleable area</t>
  </si>
  <si>
    <t>Approved no of units</t>
  </si>
  <si>
    <t>1st floor.</t>
  </si>
  <si>
    <t>Gross Carpet area</t>
  </si>
  <si>
    <t>PHOTOGRAPHS OF PROPERTY OF CUSTOMER:</t>
  </si>
  <si>
    <t>Google Map:</t>
  </si>
  <si>
    <t>CHE/795/B.P(SPL.CALL)AN/337</t>
  </si>
  <si>
    <t>27/03/2018.</t>
  </si>
  <si>
    <t>Recommended rate of the Office Per Sq. Ft. ( on Saleable area)</t>
  </si>
  <si>
    <t>N</t>
  </si>
  <si>
    <t>800000/-</t>
  </si>
  <si>
    <t>Basement</t>
  </si>
  <si>
    <t>Podium</t>
  </si>
  <si>
    <t>Ground</t>
  </si>
  <si>
    <t>Upper Floor</t>
  </si>
  <si>
    <t>Parking</t>
  </si>
  <si>
    <t>Rate</t>
  </si>
  <si>
    <t>Palghar</t>
  </si>
  <si>
    <t>100000/-</t>
  </si>
  <si>
    <t>Ulwe, karanjade</t>
  </si>
  <si>
    <t>200000/-</t>
  </si>
  <si>
    <t>Panvel</t>
  </si>
  <si>
    <t>300000/-</t>
  </si>
  <si>
    <t>Mumbai - G + 15</t>
  </si>
  <si>
    <t>500000/-</t>
  </si>
  <si>
    <t>Mumbai - G + 25</t>
  </si>
  <si>
    <t>Mumbai - G + 35</t>
  </si>
  <si>
    <t>1000000/-</t>
  </si>
  <si>
    <t>Thane - G + 7</t>
  </si>
  <si>
    <t>Thane - G + 15</t>
  </si>
  <si>
    <t>400000/-</t>
  </si>
  <si>
    <t>Excavation in process</t>
  </si>
  <si>
    <t>Thane - G + 25</t>
  </si>
  <si>
    <t>600000/-</t>
  </si>
  <si>
    <t>Excavation Completed</t>
  </si>
  <si>
    <t>Footing in Process</t>
  </si>
  <si>
    <t>Footing Completed</t>
  </si>
  <si>
    <t>Plinth in process</t>
  </si>
  <si>
    <t>Plinth completed</t>
  </si>
  <si>
    <t xml:space="preserve">total floor </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</si>
  <si>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</si>
  <si>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</si>
  <si>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</si>
  <si>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</si>
  <si>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</si>
  <si>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</si>
  <si>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</si>
  <si>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</si>
  <si>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</si>
  <si>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</si>
  <si>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Brickwork</t>
  </si>
  <si>
    <t>Brickwork &amp; Internal Plaster</t>
  </si>
  <si>
    <t>Internal Plaster</t>
  </si>
  <si>
    <t>Ext. Plaster &amp; Plumbing</t>
  </si>
  <si>
    <t>External Plaster &amp; Plumbing</t>
  </si>
  <si>
    <t>Flooring &amp; Fitting</t>
  </si>
  <si>
    <t>Painting &amp; Wooden</t>
  </si>
  <si>
    <t>Building Common Amenities</t>
  </si>
  <si>
    <t>Possession</t>
  </si>
  <si>
    <t xml:space="preserve">RCC </t>
  </si>
  <si>
    <t>1st floor</t>
  </si>
  <si>
    <t>01 Wing</t>
  </si>
  <si>
    <r>
      <t xml:space="preserve">Date of Commencement of Construction
</t>
    </r>
    <r>
      <rPr>
        <b/>
        <sz val="11"/>
        <color indexed="8"/>
        <rFont val="Times New Roman"/>
        <family val="1"/>
      </rPr>
      <t>Valid Up to:</t>
    </r>
  </si>
  <si>
    <t>Office No. 1031, Wing J, Akshar Business Park, Plot No. 03 Sector 25, Near APMC Market,
Vashi, Navi Mumbai, Maharashtra 400703 TEL: 022-46090378/79/8
E mail : vsjcapf@gmail.com. Web site : www.vsjadon.com</t>
  </si>
  <si>
    <t>Valid upto date:
12/01/2026</t>
  </si>
  <si>
    <t>CHE/795/BP (SPL.
CELL)/AN/337/FCC/4/Amend
"Full C.C. to Wing "B" as per the approved amended plans dated 21.11.2023"</t>
  </si>
  <si>
    <t>Construction details: B Wing = 1B + Gr/St + 1st to 10th Floor</t>
  </si>
  <si>
    <t>Location Link</t>
  </si>
  <si>
    <t>https://maps.app.goo.gl/JwdKuYvjfan4etdc6</t>
  </si>
  <si>
    <t>19.0881969,72.9071786</t>
  </si>
  <si>
    <t>CHE/795/BP (SPL.
CELL)/AN/337/337/4/Amend</t>
  </si>
  <si>
    <t>1+2+3</t>
  </si>
  <si>
    <t>4+5+6</t>
  </si>
  <si>
    <t>7+8+9</t>
  </si>
  <si>
    <t>10+11+12</t>
  </si>
  <si>
    <t>2nd Floor</t>
  </si>
  <si>
    <t>1+2+3+4</t>
  </si>
  <si>
    <t>5+6</t>
  </si>
  <si>
    <t xml:space="preserve"> - </t>
  </si>
  <si>
    <t xml:space="preserve"> -</t>
  </si>
  <si>
    <t>Diagnostic Centre</t>
  </si>
  <si>
    <t>3rd Floor</t>
  </si>
  <si>
    <t>4th Floor</t>
  </si>
  <si>
    <t>5th Floor</t>
  </si>
  <si>
    <t>6th Floor For Commercial (Part Refuge Area)</t>
  </si>
  <si>
    <t>Refuge Area</t>
  </si>
  <si>
    <t>7th &amp; 8th Floor</t>
  </si>
  <si>
    <t>9th Floor</t>
  </si>
  <si>
    <t>10th Floor</t>
  </si>
  <si>
    <t>Ground Floor Meter Room, Commercial Shops of MCGM.</t>
  </si>
  <si>
    <t>7+8</t>
  </si>
  <si>
    <t>Commercial Area Details :</t>
  </si>
  <si>
    <t>Building &amp; Wing</t>
  </si>
  <si>
    <t>No. of Units</t>
  </si>
  <si>
    <t>Total Carpet Area</t>
  </si>
  <si>
    <t>Total Saleable Area</t>
  </si>
  <si>
    <t>Offices = 95</t>
  </si>
  <si>
    <t>1B + Gr/St + 1st to 10th Floor</t>
  </si>
  <si>
    <t xml:space="preserve">Remarks:  
1. Construction work is in process at the time of Visit. (Internal visit was not allowed)
2. We have considered rate by verifying it from market inquire.
3. We have considered Saleable area of Commercial as per our Calculation.
4. We considered Gross carpet area = Net carpet Area.
5. We have considered construction percent as per proposed no of floors.
6. We have considered rate by verifying it from market inquire on 12/06/2025.
7. Car parking is subjected to authentic documentation.
8. We have given Valuation for Sale Flats and Shops only.
9. We have updated revised approved plans &amp; CC on 11/06/2025.
10. We are unable to identify which shops belong to B wing. Please provide a sale plan for the ground floor of wing B.
11. As per the revised approved floor plan, a few offices are merged into a single unit mentioned below.
* On 1st floor, Office No. 1, 2 &amp; 3 are merged into a single unit.
* On 1st floor, Office No. 4, 5 &amp; 6 are merged into a single unit.
* On 1st floor, Office No. 7, 8 &amp; 9 are merged into a single unit.
* On 1st floor, Office No. 10, 11 &amp; 12 are merged into a single unit.
* On 2nd floor, Office No. 1, 2, 3 &amp; 4 are merged into a single unit.
* On 2nd floor, Office No. 5 &amp; 6 are merged into a single unit.
* On 7th, 8th, 9th and 10th floor, Office No. 7 &amp; 8 are merged into a single unit.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</si>
</sst>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sz val="11"/>
      <color indexed="8"/>
      <name val="Calibri"/>
      <family val="2"/>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0"/>
      <color indexed="8"/>
      <name val="Times New Roman"/>
      <family val="1"/>
    </font>
    <font>
      <b/>
      <sz val="14"/>
      <color indexed="8"/>
      <name val="Times New Roman"/>
      <family val="1"/>
    </font>
    <font>
      <b/>
      <sz val="12"/>
      <name val="Times New Roman"/>
      <family val="1"/>
    </font>
    <font>
      <sz val="12"/>
      <name val="Times New Roman"/>
      <family val="1"/>
    </font>
    <font>
      <sz val="11"/>
      <color theme="1"/>
      <name val="Calibri"/>
      <family val="2"/>
      <scheme val="minor"/>
    </font>
    <font>
      <u/>
      <sz val="11"/>
      <color theme="10"/>
      <name val="Calibri"/>
      <family val="2"/>
      <scheme val="minor"/>
    </font>
    <font>
      <b/>
      <sz val="11"/>
      <color theme="1"/>
      <name val="Calibri"/>
      <family val="2"/>
      <scheme val="minor"/>
    </font>
    <font>
      <sz val="12"/>
      <color theme="1"/>
      <name val="Times New Roman"/>
      <family val="1"/>
    </font>
    <font>
      <sz val="11"/>
      <color rgb="FF000000"/>
      <name val="Times New Roman"/>
      <family val="1"/>
    </font>
    <font>
      <b/>
      <sz val="11"/>
      <color rgb="FF000000"/>
      <name val="Times New Roman"/>
      <family val="1"/>
    </font>
    <font>
      <b/>
      <sz val="11"/>
      <color theme="1"/>
      <name val="Times New Roman"/>
      <family val="1"/>
    </font>
    <font>
      <b/>
      <sz val="12"/>
      <color theme="1"/>
      <name val="Times New Roman"/>
      <family val="1"/>
    </font>
    <font>
      <sz val="11"/>
      <color theme="1"/>
      <name val="Times New Roman"/>
      <family val="1"/>
    </font>
    <font>
      <sz val="12"/>
      <color theme="1"/>
      <name val="Calibri"/>
      <family val="2"/>
      <scheme val="minor"/>
    </font>
    <font>
      <sz val="12"/>
      <color indexed="8"/>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0" fontId="1" fillId="0" borderId="0"/>
    <xf numFmtId="0" fontId="15" fillId="0" borderId="0" applyNumberFormat="0" applyFill="0" applyBorder="0" applyAlignment="0" applyProtection="0"/>
    <xf numFmtId="0" fontId="14" fillId="0" borderId="0"/>
    <xf numFmtId="9" fontId="4" fillId="0" borderId="0" applyFont="0" applyFill="0" applyBorder="0" applyAlignment="0" applyProtection="0"/>
  </cellStyleXfs>
  <cellXfs count="299">
    <xf numFmtId="0" fontId="0" fillId="0" borderId="0" xfId="0"/>
    <xf numFmtId="0" fontId="1" fillId="0" borderId="0" xfId="1"/>
    <xf numFmtId="0" fontId="3" fillId="0" borderId="1" xfId="0" applyFont="1" applyFill="1" applyBorder="1" applyAlignment="1">
      <alignment vertical="top"/>
    </xf>
    <xf numFmtId="0" fontId="5" fillId="0" borderId="1" xfId="0" applyFont="1" applyFill="1" applyBorder="1" applyAlignment="1">
      <alignment vertical="top"/>
    </xf>
    <xf numFmtId="0" fontId="3" fillId="0" borderId="2" xfId="0" applyFont="1" applyFill="1" applyBorder="1" applyAlignment="1">
      <alignment vertical="top"/>
    </xf>
    <xf numFmtId="0" fontId="3" fillId="0" borderId="2" xfId="0" applyFont="1" applyFill="1" applyBorder="1" applyAlignment="1">
      <alignment vertical="top" wrapText="1"/>
    </xf>
    <xf numFmtId="0" fontId="3" fillId="2" borderId="2" xfId="0" applyFont="1" applyFill="1" applyBorder="1" applyAlignment="1">
      <alignment vertical="top"/>
    </xf>
    <xf numFmtId="1" fontId="6" fillId="0" borderId="2" xfId="0" applyNumberFormat="1" applyFont="1" applyFill="1" applyBorder="1" applyAlignment="1">
      <alignment horizontal="center" vertical="top" wrapText="1"/>
    </xf>
    <xf numFmtId="0" fontId="0" fillId="0" borderId="2" xfId="0" applyBorder="1"/>
    <xf numFmtId="0" fontId="16" fillId="0" borderId="2" xfId="0" applyFont="1" applyBorder="1"/>
    <xf numFmtId="0" fontId="0" fillId="0" borderId="3" xfId="0" applyBorder="1" applyAlignment="1"/>
    <xf numFmtId="0" fontId="0" fillId="3" borderId="2" xfId="0" applyFill="1" applyBorder="1"/>
    <xf numFmtId="0" fontId="16" fillId="0" borderId="2" xfId="0" applyFont="1" applyBorder="1" applyAlignment="1">
      <alignment horizontal="center"/>
    </xf>
    <xf numFmtId="0" fontId="16" fillId="3" borderId="2" xfId="0" applyFont="1" applyFill="1" applyBorder="1"/>
    <xf numFmtId="0" fontId="0" fillId="0" borderId="0" xfId="0" applyBorder="1"/>
    <xf numFmtId="0" fontId="0" fillId="0" borderId="4" xfId="0" applyBorder="1"/>
    <xf numFmtId="0" fontId="0" fillId="0" borderId="0" xfId="0" applyAlignment="1">
      <alignment wrapText="1"/>
    </xf>
    <xf numFmtId="0" fontId="0" fillId="0" borderId="2" xfId="0" applyBorder="1" applyAlignment="1">
      <alignment wrapText="1"/>
    </xf>
    <xf numFmtId="0" fontId="2" fillId="0" borderId="0" xfId="0" applyFont="1" applyBorder="1" applyAlignment="1">
      <alignment horizontal="center" vertical="top" wrapText="1"/>
    </xf>
    <xf numFmtId="0" fontId="16" fillId="2" borderId="2" xfId="0" applyFont="1" applyFill="1" applyBorder="1"/>
    <xf numFmtId="0" fontId="0" fillId="4" borderId="2" xfId="0" applyFill="1" applyBorder="1"/>
    <xf numFmtId="1" fontId="2" fillId="0" borderId="2" xfId="0" applyNumberFormat="1" applyFont="1" applyFill="1" applyBorder="1" applyAlignment="1">
      <alignment horizontal="center" vertical="top" wrapText="1"/>
    </xf>
    <xf numFmtId="1" fontId="0" fillId="0" borderId="0" xfId="0" applyNumberFormat="1" applyBorder="1"/>
    <xf numFmtId="0" fontId="1" fillId="0" borderId="0" xfId="1" applyAlignment="1">
      <alignment vertical="center"/>
    </xf>
    <xf numFmtId="0" fontId="0" fillId="0" borderId="0" xfId="0" applyAlignment="1">
      <alignment horizontal="left" vertical="center"/>
    </xf>
    <xf numFmtId="0" fontId="0" fillId="0" borderId="0" xfId="0" applyAlignment="1">
      <alignment vertical="center"/>
    </xf>
    <xf numFmtId="0" fontId="3" fillId="0" borderId="1" xfId="0" applyFont="1" applyFill="1" applyBorder="1" applyAlignment="1">
      <alignment horizontal="left" vertical="top"/>
    </xf>
    <xf numFmtId="14" fontId="3" fillId="2" borderId="2" xfId="0" applyNumberFormat="1" applyFont="1" applyFill="1" applyBorder="1" applyAlignment="1">
      <alignment vertical="top"/>
    </xf>
    <xf numFmtId="164" fontId="0" fillId="0" borderId="0" xfId="0" applyNumberFormat="1"/>
    <xf numFmtId="0" fontId="0" fillId="0" borderId="0" xfId="0" applyFont="1"/>
    <xf numFmtId="1" fontId="17" fillId="0" borderId="2" xfId="0" applyNumberFormat="1" applyFont="1" applyFill="1" applyBorder="1" applyAlignment="1">
      <alignment horizontal="center" vertical="center" wrapText="1"/>
    </xf>
    <xf numFmtId="0" fontId="16" fillId="0" borderId="0" xfId="0" applyFont="1"/>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8" fillId="0" borderId="2" xfId="0" applyFont="1" applyBorder="1"/>
    <xf numFmtId="0" fontId="18" fillId="0" borderId="0" xfId="0" applyFont="1"/>
    <xf numFmtId="0" fontId="18" fillId="3" borderId="2" xfId="0" applyFont="1" applyFill="1" applyBorder="1"/>
    <xf numFmtId="0" fontId="18" fillId="0" borderId="2" xfId="0" applyFont="1" applyBorder="1" applyAlignment="1">
      <alignment horizontal="center"/>
    </xf>
    <xf numFmtId="0" fontId="18" fillId="3" borderId="2" xfId="0" applyFont="1" applyFill="1" applyBorder="1" applyAlignment="1">
      <alignment horizontal="center"/>
    </xf>
    <xf numFmtId="9" fontId="18" fillId="0" borderId="0" xfId="4" applyFont="1" applyBorder="1"/>
    <xf numFmtId="0" fontId="18" fillId="0" borderId="0" xfId="0" applyFont="1" applyBorder="1"/>
    <xf numFmtId="0" fontId="19" fillId="0" borderId="2" xfId="0" applyFont="1" applyBorder="1" applyAlignment="1">
      <alignment horizontal="center"/>
    </xf>
    <xf numFmtId="0" fontId="18" fillId="0" borderId="0" xfId="0" applyFont="1" applyBorder="1" applyAlignment="1">
      <alignment horizontal="right"/>
    </xf>
    <xf numFmtId="0" fontId="18" fillId="0" borderId="0" xfId="0" applyFont="1" applyAlignment="1">
      <alignment wrapText="1"/>
    </xf>
    <xf numFmtId="9" fontId="19" fillId="0" borderId="2" xfId="4" applyFont="1" applyBorder="1"/>
    <xf numFmtId="0" fontId="18" fillId="0" borderId="0" xfId="0" applyFont="1" applyFill="1" applyBorder="1"/>
    <xf numFmtId="9" fontId="18" fillId="0" borderId="0" xfId="0" applyNumberFormat="1" applyFont="1"/>
    <xf numFmtId="0" fontId="20" fillId="0" borderId="2" xfId="0" applyFont="1" applyFill="1" applyBorder="1" applyAlignment="1">
      <alignment horizontal="center"/>
    </xf>
    <xf numFmtId="0" fontId="20" fillId="0" borderId="0" xfId="0" applyFont="1" applyFill="1" applyBorder="1" applyAlignment="1">
      <alignment horizontal="center"/>
    </xf>
    <xf numFmtId="0" fontId="18" fillId="0" borderId="4" xfId="0" applyFont="1" applyBorder="1"/>
    <xf numFmtId="0" fontId="18" fillId="0" borderId="2" xfId="0" applyFont="1" applyBorder="1" applyAlignment="1">
      <alignment wrapText="1"/>
    </xf>
    <xf numFmtId="0" fontId="17" fillId="0" borderId="5" xfId="3" applyFont="1" applyFill="1" applyBorder="1" applyProtection="1">
      <protection hidden="1"/>
    </xf>
    <xf numFmtId="0" fontId="17" fillId="0" borderId="5" xfId="3" applyFont="1" applyBorder="1" applyProtection="1">
      <protection hidden="1"/>
    </xf>
    <xf numFmtId="0" fontId="17" fillId="0" borderId="6" xfId="3" applyFont="1" applyBorder="1" applyProtection="1">
      <protection hidden="1"/>
    </xf>
    <xf numFmtId="0" fontId="13" fillId="0" borderId="2" xfId="3" applyFont="1" applyFill="1" applyBorder="1" applyAlignment="1" applyProtection="1">
      <alignment horizontal="center" vertical="top"/>
      <protection locked="0"/>
    </xf>
    <xf numFmtId="0" fontId="17" fillId="0" borderId="0" xfId="3" applyFont="1" applyFill="1" applyBorder="1" applyProtection="1">
      <protection hidden="1"/>
    </xf>
    <xf numFmtId="0" fontId="17" fillId="0" borderId="0" xfId="3" applyFont="1" applyBorder="1" applyProtection="1">
      <protection hidden="1"/>
    </xf>
    <xf numFmtId="0" fontId="17" fillId="0" borderId="7" xfId="3" applyFont="1" applyBorder="1" applyProtection="1">
      <protection hidden="1"/>
    </xf>
    <xf numFmtId="0" fontId="17" fillId="0" borderId="0" xfId="3" applyFont="1" applyBorder="1"/>
    <xf numFmtId="0" fontId="17" fillId="0" borderId="7" xfId="3" applyFont="1" applyBorder="1"/>
    <xf numFmtId="0" fontId="18" fillId="0" borderId="0" xfId="0" applyFont="1" applyFill="1" applyBorder="1" applyProtection="1">
      <protection hidden="1"/>
    </xf>
    <xf numFmtId="9" fontId="18" fillId="0" borderId="0" xfId="0" applyNumberFormat="1" applyFont="1" applyBorder="1" applyProtection="1">
      <protection hidden="1"/>
    </xf>
    <xf numFmtId="0" fontId="18" fillId="0" borderId="7" xfId="0" applyNumberFormat="1" applyFont="1" applyBorder="1" applyProtection="1">
      <protection hidden="1"/>
    </xf>
    <xf numFmtId="0" fontId="0" fillId="0" borderId="8" xfId="0" applyBorder="1"/>
    <xf numFmtId="0" fontId="0" fillId="0" borderId="9" xfId="0" applyBorder="1"/>
    <xf numFmtId="0" fontId="13" fillId="0" borderId="2" xfId="3" applyFont="1" applyBorder="1" applyAlignment="1" applyProtection="1">
      <alignment horizontal="center" vertical="top" wrapText="1"/>
      <protection locked="0"/>
    </xf>
    <xf numFmtId="0" fontId="13" fillId="0" borderId="2" xfId="3" applyFont="1" applyBorder="1" applyAlignment="1" applyProtection="1">
      <alignment horizontal="center" wrapText="1"/>
      <protection locked="0"/>
    </xf>
    <xf numFmtId="1" fontId="13" fillId="0" borderId="2" xfId="3" applyNumberFormat="1" applyFont="1" applyBorder="1" applyAlignment="1" applyProtection="1">
      <alignment horizontal="center" wrapText="1"/>
      <protection locked="0"/>
    </xf>
    <xf numFmtId="0" fontId="13" fillId="0" borderId="10" xfId="3" applyFont="1" applyBorder="1" applyAlignment="1" applyProtection="1">
      <alignment horizontal="center" wrapText="1"/>
      <protection locked="0"/>
    </xf>
    <xf numFmtId="1" fontId="17" fillId="0" borderId="2" xfId="0" applyNumberFormat="1" applyFont="1" applyFill="1" applyBorder="1" applyAlignment="1">
      <alignment horizontal="center" vertical="center" wrapText="1"/>
    </xf>
    <xf numFmtId="14" fontId="10" fillId="2" borderId="2" xfId="0" applyNumberFormat="1" applyFont="1" applyFill="1" applyBorder="1" applyAlignment="1">
      <alignment vertical="top"/>
    </xf>
    <xf numFmtId="1" fontId="17" fillId="0" borderId="2" xfId="0" applyNumberFormat="1" applyFont="1" applyFill="1" applyBorder="1" applyAlignment="1">
      <alignment horizontal="center" vertical="center" wrapText="1"/>
    </xf>
    <xf numFmtId="0" fontId="0" fillId="3" borderId="0" xfId="0" applyFont="1" applyFill="1"/>
    <xf numFmtId="0" fontId="17" fillId="0" borderId="0" xfId="0" applyFont="1" applyAlignment="1">
      <alignment horizontal="center" vertical="center"/>
    </xf>
    <xf numFmtId="0" fontId="17" fillId="0" borderId="0" xfId="3" applyFont="1"/>
    <xf numFmtId="0" fontId="0" fillId="0" borderId="2" xfId="0" applyFont="1" applyBorder="1"/>
    <xf numFmtId="1" fontId="17" fillId="0" borderId="2" xfId="0" applyNumberFormat="1" applyFont="1" applyFill="1" applyBorder="1" applyAlignment="1">
      <alignment horizontal="center" vertical="center" wrapText="1"/>
    </xf>
    <xf numFmtId="1" fontId="23" fillId="0" borderId="1" xfId="0" applyNumberFormat="1" applyFont="1" applyBorder="1" applyAlignment="1">
      <alignment horizontal="center"/>
    </xf>
    <xf numFmtId="1" fontId="23" fillId="0" borderId="12" xfId="0" applyNumberFormat="1" applyFont="1" applyBorder="1" applyAlignment="1">
      <alignment horizontal="center"/>
    </xf>
    <xf numFmtId="1" fontId="6" fillId="0" borderId="2" xfId="0" applyNumberFormat="1" applyFont="1" applyBorder="1" applyAlignment="1" applyProtection="1">
      <alignment horizontal="center" vertical="center" wrapText="1"/>
      <protection locked="0"/>
    </xf>
    <xf numFmtId="0" fontId="21" fillId="0" borderId="2" xfId="0" applyFont="1" applyBorder="1" applyAlignment="1" applyProtection="1">
      <alignment horizontal="center" vertical="center"/>
      <protection locked="0"/>
    </xf>
    <xf numFmtId="1" fontId="24" fillId="0" borderId="2" xfId="0" applyNumberFormat="1" applyFont="1" applyBorder="1" applyAlignment="1" applyProtection="1">
      <alignment horizontal="center" vertical="center" wrapText="1"/>
      <protection locked="0"/>
    </xf>
    <xf numFmtId="0" fontId="17" fillId="0" borderId="2" xfId="0" applyFont="1" applyBorder="1" applyAlignment="1" applyProtection="1">
      <alignment horizontal="center" vertical="center"/>
      <protection locked="0"/>
    </xf>
    <xf numFmtId="1" fontId="17" fillId="0" borderId="1" xfId="0" applyNumberFormat="1" applyFont="1" applyFill="1" applyBorder="1" applyAlignment="1">
      <alignment horizontal="center" vertical="center" wrapText="1"/>
    </xf>
    <xf numFmtId="1" fontId="17" fillId="0" borderId="11" xfId="0" applyNumberFormat="1" applyFont="1" applyFill="1" applyBorder="1" applyAlignment="1">
      <alignment horizontal="center" vertical="center" wrapText="1"/>
    </xf>
    <xf numFmtId="1" fontId="17" fillId="0" borderId="12" xfId="0" applyNumberFormat="1" applyFont="1" applyFill="1" applyBorder="1" applyAlignment="1">
      <alignment horizontal="center" vertical="center" wrapText="1"/>
    </xf>
    <xf numFmtId="1" fontId="21" fillId="0" borderId="1" xfId="0" applyNumberFormat="1" applyFont="1" applyFill="1" applyBorder="1" applyAlignment="1">
      <alignment horizontal="center" vertical="center" wrapText="1"/>
    </xf>
    <xf numFmtId="1" fontId="21" fillId="0" borderId="11" xfId="0" applyNumberFormat="1" applyFont="1" applyFill="1" applyBorder="1" applyAlignment="1">
      <alignment horizontal="center" vertical="center" wrapText="1"/>
    </xf>
    <xf numFmtId="1" fontId="21" fillId="0" borderId="23" xfId="0" applyNumberFormat="1" applyFont="1" applyFill="1" applyBorder="1" applyAlignment="1">
      <alignment horizontal="center" vertical="center" wrapText="1"/>
    </xf>
    <xf numFmtId="1" fontId="21" fillId="0" borderId="12" xfId="0" applyNumberFormat="1" applyFont="1" applyFill="1" applyBorder="1" applyAlignment="1">
      <alignment horizontal="center" vertical="center" wrapText="1"/>
    </xf>
    <xf numFmtId="1" fontId="23" fillId="0" borderId="1" xfId="0" applyNumberFormat="1" applyFont="1" applyFill="1" applyBorder="1" applyAlignment="1">
      <alignment horizontal="center"/>
    </xf>
    <xf numFmtId="1" fontId="23" fillId="0" borderId="12" xfId="0" applyNumberFormat="1" applyFont="1" applyFill="1" applyBorder="1" applyAlignment="1">
      <alignment horizontal="center"/>
    </xf>
    <xf numFmtId="1" fontId="17" fillId="0" borderId="17" xfId="0" applyNumberFormat="1" applyFont="1" applyFill="1" applyBorder="1" applyAlignment="1">
      <alignment horizontal="center" vertical="center" wrapText="1"/>
    </xf>
    <xf numFmtId="1" fontId="17" fillId="0" borderId="18" xfId="0" applyNumberFormat="1" applyFont="1" applyFill="1" applyBorder="1" applyAlignment="1">
      <alignment horizontal="center" vertical="center" wrapText="1"/>
    </xf>
    <xf numFmtId="1" fontId="17" fillId="0" borderId="19" xfId="0" applyNumberFormat="1" applyFont="1" applyFill="1" applyBorder="1" applyAlignment="1">
      <alignment horizontal="center" vertical="center" wrapText="1"/>
    </xf>
    <xf numFmtId="1" fontId="17" fillId="0" borderId="20" xfId="0" applyNumberFormat="1" applyFont="1" applyFill="1" applyBorder="1" applyAlignment="1">
      <alignment horizontal="center" vertical="center" wrapText="1"/>
    </xf>
    <xf numFmtId="1" fontId="17" fillId="0" borderId="21" xfId="0" applyNumberFormat="1" applyFont="1" applyFill="1" applyBorder="1" applyAlignment="1">
      <alignment horizontal="center" vertical="center" wrapText="1"/>
    </xf>
    <xf numFmtId="1" fontId="17" fillId="0" borderId="22" xfId="0" applyNumberFormat="1"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 xfId="0" applyFont="1" applyFill="1" applyBorder="1" applyAlignment="1">
      <alignment horizontal="left" vertical="top"/>
    </xf>
    <xf numFmtId="0" fontId="3" fillId="2" borderId="11" xfId="0" applyFont="1" applyFill="1" applyBorder="1" applyAlignment="1">
      <alignment horizontal="left" vertical="top"/>
    </xf>
    <xf numFmtId="0" fontId="3" fillId="2" borderId="12" xfId="0" applyFont="1" applyFill="1" applyBorder="1" applyAlignment="1">
      <alignment horizontal="left" vertical="top"/>
    </xf>
    <xf numFmtId="0" fontId="3" fillId="0" borderId="2" xfId="0" applyFont="1" applyFill="1" applyBorder="1" applyAlignment="1">
      <alignment horizontal="left" vertical="top" wrapText="1"/>
    </xf>
    <xf numFmtId="1" fontId="17" fillId="0" borderId="23" xfId="0" applyNumberFormat="1" applyFont="1" applyFill="1" applyBorder="1" applyAlignment="1">
      <alignment horizontal="center" vertical="center" wrapText="1"/>
    </xf>
    <xf numFmtId="1" fontId="17" fillId="0" borderId="3" xfId="0" applyNumberFormat="1" applyFont="1" applyFill="1" applyBorder="1" applyAlignment="1">
      <alignment horizontal="center" vertical="center" wrapText="1"/>
    </xf>
    <xf numFmtId="0" fontId="21" fillId="0" borderId="1"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1" fontId="21" fillId="0" borderId="1" xfId="0" applyNumberFormat="1" applyFont="1" applyBorder="1" applyAlignment="1" applyProtection="1">
      <alignment horizontal="center" vertical="center" wrapText="1"/>
      <protection locked="0"/>
    </xf>
    <xf numFmtId="1" fontId="21" fillId="0" borderId="11" xfId="0" applyNumberFormat="1" applyFont="1" applyBorder="1" applyAlignment="1" applyProtection="1">
      <alignment horizontal="center" vertical="center" wrapText="1"/>
      <protection locked="0"/>
    </xf>
    <xf numFmtId="1" fontId="21" fillId="0" borderId="12" xfId="0" applyNumberFormat="1" applyFont="1" applyBorder="1" applyAlignment="1" applyProtection="1">
      <alignment horizontal="center" vertical="center" wrapText="1"/>
      <protection locked="0"/>
    </xf>
    <xf numFmtId="1" fontId="6" fillId="0" borderId="2" xfId="0" applyNumberFormat="1" applyFont="1" applyFill="1" applyBorder="1" applyAlignment="1">
      <alignment horizontal="center" vertical="center" wrapText="1"/>
    </xf>
    <xf numFmtId="0" fontId="22" fillId="2" borderId="1" xfId="0" applyFont="1" applyFill="1" applyBorder="1" applyAlignment="1">
      <alignment horizontal="left" vertical="top"/>
    </xf>
    <xf numFmtId="0" fontId="22" fillId="2" borderId="11" xfId="0" applyFont="1" applyFill="1" applyBorder="1" applyAlignment="1">
      <alignment horizontal="left" vertical="top"/>
    </xf>
    <xf numFmtId="0" fontId="22" fillId="2" borderId="12" xfId="0" applyFont="1" applyFill="1" applyBorder="1" applyAlignment="1">
      <alignment horizontal="left" vertical="top"/>
    </xf>
    <xf numFmtId="9" fontId="13" fillId="2" borderId="2" xfId="3" applyNumberFormat="1" applyFont="1" applyFill="1" applyBorder="1" applyAlignment="1" applyProtection="1">
      <alignment horizontal="center" vertical="center" wrapText="1"/>
      <protection hidden="1"/>
    </xf>
    <xf numFmtId="0" fontId="3" fillId="0" borderId="1" xfId="0" applyFont="1" applyFill="1" applyBorder="1" applyAlignment="1">
      <alignment horizontal="left" vertical="top"/>
    </xf>
    <xf numFmtId="0" fontId="5" fillId="0" borderId="11" xfId="0" applyFont="1" applyFill="1" applyBorder="1" applyAlignment="1">
      <alignment horizontal="left" vertical="top"/>
    </xf>
    <xf numFmtId="0" fontId="5" fillId="0" borderId="12" xfId="0" applyFont="1" applyFill="1" applyBorder="1" applyAlignment="1">
      <alignment horizontal="left" vertical="top"/>
    </xf>
    <xf numFmtId="0" fontId="3" fillId="0" borderId="11" xfId="0" applyFont="1" applyFill="1" applyBorder="1" applyAlignment="1">
      <alignment horizontal="left" vertical="top"/>
    </xf>
    <xf numFmtId="0" fontId="3" fillId="0" borderId="12" xfId="0" applyFont="1" applyFill="1" applyBorder="1" applyAlignment="1">
      <alignment horizontal="left" vertical="top"/>
    </xf>
    <xf numFmtId="1" fontId="6" fillId="0" borderId="2" xfId="0" applyNumberFormat="1" applyFont="1" applyFill="1" applyBorder="1" applyAlignment="1">
      <alignment horizontal="center" vertical="top" wrapText="1"/>
    </xf>
    <xf numFmtId="0" fontId="5" fillId="0" borderId="1" xfId="0" applyFont="1" applyFill="1" applyBorder="1" applyAlignment="1">
      <alignment horizontal="center" vertical="top"/>
    </xf>
    <xf numFmtId="0" fontId="5" fillId="0" borderId="12" xfId="0" applyFont="1" applyFill="1" applyBorder="1" applyAlignment="1">
      <alignment horizontal="center" vertical="top"/>
    </xf>
    <xf numFmtId="0" fontId="3" fillId="0" borderId="1" xfId="0" applyFont="1" applyFill="1" applyBorder="1" applyAlignment="1">
      <alignment horizontal="center" vertical="top"/>
    </xf>
    <xf numFmtId="0" fontId="3" fillId="0" borderId="12" xfId="0" applyFont="1" applyFill="1" applyBorder="1" applyAlignment="1">
      <alignment horizontal="center" vertical="top"/>
    </xf>
    <xf numFmtId="0" fontId="5" fillId="0" borderId="1"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10" fillId="0" borderId="1" xfId="0" applyFont="1" applyFill="1" applyBorder="1" applyAlignment="1">
      <alignment horizontal="left" vertical="top" wrapText="1"/>
    </xf>
    <xf numFmtId="0" fontId="10" fillId="0" borderId="12" xfId="0" applyFont="1" applyFill="1" applyBorder="1" applyAlignment="1">
      <alignment horizontal="left" vertical="top" wrapText="1"/>
    </xf>
    <xf numFmtId="0" fontId="3" fillId="0" borderId="1" xfId="0" applyFont="1" applyFill="1" applyBorder="1" applyAlignment="1">
      <alignment vertical="top"/>
    </xf>
    <xf numFmtId="0" fontId="5" fillId="0" borderId="11" xfId="0" applyFont="1" applyFill="1" applyBorder="1" applyAlignment="1">
      <alignment vertical="top"/>
    </xf>
    <xf numFmtId="0" fontId="5" fillId="0" borderId="12" xfId="0" applyFont="1" applyFill="1" applyBorder="1" applyAlignment="1">
      <alignment vertical="top"/>
    </xf>
    <xf numFmtId="0" fontId="3" fillId="0" borderId="17" xfId="0" applyFont="1" applyFill="1" applyBorder="1" applyAlignment="1">
      <alignment horizontal="left" vertical="top" wrapText="1"/>
    </xf>
    <xf numFmtId="0" fontId="5" fillId="0" borderId="23" xfId="0" applyFont="1" applyFill="1" applyBorder="1" applyAlignment="1">
      <alignment horizontal="left" vertical="top" wrapText="1"/>
    </xf>
    <xf numFmtId="0" fontId="5" fillId="0" borderId="18" xfId="0" applyFont="1" applyFill="1" applyBorder="1" applyAlignment="1">
      <alignment horizontal="left" vertical="top" wrapText="1"/>
    </xf>
    <xf numFmtId="0" fontId="5" fillId="0" borderId="21"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22" xfId="0" applyFont="1" applyFill="1" applyBorder="1" applyAlignment="1">
      <alignment horizontal="left" vertical="top" wrapText="1"/>
    </xf>
    <xf numFmtId="0" fontId="3" fillId="0" borderId="1" xfId="0" applyFont="1" applyBorder="1" applyAlignment="1">
      <alignment horizontal="left" vertical="top"/>
    </xf>
    <xf numFmtId="0" fontId="2" fillId="0" borderId="1"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9" fillId="0" borderId="1" xfId="0" applyFont="1" applyFill="1" applyBorder="1" applyAlignment="1">
      <alignment horizontal="left" vertical="top"/>
    </xf>
    <xf numFmtId="0" fontId="9" fillId="0" borderId="11" xfId="0" applyFont="1" applyFill="1" applyBorder="1" applyAlignment="1">
      <alignment horizontal="left" vertical="top"/>
    </xf>
    <xf numFmtId="0" fontId="9" fillId="0" borderId="12" xfId="0" applyFont="1" applyFill="1" applyBorder="1" applyAlignment="1">
      <alignment horizontal="left" vertical="top"/>
    </xf>
    <xf numFmtId="1" fontId="6" fillId="0" borderId="17" xfId="0" applyNumberFormat="1" applyFont="1" applyBorder="1" applyAlignment="1" applyProtection="1">
      <alignment horizontal="center" vertical="center" wrapText="1"/>
      <protection locked="0"/>
    </xf>
    <xf numFmtId="1" fontId="6" fillId="0" borderId="23" xfId="0" applyNumberFormat="1" applyFont="1" applyBorder="1" applyAlignment="1" applyProtection="1">
      <alignment horizontal="center" vertical="center" wrapText="1"/>
      <protection locked="0"/>
    </xf>
    <xf numFmtId="0" fontId="2" fillId="0" borderId="1" xfId="0" applyFont="1" applyBorder="1" applyAlignment="1">
      <alignment horizontal="center" vertical="top"/>
    </xf>
    <xf numFmtId="0" fontId="2" fillId="0" borderId="11" xfId="0" applyFont="1" applyBorder="1" applyAlignment="1">
      <alignment horizontal="center" vertical="top"/>
    </xf>
    <xf numFmtId="0" fontId="2" fillId="0" borderId="12" xfId="0" applyFont="1" applyBorder="1" applyAlignment="1">
      <alignment horizontal="center" vertical="top"/>
    </xf>
    <xf numFmtId="14" fontId="9" fillId="0" borderId="1" xfId="0" applyNumberFormat="1" applyFont="1" applyBorder="1" applyAlignment="1">
      <alignment horizontal="left" vertical="top"/>
    </xf>
    <xf numFmtId="14" fontId="9" fillId="0" borderId="11" xfId="0" applyNumberFormat="1" applyFont="1" applyBorder="1" applyAlignment="1">
      <alignment horizontal="left" vertical="top"/>
    </xf>
    <xf numFmtId="14" fontId="9" fillId="0" borderId="12" xfId="0" applyNumberFormat="1" applyFont="1" applyBorder="1" applyAlignment="1">
      <alignment horizontal="left" vertical="top"/>
    </xf>
    <xf numFmtId="0" fontId="9" fillId="0" borderId="1" xfId="0" applyFont="1" applyBorder="1" applyAlignment="1">
      <alignment horizontal="left" vertical="top"/>
    </xf>
    <xf numFmtId="0" fontId="9" fillId="0" borderId="11" xfId="0" applyFont="1" applyBorder="1" applyAlignment="1">
      <alignment horizontal="left" vertical="top"/>
    </xf>
    <xf numFmtId="0" fontId="9" fillId="0" borderId="12" xfId="0" applyFont="1" applyBorder="1" applyAlignment="1">
      <alignment horizontal="left" vertical="top"/>
    </xf>
    <xf numFmtId="0" fontId="3" fillId="0" borderId="1" xfId="0" applyFont="1" applyFill="1" applyBorder="1" applyAlignment="1">
      <alignment horizontal="center" vertical="top" wrapText="1"/>
    </xf>
    <xf numFmtId="0" fontId="3" fillId="0" borderId="12" xfId="0" applyFont="1" applyFill="1" applyBorder="1" applyAlignment="1">
      <alignment horizontal="center" vertical="top" wrapText="1"/>
    </xf>
    <xf numFmtId="0" fontId="22" fillId="0" borderId="1" xfId="0" applyFont="1" applyBorder="1" applyAlignment="1">
      <alignment horizontal="left" vertical="top" wrapText="1"/>
    </xf>
    <xf numFmtId="0" fontId="22" fillId="0" borderId="11" xfId="0" applyFont="1" applyBorder="1" applyAlignment="1">
      <alignment horizontal="left" vertical="top" wrapText="1"/>
    </xf>
    <xf numFmtId="0" fontId="22" fillId="0" borderId="12" xfId="0" applyFont="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3" fillId="0" borderId="2" xfId="0" applyFont="1" applyFill="1" applyBorder="1" applyAlignment="1">
      <alignment horizontal="left" vertical="top"/>
    </xf>
    <xf numFmtId="0" fontId="5" fillId="0" borderId="1" xfId="0" applyFont="1" applyFill="1" applyBorder="1" applyAlignment="1">
      <alignment horizontal="left" vertical="top"/>
    </xf>
    <xf numFmtId="0" fontId="9" fillId="2" borderId="2" xfId="0" applyFont="1" applyFill="1" applyBorder="1" applyAlignment="1">
      <alignment horizontal="left" vertical="top" wrapText="1"/>
    </xf>
    <xf numFmtId="0" fontId="3" fillId="0" borderId="23"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22" xfId="0" applyFont="1" applyFill="1" applyBorder="1" applyAlignment="1">
      <alignment horizontal="left" vertical="top" wrapText="1"/>
    </xf>
    <xf numFmtId="0" fontId="3" fillId="0" borderId="1" xfId="0" applyFont="1" applyFill="1" applyBorder="1" applyAlignment="1">
      <alignment vertical="top" wrapText="1"/>
    </xf>
    <xf numFmtId="0" fontId="3" fillId="0" borderId="11" xfId="0" applyFont="1" applyFill="1" applyBorder="1" applyAlignment="1">
      <alignment vertical="top" wrapText="1"/>
    </xf>
    <xf numFmtId="0" fontId="3" fillId="0" borderId="12" xfId="0" applyFont="1" applyFill="1" applyBorder="1" applyAlignment="1">
      <alignment vertical="top" wrapText="1"/>
    </xf>
    <xf numFmtId="0" fontId="3" fillId="0" borderId="11" xfId="0" applyFont="1" applyFill="1" applyBorder="1" applyAlignment="1">
      <alignment vertical="top"/>
    </xf>
    <xf numFmtId="0" fontId="3" fillId="0" borderId="12" xfId="0" applyFont="1" applyFill="1" applyBorder="1" applyAlignment="1">
      <alignment vertical="top"/>
    </xf>
    <xf numFmtId="0" fontId="9" fillId="0" borderId="1" xfId="0" applyFont="1" applyFill="1" applyBorder="1" applyAlignment="1">
      <alignment horizontal="center" vertical="top" wrapText="1"/>
    </xf>
    <xf numFmtId="0" fontId="9" fillId="0" borderId="12" xfId="0" applyFont="1" applyFill="1" applyBorder="1" applyAlignment="1">
      <alignment horizontal="center" vertical="top" wrapText="1"/>
    </xf>
    <xf numFmtId="0" fontId="9" fillId="0" borderId="1" xfId="0" applyFont="1" applyFill="1" applyBorder="1" applyAlignment="1">
      <alignment horizontal="center" vertical="top"/>
    </xf>
    <xf numFmtId="0" fontId="9" fillId="0" borderId="12" xfId="0" applyFont="1" applyFill="1" applyBorder="1" applyAlignment="1">
      <alignment horizontal="center" vertical="top"/>
    </xf>
    <xf numFmtId="14" fontId="3" fillId="2" borderId="1" xfId="0" applyNumberFormat="1" applyFont="1" applyFill="1" applyBorder="1" applyAlignment="1">
      <alignment horizontal="left" vertical="top"/>
    </xf>
    <xf numFmtId="0" fontId="3" fillId="0" borderId="1" xfId="0" applyFont="1" applyFill="1" applyBorder="1" applyAlignment="1">
      <alignment horizontal="left" vertical="top" wrapText="1"/>
    </xf>
    <xf numFmtId="0" fontId="3" fillId="0" borderId="12" xfId="0" applyFont="1" applyFill="1" applyBorder="1" applyAlignment="1">
      <alignment horizontal="left" vertical="top" wrapText="1"/>
    </xf>
    <xf numFmtId="0" fontId="2" fillId="0" borderId="1" xfId="0" applyFont="1" applyFill="1" applyBorder="1" applyAlignment="1">
      <alignment horizontal="left" vertical="top"/>
    </xf>
    <xf numFmtId="0" fontId="2" fillId="0" borderId="11" xfId="0" applyFont="1" applyFill="1" applyBorder="1" applyAlignment="1">
      <alignment horizontal="left" vertical="top"/>
    </xf>
    <xf numFmtId="0" fontId="2" fillId="0" borderId="12" xfId="0" applyFont="1" applyFill="1" applyBorder="1" applyAlignment="1">
      <alignment horizontal="left" vertical="top"/>
    </xf>
    <xf numFmtId="0" fontId="3" fillId="0" borderId="11" xfId="0" applyFont="1" applyFill="1" applyBorder="1" applyAlignment="1">
      <alignment horizontal="left" vertical="top" wrapText="1"/>
    </xf>
    <xf numFmtId="2" fontId="3" fillId="0" borderId="1" xfId="0" applyNumberFormat="1" applyFont="1" applyFill="1" applyBorder="1" applyAlignment="1">
      <alignment horizontal="left" vertical="top"/>
    </xf>
    <xf numFmtId="2" fontId="3" fillId="0" borderId="11" xfId="0" applyNumberFormat="1" applyFont="1" applyFill="1" applyBorder="1" applyAlignment="1">
      <alignment horizontal="left" vertical="top"/>
    </xf>
    <xf numFmtId="2" fontId="3" fillId="0" borderId="12" xfId="0" applyNumberFormat="1" applyFont="1" applyFill="1" applyBorder="1" applyAlignment="1">
      <alignment horizontal="left" vertical="top"/>
    </xf>
    <xf numFmtId="14" fontId="3" fillId="0" borderId="1" xfId="0" applyNumberFormat="1" applyFont="1" applyFill="1" applyBorder="1" applyAlignment="1">
      <alignment horizontal="left" vertical="top"/>
    </xf>
    <xf numFmtId="14" fontId="3" fillId="0" borderId="11" xfId="0" applyNumberFormat="1" applyFont="1" applyFill="1" applyBorder="1" applyAlignment="1">
      <alignment horizontal="left" vertical="top"/>
    </xf>
    <xf numFmtId="14" fontId="3" fillId="0" borderId="12" xfId="0" applyNumberFormat="1" applyFont="1" applyFill="1" applyBorder="1" applyAlignment="1">
      <alignment horizontal="left" vertical="top"/>
    </xf>
    <xf numFmtId="0" fontId="0" fillId="0" borderId="12" xfId="0" applyBorder="1" applyAlignment="1">
      <alignment horizontal="left"/>
    </xf>
    <xf numFmtId="14" fontId="3" fillId="0" borderId="2" xfId="0" applyNumberFormat="1" applyFont="1" applyFill="1" applyBorder="1" applyAlignment="1">
      <alignment horizontal="center" vertical="top"/>
    </xf>
    <xf numFmtId="0" fontId="2" fillId="0" borderId="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7" xfId="0" applyFont="1" applyBorder="1" applyAlignment="1">
      <alignment horizontal="center" vertical="top" wrapText="1"/>
    </xf>
    <xf numFmtId="0" fontId="2" fillId="0" borderId="23" xfId="0" applyFont="1" applyBorder="1" applyAlignment="1">
      <alignment horizontal="center"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2" fillId="0" borderId="0" xfId="0" applyFont="1" applyBorder="1" applyAlignment="1">
      <alignment horizontal="center" vertical="top" wrapText="1"/>
    </xf>
    <xf numFmtId="0" fontId="2" fillId="0" borderId="20" xfId="0" applyFont="1" applyBorder="1" applyAlignment="1">
      <alignment horizontal="center" vertical="top" wrapText="1"/>
    </xf>
    <xf numFmtId="0" fontId="2" fillId="0" borderId="21" xfId="0" applyFont="1" applyBorder="1" applyAlignment="1">
      <alignment horizontal="center" vertical="top" wrapText="1"/>
    </xf>
    <xf numFmtId="0" fontId="2" fillId="0" borderId="3" xfId="0" applyFont="1" applyBorder="1" applyAlignment="1">
      <alignment horizontal="center" vertical="top" wrapText="1"/>
    </xf>
    <xf numFmtId="0" fontId="2" fillId="0" borderId="22" xfId="0" applyFont="1" applyBorder="1" applyAlignment="1">
      <alignment horizontal="center" vertical="top" wrapText="1"/>
    </xf>
    <xf numFmtId="0" fontId="2" fillId="0" borderId="1" xfId="0" applyFont="1" applyFill="1" applyBorder="1" applyAlignment="1">
      <alignment horizontal="left" vertical="center"/>
    </xf>
    <xf numFmtId="0" fontId="7" fillId="0" borderId="11" xfId="0" applyFont="1" applyFill="1" applyBorder="1" applyAlignment="1">
      <alignment horizontal="left" vertical="center"/>
    </xf>
    <xf numFmtId="0" fontId="7" fillId="0" borderId="12" xfId="0" applyFont="1" applyFill="1" applyBorder="1" applyAlignment="1">
      <alignment horizontal="left" vertical="center"/>
    </xf>
    <xf numFmtId="0" fontId="3" fillId="2" borderId="1" xfId="0" applyFont="1" applyFill="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11" fillId="0" borderId="2" xfId="0" applyFont="1" applyFill="1" applyBorder="1" applyAlignment="1">
      <alignment horizontal="center" vertical="top"/>
    </xf>
    <xf numFmtId="0" fontId="2" fillId="0" borderId="2" xfId="0" applyFont="1" applyFill="1" applyBorder="1" applyAlignment="1">
      <alignment horizontal="center" vertical="top"/>
    </xf>
    <xf numFmtId="0" fontId="9" fillId="0" borderId="1"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5" fillId="0" borderId="1" xfId="0" applyFont="1" applyBorder="1" applyAlignment="1">
      <alignment vertical="top"/>
    </xf>
    <xf numFmtId="0" fontId="5" fillId="0" borderId="11" xfId="0" applyFont="1" applyBorder="1" applyAlignment="1">
      <alignment vertical="top"/>
    </xf>
    <xf numFmtId="0" fontId="5" fillId="0" borderId="12" xfId="0" applyFont="1" applyBorder="1" applyAlignment="1">
      <alignment vertical="top"/>
    </xf>
    <xf numFmtId="0" fontId="20" fillId="0" borderId="17" xfId="1" applyFont="1" applyBorder="1" applyAlignment="1">
      <alignment horizontal="left" vertical="top" wrapText="1"/>
    </xf>
    <xf numFmtId="0" fontId="20" fillId="0" borderId="23" xfId="1" applyFont="1" applyBorder="1" applyAlignment="1">
      <alignment horizontal="left" vertical="top" wrapText="1"/>
    </xf>
    <xf numFmtId="0" fontId="20" fillId="0" borderId="18" xfId="1" applyFont="1" applyBorder="1" applyAlignment="1">
      <alignment horizontal="left" vertical="top" wrapText="1"/>
    </xf>
    <xf numFmtId="0" fontId="20" fillId="0" borderId="21" xfId="1" applyFont="1" applyBorder="1" applyAlignment="1">
      <alignment horizontal="left" vertical="top" wrapText="1"/>
    </xf>
    <xf numFmtId="0" fontId="20" fillId="0" borderId="3" xfId="1" applyFont="1" applyBorder="1" applyAlignment="1">
      <alignment horizontal="left" vertical="top" wrapText="1"/>
    </xf>
    <xf numFmtId="0" fontId="20" fillId="0" borderId="22" xfId="1" applyFont="1" applyBorder="1" applyAlignment="1">
      <alignment horizontal="left" vertical="top" wrapText="1"/>
    </xf>
    <xf numFmtId="1" fontId="3" fillId="0" borderId="1" xfId="0" applyNumberFormat="1" applyFont="1" applyFill="1" applyBorder="1" applyAlignment="1">
      <alignment horizontal="left" vertical="top"/>
    </xf>
    <xf numFmtId="1" fontId="3" fillId="0" borderId="11" xfId="0" applyNumberFormat="1" applyFont="1" applyFill="1" applyBorder="1" applyAlignment="1">
      <alignment horizontal="left" vertical="top"/>
    </xf>
    <xf numFmtId="1" fontId="3" fillId="0" borderId="12" xfId="0" applyNumberFormat="1" applyFont="1" applyFill="1" applyBorder="1" applyAlignment="1">
      <alignment horizontal="left" vertical="top"/>
    </xf>
    <xf numFmtId="0" fontId="7" fillId="0" borderId="1" xfId="0" applyFont="1" applyFill="1" applyBorder="1" applyAlignment="1">
      <alignment horizontal="left" vertical="center"/>
    </xf>
    <xf numFmtId="0" fontId="3" fillId="0" borderId="17" xfId="0" applyFont="1" applyFill="1" applyBorder="1" applyAlignment="1">
      <alignment horizontal="left" vertical="top"/>
    </xf>
    <xf numFmtId="0" fontId="3" fillId="0" borderId="23" xfId="0" applyFont="1" applyFill="1" applyBorder="1" applyAlignment="1">
      <alignment horizontal="left" vertical="top"/>
    </xf>
    <xf numFmtId="0" fontId="3" fillId="0" borderId="18" xfId="0" applyFont="1" applyFill="1" applyBorder="1" applyAlignment="1">
      <alignment horizontal="left" vertical="top"/>
    </xf>
    <xf numFmtId="9" fontId="13" fillId="2" borderId="10" xfId="3" applyNumberFormat="1" applyFont="1" applyFill="1" applyBorder="1" applyAlignment="1" applyProtection="1">
      <alignment horizontal="center" vertical="center" wrapText="1"/>
      <protection hidden="1"/>
    </xf>
    <xf numFmtId="0" fontId="12" fillId="0" borderId="24" xfId="3" applyFont="1" applyFill="1" applyBorder="1" applyAlignment="1" applyProtection="1">
      <alignment horizontal="left" vertical="top" wrapText="1"/>
      <protection locked="0"/>
    </xf>
    <xf numFmtId="0" fontId="12" fillId="0" borderId="25" xfId="3" applyFont="1" applyFill="1" applyBorder="1" applyAlignment="1" applyProtection="1">
      <alignment horizontal="left" vertical="top" wrapText="1"/>
      <protection locked="0"/>
    </xf>
    <xf numFmtId="0" fontId="12" fillId="0" borderId="26" xfId="3" applyFont="1" applyFill="1" applyBorder="1" applyAlignment="1" applyProtection="1">
      <alignment horizontal="left" vertical="top" wrapText="1"/>
      <protection locked="0"/>
    </xf>
    <xf numFmtId="0" fontId="2" fillId="0" borderId="1"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3" fillId="0" borderId="21" xfId="0" applyFont="1" applyFill="1" applyBorder="1" applyAlignment="1">
      <alignment horizontal="left" vertical="top"/>
    </xf>
    <xf numFmtId="0" fontId="3" fillId="0" borderId="3" xfId="0" applyFont="1" applyFill="1" applyBorder="1" applyAlignment="1">
      <alignment horizontal="left" vertical="top"/>
    </xf>
    <xf numFmtId="0" fontId="3" fillId="0" borderId="22" xfId="0" applyFont="1" applyFill="1" applyBorder="1" applyAlignment="1">
      <alignment horizontal="left" vertical="top"/>
    </xf>
    <xf numFmtId="0" fontId="3" fillId="0" borderId="2" xfId="0" applyFont="1" applyBorder="1" applyAlignment="1">
      <alignment horizontal="left" vertical="top"/>
    </xf>
    <xf numFmtId="0" fontId="13" fillId="0" borderId="13" xfId="3" applyFont="1" applyFill="1" applyBorder="1" applyAlignment="1" applyProtection="1">
      <alignment horizontal="center" vertical="top" wrapText="1"/>
      <protection locked="0"/>
    </xf>
    <xf numFmtId="0" fontId="13" fillId="0" borderId="2" xfId="3" applyFont="1" applyFill="1" applyBorder="1" applyAlignment="1" applyProtection="1">
      <alignment horizontal="center" vertical="top" wrapText="1"/>
      <protection locked="0"/>
    </xf>
    <xf numFmtId="0" fontId="2" fillId="0" borderId="1" xfId="0" applyFont="1" applyFill="1" applyBorder="1" applyAlignment="1">
      <alignment vertical="top"/>
    </xf>
    <xf numFmtId="0" fontId="2" fillId="0" borderId="11" xfId="0" applyFont="1" applyFill="1" applyBorder="1" applyAlignment="1">
      <alignment vertical="top"/>
    </xf>
    <xf numFmtId="0" fontId="2" fillId="0" borderId="12" xfId="0" applyFont="1" applyFill="1" applyBorder="1" applyAlignment="1">
      <alignment vertical="top"/>
    </xf>
    <xf numFmtId="0" fontId="13" fillId="0" borderId="27" xfId="3" applyFont="1" applyFill="1" applyBorder="1" applyAlignment="1" applyProtection="1">
      <alignment horizontal="center" vertical="top" wrapText="1"/>
      <protection locked="0"/>
    </xf>
    <xf numFmtId="0" fontId="13" fillId="0" borderId="10" xfId="3" applyFont="1" applyFill="1" applyBorder="1" applyAlignment="1" applyProtection="1">
      <alignment horizontal="center" vertical="top" wrapText="1"/>
      <protection locked="0"/>
    </xf>
    <xf numFmtId="0" fontId="9" fillId="0" borderId="4" xfId="0" applyFont="1" applyFill="1" applyBorder="1" applyAlignment="1">
      <alignment horizontal="left" vertical="top" wrapText="1"/>
    </xf>
    <xf numFmtId="0" fontId="13" fillId="0" borderId="14" xfId="3" applyFont="1" applyFill="1" applyBorder="1" applyAlignment="1" applyProtection="1">
      <alignment horizontal="center" vertical="top" wrapText="1"/>
      <protection locked="0"/>
    </xf>
    <xf numFmtId="0" fontId="13" fillId="0" borderId="13" xfId="3" applyFont="1" applyFill="1" applyBorder="1" applyAlignment="1" applyProtection="1">
      <alignment horizontal="center" vertical="top"/>
      <protection locked="0"/>
    </xf>
    <xf numFmtId="0" fontId="13" fillId="0" borderId="2" xfId="3" applyFont="1" applyFill="1" applyBorder="1" applyAlignment="1" applyProtection="1">
      <alignment horizontal="center" vertical="top"/>
      <protection locked="0"/>
    </xf>
    <xf numFmtId="0" fontId="9" fillId="0" borderId="4" xfId="0" applyFont="1" applyFill="1" applyBorder="1" applyAlignment="1">
      <alignment horizontal="center" vertical="top" wrapText="1"/>
    </xf>
    <xf numFmtId="2" fontId="3" fillId="0" borderId="17" xfId="0" applyNumberFormat="1" applyFont="1" applyFill="1" applyBorder="1" applyAlignment="1">
      <alignment horizontal="center" vertical="top"/>
    </xf>
    <xf numFmtId="2" fontId="3" fillId="0" borderId="18" xfId="0" applyNumberFormat="1" applyFont="1" applyFill="1" applyBorder="1" applyAlignment="1">
      <alignment horizontal="center" vertical="top"/>
    </xf>
    <xf numFmtId="0" fontId="9" fillId="0" borderId="2" xfId="0" applyFont="1" applyFill="1" applyBorder="1" applyAlignment="1">
      <alignment horizontal="left" vertical="top" wrapText="1"/>
    </xf>
    <xf numFmtId="0" fontId="8" fillId="0" borderId="17" xfId="0" applyFont="1" applyFill="1" applyBorder="1" applyAlignment="1">
      <alignment vertical="top" wrapText="1"/>
    </xf>
    <xf numFmtId="0" fontId="8" fillId="0" borderId="23" xfId="0" applyFont="1" applyFill="1" applyBorder="1" applyAlignment="1">
      <alignment vertical="top" wrapText="1"/>
    </xf>
    <xf numFmtId="0" fontId="8" fillId="0" borderId="18" xfId="0" applyFont="1" applyFill="1" applyBorder="1" applyAlignment="1">
      <alignment vertical="top" wrapText="1"/>
    </xf>
    <xf numFmtId="0" fontId="8" fillId="0" borderId="19" xfId="0" applyFont="1" applyFill="1" applyBorder="1" applyAlignment="1">
      <alignment vertical="top" wrapText="1"/>
    </xf>
    <xf numFmtId="0" fontId="8" fillId="0" borderId="0" xfId="0" applyFont="1" applyFill="1" applyBorder="1" applyAlignment="1">
      <alignment vertical="top" wrapText="1"/>
    </xf>
    <xf numFmtId="0" fontId="8" fillId="0" borderId="20" xfId="0" applyFont="1" applyFill="1" applyBorder="1" applyAlignment="1">
      <alignment vertical="top" wrapText="1"/>
    </xf>
    <xf numFmtId="9" fontId="13" fillId="2" borderId="14" xfId="3" applyNumberFormat="1" applyFont="1" applyFill="1" applyBorder="1" applyAlignment="1" applyProtection="1">
      <alignment horizontal="center" vertical="center" wrapText="1"/>
      <protection hidden="1"/>
    </xf>
    <xf numFmtId="9" fontId="13" fillId="2" borderId="16" xfId="3" applyNumberFormat="1" applyFont="1" applyFill="1" applyBorder="1" applyAlignment="1" applyProtection="1">
      <alignment horizontal="center" vertical="center" wrapText="1"/>
      <protection hidden="1"/>
    </xf>
    <xf numFmtId="1" fontId="6" fillId="0" borderId="1" xfId="0" applyNumberFormat="1" applyFont="1" applyFill="1" applyBorder="1" applyAlignment="1">
      <alignment horizontal="center" vertical="center" wrapText="1"/>
    </xf>
    <xf numFmtId="1" fontId="6" fillId="0" borderId="11" xfId="0" applyNumberFormat="1" applyFont="1" applyFill="1" applyBorder="1" applyAlignment="1">
      <alignment horizontal="center" vertical="center" wrapText="1"/>
    </xf>
    <xf numFmtId="1" fontId="6" fillId="0" borderId="12" xfId="0" applyNumberFormat="1" applyFont="1" applyFill="1" applyBorder="1" applyAlignment="1">
      <alignment horizontal="center" vertical="center" wrapText="1"/>
    </xf>
    <xf numFmtId="0" fontId="12" fillId="0" borderId="1" xfId="3" applyFont="1" applyFill="1" applyBorder="1" applyAlignment="1" applyProtection="1">
      <alignment horizontal="left" vertical="top" wrapText="1"/>
      <protection locked="0"/>
    </xf>
    <xf numFmtId="0" fontId="12" fillId="0" borderId="11" xfId="3" applyFont="1" applyFill="1" applyBorder="1" applyAlignment="1" applyProtection="1">
      <alignment horizontal="left" vertical="top" wrapText="1"/>
      <protection locked="0"/>
    </xf>
    <xf numFmtId="0" fontId="12" fillId="0" borderId="15" xfId="3" applyFont="1" applyFill="1" applyBorder="1" applyAlignment="1" applyProtection="1">
      <alignment horizontal="left" vertical="top" wrapText="1"/>
      <protection locked="0"/>
    </xf>
    <xf numFmtId="0" fontId="22" fillId="2" borderId="1" xfId="0" applyFont="1" applyFill="1" applyBorder="1" applyAlignment="1">
      <alignment horizontal="left" vertical="top" wrapText="1"/>
    </xf>
    <xf numFmtId="0" fontId="22" fillId="2" borderId="11" xfId="0" applyFont="1" applyFill="1" applyBorder="1" applyAlignment="1">
      <alignment horizontal="left" vertical="top" wrapText="1"/>
    </xf>
    <xf numFmtId="0" fontId="22" fillId="2" borderId="12" xfId="0" applyFont="1" applyFill="1" applyBorder="1" applyAlignment="1">
      <alignment horizontal="left" vertical="top" wrapText="1"/>
    </xf>
    <xf numFmtId="1" fontId="6" fillId="0" borderId="1" xfId="0" applyNumberFormat="1" applyFont="1" applyBorder="1" applyAlignment="1" applyProtection="1">
      <alignment horizontal="center" vertical="center" wrapText="1"/>
      <protection locked="0"/>
    </xf>
    <xf numFmtId="1" fontId="6" fillId="0" borderId="11" xfId="0" applyNumberFormat="1" applyFont="1" applyBorder="1" applyAlignment="1" applyProtection="1">
      <alignment horizontal="center" vertical="center" wrapText="1"/>
      <protection locked="0"/>
    </xf>
    <xf numFmtId="1" fontId="6" fillId="0" borderId="12" xfId="0" applyNumberFormat="1" applyFont="1" applyBorder="1" applyAlignment="1" applyProtection="1">
      <alignment horizontal="center" vertical="center" wrapText="1"/>
      <protection locked="0"/>
    </xf>
    <xf numFmtId="0" fontId="15" fillId="0" borderId="1" xfId="2" applyFill="1" applyBorder="1" applyAlignment="1">
      <alignment horizontal="left" vertical="top"/>
    </xf>
    <xf numFmtId="0" fontId="13" fillId="0" borderId="14" xfId="3" applyFont="1" applyFill="1" applyBorder="1" applyAlignment="1" applyProtection="1">
      <alignment horizontal="center" vertical="top"/>
      <protection locked="0"/>
    </xf>
    <xf numFmtId="0" fontId="12" fillId="0" borderId="13" xfId="3" applyFont="1" applyFill="1" applyBorder="1" applyAlignment="1" applyProtection="1">
      <alignment horizontal="left" vertical="top"/>
      <protection locked="0"/>
    </xf>
    <xf numFmtId="0" fontId="12" fillId="0" borderId="2" xfId="3" applyFont="1" applyFill="1" applyBorder="1" applyAlignment="1" applyProtection="1">
      <alignment horizontal="left" vertical="top"/>
      <protection locked="0"/>
    </xf>
    <xf numFmtId="0" fontId="18" fillId="0" borderId="2" xfId="0" applyFont="1" applyBorder="1" applyAlignment="1">
      <alignment horizontal="left"/>
    </xf>
    <xf numFmtId="0" fontId="18" fillId="0" borderId="2" xfId="0" applyFont="1" applyBorder="1" applyAlignment="1">
      <alignment horizontal="center"/>
    </xf>
    <xf numFmtId="0" fontId="18" fillId="3" borderId="2" xfId="0" applyFont="1" applyFill="1" applyBorder="1" applyAlignment="1">
      <alignment horizontal="center"/>
    </xf>
    <xf numFmtId="0" fontId="19" fillId="0" borderId="2" xfId="0" applyFont="1" applyBorder="1" applyAlignment="1">
      <alignment horizontal="center"/>
    </xf>
    <xf numFmtId="0" fontId="0" fillId="3" borderId="2" xfId="0" applyFill="1" applyBorder="1" applyAlignment="1">
      <alignment horizontal="center" wrapText="1"/>
    </xf>
    <xf numFmtId="0" fontId="16" fillId="0" borderId="2" xfId="0" applyFont="1" applyBorder="1" applyAlignment="1">
      <alignment horizontal="center"/>
    </xf>
  </cellXfs>
  <cellStyles count="5">
    <cellStyle name="Excel Built-in Normal" xfId="1"/>
    <cellStyle name="Hyperlink" xfId="2" builtinId="8"/>
    <cellStyle name="Normal" xfId="0" builtinId="0"/>
    <cellStyle name="Normal 3" xfId="3"/>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252</xdr:row>
      <xdr:rowOff>28575</xdr:rowOff>
    </xdr:from>
    <xdr:to>
      <xdr:col>8</xdr:col>
      <xdr:colOff>685800</xdr:colOff>
      <xdr:row>268</xdr:row>
      <xdr:rowOff>180975</xdr:rowOff>
    </xdr:to>
    <xdr:pic>
      <xdr:nvPicPr>
        <xdr:cNvPr id="169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53397150"/>
          <a:ext cx="5610225" cy="32004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269</xdr:row>
      <xdr:rowOff>95250</xdr:rowOff>
    </xdr:from>
    <xdr:to>
      <xdr:col>9</xdr:col>
      <xdr:colOff>0</xdr:colOff>
      <xdr:row>286</xdr:row>
      <xdr:rowOff>57150</xdr:rowOff>
    </xdr:to>
    <xdr:pic>
      <xdr:nvPicPr>
        <xdr:cNvPr id="169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56702325"/>
          <a:ext cx="5676900" cy="32004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161925</xdr:colOff>
      <xdr:row>204</xdr:row>
      <xdr:rowOff>28575</xdr:rowOff>
    </xdr:from>
    <xdr:to>
      <xdr:col>19</xdr:col>
      <xdr:colOff>180975</xdr:colOff>
      <xdr:row>248</xdr:row>
      <xdr:rowOff>123825</xdr:rowOff>
    </xdr:to>
    <xdr:grpSp>
      <xdr:nvGrpSpPr>
        <xdr:cNvPr id="1698" name="Group 1"/>
        <xdr:cNvGrpSpPr>
          <a:grpSpLocks/>
        </xdr:cNvGrpSpPr>
      </xdr:nvGrpSpPr>
      <xdr:grpSpPr bwMode="auto">
        <a:xfrm>
          <a:off x="6153150" y="46234350"/>
          <a:ext cx="5876925" cy="8477250"/>
          <a:chOff x="40411" y="30676273"/>
          <a:chExt cx="6159498" cy="8226136"/>
        </a:xfrm>
      </xdr:grpSpPr>
      <xdr:pic>
        <xdr:nvPicPr>
          <xdr:cNvPr id="1699" name="Picture 8"/>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4645" y="34736480"/>
            <a:ext cx="1435264" cy="216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1700" name="Picture 9"/>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60672" y="34736480"/>
            <a:ext cx="1620000" cy="216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1701" name="Picture 10"/>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56701" y="34736480"/>
            <a:ext cx="1620000" cy="216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1702" name="Picture 11"/>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0411" y="34736480"/>
            <a:ext cx="1215000" cy="216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1703" name="Picture 12"/>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178139" y="30676273"/>
            <a:ext cx="2970000" cy="396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1704" name="Picture 1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95838" y="36985141"/>
            <a:ext cx="1215000" cy="1917268"/>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1705" name="Picture 1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52539" y="36985141"/>
            <a:ext cx="3840000" cy="1917268"/>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1706" name="Picture 15"/>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5462" y="30676273"/>
            <a:ext cx="2970000" cy="396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171451</xdr:colOff>
      <xdr:row>204</xdr:row>
      <xdr:rowOff>47626</xdr:rowOff>
    </xdr:from>
    <xdr:to>
      <xdr:col>9</xdr:col>
      <xdr:colOff>54235</xdr:colOff>
      <xdr:row>248</xdr:row>
      <xdr:rowOff>74025</xdr:rowOff>
    </xdr:to>
    <xdr:grpSp>
      <xdr:nvGrpSpPr>
        <xdr:cNvPr id="3" name="Group 2"/>
        <xdr:cNvGrpSpPr/>
      </xdr:nvGrpSpPr>
      <xdr:grpSpPr>
        <a:xfrm>
          <a:off x="171451" y="46253401"/>
          <a:ext cx="5693034" cy="8408399"/>
          <a:chOff x="171451" y="46253401"/>
          <a:chExt cx="5693034" cy="8408399"/>
        </a:xfrm>
      </xdr:grpSpPr>
      <xdr:grpSp>
        <xdr:nvGrpSpPr>
          <xdr:cNvPr id="2" name="Group 1"/>
          <xdr:cNvGrpSpPr/>
        </xdr:nvGrpSpPr>
        <xdr:grpSpPr>
          <a:xfrm>
            <a:off x="171451" y="46253401"/>
            <a:ext cx="5693034" cy="8408399"/>
            <a:chOff x="171451" y="46253401"/>
            <a:chExt cx="5693034" cy="8408399"/>
          </a:xfrm>
        </xdr:grpSpPr>
        <xdr:pic>
          <xdr:nvPicPr>
            <xdr:cNvPr id="13" name="Picture 12" descr="https://vsjcllp.vsjadon.com/upload/insp-247620-1525.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3152775" y="525018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descr="https://vsjcllp.vsjadon.com/upload/insp-247620-844.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171451" y="46253401"/>
              <a:ext cx="2797434" cy="37338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14" descr="https://vsjcllp.vsjadon.com/upload/insp-247620-862.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133600" y="50072925"/>
              <a:ext cx="1752600" cy="23392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descr="https://vsjcllp.vsjadon.com/upload/insp-247620-871.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95275" y="50072925"/>
              <a:ext cx="1752600" cy="23392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descr="https://vsjcllp.vsjadon.com/upload/insp-247620-940.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3067051" y="46253401"/>
              <a:ext cx="2797434" cy="37338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47620-883.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3990975" y="50063400"/>
              <a:ext cx="1752600" cy="23392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pic>
        <xdr:nvPicPr>
          <xdr:cNvPr id="20" name="Picture 19" descr="https://vsjcllp.vsjadon.com/upload/insp-247620-928.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1428750" y="525018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21</xdr:col>
      <xdr:colOff>209550</xdr:colOff>
      <xdr:row>40</xdr:row>
      <xdr:rowOff>76200</xdr:rowOff>
    </xdr:to>
    <xdr:pic>
      <xdr:nvPicPr>
        <xdr:cNvPr id="214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130111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JwdKuYvjfan4etdc6"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51"/>
  <sheetViews>
    <sheetView tabSelected="1" view="pageBreakPreview" zoomScaleNormal="100" zoomScaleSheetLayoutView="100" workbookViewId="0">
      <selection activeCell="O10" sqref="O10"/>
    </sheetView>
  </sheetViews>
  <sheetFormatPr defaultRowHeight="15" x14ac:dyDescent="0.25"/>
  <cols>
    <col min="1" max="1" width="8.7109375" customWidth="1"/>
    <col min="2" max="2" width="12.85546875" customWidth="1"/>
    <col min="3" max="3" width="13.7109375" customWidth="1"/>
    <col min="4" max="4" width="7.28515625" customWidth="1"/>
    <col min="5" max="5" width="5.5703125" customWidth="1"/>
    <col min="6" max="6" width="8.85546875" customWidth="1"/>
    <col min="7" max="8" width="9.85546875" customWidth="1"/>
    <col min="9" max="9" width="10.42578125" customWidth="1"/>
    <col min="10" max="10" width="2.7109375" customWidth="1"/>
    <col min="19" max="19" width="14.7109375" customWidth="1"/>
  </cols>
  <sheetData>
    <row r="1" spans="1:10" ht="43.9" customHeight="1" x14ac:dyDescent="0.25">
      <c r="A1" s="247" t="s">
        <v>232</v>
      </c>
      <c r="B1" s="248"/>
      <c r="C1" s="248"/>
      <c r="D1" s="248"/>
      <c r="E1" s="248"/>
      <c r="F1" s="248"/>
      <c r="G1" s="248"/>
      <c r="H1" s="248"/>
      <c r="I1" s="248"/>
      <c r="J1" s="249"/>
    </row>
    <row r="2" spans="1:10" x14ac:dyDescent="0.25">
      <c r="A2" s="156" t="s">
        <v>45</v>
      </c>
      <c r="B2" s="157"/>
      <c r="C2" s="157"/>
      <c r="D2" s="157"/>
      <c r="E2" s="157"/>
      <c r="F2" s="157"/>
      <c r="G2" s="157"/>
      <c r="H2" s="157"/>
      <c r="I2" s="157"/>
      <c r="J2" s="158"/>
    </row>
    <row r="3" spans="1:10" x14ac:dyDescent="0.25">
      <c r="A3" s="128" t="s">
        <v>0</v>
      </c>
      <c r="B3" s="129"/>
      <c r="C3" s="129"/>
      <c r="D3" s="129"/>
      <c r="E3" s="130"/>
      <c r="F3" s="159" t="str">
        <f ca="1">TEXT(TODAY(),"DD/MM/YYYY")</f>
        <v>13/09/2025</v>
      </c>
      <c r="G3" s="160"/>
      <c r="H3" s="160"/>
      <c r="I3" s="160"/>
      <c r="J3" s="161"/>
    </row>
    <row r="4" spans="1:10" x14ac:dyDescent="0.25">
      <c r="A4" s="128" t="s">
        <v>1</v>
      </c>
      <c r="B4" s="129"/>
      <c r="C4" s="129"/>
      <c r="D4" s="129"/>
      <c r="E4" s="130"/>
      <c r="F4" s="162" t="s">
        <v>136</v>
      </c>
      <c r="G4" s="163"/>
      <c r="H4" s="163"/>
      <c r="I4" s="163"/>
      <c r="J4" s="164"/>
    </row>
    <row r="5" spans="1:10" x14ac:dyDescent="0.25">
      <c r="A5" s="128" t="s">
        <v>2</v>
      </c>
      <c r="B5" s="129"/>
      <c r="C5" s="129"/>
      <c r="D5" s="129"/>
      <c r="E5" s="130"/>
      <c r="F5" s="159">
        <v>45912</v>
      </c>
      <c r="G5" s="160"/>
      <c r="H5" s="160"/>
      <c r="I5" s="160"/>
      <c r="J5" s="161"/>
    </row>
    <row r="6" spans="1:10" ht="30" customHeight="1" x14ac:dyDescent="0.25">
      <c r="A6" s="142" t="s">
        <v>131</v>
      </c>
      <c r="B6" s="129"/>
      <c r="C6" s="129"/>
      <c r="D6" s="129"/>
      <c r="E6" s="130"/>
      <c r="F6" s="148" t="s">
        <v>148</v>
      </c>
      <c r="G6" s="149"/>
      <c r="H6" s="149"/>
      <c r="I6" s="149"/>
      <c r="J6" s="150"/>
    </row>
    <row r="7" spans="1:10" ht="15" customHeight="1" x14ac:dyDescent="0.25">
      <c r="A7" s="128" t="s">
        <v>3</v>
      </c>
      <c r="B7" s="129"/>
      <c r="C7" s="129"/>
      <c r="D7" s="129"/>
      <c r="E7" s="130"/>
      <c r="F7" s="148" t="s">
        <v>147</v>
      </c>
      <c r="G7" s="149"/>
      <c r="H7" s="149"/>
      <c r="I7" s="149"/>
      <c r="J7" s="150"/>
    </row>
    <row r="8" spans="1:10" x14ac:dyDescent="0.25">
      <c r="A8" s="128" t="s">
        <v>4</v>
      </c>
      <c r="B8" s="129"/>
      <c r="C8" s="129"/>
      <c r="D8" s="129"/>
      <c r="E8" s="130"/>
      <c r="F8" s="143" t="s">
        <v>149</v>
      </c>
      <c r="G8" s="144"/>
      <c r="H8" s="144"/>
      <c r="I8" s="144"/>
      <c r="J8" s="145"/>
    </row>
    <row r="9" spans="1:10" x14ac:dyDescent="0.25">
      <c r="A9" s="142" t="s">
        <v>101</v>
      </c>
      <c r="B9" s="129"/>
      <c r="C9" s="129"/>
      <c r="D9" s="129"/>
      <c r="E9" s="130"/>
      <c r="F9" s="142">
        <v>2227891969</v>
      </c>
      <c r="G9" s="146"/>
      <c r="H9" s="146"/>
      <c r="I9" s="146"/>
      <c r="J9" s="147"/>
    </row>
    <row r="10" spans="1:10" x14ac:dyDescent="0.25">
      <c r="A10" s="142" t="s">
        <v>102</v>
      </c>
      <c r="B10" s="146"/>
      <c r="C10" s="146"/>
      <c r="D10" s="146"/>
      <c r="E10" s="147"/>
      <c r="F10" s="142" t="s">
        <v>166</v>
      </c>
      <c r="G10" s="146"/>
      <c r="H10" s="146"/>
      <c r="I10" s="146"/>
      <c r="J10" s="147"/>
    </row>
    <row r="11" spans="1:10" x14ac:dyDescent="0.25">
      <c r="A11" s="128" t="s">
        <v>5</v>
      </c>
      <c r="B11" s="129"/>
      <c r="C11" s="129"/>
      <c r="D11" s="129"/>
      <c r="E11" s="130"/>
      <c r="F11" s="148" t="s">
        <v>137</v>
      </c>
      <c r="G11" s="149"/>
      <c r="H11" s="149"/>
      <c r="I11" s="149"/>
      <c r="J11" s="150"/>
    </row>
    <row r="12" spans="1:10" x14ac:dyDescent="0.25">
      <c r="A12" s="142" t="s">
        <v>141</v>
      </c>
      <c r="B12" s="129"/>
      <c r="C12" s="129"/>
      <c r="D12" s="129"/>
      <c r="E12" s="130"/>
      <c r="F12" s="149" t="s">
        <v>146</v>
      </c>
      <c r="G12" s="149"/>
      <c r="H12" s="149"/>
      <c r="I12" s="149"/>
      <c r="J12" s="150"/>
    </row>
    <row r="13" spans="1:10" ht="30" customHeight="1" x14ac:dyDescent="0.25">
      <c r="A13" s="253" t="s">
        <v>57</v>
      </c>
      <c r="B13" s="253"/>
      <c r="C13" s="148" t="s">
        <v>167</v>
      </c>
      <c r="D13" s="149"/>
      <c r="E13" s="149"/>
      <c r="F13" s="149"/>
      <c r="G13" s="149"/>
      <c r="H13" s="149"/>
      <c r="I13" s="149"/>
      <c r="J13" s="150"/>
    </row>
    <row r="14" spans="1:10" x14ac:dyDescent="0.25">
      <c r="A14" s="2" t="s">
        <v>103</v>
      </c>
      <c r="B14" s="26" t="s">
        <v>151</v>
      </c>
      <c r="C14" s="131" t="s">
        <v>134</v>
      </c>
      <c r="D14" s="132"/>
      <c r="E14" s="167" t="s">
        <v>152</v>
      </c>
      <c r="F14" s="168"/>
      <c r="G14" s="169"/>
      <c r="H14" s="5" t="s">
        <v>58</v>
      </c>
      <c r="I14" s="165" t="s">
        <v>156</v>
      </c>
      <c r="J14" s="166"/>
    </row>
    <row r="15" spans="1:10" x14ac:dyDescent="0.25">
      <c r="A15" s="3" t="s">
        <v>6</v>
      </c>
      <c r="B15" s="151" t="s">
        <v>150</v>
      </c>
      <c r="C15" s="152"/>
      <c r="D15" s="152"/>
      <c r="E15" s="153"/>
      <c r="F15" s="4" t="s">
        <v>59</v>
      </c>
      <c r="G15" s="118" t="s">
        <v>154</v>
      </c>
      <c r="H15" s="121"/>
      <c r="I15" s="121"/>
      <c r="J15" s="122"/>
    </row>
    <row r="16" spans="1:10" x14ac:dyDescent="0.25">
      <c r="A16" s="3" t="s">
        <v>7</v>
      </c>
      <c r="B16" s="118" t="s">
        <v>153</v>
      </c>
      <c r="C16" s="121"/>
      <c r="D16" s="121"/>
      <c r="E16" s="122"/>
      <c r="F16" s="4" t="s">
        <v>60</v>
      </c>
      <c r="G16" s="118">
        <v>400086</v>
      </c>
      <c r="H16" s="121"/>
      <c r="I16" s="121"/>
      <c r="J16" s="122"/>
    </row>
    <row r="17" spans="1:10" ht="31.5" customHeight="1" x14ac:dyDescent="0.25">
      <c r="A17" s="172" t="s">
        <v>61</v>
      </c>
      <c r="B17" s="172"/>
      <c r="C17" s="174" t="s">
        <v>155</v>
      </c>
      <c r="D17" s="174"/>
      <c r="E17" s="174"/>
      <c r="F17" s="104" t="s">
        <v>51</v>
      </c>
      <c r="G17" s="104"/>
      <c r="H17" s="170" t="s">
        <v>161</v>
      </c>
      <c r="I17" s="170"/>
      <c r="J17" s="171"/>
    </row>
    <row r="18" spans="1:10" ht="15" customHeight="1" x14ac:dyDescent="0.25">
      <c r="A18" s="136" t="s">
        <v>104</v>
      </c>
      <c r="B18" s="175"/>
      <c r="C18" s="175"/>
      <c r="D18" s="175"/>
      <c r="E18" s="176"/>
      <c r="F18" s="240" t="s">
        <v>140</v>
      </c>
      <c r="G18" s="241"/>
      <c r="H18" s="241"/>
      <c r="I18" s="241"/>
      <c r="J18" s="242"/>
    </row>
    <row r="19" spans="1:10" ht="31.5" customHeight="1" x14ac:dyDescent="0.25">
      <c r="A19" s="177"/>
      <c r="B19" s="178"/>
      <c r="C19" s="178"/>
      <c r="D19" s="178"/>
      <c r="E19" s="179"/>
      <c r="F19" s="250"/>
      <c r="G19" s="251"/>
      <c r="H19" s="251"/>
      <c r="I19" s="251"/>
      <c r="J19" s="252"/>
    </row>
    <row r="20" spans="1:10" ht="15" customHeight="1" x14ac:dyDescent="0.25">
      <c r="A20" s="136" t="s">
        <v>105</v>
      </c>
      <c r="B20" s="137"/>
      <c r="C20" s="137"/>
      <c r="D20" s="137"/>
      <c r="E20" s="138"/>
      <c r="F20" s="136" t="s">
        <v>47</v>
      </c>
      <c r="G20" s="175"/>
      <c r="H20" s="175"/>
      <c r="I20" s="175"/>
      <c r="J20" s="176"/>
    </row>
    <row r="21" spans="1:10" x14ac:dyDescent="0.25">
      <c r="A21" s="139"/>
      <c r="B21" s="140"/>
      <c r="C21" s="140"/>
      <c r="D21" s="140"/>
      <c r="E21" s="141"/>
      <c r="F21" s="177"/>
      <c r="G21" s="178"/>
      <c r="H21" s="178"/>
      <c r="I21" s="178"/>
      <c r="J21" s="179"/>
    </row>
    <row r="22" spans="1:10" x14ac:dyDescent="0.25">
      <c r="A22" s="173" t="s">
        <v>8</v>
      </c>
      <c r="B22" s="119"/>
      <c r="C22" s="119"/>
      <c r="D22" s="119"/>
      <c r="E22" s="120"/>
      <c r="F22" s="180" t="s">
        <v>162</v>
      </c>
      <c r="G22" s="181"/>
      <c r="H22" s="181"/>
      <c r="I22" s="181"/>
      <c r="J22" s="182"/>
    </row>
    <row r="23" spans="1:10" x14ac:dyDescent="0.25">
      <c r="A23" s="173" t="s">
        <v>9</v>
      </c>
      <c r="B23" s="119"/>
      <c r="C23" s="119"/>
      <c r="D23" s="119"/>
      <c r="E23" s="120"/>
      <c r="F23" s="133" t="s">
        <v>52</v>
      </c>
      <c r="G23" s="183"/>
      <c r="H23" s="183"/>
      <c r="I23" s="183"/>
      <c r="J23" s="184"/>
    </row>
    <row r="24" spans="1:10" x14ac:dyDescent="0.25">
      <c r="A24" s="173" t="s">
        <v>10</v>
      </c>
      <c r="B24" s="119"/>
      <c r="C24" s="119"/>
      <c r="D24" s="119"/>
      <c r="E24" s="120"/>
      <c r="F24" s="180" t="s">
        <v>163</v>
      </c>
      <c r="G24" s="181"/>
      <c r="H24" s="181"/>
      <c r="I24" s="181"/>
      <c r="J24" s="182"/>
    </row>
    <row r="25" spans="1:10" x14ac:dyDescent="0.25">
      <c r="A25" s="173" t="s">
        <v>28</v>
      </c>
      <c r="B25" s="119"/>
      <c r="C25" s="119"/>
      <c r="D25" s="119"/>
      <c r="E25" s="120"/>
      <c r="F25" s="133" t="s">
        <v>62</v>
      </c>
      <c r="G25" s="134"/>
      <c r="H25" s="134"/>
      <c r="I25" s="134"/>
      <c r="J25" s="135"/>
    </row>
    <row r="26" spans="1:10" x14ac:dyDescent="0.25">
      <c r="A26" s="124" t="s">
        <v>11</v>
      </c>
      <c r="B26" s="125"/>
      <c r="C26" s="124" t="s">
        <v>12</v>
      </c>
      <c r="D26" s="125"/>
      <c r="E26" s="126" t="s">
        <v>13</v>
      </c>
      <c r="F26" s="125"/>
      <c r="G26" s="126" t="s">
        <v>50</v>
      </c>
      <c r="H26" s="127"/>
      <c r="I26" s="124" t="s">
        <v>14</v>
      </c>
      <c r="J26" s="125"/>
    </row>
    <row r="27" spans="1:10" x14ac:dyDescent="0.25">
      <c r="A27" s="126" t="s">
        <v>15</v>
      </c>
      <c r="B27" s="127"/>
      <c r="C27" s="126" t="s">
        <v>49</v>
      </c>
      <c r="D27" s="127"/>
      <c r="E27" s="126" t="s">
        <v>49</v>
      </c>
      <c r="F27" s="127"/>
      <c r="G27" s="126" t="s">
        <v>49</v>
      </c>
      <c r="H27" s="127"/>
      <c r="I27" s="126" t="s">
        <v>49</v>
      </c>
      <c r="J27" s="127"/>
    </row>
    <row r="28" spans="1:10" ht="32.25" customHeight="1" x14ac:dyDescent="0.25">
      <c r="A28" s="187" t="s">
        <v>16</v>
      </c>
      <c r="B28" s="188"/>
      <c r="C28" s="185" t="s">
        <v>6</v>
      </c>
      <c r="D28" s="186"/>
      <c r="E28" s="185" t="s">
        <v>159</v>
      </c>
      <c r="F28" s="186"/>
      <c r="G28" s="185" t="s">
        <v>158</v>
      </c>
      <c r="H28" s="186"/>
      <c r="I28" s="185" t="s">
        <v>160</v>
      </c>
      <c r="J28" s="186"/>
    </row>
    <row r="29" spans="1:10" x14ac:dyDescent="0.25">
      <c r="A29" s="151" t="s">
        <v>55</v>
      </c>
      <c r="B29" s="152"/>
      <c r="C29" s="152"/>
      <c r="D29" s="152"/>
      <c r="E29" s="152"/>
      <c r="F29" s="152"/>
      <c r="G29" s="152"/>
      <c r="H29" s="152"/>
      <c r="I29" s="152"/>
      <c r="J29" s="153"/>
    </row>
    <row r="30" spans="1:10" x14ac:dyDescent="0.25">
      <c r="A30" s="151" t="s">
        <v>132</v>
      </c>
      <c r="B30" s="152"/>
      <c r="C30" s="152"/>
      <c r="D30" s="152"/>
      <c r="E30" s="152"/>
      <c r="F30" s="152"/>
      <c r="G30" s="152"/>
      <c r="H30" s="152"/>
      <c r="I30" s="152"/>
      <c r="J30" s="153"/>
    </row>
    <row r="31" spans="1:10" x14ac:dyDescent="0.25">
      <c r="A31" s="151" t="s">
        <v>42</v>
      </c>
      <c r="B31" s="153"/>
      <c r="C31" s="151" t="s">
        <v>238</v>
      </c>
      <c r="D31" s="152"/>
      <c r="E31" s="152"/>
      <c r="F31" s="152"/>
      <c r="G31" s="152"/>
      <c r="H31" s="152"/>
      <c r="I31" s="152"/>
      <c r="J31" s="153"/>
    </row>
    <row r="32" spans="1:10" x14ac:dyDescent="0.25">
      <c r="A32" s="151" t="s">
        <v>236</v>
      </c>
      <c r="B32" s="153"/>
      <c r="C32" s="289" t="s">
        <v>237</v>
      </c>
      <c r="D32" s="152"/>
      <c r="E32" s="152"/>
      <c r="F32" s="152"/>
      <c r="G32" s="152"/>
      <c r="H32" s="152"/>
      <c r="I32" s="152"/>
      <c r="J32" s="153"/>
    </row>
    <row r="33" spans="1:18" x14ac:dyDescent="0.25">
      <c r="A33" s="192" t="s">
        <v>17</v>
      </c>
      <c r="B33" s="193"/>
      <c r="C33" s="193"/>
      <c r="D33" s="193"/>
      <c r="E33" s="193"/>
      <c r="F33" s="193"/>
      <c r="G33" s="193"/>
      <c r="H33" s="193"/>
      <c r="I33" s="193"/>
      <c r="J33" s="194"/>
    </row>
    <row r="34" spans="1:18" ht="15" customHeight="1" x14ac:dyDescent="0.25">
      <c r="A34" s="136" t="s">
        <v>157</v>
      </c>
      <c r="B34" s="175"/>
      <c r="C34" s="175"/>
      <c r="D34" s="175"/>
      <c r="E34" s="175"/>
      <c r="F34" s="175"/>
      <c r="G34" s="175"/>
      <c r="H34" s="175"/>
      <c r="I34" s="175"/>
      <c r="J34" s="176"/>
    </row>
    <row r="35" spans="1:18" x14ac:dyDescent="0.25">
      <c r="A35" s="177"/>
      <c r="B35" s="178"/>
      <c r="C35" s="178"/>
      <c r="D35" s="178"/>
      <c r="E35" s="178"/>
      <c r="F35" s="178"/>
      <c r="G35" s="178"/>
      <c r="H35" s="178"/>
      <c r="I35" s="178"/>
      <c r="J35" s="179"/>
    </row>
    <row r="36" spans="1:18" ht="16.5" customHeight="1" x14ac:dyDescent="0.25">
      <c r="A36" s="118" t="s">
        <v>63</v>
      </c>
      <c r="B36" s="119"/>
      <c r="C36" s="119"/>
      <c r="D36" s="119"/>
      <c r="E36" s="120"/>
      <c r="F36" s="190">
        <v>2604.1</v>
      </c>
      <c r="G36" s="195"/>
      <c r="H36" s="195"/>
      <c r="I36" s="195"/>
      <c r="J36" s="191"/>
    </row>
    <row r="37" spans="1:18" x14ac:dyDescent="0.25">
      <c r="A37" s="173" t="s">
        <v>18</v>
      </c>
      <c r="B37" s="119"/>
      <c r="C37" s="119"/>
      <c r="D37" s="119"/>
      <c r="E37" s="120"/>
      <c r="F37" s="118">
        <v>4</v>
      </c>
      <c r="G37" s="121"/>
      <c r="H37" s="121"/>
      <c r="I37" s="121"/>
      <c r="J37" s="122"/>
    </row>
    <row r="38" spans="1:18" x14ac:dyDescent="0.25">
      <c r="A38" s="173" t="s">
        <v>19</v>
      </c>
      <c r="B38" s="119"/>
      <c r="C38" s="119"/>
      <c r="D38" s="119"/>
      <c r="E38" s="120"/>
      <c r="F38" s="236">
        <f>F40/F36-F37</f>
        <v>0.12651203870819039</v>
      </c>
      <c r="G38" s="237"/>
      <c r="H38" s="237"/>
      <c r="I38" s="237"/>
      <c r="J38" s="238"/>
    </row>
    <row r="39" spans="1:18" x14ac:dyDescent="0.25">
      <c r="A39" s="173" t="s">
        <v>20</v>
      </c>
      <c r="B39" s="119"/>
      <c r="C39" s="119"/>
      <c r="D39" s="119"/>
      <c r="E39" s="120"/>
      <c r="F39" s="236">
        <f>F37+F38</f>
        <v>4.1265120387081904</v>
      </c>
      <c r="G39" s="237"/>
      <c r="H39" s="237"/>
      <c r="I39" s="237"/>
      <c r="J39" s="238"/>
    </row>
    <row r="40" spans="1:18" x14ac:dyDescent="0.25">
      <c r="A40" s="118" t="s">
        <v>64</v>
      </c>
      <c r="B40" s="119"/>
      <c r="C40" s="119"/>
      <c r="D40" s="119"/>
      <c r="E40" s="120"/>
      <c r="F40" s="196">
        <f>5841.53+4904.32</f>
        <v>10745.849999999999</v>
      </c>
      <c r="G40" s="197"/>
      <c r="H40" s="197"/>
      <c r="I40" s="197"/>
      <c r="J40" s="198"/>
    </row>
    <row r="41" spans="1:18" x14ac:dyDescent="0.25">
      <c r="A41" s="173" t="s">
        <v>21</v>
      </c>
      <c r="B41" s="119"/>
      <c r="C41" s="119"/>
      <c r="D41" s="119"/>
      <c r="E41" s="120"/>
      <c r="F41" s="118" t="s">
        <v>230</v>
      </c>
      <c r="G41" s="121"/>
      <c r="H41" s="121"/>
      <c r="I41" s="121"/>
      <c r="J41" s="122"/>
    </row>
    <row r="42" spans="1:18" x14ac:dyDescent="0.25">
      <c r="A42" s="192" t="s">
        <v>66</v>
      </c>
      <c r="B42" s="193"/>
      <c r="C42" s="193"/>
      <c r="D42" s="193"/>
      <c r="E42" s="193"/>
      <c r="F42" s="193"/>
      <c r="G42" s="193"/>
      <c r="H42" s="193"/>
      <c r="I42" s="193"/>
      <c r="J42" s="194"/>
    </row>
    <row r="43" spans="1:18" ht="30" customHeight="1" x14ac:dyDescent="0.25">
      <c r="A43" s="190" t="s">
        <v>65</v>
      </c>
      <c r="B43" s="191"/>
      <c r="C43" s="98" t="s">
        <v>239</v>
      </c>
      <c r="D43" s="99"/>
      <c r="E43" s="99"/>
      <c r="F43" s="100"/>
      <c r="G43" s="6" t="s">
        <v>56</v>
      </c>
      <c r="H43" s="189">
        <v>45251</v>
      </c>
      <c r="I43" s="102"/>
      <c r="J43" s="103"/>
      <c r="K43" s="98" t="s">
        <v>175</v>
      </c>
      <c r="L43" s="99"/>
      <c r="M43" s="99"/>
      <c r="N43" s="100"/>
      <c r="O43" s="6" t="s">
        <v>56</v>
      </c>
      <c r="P43" s="101" t="s">
        <v>176</v>
      </c>
      <c r="Q43" s="102"/>
      <c r="R43" s="103"/>
    </row>
    <row r="44" spans="1:18" ht="32.25" customHeight="1" x14ac:dyDescent="0.25">
      <c r="A44" s="190" t="s">
        <v>67</v>
      </c>
      <c r="B44" s="191"/>
      <c r="C44" s="98" t="str">
        <f>C43</f>
        <v>CHE/795/BP (SPL.
CELL)/AN/337/337/4/Amend</v>
      </c>
      <c r="D44" s="99"/>
      <c r="E44" s="99"/>
      <c r="F44" s="100"/>
      <c r="G44" s="6" t="s">
        <v>56</v>
      </c>
      <c r="H44" s="189">
        <v>45251</v>
      </c>
      <c r="I44" s="102"/>
      <c r="J44" s="103"/>
      <c r="K44" s="98" t="str">
        <f>K43</f>
        <v>CHE/795/B.P(SPL.CALL)AN/337</v>
      </c>
      <c r="L44" s="99"/>
      <c r="M44" s="99"/>
      <c r="N44" s="100"/>
      <c r="O44" s="6" t="s">
        <v>56</v>
      </c>
      <c r="P44" s="101" t="str">
        <f>P43</f>
        <v>27/03/2018.</v>
      </c>
      <c r="Q44" s="102"/>
      <c r="R44" s="103"/>
    </row>
    <row r="45" spans="1:18" ht="76.5" customHeight="1" x14ac:dyDescent="0.25">
      <c r="A45" s="190" t="s">
        <v>231</v>
      </c>
      <c r="B45" s="191"/>
      <c r="C45" s="98" t="s">
        <v>234</v>
      </c>
      <c r="D45" s="99"/>
      <c r="E45" s="99"/>
      <c r="F45" s="100"/>
      <c r="G45" s="6" t="s">
        <v>56</v>
      </c>
      <c r="H45" s="27">
        <v>45792</v>
      </c>
      <c r="I45" s="104" t="s">
        <v>233</v>
      </c>
      <c r="J45" s="104"/>
      <c r="K45" s="98" t="s">
        <v>234</v>
      </c>
      <c r="L45" s="99"/>
      <c r="M45" s="99"/>
      <c r="N45" s="100"/>
      <c r="O45" s="6" t="s">
        <v>56</v>
      </c>
      <c r="P45" s="70">
        <v>45792</v>
      </c>
      <c r="Q45" s="104" t="s">
        <v>233</v>
      </c>
      <c r="R45" s="104"/>
    </row>
    <row r="46" spans="1:18" hidden="1" x14ac:dyDescent="0.25">
      <c r="A46" s="118" t="s">
        <v>135</v>
      </c>
      <c r="B46" s="122"/>
      <c r="C46" s="190" t="s">
        <v>49</v>
      </c>
      <c r="D46" s="195"/>
      <c r="E46" s="195"/>
      <c r="F46" s="191"/>
      <c r="G46" s="2" t="s">
        <v>56</v>
      </c>
      <c r="H46" s="199" t="s">
        <v>49</v>
      </c>
      <c r="I46" s="121"/>
      <c r="J46" s="122"/>
    </row>
    <row r="47" spans="1:18" ht="15" customHeight="1" x14ac:dyDescent="0.25">
      <c r="A47" s="204" t="s">
        <v>100</v>
      </c>
      <c r="B47" s="205"/>
      <c r="C47" s="204" t="s">
        <v>49</v>
      </c>
      <c r="D47" s="206"/>
      <c r="E47" s="206"/>
      <c r="F47" s="205"/>
      <c r="G47" s="2" t="s">
        <v>56</v>
      </c>
      <c r="H47" s="199" t="s">
        <v>49</v>
      </c>
      <c r="I47" s="121"/>
      <c r="J47" s="122"/>
    </row>
    <row r="48" spans="1:18" x14ac:dyDescent="0.25">
      <c r="A48" s="172" t="s">
        <v>72</v>
      </c>
      <c r="B48" s="172"/>
      <c r="C48" s="172"/>
      <c r="D48" s="203">
        <v>42748</v>
      </c>
      <c r="E48" s="203"/>
      <c r="F48" s="118" t="s">
        <v>68</v>
      </c>
      <c r="G48" s="202"/>
      <c r="H48" s="199">
        <v>46021</v>
      </c>
      <c r="I48" s="200"/>
      <c r="J48" s="201"/>
    </row>
    <row r="49" spans="1:13" x14ac:dyDescent="0.25">
      <c r="A49" s="256" t="s">
        <v>22</v>
      </c>
      <c r="B49" s="257"/>
      <c r="C49" s="257"/>
      <c r="D49" s="257"/>
      <c r="E49" s="257"/>
      <c r="F49" s="257"/>
      <c r="G49" s="257"/>
      <c r="H49" s="257"/>
      <c r="I49" s="257"/>
      <c r="J49" s="258"/>
    </row>
    <row r="50" spans="1:13" x14ac:dyDescent="0.25">
      <c r="A50" s="240" t="s">
        <v>99</v>
      </c>
      <c r="B50" s="241"/>
      <c r="C50" s="242"/>
      <c r="D50" s="266">
        <v>5940.82</v>
      </c>
      <c r="E50" s="267"/>
      <c r="F50" s="261" t="s">
        <v>170</v>
      </c>
      <c r="G50" s="261"/>
      <c r="H50" s="261"/>
      <c r="I50" s="265" t="s">
        <v>265</v>
      </c>
      <c r="J50" s="265"/>
    </row>
    <row r="51" spans="1:13" s="14" customFormat="1" x14ac:dyDescent="0.25">
      <c r="A51" s="104" t="s">
        <v>69</v>
      </c>
      <c r="B51" s="104"/>
      <c r="C51" s="268" t="s">
        <v>266</v>
      </c>
      <c r="D51" s="268"/>
      <c r="E51" s="268"/>
      <c r="F51" s="172" t="s">
        <v>54</v>
      </c>
      <c r="G51" s="172"/>
      <c r="H51" s="172"/>
      <c r="I51" s="172"/>
      <c r="J51" s="172"/>
    </row>
    <row r="52" spans="1:13" ht="33" customHeight="1" x14ac:dyDescent="0.25">
      <c r="A52" s="250" t="s">
        <v>144</v>
      </c>
      <c r="B52" s="251"/>
      <c r="C52" s="251"/>
      <c r="D52" s="251"/>
      <c r="E52" s="252"/>
      <c r="F52" s="177" t="s">
        <v>53</v>
      </c>
      <c r="G52" s="178"/>
      <c r="H52" s="178"/>
      <c r="I52" s="178"/>
      <c r="J52" s="179"/>
    </row>
    <row r="53" spans="1:13" ht="15.75" thickBot="1" x14ac:dyDescent="0.3">
      <c r="A53" s="118" t="s">
        <v>142</v>
      </c>
      <c r="B53" s="121"/>
      <c r="C53" s="121"/>
      <c r="D53" s="121"/>
      <c r="E53" s="121"/>
      <c r="F53" s="121"/>
      <c r="G53" s="121"/>
      <c r="H53" s="121"/>
      <c r="I53" s="121"/>
      <c r="J53" s="122"/>
    </row>
    <row r="54" spans="1:13" ht="15" customHeight="1" x14ac:dyDescent="0.25">
      <c r="A54" s="244" t="s">
        <v>235</v>
      </c>
      <c r="B54" s="245"/>
      <c r="C54" s="245"/>
      <c r="D54" s="245"/>
      <c r="E54" s="245"/>
      <c r="F54" s="245"/>
      <c r="G54" s="245"/>
      <c r="H54" s="245"/>
      <c r="I54" s="245"/>
      <c r="J54" s="246"/>
      <c r="K54" s="51" t="str">
        <f>(IF(C58=0,"Work not yet Started.",IF(D58=50%,"Excavation work in process",IF(D58=100%,"Excavation work completed, ","0")))&amp;(IF(C59=0%,"",IF(D59=25%,"Footing work is process",IF(D59=50%,"Footing work Completed",IF(D59=75%,"Plinth work is process",IF(D59=100%,"Plinth work completed","0"))))))&amp;(IF(C60&gt;0,", RCC upto "&amp;C60&amp;" Slab completed",""))&amp;(IF(C61&gt;0,", Brickwork upto "&amp;C61&amp;" Floor completed"," "))&amp;(IF(C62&gt;0,", Internal Plaster upto "&amp;C62&amp;" Floor completed"," "))&amp;(IF(C63&gt;0,", External Plaster upto "&amp;C63&amp;" Floor completed"," "))&amp;(IF(C64&gt;0,", Flooring upto "&amp;C64&amp;" Floor completed"," "))&amp;(IF(C65&gt;0,", Painting upto "&amp;C65&amp;" Floor completed"," "))&amp;(IF(C66&gt;0,", Finishing upto "&amp;C66&amp;" Floor completed"," ")))</f>
        <v xml:space="preserve">Excavation work completed, Plinth work completed, RCC upto 11 Slab completed, Brickwork upto 9 Floor completed, Internal Plaster upto 8 Floor completed, External Plaster upto 7 Floor completed, Flooring upto 6 Floor completed, Painting upto 3 Floor completed </v>
      </c>
      <c r="L54" s="52"/>
      <c r="M54" s="53"/>
    </row>
    <row r="55" spans="1:13" s="25" customFormat="1" ht="15.75" x14ac:dyDescent="0.25">
      <c r="A55" s="263" t="s">
        <v>182</v>
      </c>
      <c r="B55" s="264"/>
      <c r="C55" s="54">
        <v>1</v>
      </c>
      <c r="D55" s="264" t="s">
        <v>181</v>
      </c>
      <c r="E55" s="264"/>
      <c r="F55" s="264">
        <v>0</v>
      </c>
      <c r="G55" s="264"/>
      <c r="H55" s="54" t="s">
        <v>209</v>
      </c>
      <c r="I55" s="264">
        <v>10</v>
      </c>
      <c r="J55" s="290"/>
      <c r="K55" s="55" t="s">
        <v>210</v>
      </c>
      <c r="L55" s="56"/>
      <c r="M55" s="57"/>
    </row>
    <row r="56" spans="1:13" ht="62.45" customHeight="1" x14ac:dyDescent="0.25">
      <c r="A56" s="291" t="s">
        <v>211</v>
      </c>
      <c r="B56" s="292"/>
      <c r="C56" s="280" t="str">
        <f>K54</f>
        <v xml:space="preserve">Excavation work completed, Plinth work completed, RCC upto 11 Slab completed, Brickwork upto 9 Floor completed, Internal Plaster upto 8 Floor completed, External Plaster upto 7 Floor completed, Flooring upto 6 Floor completed, Painting upto 3 Floor completed </v>
      </c>
      <c r="D56" s="281"/>
      <c r="E56" s="281"/>
      <c r="F56" s="281"/>
      <c r="G56" s="281"/>
      <c r="H56" s="281"/>
      <c r="I56" s="281"/>
      <c r="J56" s="282"/>
      <c r="K56" s="55" t="s">
        <v>212</v>
      </c>
      <c r="L56" s="56"/>
      <c r="M56" s="57"/>
    </row>
    <row r="57" spans="1:13" ht="15.75" x14ac:dyDescent="0.25">
      <c r="A57" s="254" t="s">
        <v>34</v>
      </c>
      <c r="B57" s="255"/>
      <c r="C57" s="65" t="s">
        <v>213</v>
      </c>
      <c r="D57" s="255" t="s">
        <v>214</v>
      </c>
      <c r="E57" s="255"/>
      <c r="F57" s="255" t="s">
        <v>215</v>
      </c>
      <c r="G57" s="255"/>
      <c r="H57" s="255" t="s">
        <v>216</v>
      </c>
      <c r="I57" s="255"/>
      <c r="J57" s="262"/>
      <c r="K57" s="55" t="s">
        <v>217</v>
      </c>
      <c r="L57" s="58"/>
      <c r="M57" s="59"/>
    </row>
    <row r="58" spans="1:13" ht="15.75" x14ac:dyDescent="0.25">
      <c r="A58" s="254" t="s">
        <v>218</v>
      </c>
      <c r="B58" s="255"/>
      <c r="C58" s="66">
        <f>M61</f>
        <v>10</v>
      </c>
      <c r="D58" s="117">
        <f>((100/I55)*C58)/100</f>
        <v>1</v>
      </c>
      <c r="E58" s="117"/>
      <c r="F58" s="117">
        <f>(IF(C56=K56,"100%",IF(C56=K57,"100%",(((C59/I55*10)+(40/(C55+F55+I55)*C60)+(7.5/(I55)*C61)+(7.5/(I55)*C62)+(10/I55*C63)+(10/I55*C64)+(5/I55*C65)+(5/I55*C66)+(5/I55*C67))/100))))</f>
        <v>0.77249999999999996</v>
      </c>
      <c r="G58" s="117"/>
      <c r="H58" s="117">
        <f>((((C58/I55)*20)+((C59/I55)*25)+(30/(I55+F55+C55)*C60)+(5/I55*C61)+(5/I55*C62)+(5/I55*C63)+(5/I55*C64)+(0/I55*C65)+(0/I55*C66)+(5/I55*C67))/100)</f>
        <v>0.9</v>
      </c>
      <c r="I58" s="117"/>
      <c r="J58" s="275"/>
      <c r="K58" s="55"/>
      <c r="L58" s="58"/>
      <c r="M58" s="59"/>
    </row>
    <row r="59" spans="1:13" ht="15.75" x14ac:dyDescent="0.25">
      <c r="A59" s="254" t="s">
        <v>35</v>
      </c>
      <c r="B59" s="255"/>
      <c r="C59" s="66">
        <f>M66</f>
        <v>10</v>
      </c>
      <c r="D59" s="117">
        <f>((100/I55)*C59)/100</f>
        <v>1</v>
      </c>
      <c r="E59" s="117"/>
      <c r="F59" s="117"/>
      <c r="G59" s="117"/>
      <c r="H59" s="117"/>
      <c r="I59" s="117"/>
      <c r="J59" s="275"/>
      <c r="K59" s="58"/>
      <c r="L59" s="58"/>
      <c r="M59" s="59"/>
    </row>
    <row r="60" spans="1:13" ht="15.75" x14ac:dyDescent="0.25">
      <c r="A60" s="254" t="s">
        <v>228</v>
      </c>
      <c r="B60" s="255"/>
      <c r="C60" s="67">
        <v>11</v>
      </c>
      <c r="D60" s="117">
        <f>((100/(C55+F55+I55))*C60)/100</f>
        <v>1.0000000000000002</v>
      </c>
      <c r="E60" s="117"/>
      <c r="F60" s="117"/>
      <c r="G60" s="117"/>
      <c r="H60" s="117"/>
      <c r="I60" s="117"/>
      <c r="J60" s="275"/>
      <c r="K60" s="60" t="s">
        <v>200</v>
      </c>
      <c r="L60" s="61"/>
      <c r="M60" s="62">
        <f>I55*50%</f>
        <v>5</v>
      </c>
    </row>
    <row r="61" spans="1:13" ht="15.75" x14ac:dyDescent="0.25">
      <c r="A61" s="254" t="s">
        <v>219</v>
      </c>
      <c r="B61" s="255" t="s">
        <v>220</v>
      </c>
      <c r="C61" s="66">
        <v>9</v>
      </c>
      <c r="D61" s="117">
        <f>((100/I55)*C61)/100</f>
        <v>0.9</v>
      </c>
      <c r="E61" s="117"/>
      <c r="F61" s="117"/>
      <c r="G61" s="117"/>
      <c r="H61" s="117"/>
      <c r="I61" s="117"/>
      <c r="J61" s="275"/>
      <c r="K61" s="60" t="s">
        <v>203</v>
      </c>
      <c r="L61" s="61"/>
      <c r="M61" s="62">
        <f>I55</f>
        <v>10</v>
      </c>
    </row>
    <row r="62" spans="1:13" ht="15" customHeight="1" x14ac:dyDescent="0.25">
      <c r="A62" s="254" t="s">
        <v>221</v>
      </c>
      <c r="B62" s="255" t="s">
        <v>220</v>
      </c>
      <c r="C62" s="66">
        <v>8</v>
      </c>
      <c r="D62" s="117">
        <f>((100/I55)*C62)/100</f>
        <v>0.8</v>
      </c>
      <c r="E62" s="117"/>
      <c r="F62" s="117"/>
      <c r="G62" s="117"/>
      <c r="H62" s="117"/>
      <c r="I62" s="117"/>
      <c r="J62" s="275"/>
      <c r="K62" s="60"/>
      <c r="L62" s="61"/>
      <c r="M62" s="62"/>
    </row>
    <row r="63" spans="1:13" ht="15.75" x14ac:dyDescent="0.25">
      <c r="A63" s="263" t="s">
        <v>222</v>
      </c>
      <c r="B63" s="264" t="s">
        <v>223</v>
      </c>
      <c r="C63" s="66">
        <v>7</v>
      </c>
      <c r="D63" s="117">
        <f>((100/(I55))*C63)/100</f>
        <v>0.7</v>
      </c>
      <c r="E63" s="117"/>
      <c r="F63" s="117"/>
      <c r="G63" s="117"/>
      <c r="H63" s="117"/>
      <c r="I63" s="117"/>
      <c r="J63" s="275"/>
      <c r="K63" s="60" t="s">
        <v>204</v>
      </c>
      <c r="L63" s="61"/>
      <c r="M63" s="62">
        <f>I55*25%</f>
        <v>2.5</v>
      </c>
    </row>
    <row r="64" spans="1:13" ht="15.75" x14ac:dyDescent="0.25">
      <c r="A64" s="254" t="s">
        <v>224</v>
      </c>
      <c r="B64" s="255" t="s">
        <v>224</v>
      </c>
      <c r="C64" s="66">
        <v>6</v>
      </c>
      <c r="D64" s="117">
        <f>((100/I55)*C64)/100</f>
        <v>0.6</v>
      </c>
      <c r="E64" s="117"/>
      <c r="F64" s="117"/>
      <c r="G64" s="117"/>
      <c r="H64" s="117"/>
      <c r="I64" s="117"/>
      <c r="J64" s="275"/>
      <c r="K64" s="60" t="s">
        <v>205</v>
      </c>
      <c r="L64" s="61"/>
      <c r="M64" s="62">
        <f>I55*50%</f>
        <v>5</v>
      </c>
    </row>
    <row r="65" spans="1:13" ht="15" customHeight="1" x14ac:dyDescent="0.25">
      <c r="A65" s="254" t="s">
        <v>225</v>
      </c>
      <c r="B65" s="255"/>
      <c r="C65" s="66">
        <v>3</v>
      </c>
      <c r="D65" s="117">
        <f>((100/I55)*C65)/100</f>
        <v>0.3</v>
      </c>
      <c r="E65" s="117"/>
      <c r="F65" s="117"/>
      <c r="G65" s="117"/>
      <c r="H65" s="117"/>
      <c r="I65" s="117"/>
      <c r="J65" s="275"/>
      <c r="K65" s="60" t="s">
        <v>206</v>
      </c>
      <c r="L65" s="61"/>
      <c r="M65" s="62">
        <f>I55*75%</f>
        <v>7.5</v>
      </c>
    </row>
    <row r="66" spans="1:13" ht="15.75" x14ac:dyDescent="0.25">
      <c r="A66" s="254" t="s">
        <v>226</v>
      </c>
      <c r="B66" s="255" t="s">
        <v>226</v>
      </c>
      <c r="C66" s="66">
        <v>0</v>
      </c>
      <c r="D66" s="117">
        <f>((100/(I55))*C66)/100</f>
        <v>0</v>
      </c>
      <c r="E66" s="117"/>
      <c r="F66" s="117"/>
      <c r="G66" s="117"/>
      <c r="H66" s="117"/>
      <c r="I66" s="117"/>
      <c r="J66" s="275"/>
      <c r="K66" s="60" t="s">
        <v>207</v>
      </c>
      <c r="L66" s="61"/>
      <c r="M66" s="62">
        <f>I55</f>
        <v>10</v>
      </c>
    </row>
    <row r="67" spans="1:13" ht="16.5" thickBot="1" x14ac:dyDescent="0.3">
      <c r="A67" s="259" t="s">
        <v>227</v>
      </c>
      <c r="B67" s="260"/>
      <c r="C67" s="68">
        <v>0</v>
      </c>
      <c r="D67" s="243">
        <f>((100/(I55))*C67)/100</f>
        <v>0</v>
      </c>
      <c r="E67" s="243"/>
      <c r="F67" s="243"/>
      <c r="G67" s="243"/>
      <c r="H67" s="243"/>
      <c r="I67" s="243"/>
      <c r="J67" s="276"/>
      <c r="K67" s="63"/>
      <c r="L67" s="63"/>
      <c r="M67" s="64"/>
    </row>
    <row r="68" spans="1:13" x14ac:dyDescent="0.25">
      <c r="A68" s="118" t="s">
        <v>143</v>
      </c>
      <c r="B68" s="121"/>
      <c r="C68" s="121"/>
      <c r="D68" s="121"/>
      <c r="E68" s="121"/>
      <c r="F68" s="121"/>
      <c r="G68" s="121"/>
      <c r="H68" s="121"/>
      <c r="I68" s="121"/>
      <c r="J68" s="122"/>
    </row>
    <row r="69" spans="1:13" x14ac:dyDescent="0.25">
      <c r="A69" s="118" t="s">
        <v>48</v>
      </c>
      <c r="B69" s="121"/>
      <c r="C69" s="121"/>
      <c r="D69" s="121"/>
      <c r="E69" s="121"/>
      <c r="F69" s="121"/>
      <c r="G69" s="121"/>
      <c r="H69" s="121"/>
      <c r="I69" s="121"/>
      <c r="J69" s="122"/>
    </row>
    <row r="70" spans="1:13" ht="15" customHeight="1" x14ac:dyDescent="0.25">
      <c r="A70" s="269" t="s">
        <v>164</v>
      </c>
      <c r="B70" s="270"/>
      <c r="C70" s="270"/>
      <c r="D70" s="270"/>
      <c r="E70" s="270"/>
      <c r="F70" s="270"/>
      <c r="G70" s="270"/>
      <c r="H70" s="270"/>
      <c r="I70" s="270"/>
      <c r="J70" s="271"/>
    </row>
    <row r="71" spans="1:13" x14ac:dyDescent="0.25">
      <c r="A71" s="272"/>
      <c r="B71" s="273"/>
      <c r="C71" s="273"/>
      <c r="D71" s="273"/>
      <c r="E71" s="273"/>
      <c r="F71" s="273"/>
      <c r="G71" s="273"/>
      <c r="H71" s="273"/>
      <c r="I71" s="273"/>
      <c r="J71" s="274"/>
    </row>
    <row r="72" spans="1:13" s="24" customFormat="1" x14ac:dyDescent="0.25">
      <c r="A72" s="239" t="s">
        <v>23</v>
      </c>
      <c r="B72" s="217"/>
      <c r="C72" s="217"/>
      <c r="D72" s="217"/>
      <c r="E72" s="217"/>
      <c r="F72" s="217"/>
      <c r="G72" s="217"/>
      <c r="H72" s="217"/>
      <c r="I72" s="217"/>
      <c r="J72" s="218"/>
    </row>
    <row r="73" spans="1:13" x14ac:dyDescent="0.25">
      <c r="A73" s="118" t="s">
        <v>177</v>
      </c>
      <c r="B73" s="119"/>
      <c r="C73" s="119"/>
      <c r="D73" s="119"/>
      <c r="E73" s="119"/>
      <c r="F73" s="120"/>
      <c r="G73" s="114">
        <v>22000</v>
      </c>
      <c r="H73" s="115"/>
      <c r="I73" s="115"/>
      <c r="J73" s="116"/>
    </row>
    <row r="74" spans="1:13" hidden="1" x14ac:dyDescent="0.25">
      <c r="A74" s="118" t="s">
        <v>139</v>
      </c>
      <c r="B74" s="119"/>
      <c r="C74" s="119"/>
      <c r="D74" s="119"/>
      <c r="E74" s="119"/>
      <c r="F74" s="120"/>
      <c r="G74" s="114">
        <v>6500</v>
      </c>
      <c r="H74" s="115"/>
      <c r="I74" s="115"/>
      <c r="J74" s="116"/>
    </row>
    <row r="75" spans="1:13" hidden="1" x14ac:dyDescent="0.25">
      <c r="A75" s="118" t="s">
        <v>70</v>
      </c>
      <c r="B75" s="119"/>
      <c r="C75" s="119"/>
      <c r="D75" s="119"/>
      <c r="E75" s="119"/>
      <c r="F75" s="120"/>
      <c r="G75" s="283" t="s">
        <v>49</v>
      </c>
      <c r="H75" s="284"/>
      <c r="I75" s="284"/>
      <c r="J75" s="285"/>
    </row>
    <row r="76" spans="1:13" hidden="1" x14ac:dyDescent="0.25">
      <c r="A76" s="118" t="s">
        <v>106</v>
      </c>
      <c r="B76" s="121"/>
      <c r="C76" s="121"/>
      <c r="D76" s="121"/>
      <c r="E76" s="121"/>
      <c r="F76" s="122"/>
      <c r="G76" s="98" t="s">
        <v>49</v>
      </c>
      <c r="H76" s="99"/>
      <c r="I76" s="99"/>
      <c r="J76" s="100"/>
    </row>
    <row r="77" spans="1:13" hidden="1" x14ac:dyDescent="0.25">
      <c r="A77" s="190" t="s">
        <v>133</v>
      </c>
      <c r="B77" s="195"/>
      <c r="C77" s="195"/>
      <c r="D77" s="195"/>
      <c r="E77" s="195"/>
      <c r="F77" s="191"/>
      <c r="G77" s="98" t="s">
        <v>49</v>
      </c>
      <c r="H77" s="99"/>
      <c r="I77" s="99"/>
      <c r="J77" s="100"/>
    </row>
    <row r="78" spans="1:13" hidden="1" x14ac:dyDescent="0.25">
      <c r="A78" s="118" t="s">
        <v>73</v>
      </c>
      <c r="B78" s="121"/>
      <c r="C78" s="121"/>
      <c r="D78" s="121"/>
      <c r="E78" s="121"/>
      <c r="F78" s="122"/>
      <c r="G78" s="98" t="s">
        <v>49</v>
      </c>
      <c r="H78" s="99"/>
      <c r="I78" s="99"/>
      <c r="J78" s="100"/>
    </row>
    <row r="79" spans="1:13" x14ac:dyDescent="0.25">
      <c r="A79" s="118" t="s">
        <v>95</v>
      </c>
      <c r="B79" s="119"/>
      <c r="C79" s="119"/>
      <c r="D79" s="119"/>
      <c r="E79" s="119"/>
      <c r="F79" s="120"/>
      <c r="G79" s="98" t="s">
        <v>179</v>
      </c>
      <c r="H79" s="99"/>
      <c r="I79" s="99"/>
      <c r="J79" s="100"/>
    </row>
    <row r="80" spans="1:13" hidden="1" x14ac:dyDescent="0.25">
      <c r="A80" s="118" t="s">
        <v>71</v>
      </c>
      <c r="B80" s="121"/>
      <c r="C80" s="121"/>
      <c r="D80" s="121"/>
      <c r="E80" s="121"/>
      <c r="F80" s="122"/>
      <c r="G80" s="98" t="s">
        <v>49</v>
      </c>
      <c r="H80" s="99"/>
      <c r="I80" s="99"/>
      <c r="J80" s="100"/>
    </row>
    <row r="81" spans="1:22" hidden="1" x14ac:dyDescent="0.25">
      <c r="A81" s="118" t="s">
        <v>24</v>
      </c>
      <c r="B81" s="121"/>
      <c r="C81" s="121"/>
      <c r="D81" s="121"/>
      <c r="E81" s="121"/>
      <c r="F81" s="122"/>
      <c r="G81" s="98" t="s">
        <v>49</v>
      </c>
      <c r="H81" s="99"/>
      <c r="I81" s="99"/>
      <c r="J81" s="100"/>
    </row>
    <row r="82" spans="1:22" s="23" customFormat="1" x14ac:dyDescent="0.25">
      <c r="A82" s="216" t="s">
        <v>107</v>
      </c>
      <c r="B82" s="217"/>
      <c r="C82" s="217"/>
      <c r="D82" s="217"/>
      <c r="E82" s="217"/>
      <c r="F82" s="218"/>
      <c r="G82" s="219">
        <f>G73*0.8</f>
        <v>17600</v>
      </c>
      <c r="H82" s="220"/>
      <c r="I82" s="220"/>
      <c r="J82" s="221"/>
    </row>
    <row r="83" spans="1:22" s="73" customFormat="1" ht="15.75" customHeight="1" x14ac:dyDescent="0.25">
      <c r="A83" s="154" t="s">
        <v>260</v>
      </c>
      <c r="B83" s="155"/>
      <c r="C83" s="155"/>
      <c r="D83" s="155"/>
      <c r="E83" s="155"/>
      <c r="F83" s="155"/>
      <c r="G83" s="155"/>
      <c r="H83" s="155"/>
      <c r="I83" s="155"/>
      <c r="J83" s="155"/>
      <c r="R83"/>
      <c r="S83" s="74"/>
      <c r="T83"/>
      <c r="U83"/>
      <c r="V83" s="74"/>
    </row>
    <row r="84" spans="1:22" s="73" customFormat="1" ht="15.75" customHeight="1" x14ac:dyDescent="0.25">
      <c r="A84" s="79" t="s">
        <v>261</v>
      </c>
      <c r="B84" s="79"/>
      <c r="C84" s="80" t="s">
        <v>262</v>
      </c>
      <c r="D84" s="80"/>
      <c r="E84" s="107" t="s">
        <v>263</v>
      </c>
      <c r="F84" s="108"/>
      <c r="G84" s="109"/>
      <c r="H84" s="286" t="s">
        <v>264</v>
      </c>
      <c r="I84" s="287"/>
      <c r="J84" s="288"/>
      <c r="R84"/>
      <c r="S84" s="74"/>
      <c r="T84"/>
      <c r="U84" s="74"/>
      <c r="V84" s="74"/>
    </row>
    <row r="85" spans="1:22" s="73" customFormat="1" ht="15.75" hidden="1" customHeight="1" x14ac:dyDescent="0.25">
      <c r="A85" s="81"/>
      <c r="B85" s="81"/>
      <c r="C85" s="82"/>
      <c r="D85" s="82"/>
      <c r="E85" s="107"/>
      <c r="F85" s="108"/>
      <c r="G85" s="109"/>
      <c r="H85" s="286"/>
      <c r="I85" s="287"/>
      <c r="J85" s="288"/>
      <c r="R85"/>
      <c r="S85" s="74"/>
      <c r="T85"/>
      <c r="U85" s="74"/>
      <c r="V85" s="74"/>
    </row>
    <row r="86" spans="1:22" s="73" customFormat="1" ht="15.75" customHeight="1" x14ac:dyDescent="0.25">
      <c r="A86" s="81" t="s">
        <v>168</v>
      </c>
      <c r="B86" s="81"/>
      <c r="C86" s="80">
        <f>COUNT(D95:E98)+COUNT(D100:E101)+COUNT(D105:E116)+COUNT(D118:E129)+COUNT(D131:E142)+COUNT(D144:E149,D151:E153)+COUNT(D155:E165)*2+COUNT(D167:E177)+COUNT(D179:E189)</f>
        <v>95</v>
      </c>
      <c r="D86" s="80"/>
      <c r="E86" s="110">
        <f>SUM(D95:E98)+SUM(D100:E101)+SUM(D105:E116)+SUM(D118:E129)+SUM(D131:E142)+SUM(D144:E149,D151:E153)+SUM(D155:E165)*2+SUM(D167:E177)+SUM(D179:E189)</f>
        <v>38084.222498399999</v>
      </c>
      <c r="F86" s="111"/>
      <c r="G86" s="112"/>
      <c r="H86" s="110">
        <f>SUM(G95:G98)+SUM(G100:G101)+SUM(G105:G116)+SUM(G118:G129)+SUM(G131:G142)+SUM(G144:G149,G151:G153)+SUM(G155:G165)*2+SUM(G167:G177)+SUM(G179:G189)</f>
        <v>57126.333747599987</v>
      </c>
      <c r="I86" s="111"/>
      <c r="J86" s="112"/>
      <c r="L86" s="73">
        <f>95+15</f>
        <v>110</v>
      </c>
      <c r="R86"/>
      <c r="S86" s="74"/>
      <c r="T86"/>
      <c r="U86" s="74"/>
      <c r="V86" s="74"/>
    </row>
    <row r="87" spans="1:22" s="73" customFormat="1" ht="15.75" hidden="1" customHeight="1" x14ac:dyDescent="0.25">
      <c r="A87" s="79" t="s">
        <v>92</v>
      </c>
      <c r="B87" s="79"/>
      <c r="C87" s="80"/>
      <c r="D87" s="80"/>
      <c r="E87" s="107"/>
      <c r="F87" s="108"/>
      <c r="G87" s="109"/>
      <c r="H87" s="286"/>
      <c r="I87" s="287"/>
      <c r="J87" s="288"/>
      <c r="R87"/>
      <c r="S87" s="74"/>
      <c r="T87"/>
      <c r="U87" s="74"/>
      <c r="V87" s="74"/>
    </row>
    <row r="88" spans="1:22" s="1" customFormat="1" ht="18.75" x14ac:dyDescent="0.25">
      <c r="A88" s="222" t="s">
        <v>108</v>
      </c>
      <c r="B88" s="222"/>
      <c r="C88" s="222"/>
      <c r="D88" s="222"/>
      <c r="E88" s="222"/>
      <c r="F88" s="222"/>
      <c r="G88" s="222"/>
      <c r="H88" s="222"/>
      <c r="I88" s="222"/>
      <c r="J88" s="222"/>
    </row>
    <row r="89" spans="1:22" x14ac:dyDescent="0.25">
      <c r="A89" s="223" t="s">
        <v>46</v>
      </c>
      <c r="B89" s="223"/>
      <c r="C89" s="223"/>
      <c r="D89" s="223"/>
      <c r="E89" s="223"/>
      <c r="F89" s="223"/>
      <c r="G89" s="223"/>
      <c r="H89" s="223"/>
      <c r="I89" s="223"/>
      <c r="J89" s="223"/>
    </row>
    <row r="90" spans="1:22" ht="48.75" customHeight="1" x14ac:dyDescent="0.25">
      <c r="A90" s="123" t="s">
        <v>32</v>
      </c>
      <c r="B90" s="123"/>
      <c r="C90" s="7" t="s">
        <v>29</v>
      </c>
      <c r="D90" s="123" t="s">
        <v>172</v>
      </c>
      <c r="E90" s="123"/>
      <c r="F90" s="21" t="s">
        <v>30</v>
      </c>
      <c r="G90" s="7" t="s">
        <v>169</v>
      </c>
      <c r="H90" s="7" t="s">
        <v>31</v>
      </c>
      <c r="I90" s="123" t="s">
        <v>109</v>
      </c>
      <c r="J90" s="123"/>
      <c r="K90">
        <f>10.764</f>
        <v>10.763999999999999</v>
      </c>
    </row>
    <row r="91" spans="1:22" ht="15.75" x14ac:dyDescent="0.25">
      <c r="A91" s="113" t="s">
        <v>145</v>
      </c>
      <c r="B91" s="113"/>
      <c r="C91" s="113"/>
      <c r="D91" s="113"/>
      <c r="E91" s="113"/>
      <c r="F91" s="113"/>
      <c r="G91" s="113"/>
      <c r="H91" s="113"/>
      <c r="I91" s="113"/>
      <c r="J91" s="113"/>
    </row>
    <row r="92" spans="1:22" ht="15.75" x14ac:dyDescent="0.25">
      <c r="A92" s="277" t="s">
        <v>165</v>
      </c>
      <c r="B92" s="278"/>
      <c r="C92" s="278"/>
      <c r="D92" s="278"/>
      <c r="E92" s="278"/>
      <c r="F92" s="278"/>
      <c r="G92" s="278"/>
      <c r="H92" s="278"/>
      <c r="I92" s="278"/>
      <c r="J92" s="279"/>
    </row>
    <row r="93" spans="1:22" s="29" customFormat="1" ht="15.75" x14ac:dyDescent="0.25">
      <c r="A93" s="86" t="s">
        <v>258</v>
      </c>
      <c r="B93" s="87"/>
      <c r="C93" s="87"/>
      <c r="D93" s="87"/>
      <c r="E93" s="87"/>
      <c r="F93" s="87"/>
      <c r="G93" s="87"/>
      <c r="H93" s="87"/>
      <c r="I93" s="87"/>
      <c r="J93" s="89"/>
    </row>
    <row r="94" spans="1:22" s="29" customFormat="1" ht="15.75" x14ac:dyDescent="0.25">
      <c r="A94" s="86" t="s">
        <v>229</v>
      </c>
      <c r="B94" s="87"/>
      <c r="C94" s="87"/>
      <c r="D94" s="87"/>
      <c r="E94" s="87"/>
      <c r="F94" s="87"/>
      <c r="G94" s="87"/>
      <c r="H94" s="87"/>
      <c r="I94" s="87"/>
      <c r="J94" s="89"/>
      <c r="K94" s="29">
        <f>1</f>
        <v>1</v>
      </c>
    </row>
    <row r="95" spans="1:22" s="29" customFormat="1" ht="16.5" customHeight="1" x14ac:dyDescent="0.25">
      <c r="A95" s="76" t="s">
        <v>240</v>
      </c>
      <c r="B95" s="76"/>
      <c r="C95" s="30" t="s">
        <v>168</v>
      </c>
      <c r="D95" s="83">
        <f>(6.95*6.78+6.75*1.35+5.8*1.95+2.42*1.67+1.35*0.82+5.22*2.94+3.92*0.75+2.52*1.95+1.25*1.8+1*1.8+1*1.8)*10.764</f>
        <v>1095.1584227999999</v>
      </c>
      <c r="E95" s="85"/>
      <c r="F95" s="30">
        <v>0</v>
      </c>
      <c r="G95" s="30">
        <f>D95*1.5</f>
        <v>1642.7376341999998</v>
      </c>
      <c r="H95" s="30" t="s">
        <v>178</v>
      </c>
      <c r="I95" s="92" t="s">
        <v>171</v>
      </c>
      <c r="J95" s="93"/>
    </row>
    <row r="96" spans="1:22" s="29" customFormat="1" ht="16.5" customHeight="1" x14ac:dyDescent="0.25">
      <c r="A96" s="76" t="s">
        <v>241</v>
      </c>
      <c r="B96" s="76"/>
      <c r="C96" s="30" t="s">
        <v>168</v>
      </c>
      <c r="D96" s="83">
        <f>(8.65*3.71+2.48*1.95+2.12*1.67+1.8*0.82+6.7*2.17+2.86*1.95+3.2*1.95+3.6*3.8+1*1.8+1*1.8+1*1.8)*10.764</f>
        <v>940.55724359999965</v>
      </c>
      <c r="E96" s="85"/>
      <c r="F96" s="30">
        <v>0</v>
      </c>
      <c r="G96" s="30">
        <f>D96*1.5</f>
        <v>1410.8358653999994</v>
      </c>
      <c r="H96" s="30" t="s">
        <v>178</v>
      </c>
      <c r="I96" s="94"/>
      <c r="J96" s="95"/>
    </row>
    <row r="97" spans="1:11" s="29" customFormat="1" ht="16.5" customHeight="1" x14ac:dyDescent="0.25">
      <c r="A97" s="76" t="s">
        <v>242</v>
      </c>
      <c r="B97" s="76"/>
      <c r="C97" s="30" t="s">
        <v>168</v>
      </c>
      <c r="D97" s="83">
        <f>(11.06*4.98+2.78*2.1+5.83*3.2+3.63*1.65+1.43*1.12+1.05*1.8+1*1.8)*10.764</f>
        <v>977.95137960000022</v>
      </c>
      <c r="E97" s="85"/>
      <c r="F97" s="30">
        <v>0</v>
      </c>
      <c r="G97" s="30">
        <f>D97*1.5</f>
        <v>1466.9270694000004</v>
      </c>
      <c r="H97" s="30" t="s">
        <v>178</v>
      </c>
      <c r="I97" s="94"/>
      <c r="J97" s="95"/>
    </row>
    <row r="98" spans="1:11" s="29" customFormat="1" ht="16.5" customHeight="1" x14ac:dyDescent="0.25">
      <c r="A98" s="76" t="s">
        <v>243</v>
      </c>
      <c r="B98" s="76"/>
      <c r="C98" s="30" t="s">
        <v>168</v>
      </c>
      <c r="D98" s="83">
        <f>(12.17*6.63+7.25*3.2+2.47*2.1+1.42*1.12+1*1.8+1*1.8+1*1.8)*10.764</f>
        <v>1249.318278</v>
      </c>
      <c r="E98" s="85"/>
      <c r="F98" s="30">
        <v>0</v>
      </c>
      <c r="G98" s="30">
        <f>D98*1.5</f>
        <v>1873.9774170000001</v>
      </c>
      <c r="H98" s="30" t="s">
        <v>178</v>
      </c>
      <c r="I98" s="94"/>
      <c r="J98" s="95"/>
    </row>
    <row r="99" spans="1:11" s="29" customFormat="1" ht="15.75" x14ac:dyDescent="0.25">
      <c r="A99" s="86" t="s">
        <v>244</v>
      </c>
      <c r="B99" s="87"/>
      <c r="C99" s="87"/>
      <c r="D99" s="87"/>
      <c r="E99" s="87"/>
      <c r="F99" s="87"/>
      <c r="G99" s="87"/>
      <c r="H99" s="87"/>
      <c r="I99" s="87"/>
      <c r="J99" s="89"/>
      <c r="K99" s="29">
        <f>1</f>
        <v>1</v>
      </c>
    </row>
    <row r="100" spans="1:11" s="29" customFormat="1" ht="16.5" customHeight="1" x14ac:dyDescent="0.25">
      <c r="A100" s="76" t="s">
        <v>245</v>
      </c>
      <c r="B100" s="76"/>
      <c r="C100" s="30" t="s">
        <v>168</v>
      </c>
      <c r="D100" s="83">
        <f>(7.93*6.78+7.87*3.69+6.75*1.35+6.95*1.95+1.35*0.82+2.42*1.67+1.97*1.67+2.52*1.95+3.63*1.95+1*1.8+1.25*1.8)*10.764</f>
        <v>1398.7979459999999</v>
      </c>
      <c r="E100" s="85"/>
      <c r="F100" s="30">
        <v>0</v>
      </c>
      <c r="G100" s="30">
        <f>D100*1.5</f>
        <v>2098.196919</v>
      </c>
      <c r="H100" s="30" t="s">
        <v>178</v>
      </c>
      <c r="I100" s="92" t="s">
        <v>244</v>
      </c>
      <c r="J100" s="93"/>
    </row>
    <row r="101" spans="1:11" s="29" customFormat="1" ht="16.5" customHeight="1" x14ac:dyDescent="0.25">
      <c r="A101" s="76" t="s">
        <v>246</v>
      </c>
      <c r="B101" s="76"/>
      <c r="C101" s="30" t="s">
        <v>168</v>
      </c>
      <c r="D101" s="83">
        <f>(8.5*4.53+6.7*1.35+3.35*1.95+2.86*1.95+0.9*1.8+1*1.8)*10.764</f>
        <v>678.98773799999992</v>
      </c>
      <c r="E101" s="85"/>
      <c r="F101" s="30">
        <v>0</v>
      </c>
      <c r="G101" s="30">
        <f>D101*1.5</f>
        <v>1018.4816069999999</v>
      </c>
      <c r="H101" s="30" t="s">
        <v>178</v>
      </c>
      <c r="I101" s="94"/>
      <c r="J101" s="95"/>
    </row>
    <row r="102" spans="1:11" s="29" customFormat="1" ht="16.5" customHeight="1" x14ac:dyDescent="0.25">
      <c r="A102" s="76" t="s">
        <v>247</v>
      </c>
      <c r="B102" s="76"/>
      <c r="C102" s="92" t="s">
        <v>249</v>
      </c>
      <c r="D102" s="105"/>
      <c r="E102" s="105"/>
      <c r="F102" s="105"/>
      <c r="G102" s="105"/>
      <c r="H102" s="93"/>
      <c r="I102" s="94"/>
      <c r="J102" s="95"/>
    </row>
    <row r="103" spans="1:11" s="29" customFormat="1" ht="16.5" customHeight="1" x14ac:dyDescent="0.25">
      <c r="A103" s="76" t="s">
        <v>248</v>
      </c>
      <c r="B103" s="76"/>
      <c r="C103" s="96"/>
      <c r="D103" s="106"/>
      <c r="E103" s="106"/>
      <c r="F103" s="106"/>
      <c r="G103" s="106"/>
      <c r="H103" s="97"/>
      <c r="I103" s="94"/>
      <c r="J103" s="95"/>
    </row>
    <row r="104" spans="1:11" s="29" customFormat="1" ht="15.75" x14ac:dyDescent="0.25">
      <c r="A104" s="86" t="s">
        <v>250</v>
      </c>
      <c r="B104" s="87"/>
      <c r="C104" s="87"/>
      <c r="D104" s="88"/>
      <c r="E104" s="88"/>
      <c r="F104" s="87"/>
      <c r="G104" s="87"/>
      <c r="H104" s="87"/>
      <c r="I104" s="87"/>
      <c r="J104" s="89"/>
      <c r="K104" s="29">
        <f>1</f>
        <v>1</v>
      </c>
    </row>
    <row r="105" spans="1:11" s="29" customFormat="1" ht="16.5" customHeight="1" x14ac:dyDescent="0.25">
      <c r="A105" s="76">
        <v>1</v>
      </c>
      <c r="B105" s="76"/>
      <c r="C105" s="69" t="s">
        <v>168</v>
      </c>
      <c r="D105" s="77">
        <f>(4.15*6.78+2.6*1.2+3*1.95+1*1.8)*(10.764)</f>
        <v>418.79494800000003</v>
      </c>
      <c r="E105" s="78"/>
      <c r="F105" s="69">
        <v>0</v>
      </c>
      <c r="G105" s="69">
        <f t="shared" ref="G105:G110" si="0">D105*1.5</f>
        <v>628.19242200000008</v>
      </c>
      <c r="H105" s="69" t="s">
        <v>178</v>
      </c>
      <c r="I105" s="92" t="str">
        <f>A104</f>
        <v>3rd Floor</v>
      </c>
      <c r="J105" s="93"/>
    </row>
    <row r="106" spans="1:11" s="29" customFormat="1" ht="16.5" customHeight="1" x14ac:dyDescent="0.25">
      <c r="A106" s="76">
        <v>2</v>
      </c>
      <c r="B106" s="76"/>
      <c r="C106" s="69" t="s">
        <v>168</v>
      </c>
      <c r="D106" s="77">
        <f>(3.8*5.43+2.65*1.95+1*1.8)*(10.764)</f>
        <v>297.10254599999996</v>
      </c>
      <c r="E106" s="78"/>
      <c r="F106" s="69">
        <v>0</v>
      </c>
      <c r="G106" s="69">
        <f t="shared" si="0"/>
        <v>445.65381899999994</v>
      </c>
      <c r="H106" s="69" t="s">
        <v>178</v>
      </c>
      <c r="I106" s="94"/>
      <c r="J106" s="95"/>
    </row>
    <row r="107" spans="1:11" s="29" customFormat="1" ht="16.5" customHeight="1" x14ac:dyDescent="0.25">
      <c r="A107" s="76">
        <v>3</v>
      </c>
      <c r="B107" s="76"/>
      <c r="C107" s="69" t="s">
        <v>168</v>
      </c>
      <c r="D107" s="77">
        <f>(3.92*3.69+2.27*1.67+2.52*1.95+1.25*1.8)*(10.764)</f>
        <v>273.61765079999998</v>
      </c>
      <c r="E107" s="78"/>
      <c r="F107" s="69">
        <v>0</v>
      </c>
      <c r="G107" s="69">
        <f t="shared" si="0"/>
        <v>410.42647619999997</v>
      </c>
      <c r="H107" s="69" t="s">
        <v>178</v>
      </c>
      <c r="I107" s="94"/>
      <c r="J107" s="95"/>
    </row>
    <row r="108" spans="1:11" s="29" customFormat="1" ht="16.5" customHeight="1" x14ac:dyDescent="0.25">
      <c r="A108" s="76">
        <v>4</v>
      </c>
      <c r="B108" s="76"/>
      <c r="C108" s="69" t="s">
        <v>168</v>
      </c>
      <c r="D108" s="77">
        <f>(3.63*3.69+1.97*1.67+2.48*1.95+1*1.8)*(10.764)</f>
        <v>251.02293840000002</v>
      </c>
      <c r="E108" s="78"/>
      <c r="F108" s="69">
        <v>0</v>
      </c>
      <c r="G108" s="69">
        <f t="shared" si="0"/>
        <v>376.53440760000001</v>
      </c>
      <c r="H108" s="69" t="s">
        <v>178</v>
      </c>
      <c r="I108" s="94"/>
      <c r="J108" s="95"/>
    </row>
    <row r="109" spans="1:11" s="29" customFormat="1" ht="16.5" customHeight="1" x14ac:dyDescent="0.25">
      <c r="A109" s="76">
        <v>5</v>
      </c>
      <c r="B109" s="76"/>
      <c r="C109" s="69" t="s">
        <v>168</v>
      </c>
      <c r="D109" s="77">
        <f>(4.35*4.53+3.2*1.95+1*1.8)*(10.764)</f>
        <v>298.65256200000005</v>
      </c>
      <c r="E109" s="78"/>
      <c r="F109" s="69">
        <v>0</v>
      </c>
      <c r="G109" s="69">
        <f t="shared" si="0"/>
        <v>447.9788430000001</v>
      </c>
      <c r="H109" s="69" t="s">
        <v>178</v>
      </c>
      <c r="I109" s="94"/>
      <c r="J109" s="95"/>
    </row>
    <row r="110" spans="1:11" s="29" customFormat="1" ht="16.5" customHeight="1" x14ac:dyDescent="0.25">
      <c r="A110" s="76">
        <v>6</v>
      </c>
      <c r="B110" s="76"/>
      <c r="C110" s="69" t="s">
        <v>168</v>
      </c>
      <c r="D110" s="77">
        <f>(4*5.88+2.7*1.2+2.86*1.95+1*1.8)*(10.764)</f>
        <v>367.45066799999989</v>
      </c>
      <c r="E110" s="78"/>
      <c r="F110" s="69">
        <v>0</v>
      </c>
      <c r="G110" s="69">
        <f t="shared" si="0"/>
        <v>551.17600199999981</v>
      </c>
      <c r="H110" s="69" t="s">
        <v>178</v>
      </c>
      <c r="I110" s="94"/>
      <c r="J110" s="95"/>
    </row>
    <row r="111" spans="1:11" s="29" customFormat="1" ht="16.5" customHeight="1" x14ac:dyDescent="0.25">
      <c r="A111" s="76">
        <v>7</v>
      </c>
      <c r="B111" s="76"/>
      <c r="C111" s="30" t="s">
        <v>168</v>
      </c>
      <c r="D111" s="77">
        <f>(4.13*6.23+2.57*1.2+2.98*1.95+1*1.8)*(10.764)</f>
        <v>392.07762359999992</v>
      </c>
      <c r="E111" s="78"/>
      <c r="F111" s="30">
        <v>0</v>
      </c>
      <c r="G111" s="30">
        <f t="shared" ref="G111:G116" si="1">D111*1.5</f>
        <v>588.11643539999989</v>
      </c>
      <c r="H111" s="30" t="s">
        <v>178</v>
      </c>
      <c r="I111" s="94"/>
      <c r="J111" s="95"/>
    </row>
    <row r="112" spans="1:11" s="29" customFormat="1" ht="16.5" customHeight="1" x14ac:dyDescent="0.25">
      <c r="A112" s="76">
        <v>8</v>
      </c>
      <c r="B112" s="76"/>
      <c r="C112" s="30" t="s">
        <v>168</v>
      </c>
      <c r="D112" s="77">
        <f>(4.22*3.63+2.77*3.2+1*1.8)*(10.764)</f>
        <v>279.6767064</v>
      </c>
      <c r="E112" s="78"/>
      <c r="F112" s="30">
        <v>0</v>
      </c>
      <c r="G112" s="30">
        <f t="shared" si="1"/>
        <v>419.51505959999997</v>
      </c>
      <c r="H112" s="30" t="s">
        <v>178</v>
      </c>
      <c r="I112" s="94"/>
      <c r="J112" s="95"/>
    </row>
    <row r="113" spans="1:11" s="29" customFormat="1" ht="16.5" customHeight="1" x14ac:dyDescent="0.25">
      <c r="A113" s="76">
        <v>9</v>
      </c>
      <c r="B113" s="76"/>
      <c r="C113" s="30" t="s">
        <v>168</v>
      </c>
      <c r="D113" s="77">
        <f>(3.63*6.63+1.43*1.12+2.78*2.1+1.05*1.8)*(10.764)</f>
        <v>359.47992600000003</v>
      </c>
      <c r="E113" s="78"/>
      <c r="F113" s="30">
        <v>0</v>
      </c>
      <c r="G113" s="30">
        <f t="shared" si="1"/>
        <v>539.21988900000008</v>
      </c>
      <c r="H113" s="30" t="s">
        <v>178</v>
      </c>
      <c r="I113" s="94"/>
      <c r="J113" s="95"/>
    </row>
    <row r="114" spans="1:11" s="29" customFormat="1" ht="16.5" customHeight="1" x14ac:dyDescent="0.25">
      <c r="A114" s="76">
        <v>10</v>
      </c>
      <c r="B114" s="76"/>
      <c r="C114" s="30" t="s">
        <v>168</v>
      </c>
      <c r="D114" s="77">
        <f>(3.62*6.63+1.42*1.12+2.47*2.1+1*1.8)*(10.764)</f>
        <v>350.66959199999991</v>
      </c>
      <c r="E114" s="78"/>
      <c r="F114" s="30">
        <v>0</v>
      </c>
      <c r="G114" s="30">
        <f t="shared" si="1"/>
        <v>526.00438799999984</v>
      </c>
      <c r="H114" s="30" t="s">
        <v>178</v>
      </c>
      <c r="I114" s="94"/>
      <c r="J114" s="95"/>
    </row>
    <row r="115" spans="1:11" s="29" customFormat="1" ht="16.5" customHeight="1" x14ac:dyDescent="0.25">
      <c r="A115" s="76">
        <v>11</v>
      </c>
      <c r="B115" s="76"/>
      <c r="C115" s="30" t="s">
        <v>168</v>
      </c>
      <c r="D115" s="77">
        <f>(4.1*5.28+2.95*3.2+1*1.8)*(10.764)</f>
        <v>354.00643199999996</v>
      </c>
      <c r="E115" s="78"/>
      <c r="F115" s="30">
        <v>0</v>
      </c>
      <c r="G115" s="30">
        <f t="shared" si="1"/>
        <v>531.00964799999997</v>
      </c>
      <c r="H115" s="30" t="s">
        <v>178</v>
      </c>
      <c r="I115" s="94"/>
      <c r="J115" s="95"/>
    </row>
    <row r="116" spans="1:11" s="29" customFormat="1" ht="16.5" customHeight="1" x14ac:dyDescent="0.25">
      <c r="A116" s="76">
        <v>12</v>
      </c>
      <c r="B116" s="76"/>
      <c r="C116" s="30" t="s">
        <v>168</v>
      </c>
      <c r="D116" s="77">
        <f>(4.15*7.88+3*1.95+2.6*1.2+1*1.8)*(10.764)</f>
        <v>467.93260799999996</v>
      </c>
      <c r="E116" s="78"/>
      <c r="F116" s="30">
        <v>0</v>
      </c>
      <c r="G116" s="30">
        <f t="shared" si="1"/>
        <v>701.89891199999988</v>
      </c>
      <c r="H116" s="30" t="s">
        <v>178</v>
      </c>
      <c r="I116" s="96"/>
      <c r="J116" s="97"/>
    </row>
    <row r="117" spans="1:11" s="29" customFormat="1" ht="15.75" x14ac:dyDescent="0.25">
      <c r="A117" s="86" t="s">
        <v>251</v>
      </c>
      <c r="B117" s="87"/>
      <c r="C117" s="87"/>
      <c r="D117" s="88"/>
      <c r="E117" s="88"/>
      <c r="F117" s="87"/>
      <c r="G117" s="87"/>
      <c r="H117" s="87"/>
      <c r="I117" s="87"/>
      <c r="J117" s="89"/>
      <c r="K117" s="29">
        <f>1</f>
        <v>1</v>
      </c>
    </row>
    <row r="118" spans="1:11" s="29" customFormat="1" ht="16.5" customHeight="1" x14ac:dyDescent="0.25">
      <c r="A118" s="76">
        <v>1</v>
      </c>
      <c r="B118" s="76"/>
      <c r="C118" s="69" t="s">
        <v>168</v>
      </c>
      <c r="D118" s="77">
        <f>(4.15*6.78+2.6*1.2+3*1.95+1*1.8)*(10.764)</f>
        <v>418.79494800000003</v>
      </c>
      <c r="E118" s="78"/>
      <c r="F118" s="69">
        <v>0</v>
      </c>
      <c r="G118" s="69">
        <f t="shared" ref="G118:G129" si="2">D118*1.5</f>
        <v>628.19242200000008</v>
      </c>
      <c r="H118" s="69" t="s">
        <v>178</v>
      </c>
      <c r="I118" s="92" t="str">
        <f>A117</f>
        <v>4th Floor</v>
      </c>
      <c r="J118" s="93"/>
    </row>
    <row r="119" spans="1:11" s="29" customFormat="1" ht="16.5" customHeight="1" x14ac:dyDescent="0.25">
      <c r="A119" s="76">
        <v>2</v>
      </c>
      <c r="B119" s="76"/>
      <c r="C119" s="69" t="s">
        <v>168</v>
      </c>
      <c r="D119" s="77">
        <f>(3.8*5.43+2.65*1.95+1*1.8)*(10.764)</f>
        <v>297.10254599999996</v>
      </c>
      <c r="E119" s="78"/>
      <c r="F119" s="69">
        <v>0</v>
      </c>
      <c r="G119" s="69">
        <f t="shared" si="2"/>
        <v>445.65381899999994</v>
      </c>
      <c r="H119" s="69" t="s">
        <v>178</v>
      </c>
      <c r="I119" s="94"/>
      <c r="J119" s="95"/>
    </row>
    <row r="120" spans="1:11" s="29" customFormat="1" ht="16.5" customHeight="1" x14ac:dyDescent="0.25">
      <c r="A120" s="76">
        <v>3</v>
      </c>
      <c r="B120" s="76"/>
      <c r="C120" s="69" t="s">
        <v>168</v>
      </c>
      <c r="D120" s="77">
        <f>(3.92*3.69+2.27*1.67+2.52*1.95+1.25*1.8)*(10.764)</f>
        <v>273.61765079999998</v>
      </c>
      <c r="E120" s="78"/>
      <c r="F120" s="69">
        <v>0</v>
      </c>
      <c r="G120" s="69">
        <f t="shared" si="2"/>
        <v>410.42647619999997</v>
      </c>
      <c r="H120" s="69" t="s">
        <v>178</v>
      </c>
      <c r="I120" s="94"/>
      <c r="J120" s="95"/>
    </row>
    <row r="121" spans="1:11" s="29" customFormat="1" ht="16.5" customHeight="1" x14ac:dyDescent="0.25">
      <c r="A121" s="76">
        <v>4</v>
      </c>
      <c r="B121" s="76"/>
      <c r="C121" s="69" t="s">
        <v>168</v>
      </c>
      <c r="D121" s="77">
        <f>(3.63*3.69+1.97*1.67+2.48*1.95+1*1.8)*(10.764)</f>
        <v>251.02293840000002</v>
      </c>
      <c r="E121" s="78"/>
      <c r="F121" s="69">
        <v>0</v>
      </c>
      <c r="G121" s="69">
        <f t="shared" si="2"/>
        <v>376.53440760000001</v>
      </c>
      <c r="H121" s="69" t="s">
        <v>178</v>
      </c>
      <c r="I121" s="94"/>
      <c r="J121" s="95"/>
    </row>
    <row r="122" spans="1:11" s="29" customFormat="1" ht="16.5" customHeight="1" x14ac:dyDescent="0.25">
      <c r="A122" s="76">
        <v>5</v>
      </c>
      <c r="B122" s="76"/>
      <c r="C122" s="69" t="s">
        <v>168</v>
      </c>
      <c r="D122" s="77">
        <f>(4.35*4.53+3.2*1.95+1*1.8)*(10.764)</f>
        <v>298.65256200000005</v>
      </c>
      <c r="E122" s="78"/>
      <c r="F122" s="69">
        <v>0</v>
      </c>
      <c r="G122" s="69">
        <f t="shared" si="2"/>
        <v>447.9788430000001</v>
      </c>
      <c r="H122" s="69" t="s">
        <v>178</v>
      </c>
      <c r="I122" s="94"/>
      <c r="J122" s="95"/>
    </row>
    <row r="123" spans="1:11" s="29" customFormat="1" ht="16.5" customHeight="1" x14ac:dyDescent="0.25">
      <c r="A123" s="76">
        <v>6</v>
      </c>
      <c r="B123" s="76"/>
      <c r="C123" s="69" t="s">
        <v>168</v>
      </c>
      <c r="D123" s="77">
        <f>(4*5.88+2.7*1.2+2.86*1.95+1*1.8)*(10.764)</f>
        <v>367.45066799999989</v>
      </c>
      <c r="E123" s="78"/>
      <c r="F123" s="69">
        <v>0</v>
      </c>
      <c r="G123" s="69">
        <f t="shared" si="2"/>
        <v>551.17600199999981</v>
      </c>
      <c r="H123" s="69" t="s">
        <v>178</v>
      </c>
      <c r="I123" s="94"/>
      <c r="J123" s="95"/>
    </row>
    <row r="124" spans="1:11" s="29" customFormat="1" ht="16.5" customHeight="1" x14ac:dyDescent="0.25">
      <c r="A124" s="76">
        <v>7</v>
      </c>
      <c r="B124" s="76"/>
      <c r="C124" s="69" t="s">
        <v>168</v>
      </c>
      <c r="D124" s="77">
        <f>(4.13*6.23+2.57*1.2+2.98*1.95+1*1.8)*(10.764)</f>
        <v>392.07762359999992</v>
      </c>
      <c r="E124" s="78"/>
      <c r="F124" s="69">
        <v>0</v>
      </c>
      <c r="G124" s="69">
        <f t="shared" si="2"/>
        <v>588.11643539999989</v>
      </c>
      <c r="H124" s="69" t="s">
        <v>178</v>
      </c>
      <c r="I124" s="94"/>
      <c r="J124" s="95"/>
    </row>
    <row r="125" spans="1:11" s="29" customFormat="1" ht="16.5" customHeight="1" x14ac:dyDescent="0.25">
      <c r="A125" s="76">
        <v>8</v>
      </c>
      <c r="B125" s="76"/>
      <c r="C125" s="69" t="s">
        <v>168</v>
      </c>
      <c r="D125" s="77">
        <f>(4.22*3.63+2.77*3.2+1*1.8)*(10.764)</f>
        <v>279.6767064</v>
      </c>
      <c r="E125" s="78"/>
      <c r="F125" s="69">
        <v>0</v>
      </c>
      <c r="G125" s="69">
        <f t="shared" si="2"/>
        <v>419.51505959999997</v>
      </c>
      <c r="H125" s="69" t="s">
        <v>178</v>
      </c>
      <c r="I125" s="94"/>
      <c r="J125" s="95"/>
    </row>
    <row r="126" spans="1:11" s="29" customFormat="1" ht="16.5" customHeight="1" x14ac:dyDescent="0.25">
      <c r="A126" s="76">
        <v>9</v>
      </c>
      <c r="B126" s="76"/>
      <c r="C126" s="69" t="s">
        <v>168</v>
      </c>
      <c r="D126" s="77">
        <f>(3.63*6.63+1.43*1.12+2.78*2.1+1.05*1.8)*(10.764)</f>
        <v>359.47992600000003</v>
      </c>
      <c r="E126" s="78"/>
      <c r="F126" s="69">
        <v>0</v>
      </c>
      <c r="G126" s="69">
        <f t="shared" si="2"/>
        <v>539.21988900000008</v>
      </c>
      <c r="H126" s="69" t="s">
        <v>178</v>
      </c>
      <c r="I126" s="94"/>
      <c r="J126" s="95"/>
    </row>
    <row r="127" spans="1:11" s="29" customFormat="1" ht="16.5" customHeight="1" x14ac:dyDescent="0.25">
      <c r="A127" s="76">
        <v>10</v>
      </c>
      <c r="B127" s="76"/>
      <c r="C127" s="69" t="s">
        <v>168</v>
      </c>
      <c r="D127" s="77">
        <f>(3.62*6.63+1.42*1.12+2.47*2.1+1*1.8)*(10.764)</f>
        <v>350.66959199999991</v>
      </c>
      <c r="E127" s="78"/>
      <c r="F127" s="69">
        <v>0</v>
      </c>
      <c r="G127" s="69">
        <f t="shared" si="2"/>
        <v>526.00438799999984</v>
      </c>
      <c r="H127" s="69" t="s">
        <v>178</v>
      </c>
      <c r="I127" s="94"/>
      <c r="J127" s="95"/>
    </row>
    <row r="128" spans="1:11" s="29" customFormat="1" ht="16.5" customHeight="1" x14ac:dyDescent="0.25">
      <c r="A128" s="76">
        <v>11</v>
      </c>
      <c r="B128" s="76"/>
      <c r="C128" s="69" t="s">
        <v>168</v>
      </c>
      <c r="D128" s="77">
        <f>(4.1*5.28+2.95*3.2+1*1.8)*(10.764)</f>
        <v>354.00643199999996</v>
      </c>
      <c r="E128" s="78"/>
      <c r="F128" s="69">
        <v>0</v>
      </c>
      <c r="G128" s="69">
        <f t="shared" si="2"/>
        <v>531.00964799999997</v>
      </c>
      <c r="H128" s="69" t="s">
        <v>178</v>
      </c>
      <c r="I128" s="94"/>
      <c r="J128" s="95"/>
    </row>
    <row r="129" spans="1:11" s="29" customFormat="1" ht="16.5" customHeight="1" x14ac:dyDescent="0.25">
      <c r="A129" s="76">
        <v>12</v>
      </c>
      <c r="B129" s="76"/>
      <c r="C129" s="69" t="s">
        <v>168</v>
      </c>
      <c r="D129" s="77">
        <f>(4.15*7.88+3*1.95+2.6*1.2+1*1.8)*(10.764)</f>
        <v>467.93260799999996</v>
      </c>
      <c r="E129" s="78"/>
      <c r="F129" s="69">
        <v>0</v>
      </c>
      <c r="G129" s="69">
        <f t="shared" si="2"/>
        <v>701.89891199999988</v>
      </c>
      <c r="H129" s="69" t="s">
        <v>178</v>
      </c>
      <c r="I129" s="96"/>
      <c r="J129" s="97"/>
    </row>
    <row r="130" spans="1:11" s="29" customFormat="1" ht="15.75" x14ac:dyDescent="0.25">
      <c r="A130" s="86" t="s">
        <v>252</v>
      </c>
      <c r="B130" s="87"/>
      <c r="C130" s="87"/>
      <c r="D130" s="88"/>
      <c r="E130" s="88"/>
      <c r="F130" s="87"/>
      <c r="G130" s="87"/>
      <c r="H130" s="87"/>
      <c r="I130" s="87"/>
      <c r="J130" s="89"/>
      <c r="K130" s="29">
        <f>1</f>
        <v>1</v>
      </c>
    </row>
    <row r="131" spans="1:11" s="29" customFormat="1" ht="16.5" customHeight="1" x14ac:dyDescent="0.25">
      <c r="A131" s="76">
        <v>1</v>
      </c>
      <c r="B131" s="76"/>
      <c r="C131" s="69" t="s">
        <v>168</v>
      </c>
      <c r="D131" s="77">
        <f>(4.15*6.78+2.6*1.2+3*1.95+1*1.8)*(10.764)</f>
        <v>418.79494800000003</v>
      </c>
      <c r="E131" s="78"/>
      <c r="F131" s="69">
        <v>0</v>
      </c>
      <c r="G131" s="69">
        <f t="shared" ref="G131:G142" si="3">D131*1.5</f>
        <v>628.19242200000008</v>
      </c>
      <c r="H131" s="69" t="s">
        <v>178</v>
      </c>
      <c r="I131" s="92" t="str">
        <f>A130</f>
        <v>5th Floor</v>
      </c>
      <c r="J131" s="93"/>
    </row>
    <row r="132" spans="1:11" s="29" customFormat="1" ht="16.5" customHeight="1" x14ac:dyDescent="0.25">
      <c r="A132" s="76">
        <v>2</v>
      </c>
      <c r="B132" s="76"/>
      <c r="C132" s="69" t="s">
        <v>168</v>
      </c>
      <c r="D132" s="77">
        <f>(3.8*5.43+2.65*1.95+1*1.8)*(10.764)</f>
        <v>297.10254599999996</v>
      </c>
      <c r="E132" s="78"/>
      <c r="F132" s="69">
        <v>0</v>
      </c>
      <c r="G132" s="69">
        <f t="shared" si="3"/>
        <v>445.65381899999994</v>
      </c>
      <c r="H132" s="69" t="s">
        <v>178</v>
      </c>
      <c r="I132" s="94"/>
      <c r="J132" s="95"/>
    </row>
    <row r="133" spans="1:11" s="29" customFormat="1" ht="16.5" customHeight="1" x14ac:dyDescent="0.25">
      <c r="A133" s="76">
        <v>3</v>
      </c>
      <c r="B133" s="76"/>
      <c r="C133" s="69" t="s">
        <v>168</v>
      </c>
      <c r="D133" s="77">
        <f>(3.92*3.69+2.27*1.67+2.52*1.95+1.25*1.8)*(10.764)</f>
        <v>273.61765079999998</v>
      </c>
      <c r="E133" s="78"/>
      <c r="F133" s="69">
        <v>0</v>
      </c>
      <c r="G133" s="69">
        <f t="shared" si="3"/>
        <v>410.42647619999997</v>
      </c>
      <c r="H133" s="69" t="s">
        <v>178</v>
      </c>
      <c r="I133" s="94"/>
      <c r="J133" s="95"/>
    </row>
    <row r="134" spans="1:11" s="29" customFormat="1" ht="16.5" customHeight="1" x14ac:dyDescent="0.25">
      <c r="A134" s="76">
        <v>4</v>
      </c>
      <c r="B134" s="76"/>
      <c r="C134" s="69" t="s">
        <v>168</v>
      </c>
      <c r="D134" s="77">
        <f>(3.63*3.69+1.97*1.67+2.48*1.95+1*1.8)*(10.764)</f>
        <v>251.02293840000002</v>
      </c>
      <c r="E134" s="78"/>
      <c r="F134" s="69">
        <v>0</v>
      </c>
      <c r="G134" s="69">
        <f t="shared" si="3"/>
        <v>376.53440760000001</v>
      </c>
      <c r="H134" s="69" t="s">
        <v>178</v>
      </c>
      <c r="I134" s="94"/>
      <c r="J134" s="95"/>
    </row>
    <row r="135" spans="1:11" s="29" customFormat="1" ht="16.5" customHeight="1" x14ac:dyDescent="0.25">
      <c r="A135" s="76">
        <v>5</v>
      </c>
      <c r="B135" s="76"/>
      <c r="C135" s="69" t="s">
        <v>168</v>
      </c>
      <c r="D135" s="77">
        <f>(4.35*4.53+3.2*1.95+1*1.8)*(10.764)</f>
        <v>298.65256200000005</v>
      </c>
      <c r="E135" s="78"/>
      <c r="F135" s="69">
        <v>0</v>
      </c>
      <c r="G135" s="69">
        <f t="shared" si="3"/>
        <v>447.9788430000001</v>
      </c>
      <c r="H135" s="69" t="s">
        <v>178</v>
      </c>
      <c r="I135" s="94"/>
      <c r="J135" s="95"/>
    </row>
    <row r="136" spans="1:11" s="29" customFormat="1" ht="16.5" customHeight="1" x14ac:dyDescent="0.25">
      <c r="A136" s="76">
        <v>6</v>
      </c>
      <c r="B136" s="76"/>
      <c r="C136" s="69" t="s">
        <v>168</v>
      </c>
      <c r="D136" s="77">
        <f>(4*5.88+2.7*1.2+2.86*1.95+1*1.8)*(10.764)</f>
        <v>367.45066799999989</v>
      </c>
      <c r="E136" s="78"/>
      <c r="F136" s="69">
        <v>0</v>
      </c>
      <c r="G136" s="69">
        <f t="shared" si="3"/>
        <v>551.17600199999981</v>
      </c>
      <c r="H136" s="69" t="s">
        <v>178</v>
      </c>
      <c r="I136" s="94"/>
      <c r="J136" s="95"/>
    </row>
    <row r="137" spans="1:11" s="29" customFormat="1" ht="16.5" customHeight="1" x14ac:dyDescent="0.25">
      <c r="A137" s="76">
        <v>7</v>
      </c>
      <c r="B137" s="76"/>
      <c r="C137" s="69" t="s">
        <v>168</v>
      </c>
      <c r="D137" s="77">
        <f>(4.13*6.23+2.57*1.2+2.98*1.95+1*1.8)*(10.764)</f>
        <v>392.07762359999992</v>
      </c>
      <c r="E137" s="78"/>
      <c r="F137" s="69">
        <v>0</v>
      </c>
      <c r="G137" s="69">
        <f t="shared" si="3"/>
        <v>588.11643539999989</v>
      </c>
      <c r="H137" s="69" t="s">
        <v>178</v>
      </c>
      <c r="I137" s="94"/>
      <c r="J137" s="95"/>
    </row>
    <row r="138" spans="1:11" s="29" customFormat="1" ht="16.5" customHeight="1" x14ac:dyDescent="0.25">
      <c r="A138" s="76">
        <v>8</v>
      </c>
      <c r="B138" s="76"/>
      <c r="C138" s="69" t="s">
        <v>168</v>
      </c>
      <c r="D138" s="77">
        <f>(4.22*3.63+2.77*3.2+1*1.8)*(10.764)</f>
        <v>279.6767064</v>
      </c>
      <c r="E138" s="78"/>
      <c r="F138" s="69">
        <v>0</v>
      </c>
      <c r="G138" s="69">
        <f t="shared" si="3"/>
        <v>419.51505959999997</v>
      </c>
      <c r="H138" s="69" t="s">
        <v>178</v>
      </c>
      <c r="I138" s="94"/>
      <c r="J138" s="95"/>
    </row>
    <row r="139" spans="1:11" s="29" customFormat="1" ht="16.5" customHeight="1" x14ac:dyDescent="0.25">
      <c r="A139" s="76">
        <v>9</v>
      </c>
      <c r="B139" s="76"/>
      <c r="C139" s="69" t="s">
        <v>168</v>
      </c>
      <c r="D139" s="77">
        <f>(3.63*6.63+1.43*1.12+2.78*2.1+1.05*1.8)*(10.764)</f>
        <v>359.47992600000003</v>
      </c>
      <c r="E139" s="78"/>
      <c r="F139" s="69">
        <v>0</v>
      </c>
      <c r="G139" s="69">
        <f t="shared" si="3"/>
        <v>539.21988900000008</v>
      </c>
      <c r="H139" s="69" t="s">
        <v>178</v>
      </c>
      <c r="I139" s="94"/>
      <c r="J139" s="95"/>
    </row>
    <row r="140" spans="1:11" s="29" customFormat="1" ht="16.5" customHeight="1" x14ac:dyDescent="0.25">
      <c r="A140" s="76">
        <v>10</v>
      </c>
      <c r="B140" s="76"/>
      <c r="C140" s="69" t="s">
        <v>168</v>
      </c>
      <c r="D140" s="77">
        <f>(3.62*6.63+1.42*1.12+2.47*2.1+1*1.8)*(10.764)</f>
        <v>350.66959199999991</v>
      </c>
      <c r="E140" s="78"/>
      <c r="F140" s="69">
        <v>0</v>
      </c>
      <c r="G140" s="69">
        <f t="shared" si="3"/>
        <v>526.00438799999984</v>
      </c>
      <c r="H140" s="69" t="s">
        <v>178</v>
      </c>
      <c r="I140" s="94"/>
      <c r="J140" s="95"/>
    </row>
    <row r="141" spans="1:11" s="29" customFormat="1" ht="16.5" customHeight="1" x14ac:dyDescent="0.25">
      <c r="A141" s="76">
        <v>11</v>
      </c>
      <c r="B141" s="76"/>
      <c r="C141" s="69" t="s">
        <v>168</v>
      </c>
      <c r="D141" s="77">
        <f>(4.1*5.28+2.95*3.2+1*1.8)*(10.764)</f>
        <v>354.00643199999996</v>
      </c>
      <c r="E141" s="78"/>
      <c r="F141" s="69">
        <v>0</v>
      </c>
      <c r="G141" s="69">
        <f t="shared" si="3"/>
        <v>531.00964799999997</v>
      </c>
      <c r="H141" s="69" t="s">
        <v>178</v>
      </c>
      <c r="I141" s="94"/>
      <c r="J141" s="95"/>
    </row>
    <row r="142" spans="1:11" s="29" customFormat="1" ht="16.5" customHeight="1" x14ac:dyDescent="0.25">
      <c r="A142" s="76">
        <v>12</v>
      </c>
      <c r="B142" s="76"/>
      <c r="C142" s="69" t="s">
        <v>168</v>
      </c>
      <c r="D142" s="77">
        <f>(4.15*7.88+3*1.95+2.6*1.2+1*1.8)*(10.764)</f>
        <v>467.93260799999996</v>
      </c>
      <c r="E142" s="78"/>
      <c r="F142" s="69">
        <v>0</v>
      </c>
      <c r="G142" s="69">
        <f t="shared" si="3"/>
        <v>701.89891199999988</v>
      </c>
      <c r="H142" s="69" t="s">
        <v>178</v>
      </c>
      <c r="I142" s="96"/>
      <c r="J142" s="97"/>
    </row>
    <row r="143" spans="1:11" s="29" customFormat="1" ht="15.75" x14ac:dyDescent="0.25">
      <c r="A143" s="86" t="s">
        <v>253</v>
      </c>
      <c r="B143" s="87"/>
      <c r="C143" s="87"/>
      <c r="D143" s="88"/>
      <c r="E143" s="88"/>
      <c r="F143" s="87"/>
      <c r="G143" s="87"/>
      <c r="H143" s="87"/>
      <c r="I143" s="87"/>
      <c r="J143" s="89"/>
      <c r="K143" s="29">
        <f>1</f>
        <v>1</v>
      </c>
    </row>
    <row r="144" spans="1:11" s="29" customFormat="1" ht="16.5" customHeight="1" x14ac:dyDescent="0.25">
      <c r="A144" s="76">
        <v>1</v>
      </c>
      <c r="B144" s="76"/>
      <c r="C144" s="69" t="s">
        <v>168</v>
      </c>
      <c r="D144" s="77">
        <f>(3.98*5.13+2.83*1.95+1*1.8)*(10.764)</f>
        <v>298.54922759999999</v>
      </c>
      <c r="E144" s="78"/>
      <c r="F144" s="69">
        <v>0</v>
      </c>
      <c r="G144" s="69">
        <f t="shared" ref="G144:G153" si="4">D144*1.5</f>
        <v>447.82384139999999</v>
      </c>
      <c r="H144" s="69" t="s">
        <v>178</v>
      </c>
      <c r="I144" s="92" t="str">
        <f>A143</f>
        <v>6th Floor For Commercial (Part Refuge Area)</v>
      </c>
      <c r="J144" s="93"/>
    </row>
    <row r="145" spans="1:11" s="29" customFormat="1" ht="16.5" customHeight="1" x14ac:dyDescent="0.25">
      <c r="A145" s="76">
        <v>2</v>
      </c>
      <c r="B145" s="76"/>
      <c r="C145" s="69" t="s">
        <v>168</v>
      </c>
      <c r="D145" s="77">
        <f>(3.98*5.13+2.83*1.95+1*1.8)*(10.764)</f>
        <v>298.54922759999999</v>
      </c>
      <c r="E145" s="78"/>
      <c r="F145" s="69">
        <v>0</v>
      </c>
      <c r="G145" s="69">
        <f t="shared" si="4"/>
        <v>447.82384139999999</v>
      </c>
      <c r="H145" s="69" t="s">
        <v>178</v>
      </c>
      <c r="I145" s="94"/>
      <c r="J145" s="95"/>
    </row>
    <row r="146" spans="1:11" s="29" customFormat="1" ht="16.5" customHeight="1" x14ac:dyDescent="0.25">
      <c r="A146" s="76">
        <v>3</v>
      </c>
      <c r="B146" s="76"/>
      <c r="C146" s="69" t="s">
        <v>168</v>
      </c>
      <c r="D146" s="77">
        <f>(3.92*5.13+2.27*1.67+2.52*1.95+1*1.8)*(10.764)</f>
        <v>329.53447800000004</v>
      </c>
      <c r="E146" s="78"/>
      <c r="F146" s="69">
        <v>0</v>
      </c>
      <c r="G146" s="69">
        <f t="shared" si="4"/>
        <v>494.30171700000005</v>
      </c>
      <c r="H146" s="69" t="s">
        <v>178</v>
      </c>
      <c r="I146" s="94"/>
      <c r="J146" s="95"/>
    </row>
    <row r="147" spans="1:11" s="29" customFormat="1" ht="16.5" customHeight="1" x14ac:dyDescent="0.25">
      <c r="A147" s="76">
        <v>4</v>
      </c>
      <c r="B147" s="76"/>
      <c r="C147" s="69" t="s">
        <v>168</v>
      </c>
      <c r="D147" s="77">
        <f>(3.63*3.69+2.27*1.67+2.48*1.95+1*1.8)*(10.764)</f>
        <v>256.41570239999999</v>
      </c>
      <c r="E147" s="78"/>
      <c r="F147" s="69">
        <v>0</v>
      </c>
      <c r="G147" s="69">
        <f t="shared" si="4"/>
        <v>384.62355359999998</v>
      </c>
      <c r="H147" s="69" t="s">
        <v>178</v>
      </c>
      <c r="I147" s="94"/>
      <c r="J147" s="95"/>
    </row>
    <row r="148" spans="1:11" s="29" customFormat="1" ht="16.5" customHeight="1" x14ac:dyDescent="0.25">
      <c r="A148" s="76">
        <v>5</v>
      </c>
      <c r="B148" s="76"/>
      <c r="C148" s="69" t="s">
        <v>168</v>
      </c>
      <c r="D148" s="77">
        <f>(4.35*4.53+3.2*1.95+1*1.8)*(10.764)</f>
        <v>298.65256200000005</v>
      </c>
      <c r="E148" s="78"/>
      <c r="F148" s="69">
        <v>0</v>
      </c>
      <c r="G148" s="69">
        <f t="shared" si="4"/>
        <v>447.9788430000001</v>
      </c>
      <c r="H148" s="69" t="s">
        <v>178</v>
      </c>
      <c r="I148" s="94"/>
      <c r="J148" s="95"/>
    </row>
    <row r="149" spans="1:11" s="29" customFormat="1" ht="16.5" customHeight="1" x14ac:dyDescent="0.25">
      <c r="A149" s="76">
        <v>6</v>
      </c>
      <c r="B149" s="76"/>
      <c r="C149" s="69" t="s">
        <v>168</v>
      </c>
      <c r="D149" s="77">
        <f>(4.53*4.35+2.7*1.2+2.86*1.95+1*1.8)*(10.764)</f>
        <v>326.39139</v>
      </c>
      <c r="E149" s="78"/>
      <c r="F149" s="69">
        <v>0</v>
      </c>
      <c r="G149" s="69">
        <f t="shared" si="4"/>
        <v>489.587085</v>
      </c>
      <c r="H149" s="69" t="s">
        <v>178</v>
      </c>
      <c r="I149" s="94"/>
      <c r="J149" s="95"/>
    </row>
    <row r="150" spans="1:11" s="29" customFormat="1" ht="16.5" customHeight="1" x14ac:dyDescent="0.25">
      <c r="A150" s="76" t="s">
        <v>247</v>
      </c>
      <c r="B150" s="76"/>
      <c r="C150" s="83" t="s">
        <v>254</v>
      </c>
      <c r="D150" s="84"/>
      <c r="E150" s="84"/>
      <c r="F150" s="84"/>
      <c r="G150" s="84"/>
      <c r="H150" s="85"/>
      <c r="I150" s="94"/>
      <c r="J150" s="95"/>
    </row>
    <row r="151" spans="1:11" s="29" customFormat="1" ht="16.5" customHeight="1" x14ac:dyDescent="0.25">
      <c r="A151" s="76">
        <v>7</v>
      </c>
      <c r="B151" s="76"/>
      <c r="C151" s="69" t="s">
        <v>168</v>
      </c>
      <c r="D151" s="77">
        <f>(5.2*6.63+3*1.12+5.4*1.95+1*1.8+1*1.8)*(10.764)</f>
        <v>559.36202399999991</v>
      </c>
      <c r="E151" s="78"/>
      <c r="F151" s="69">
        <v>0</v>
      </c>
      <c r="G151" s="69">
        <f t="shared" si="4"/>
        <v>839.0430359999998</v>
      </c>
      <c r="H151" s="69" t="s">
        <v>178</v>
      </c>
      <c r="I151" s="94"/>
      <c r="J151" s="95"/>
    </row>
    <row r="152" spans="1:11" s="29" customFormat="1" ht="16.5" customHeight="1" x14ac:dyDescent="0.25">
      <c r="A152" s="76">
        <v>8</v>
      </c>
      <c r="B152" s="76"/>
      <c r="C152" s="69" t="s">
        <v>168</v>
      </c>
      <c r="D152" s="77">
        <f>(4.1*5.28+2.95*3.2+1*1.8)*(10.764)</f>
        <v>354.00643199999996</v>
      </c>
      <c r="E152" s="78"/>
      <c r="F152" s="69">
        <v>0</v>
      </c>
      <c r="G152" s="69">
        <f t="shared" si="4"/>
        <v>531.00964799999997</v>
      </c>
      <c r="H152" s="69" t="s">
        <v>178</v>
      </c>
      <c r="I152" s="94"/>
      <c r="J152" s="95"/>
    </row>
    <row r="153" spans="1:11" s="29" customFormat="1" ht="16.5" customHeight="1" x14ac:dyDescent="0.25">
      <c r="A153" s="76">
        <v>9</v>
      </c>
      <c r="B153" s="76"/>
      <c r="C153" s="69" t="s">
        <v>168</v>
      </c>
      <c r="D153" s="77">
        <f>(4.15*7.88+3*1.95+2.6*1.2+1*1.8)*(10.764)</f>
        <v>467.93260799999996</v>
      </c>
      <c r="E153" s="78"/>
      <c r="F153" s="69">
        <v>0</v>
      </c>
      <c r="G153" s="69">
        <f t="shared" si="4"/>
        <v>701.89891199999988</v>
      </c>
      <c r="H153" s="69" t="s">
        <v>178</v>
      </c>
      <c r="I153" s="96"/>
      <c r="J153" s="97"/>
    </row>
    <row r="154" spans="1:11" s="29" customFormat="1" ht="15.75" x14ac:dyDescent="0.25">
      <c r="A154" s="86" t="s">
        <v>255</v>
      </c>
      <c r="B154" s="87"/>
      <c r="C154" s="87"/>
      <c r="D154" s="88"/>
      <c r="E154" s="88"/>
      <c r="F154" s="87"/>
      <c r="G154" s="87"/>
      <c r="H154" s="87"/>
      <c r="I154" s="87"/>
      <c r="J154" s="89"/>
      <c r="K154" s="29">
        <f>2</f>
        <v>2</v>
      </c>
    </row>
    <row r="155" spans="1:11" s="29" customFormat="1" ht="16.5" customHeight="1" x14ac:dyDescent="0.25">
      <c r="A155" s="76">
        <v>1</v>
      </c>
      <c r="B155" s="76"/>
      <c r="C155" s="69" t="s">
        <v>168</v>
      </c>
      <c r="D155" s="77">
        <f>(3.98*5.13+2.83*1.95+1*1.8)*(10.764)</f>
        <v>298.54922759999999</v>
      </c>
      <c r="E155" s="78"/>
      <c r="F155" s="69">
        <v>0</v>
      </c>
      <c r="G155" s="69">
        <f t="shared" ref="G155:G165" si="5">D155*1.5</f>
        <v>447.82384139999999</v>
      </c>
      <c r="H155" s="69" t="s">
        <v>178</v>
      </c>
      <c r="I155" s="92" t="str">
        <f>A154</f>
        <v>7th &amp; 8th Floor</v>
      </c>
      <c r="J155" s="93"/>
    </row>
    <row r="156" spans="1:11" s="29" customFormat="1" ht="16.5" customHeight="1" x14ac:dyDescent="0.25">
      <c r="A156" s="76">
        <v>2</v>
      </c>
      <c r="B156" s="76"/>
      <c r="C156" s="69" t="s">
        <v>168</v>
      </c>
      <c r="D156" s="77">
        <f>(3.98*5.13+2.83*1.95+1*1.8)*(10.764)</f>
        <v>298.54922759999999</v>
      </c>
      <c r="E156" s="78"/>
      <c r="F156" s="69">
        <v>0</v>
      </c>
      <c r="G156" s="69">
        <f t="shared" si="5"/>
        <v>447.82384139999999</v>
      </c>
      <c r="H156" s="69" t="s">
        <v>178</v>
      </c>
      <c r="I156" s="94"/>
      <c r="J156" s="95"/>
    </row>
    <row r="157" spans="1:11" s="29" customFormat="1" ht="16.5" customHeight="1" x14ac:dyDescent="0.25">
      <c r="A157" s="76">
        <v>3</v>
      </c>
      <c r="B157" s="76"/>
      <c r="C157" s="69" t="s">
        <v>168</v>
      </c>
      <c r="D157" s="77">
        <f>(3.98*5.13+2.27*1.67+2.52*1.95+1*1.8)*(10.764)</f>
        <v>332.84763720000001</v>
      </c>
      <c r="E157" s="78"/>
      <c r="F157" s="69">
        <v>0</v>
      </c>
      <c r="G157" s="69">
        <f t="shared" si="5"/>
        <v>499.27145580000001</v>
      </c>
      <c r="H157" s="69" t="s">
        <v>178</v>
      </c>
      <c r="I157" s="94"/>
      <c r="J157" s="95"/>
    </row>
    <row r="158" spans="1:11" s="29" customFormat="1" ht="16.5" customHeight="1" x14ac:dyDescent="0.25">
      <c r="A158" s="76">
        <v>4</v>
      </c>
      <c r="B158" s="76"/>
      <c r="C158" s="69" t="s">
        <v>168</v>
      </c>
      <c r="D158" s="77">
        <f>(3.63*3.69+2.27*1.67+2.48*1.95+1*1.8)*(10.764)</f>
        <v>256.41570239999999</v>
      </c>
      <c r="E158" s="78"/>
      <c r="F158" s="69">
        <v>0</v>
      </c>
      <c r="G158" s="69">
        <f t="shared" si="5"/>
        <v>384.62355359999998</v>
      </c>
      <c r="H158" s="69" t="s">
        <v>178</v>
      </c>
      <c r="I158" s="94"/>
      <c r="J158" s="95"/>
    </row>
    <row r="159" spans="1:11" s="29" customFormat="1" ht="16.5" customHeight="1" x14ac:dyDescent="0.25">
      <c r="A159" s="76">
        <v>5</v>
      </c>
      <c r="B159" s="76"/>
      <c r="C159" s="69" t="s">
        <v>168</v>
      </c>
      <c r="D159" s="77">
        <f>(4.35*4.53+3.2*1.95+1*1.8)*(10.764)</f>
        <v>298.65256200000005</v>
      </c>
      <c r="E159" s="78"/>
      <c r="F159" s="69">
        <v>0</v>
      </c>
      <c r="G159" s="69">
        <f t="shared" si="5"/>
        <v>447.9788430000001</v>
      </c>
      <c r="H159" s="69" t="s">
        <v>178</v>
      </c>
      <c r="I159" s="94"/>
      <c r="J159" s="95"/>
    </row>
    <row r="160" spans="1:11" s="29" customFormat="1" ht="16.5" customHeight="1" x14ac:dyDescent="0.25">
      <c r="A160" s="76">
        <v>6</v>
      </c>
      <c r="B160" s="76"/>
      <c r="C160" s="69" t="s">
        <v>168</v>
      </c>
      <c r="D160" s="77">
        <f>(4.53*4.35+2.7*1.2+2.86*1.95+1*1.8)*(10.764)</f>
        <v>326.39139</v>
      </c>
      <c r="E160" s="78"/>
      <c r="F160" s="69">
        <v>0</v>
      </c>
      <c r="G160" s="69">
        <f t="shared" si="5"/>
        <v>489.587085</v>
      </c>
      <c r="H160" s="69" t="s">
        <v>178</v>
      </c>
      <c r="I160" s="94"/>
      <c r="J160" s="95"/>
    </row>
    <row r="161" spans="1:11" s="29" customFormat="1" ht="16.5" customHeight="1" x14ac:dyDescent="0.25">
      <c r="A161" s="76" t="s">
        <v>259</v>
      </c>
      <c r="B161" s="76"/>
      <c r="C161" s="69" t="s">
        <v>168</v>
      </c>
      <c r="D161" s="77">
        <f>(5.83*8.18+1.45*4.98+1.23*6.23+1.08*1.8+1*1.8)*(10.764)</f>
        <v>713.83941719999984</v>
      </c>
      <c r="E161" s="78"/>
      <c r="F161" s="69">
        <v>0</v>
      </c>
      <c r="G161" s="69">
        <f t="shared" si="5"/>
        <v>1070.7591257999998</v>
      </c>
      <c r="H161" s="69" t="s">
        <v>178</v>
      </c>
      <c r="I161" s="94"/>
      <c r="J161" s="95"/>
    </row>
    <row r="162" spans="1:11" s="72" customFormat="1" ht="16.5" customHeight="1" x14ac:dyDescent="0.25">
      <c r="A162" s="76">
        <v>9</v>
      </c>
      <c r="B162" s="76"/>
      <c r="C162" s="71" t="s">
        <v>168</v>
      </c>
      <c r="D162" s="90">
        <f>(3.62*6.63+2.78*2.1+1.43*1.12+1*1.8)*(10.764)</f>
        <v>357.79751279999999</v>
      </c>
      <c r="E162" s="91"/>
      <c r="F162" s="71">
        <v>0</v>
      </c>
      <c r="G162" s="71">
        <f t="shared" si="5"/>
        <v>536.69626919999996</v>
      </c>
      <c r="H162" s="71" t="s">
        <v>178</v>
      </c>
      <c r="I162" s="94"/>
      <c r="J162" s="95"/>
    </row>
    <row r="163" spans="1:11" s="29" customFormat="1" ht="16.5" customHeight="1" x14ac:dyDescent="0.25">
      <c r="A163" s="76">
        <v>10</v>
      </c>
      <c r="B163" s="76"/>
      <c r="C163" s="69" t="s">
        <v>168</v>
      </c>
      <c r="D163" s="77">
        <f>(3.62*6.63+2.47*2.1+1.42*1.12+1*1.8)*(10.764)</f>
        <v>350.66959199999991</v>
      </c>
      <c r="E163" s="78"/>
      <c r="F163" s="69">
        <v>0</v>
      </c>
      <c r="G163" s="69">
        <f t="shared" si="5"/>
        <v>526.00438799999984</v>
      </c>
      <c r="H163" s="69" t="s">
        <v>178</v>
      </c>
      <c r="I163" s="94"/>
      <c r="J163" s="95"/>
    </row>
    <row r="164" spans="1:11" s="29" customFormat="1" ht="16.5" customHeight="1" x14ac:dyDescent="0.25">
      <c r="A164" s="76">
        <v>11</v>
      </c>
      <c r="B164" s="76"/>
      <c r="C164" s="69" t="s">
        <v>168</v>
      </c>
      <c r="D164" s="77">
        <f>(4.1*5.28+2.95*3.2+1*1.8)*(10.764)</f>
        <v>354.00643199999996</v>
      </c>
      <c r="E164" s="78"/>
      <c r="F164" s="69">
        <v>0</v>
      </c>
      <c r="G164" s="69">
        <f t="shared" si="5"/>
        <v>531.00964799999997</v>
      </c>
      <c r="H164" s="69" t="s">
        <v>178</v>
      </c>
      <c r="I164" s="94"/>
      <c r="J164" s="95"/>
    </row>
    <row r="165" spans="1:11" s="29" customFormat="1" ht="16.5" customHeight="1" x14ac:dyDescent="0.25">
      <c r="A165" s="76">
        <v>12</v>
      </c>
      <c r="B165" s="76"/>
      <c r="C165" s="69" t="s">
        <v>168</v>
      </c>
      <c r="D165" s="77">
        <f>(4.15*7.88+3*1.95+2.6*1.2+1*1.8)*(10.764)</f>
        <v>467.93260799999996</v>
      </c>
      <c r="E165" s="78"/>
      <c r="F165" s="69">
        <v>0</v>
      </c>
      <c r="G165" s="69">
        <f t="shared" si="5"/>
        <v>701.89891199999988</v>
      </c>
      <c r="H165" s="69" t="s">
        <v>178</v>
      </c>
      <c r="I165" s="96"/>
      <c r="J165" s="97"/>
    </row>
    <row r="166" spans="1:11" s="29" customFormat="1" ht="15.75" x14ac:dyDescent="0.25">
      <c r="A166" s="86" t="s">
        <v>256</v>
      </c>
      <c r="B166" s="87"/>
      <c r="C166" s="87"/>
      <c r="D166" s="88"/>
      <c r="E166" s="88"/>
      <c r="F166" s="87"/>
      <c r="G166" s="87"/>
      <c r="H166" s="87"/>
      <c r="I166" s="87"/>
      <c r="J166" s="89"/>
      <c r="K166" s="29">
        <f>1</f>
        <v>1</v>
      </c>
    </row>
    <row r="167" spans="1:11" s="29" customFormat="1" ht="16.5" customHeight="1" x14ac:dyDescent="0.25">
      <c r="A167" s="76">
        <v>1</v>
      </c>
      <c r="B167" s="76"/>
      <c r="C167" s="71" t="s">
        <v>168</v>
      </c>
      <c r="D167" s="77">
        <f>(3.98*5.13+2.83*1.95+1*1.8)*(10.764)</f>
        <v>298.54922759999999</v>
      </c>
      <c r="E167" s="78"/>
      <c r="F167" s="69">
        <v>0</v>
      </c>
      <c r="G167" s="69">
        <f t="shared" ref="G167:G177" si="6">D167*1.5</f>
        <v>447.82384139999999</v>
      </c>
      <c r="H167" s="69" t="s">
        <v>178</v>
      </c>
      <c r="I167" s="92" t="str">
        <f>A166</f>
        <v>9th Floor</v>
      </c>
      <c r="J167" s="93"/>
    </row>
    <row r="168" spans="1:11" s="29" customFormat="1" ht="16.5" customHeight="1" x14ac:dyDescent="0.25">
      <c r="A168" s="76">
        <v>2</v>
      </c>
      <c r="B168" s="76"/>
      <c r="C168" s="71" t="s">
        <v>168</v>
      </c>
      <c r="D168" s="77">
        <f>(3.98*5.13+2.83*1.95+1*1.8)*(10.764)</f>
        <v>298.54922759999999</v>
      </c>
      <c r="E168" s="78"/>
      <c r="F168" s="69">
        <v>0</v>
      </c>
      <c r="G168" s="69">
        <f t="shared" si="6"/>
        <v>447.82384139999999</v>
      </c>
      <c r="H168" s="69" t="s">
        <v>178</v>
      </c>
      <c r="I168" s="94"/>
      <c r="J168" s="95"/>
    </row>
    <row r="169" spans="1:11" s="29" customFormat="1" ht="16.5" customHeight="1" x14ac:dyDescent="0.25">
      <c r="A169" s="76">
        <v>3</v>
      </c>
      <c r="B169" s="76"/>
      <c r="C169" s="71" t="s">
        <v>168</v>
      </c>
      <c r="D169" s="77">
        <f>(3.98*5.13+2.27*1.67+2.52*1.95+1*1.8)*(10.764)</f>
        <v>332.84763720000001</v>
      </c>
      <c r="E169" s="78"/>
      <c r="F169" s="69">
        <v>0</v>
      </c>
      <c r="G169" s="69">
        <f t="shared" si="6"/>
        <v>499.27145580000001</v>
      </c>
      <c r="H169" s="69" t="s">
        <v>178</v>
      </c>
      <c r="I169" s="94"/>
      <c r="J169" s="95"/>
    </row>
    <row r="170" spans="1:11" s="29" customFormat="1" ht="16.5" customHeight="1" x14ac:dyDescent="0.25">
      <c r="A170" s="76">
        <v>4</v>
      </c>
      <c r="B170" s="76"/>
      <c r="C170" s="71" t="s">
        <v>168</v>
      </c>
      <c r="D170" s="77">
        <f>(3.63*3.69+2.27*1.67+2.48*1.95+1*1.8)*(10.764)</f>
        <v>256.41570239999999</v>
      </c>
      <c r="E170" s="78"/>
      <c r="F170" s="69">
        <v>0</v>
      </c>
      <c r="G170" s="69">
        <f t="shared" si="6"/>
        <v>384.62355359999998</v>
      </c>
      <c r="H170" s="69" t="s">
        <v>178</v>
      </c>
      <c r="I170" s="94"/>
      <c r="J170" s="95"/>
    </row>
    <row r="171" spans="1:11" s="29" customFormat="1" ht="16.5" customHeight="1" x14ac:dyDescent="0.25">
      <c r="A171" s="76">
        <v>5</v>
      </c>
      <c r="B171" s="76"/>
      <c r="C171" s="71" t="s">
        <v>168</v>
      </c>
      <c r="D171" s="77">
        <f>(4.35*4.53+3.2*1.95+1*1.8)*(10.764)</f>
        <v>298.65256200000005</v>
      </c>
      <c r="E171" s="78"/>
      <c r="F171" s="69">
        <v>0</v>
      </c>
      <c r="G171" s="69">
        <f t="shared" si="6"/>
        <v>447.9788430000001</v>
      </c>
      <c r="H171" s="69" t="s">
        <v>178</v>
      </c>
      <c r="I171" s="94"/>
      <c r="J171" s="95"/>
    </row>
    <row r="172" spans="1:11" s="29" customFormat="1" ht="16.5" customHeight="1" x14ac:dyDescent="0.25">
      <c r="A172" s="76">
        <v>6</v>
      </c>
      <c r="B172" s="76"/>
      <c r="C172" s="71" t="s">
        <v>168</v>
      </c>
      <c r="D172" s="77">
        <f>(4.53*4.35+2.7*1.2+2.86*1.95+1*1.8)*(10.764)</f>
        <v>326.39139</v>
      </c>
      <c r="E172" s="78"/>
      <c r="F172" s="69">
        <v>0</v>
      </c>
      <c r="G172" s="69">
        <f t="shared" si="6"/>
        <v>489.587085</v>
      </c>
      <c r="H172" s="69" t="s">
        <v>178</v>
      </c>
      <c r="I172" s="94"/>
      <c r="J172" s="95"/>
    </row>
    <row r="173" spans="1:11" s="29" customFormat="1" ht="16.5" customHeight="1" x14ac:dyDescent="0.25">
      <c r="A173" s="76" t="s">
        <v>259</v>
      </c>
      <c r="B173" s="76"/>
      <c r="C173" s="71" t="s">
        <v>168</v>
      </c>
      <c r="D173" s="77">
        <f>(5.83*8.18+1.45*4.98+1.23*6.23+1.08*1.8+1*1.8)*(10.764)</f>
        <v>713.83941719999984</v>
      </c>
      <c r="E173" s="78"/>
      <c r="F173" s="69">
        <v>0</v>
      </c>
      <c r="G173" s="69">
        <f t="shared" si="6"/>
        <v>1070.7591257999998</v>
      </c>
      <c r="H173" s="69" t="s">
        <v>178</v>
      </c>
      <c r="I173" s="94"/>
      <c r="J173" s="95"/>
    </row>
    <row r="174" spans="1:11" s="29" customFormat="1" ht="16.5" customHeight="1" x14ac:dyDescent="0.25">
      <c r="A174" s="76">
        <v>9</v>
      </c>
      <c r="B174" s="76"/>
      <c r="C174" s="71" t="s">
        <v>168</v>
      </c>
      <c r="D174" s="90">
        <f>(3.62*6.63+2.78*2.1+1.43*1.12+1*1.8)*(10.764)</f>
        <v>357.79751279999999</v>
      </c>
      <c r="E174" s="91"/>
      <c r="F174" s="69">
        <v>0</v>
      </c>
      <c r="G174" s="69">
        <f t="shared" si="6"/>
        <v>536.69626919999996</v>
      </c>
      <c r="H174" s="69" t="s">
        <v>178</v>
      </c>
      <c r="I174" s="94"/>
      <c r="J174" s="95"/>
    </row>
    <row r="175" spans="1:11" s="29" customFormat="1" ht="16.5" customHeight="1" x14ac:dyDescent="0.25">
      <c r="A175" s="76">
        <v>10</v>
      </c>
      <c r="B175" s="76"/>
      <c r="C175" s="71" t="s">
        <v>168</v>
      </c>
      <c r="D175" s="77">
        <f>(3.62*6.63+2.47*2.1+1.42*1.12+1*1.8)*(10.764)</f>
        <v>350.66959199999991</v>
      </c>
      <c r="E175" s="78"/>
      <c r="F175" s="69">
        <v>0</v>
      </c>
      <c r="G175" s="69">
        <f t="shared" si="6"/>
        <v>526.00438799999984</v>
      </c>
      <c r="H175" s="69" t="s">
        <v>178</v>
      </c>
      <c r="I175" s="94"/>
      <c r="J175" s="95"/>
    </row>
    <row r="176" spans="1:11" s="29" customFormat="1" ht="16.5" customHeight="1" x14ac:dyDescent="0.25">
      <c r="A176" s="76">
        <v>11</v>
      </c>
      <c r="B176" s="76"/>
      <c r="C176" s="71" t="s">
        <v>168</v>
      </c>
      <c r="D176" s="77">
        <f>(4.1*5.28+2.95*3.2+1*1.8)*(10.764)</f>
        <v>354.00643199999996</v>
      </c>
      <c r="E176" s="78"/>
      <c r="F176" s="69">
        <v>0</v>
      </c>
      <c r="G176" s="69">
        <f t="shared" si="6"/>
        <v>531.00964799999997</v>
      </c>
      <c r="H176" s="69" t="s">
        <v>178</v>
      </c>
      <c r="I176" s="94"/>
      <c r="J176" s="95"/>
    </row>
    <row r="177" spans="1:19" s="29" customFormat="1" ht="16.5" customHeight="1" x14ac:dyDescent="0.25">
      <c r="A177" s="76">
        <v>12</v>
      </c>
      <c r="B177" s="76"/>
      <c r="C177" s="71" t="s">
        <v>168</v>
      </c>
      <c r="D177" s="77">
        <f>(4.15*7.88+3*1.95+2.6*1.2+1*1.8)*(10.764)</f>
        <v>467.93260799999996</v>
      </c>
      <c r="E177" s="78"/>
      <c r="F177" s="69">
        <v>0</v>
      </c>
      <c r="G177" s="69">
        <f t="shared" si="6"/>
        <v>701.89891199999988</v>
      </c>
      <c r="H177" s="69" t="s">
        <v>178</v>
      </c>
      <c r="I177" s="94"/>
      <c r="J177" s="95"/>
    </row>
    <row r="178" spans="1:19" s="29" customFormat="1" ht="15.75" x14ac:dyDescent="0.25">
      <c r="A178" s="86" t="s">
        <v>257</v>
      </c>
      <c r="B178" s="87"/>
      <c r="C178" s="87"/>
      <c r="D178" s="88"/>
      <c r="E178" s="88"/>
      <c r="F178" s="87"/>
      <c r="G178" s="87"/>
      <c r="H178" s="87"/>
      <c r="I178" s="87"/>
      <c r="J178" s="89"/>
      <c r="K178" s="29">
        <f>1</f>
        <v>1</v>
      </c>
    </row>
    <row r="179" spans="1:19" s="29" customFormat="1" ht="16.5" customHeight="1" x14ac:dyDescent="0.25">
      <c r="A179" s="76">
        <v>1</v>
      </c>
      <c r="B179" s="76"/>
      <c r="C179" s="71" t="s">
        <v>168</v>
      </c>
      <c r="D179" s="77">
        <f>(3.98*5.13+2.83*1.95+1*1.8)*(10.764)</f>
        <v>298.54922759999999</v>
      </c>
      <c r="E179" s="78"/>
      <c r="F179" s="69">
        <v>0</v>
      </c>
      <c r="G179" s="69">
        <f t="shared" ref="G179:G189" si="7">D179*1.5</f>
        <v>447.82384139999999</v>
      </c>
      <c r="H179" s="69" t="s">
        <v>178</v>
      </c>
      <c r="I179" s="92" t="str">
        <f>A178</f>
        <v>10th Floor</v>
      </c>
      <c r="J179" s="93"/>
    </row>
    <row r="180" spans="1:19" s="29" customFormat="1" ht="16.5" customHeight="1" x14ac:dyDescent="0.25">
      <c r="A180" s="76">
        <v>2</v>
      </c>
      <c r="B180" s="76"/>
      <c r="C180" s="71" t="s">
        <v>168</v>
      </c>
      <c r="D180" s="77">
        <f>(3.98*5.13+2.83*1.95+1*1.8)*(10.764)</f>
        <v>298.54922759999999</v>
      </c>
      <c r="E180" s="78"/>
      <c r="F180" s="69">
        <v>0</v>
      </c>
      <c r="G180" s="69">
        <f t="shared" si="7"/>
        <v>447.82384139999999</v>
      </c>
      <c r="H180" s="69" t="s">
        <v>178</v>
      </c>
      <c r="I180" s="94"/>
      <c r="J180" s="95"/>
    </row>
    <row r="181" spans="1:19" s="29" customFormat="1" ht="16.5" customHeight="1" x14ac:dyDescent="0.25">
      <c r="A181" s="76">
        <v>3</v>
      </c>
      <c r="B181" s="76"/>
      <c r="C181" s="71" t="s">
        <v>168</v>
      </c>
      <c r="D181" s="77">
        <f>(3.98*5.13+2.27*1.67+2.52*1.95+1*1.8)*(10.764)</f>
        <v>332.84763720000001</v>
      </c>
      <c r="E181" s="78"/>
      <c r="F181" s="69">
        <v>0</v>
      </c>
      <c r="G181" s="69">
        <f t="shared" si="7"/>
        <v>499.27145580000001</v>
      </c>
      <c r="H181" s="69" t="s">
        <v>178</v>
      </c>
      <c r="I181" s="94"/>
      <c r="J181" s="95"/>
    </row>
    <row r="182" spans="1:19" s="29" customFormat="1" ht="16.5" customHeight="1" x14ac:dyDescent="0.25">
      <c r="A182" s="76">
        <v>4</v>
      </c>
      <c r="B182" s="76"/>
      <c r="C182" s="71" t="s">
        <v>168</v>
      </c>
      <c r="D182" s="77">
        <f>(3.63*3.69+2.27*1.67+2.48*1.95+1*1.8)*(10.764)</f>
        <v>256.41570239999999</v>
      </c>
      <c r="E182" s="78"/>
      <c r="F182" s="69">
        <v>0</v>
      </c>
      <c r="G182" s="69">
        <f t="shared" si="7"/>
        <v>384.62355359999998</v>
      </c>
      <c r="H182" s="69" t="s">
        <v>178</v>
      </c>
      <c r="I182" s="94"/>
      <c r="J182" s="95"/>
    </row>
    <row r="183" spans="1:19" s="29" customFormat="1" ht="16.5" customHeight="1" x14ac:dyDescent="0.25">
      <c r="A183" s="76">
        <v>5</v>
      </c>
      <c r="B183" s="76"/>
      <c r="C183" s="71" t="s">
        <v>168</v>
      </c>
      <c r="D183" s="77">
        <f>(4.35*4.53+3.2*1.95+1*1.8)*(10.764)</f>
        <v>298.65256200000005</v>
      </c>
      <c r="E183" s="78"/>
      <c r="F183" s="69">
        <v>0</v>
      </c>
      <c r="G183" s="69">
        <f t="shared" si="7"/>
        <v>447.9788430000001</v>
      </c>
      <c r="H183" s="69" t="s">
        <v>178</v>
      </c>
      <c r="I183" s="94"/>
      <c r="J183" s="95"/>
    </row>
    <row r="184" spans="1:19" s="29" customFormat="1" ht="16.5" customHeight="1" x14ac:dyDescent="0.25">
      <c r="A184" s="76">
        <v>6</v>
      </c>
      <c r="B184" s="76"/>
      <c r="C184" s="71" t="s">
        <v>168</v>
      </c>
      <c r="D184" s="77">
        <f>(4.53*4.35+2.7*1.2+2.86*1.95+1*1.8)*(10.764)</f>
        <v>326.39139</v>
      </c>
      <c r="E184" s="78"/>
      <c r="F184" s="69">
        <v>0</v>
      </c>
      <c r="G184" s="69">
        <f t="shared" si="7"/>
        <v>489.587085</v>
      </c>
      <c r="H184" s="69" t="s">
        <v>178</v>
      </c>
      <c r="I184" s="94"/>
      <c r="J184" s="95"/>
    </row>
    <row r="185" spans="1:19" s="29" customFormat="1" ht="16.5" customHeight="1" x14ac:dyDescent="0.25">
      <c r="A185" s="76" t="s">
        <v>259</v>
      </c>
      <c r="B185" s="76"/>
      <c r="C185" s="71" t="s">
        <v>168</v>
      </c>
      <c r="D185" s="77">
        <f>(5.83*8.18+1.45*4.98+1.23*6.23+1.08*1.8+1*1.8)*(10.764)</f>
        <v>713.83941719999984</v>
      </c>
      <c r="E185" s="78"/>
      <c r="F185" s="69">
        <v>0</v>
      </c>
      <c r="G185" s="69">
        <f t="shared" si="7"/>
        <v>1070.7591257999998</v>
      </c>
      <c r="H185" s="69" t="s">
        <v>178</v>
      </c>
      <c r="I185" s="94"/>
      <c r="J185" s="95"/>
    </row>
    <row r="186" spans="1:19" s="29" customFormat="1" ht="16.5" customHeight="1" x14ac:dyDescent="0.25">
      <c r="A186" s="76">
        <v>9</v>
      </c>
      <c r="B186" s="76"/>
      <c r="C186" s="71" t="s">
        <v>168</v>
      </c>
      <c r="D186" s="90">
        <f>(3.62*6.63+2.78*2.1+1.43*1.12+1*1.8)*(10.764)</f>
        <v>357.79751279999999</v>
      </c>
      <c r="E186" s="91"/>
      <c r="F186" s="69">
        <v>0</v>
      </c>
      <c r="G186" s="69">
        <f t="shared" si="7"/>
        <v>536.69626919999996</v>
      </c>
      <c r="H186" s="69" t="s">
        <v>178</v>
      </c>
      <c r="I186" s="94"/>
      <c r="J186" s="95"/>
    </row>
    <row r="187" spans="1:19" s="29" customFormat="1" ht="16.5" customHeight="1" x14ac:dyDescent="0.25">
      <c r="A187" s="76">
        <v>10</v>
      </c>
      <c r="B187" s="76"/>
      <c r="C187" s="71" t="s">
        <v>168</v>
      </c>
      <c r="D187" s="77">
        <f>(3.62*6.63+2.47*2.1+1.42*1.12+1*1.8)*(10.764)</f>
        <v>350.66959199999991</v>
      </c>
      <c r="E187" s="78"/>
      <c r="F187" s="69">
        <v>0</v>
      </c>
      <c r="G187" s="69">
        <f t="shared" si="7"/>
        <v>526.00438799999984</v>
      </c>
      <c r="H187" s="69" t="s">
        <v>178</v>
      </c>
      <c r="I187" s="94"/>
      <c r="J187" s="95"/>
      <c r="K187" s="75"/>
      <c r="L187" s="75"/>
      <c r="M187" s="75"/>
      <c r="N187" s="75"/>
      <c r="O187" s="75"/>
      <c r="P187" s="75"/>
      <c r="Q187" s="75"/>
      <c r="R187" s="75"/>
      <c r="S187" s="75"/>
    </row>
    <row r="188" spans="1:19" s="29" customFormat="1" ht="16.5" customHeight="1" x14ac:dyDescent="0.25">
      <c r="A188" s="76">
        <v>11</v>
      </c>
      <c r="B188" s="76"/>
      <c r="C188" s="71" t="s">
        <v>168</v>
      </c>
      <c r="D188" s="77">
        <f>(4.1*5.28+2.95*3.2+1*1.8)*(10.764)</f>
        <v>354.00643199999996</v>
      </c>
      <c r="E188" s="78"/>
      <c r="F188" s="69">
        <v>0</v>
      </c>
      <c r="G188" s="69">
        <f t="shared" si="7"/>
        <v>531.00964799999997</v>
      </c>
      <c r="H188" s="69" t="s">
        <v>178</v>
      </c>
      <c r="I188" s="94"/>
      <c r="J188" s="95"/>
      <c r="K188" s="75"/>
      <c r="L188" s="75"/>
      <c r="M188" s="75"/>
      <c r="N188" s="75"/>
      <c r="O188" s="75"/>
      <c r="P188" s="75"/>
      <c r="Q188" s="75"/>
      <c r="R188" s="75"/>
      <c r="S188" s="75"/>
    </row>
    <row r="189" spans="1:19" s="29" customFormat="1" ht="16.5" customHeight="1" x14ac:dyDescent="0.25">
      <c r="A189" s="76">
        <v>12</v>
      </c>
      <c r="B189" s="76"/>
      <c r="C189" s="71" t="s">
        <v>168</v>
      </c>
      <c r="D189" s="77">
        <f>(4.15*7.88+3*1.95+2.6*1.2+1*1.8)*(10.764)</f>
        <v>467.93260799999996</v>
      </c>
      <c r="E189" s="78"/>
      <c r="F189" s="69">
        <v>0</v>
      </c>
      <c r="G189" s="69">
        <f t="shared" si="7"/>
        <v>701.89891199999988</v>
      </c>
      <c r="H189" s="69" t="s">
        <v>178</v>
      </c>
      <c r="I189" s="94"/>
      <c r="J189" s="95"/>
      <c r="K189" s="75"/>
      <c r="L189" s="75"/>
      <c r="M189" s="75"/>
      <c r="N189" s="75"/>
      <c r="O189" s="75"/>
      <c r="P189" s="75"/>
      <c r="Q189" s="75"/>
      <c r="R189" s="75"/>
      <c r="S189" s="75"/>
    </row>
    <row r="190" spans="1:19" ht="15" customHeight="1" x14ac:dyDescent="0.25">
      <c r="A190" s="230" t="s">
        <v>267</v>
      </c>
      <c r="B190" s="231"/>
      <c r="C190" s="231"/>
      <c r="D190" s="231"/>
      <c r="E190" s="231"/>
      <c r="F190" s="231"/>
      <c r="G190" s="231"/>
      <c r="H190" s="231"/>
      <c r="I190" s="231"/>
      <c r="J190" s="232"/>
    </row>
    <row r="191" spans="1:19" ht="284.25" customHeight="1" x14ac:dyDescent="0.25">
      <c r="A191" s="233"/>
      <c r="B191" s="234"/>
      <c r="C191" s="234"/>
      <c r="D191" s="234"/>
      <c r="E191" s="234"/>
      <c r="F191" s="234"/>
      <c r="G191" s="234"/>
      <c r="H191" s="234"/>
      <c r="I191" s="234"/>
      <c r="J191" s="235"/>
    </row>
    <row r="192" spans="1:19" x14ac:dyDescent="0.25">
      <c r="A192" s="227" t="s">
        <v>25</v>
      </c>
      <c r="B192" s="228"/>
      <c r="C192" s="228"/>
      <c r="D192" s="228"/>
      <c r="E192" s="228"/>
      <c r="F192" s="228"/>
      <c r="G192" s="228"/>
      <c r="H192" s="228"/>
      <c r="I192" s="228"/>
      <c r="J192" s="229"/>
    </row>
    <row r="193" spans="1:10" x14ac:dyDescent="0.25">
      <c r="A193" s="128" t="s">
        <v>33</v>
      </c>
      <c r="B193" s="129"/>
      <c r="C193" s="129"/>
      <c r="D193" s="129"/>
      <c r="E193" s="129"/>
      <c r="F193" s="129"/>
      <c r="G193" s="129"/>
      <c r="H193" s="129"/>
      <c r="I193" s="129"/>
      <c r="J193" s="130"/>
    </row>
    <row r="194" spans="1:10" x14ac:dyDescent="0.25">
      <c r="A194" s="227" t="s">
        <v>27</v>
      </c>
      <c r="B194" s="228"/>
      <c r="C194" s="228"/>
      <c r="D194" s="228"/>
      <c r="E194" s="228"/>
      <c r="F194" s="228"/>
      <c r="G194" s="228"/>
      <c r="H194" s="228"/>
      <c r="I194" s="228"/>
      <c r="J194" s="229"/>
    </row>
    <row r="195" spans="1:10" ht="16.5" customHeight="1" x14ac:dyDescent="0.25">
      <c r="A195" s="142" t="s">
        <v>38</v>
      </c>
      <c r="B195" s="146"/>
      <c r="C195" s="146"/>
      <c r="D195" s="146"/>
      <c r="E195" s="146"/>
      <c r="F195" s="146"/>
      <c r="G195" s="146"/>
      <c r="H195" s="146"/>
      <c r="I195" s="146"/>
      <c r="J195" s="147"/>
    </row>
    <row r="196" spans="1:10" x14ac:dyDescent="0.25">
      <c r="A196" s="224" t="s">
        <v>138</v>
      </c>
      <c r="B196" s="225"/>
      <c r="C196" s="225"/>
      <c r="D196" s="225"/>
      <c r="E196" s="225"/>
      <c r="F196" s="225"/>
      <c r="G196" s="225"/>
      <c r="H196" s="225"/>
      <c r="I196" s="225"/>
      <c r="J196" s="226"/>
    </row>
    <row r="197" spans="1:10" x14ac:dyDescent="0.25">
      <c r="A197" s="142" t="s">
        <v>39</v>
      </c>
      <c r="B197" s="146"/>
      <c r="C197" s="146"/>
      <c r="D197" s="146"/>
      <c r="E197" s="146"/>
      <c r="F197" s="146"/>
      <c r="G197" s="146"/>
      <c r="H197" s="146"/>
      <c r="I197" s="146"/>
      <c r="J197" s="147"/>
    </row>
    <row r="198" spans="1:10" x14ac:dyDescent="0.25">
      <c r="A198" s="142" t="s">
        <v>40</v>
      </c>
      <c r="B198" s="146"/>
      <c r="C198" s="146"/>
      <c r="D198" s="146"/>
      <c r="E198" s="146"/>
      <c r="F198" s="146"/>
      <c r="G198" s="146"/>
      <c r="H198" s="146"/>
      <c r="I198" s="146"/>
      <c r="J198" s="147"/>
    </row>
    <row r="199" spans="1:10" ht="15" customHeight="1" x14ac:dyDescent="0.25">
      <c r="A199" s="148" t="s">
        <v>41</v>
      </c>
      <c r="B199" s="149"/>
      <c r="C199" s="149"/>
      <c r="D199" s="149"/>
      <c r="E199" s="149"/>
      <c r="F199" s="149"/>
      <c r="G199" s="149"/>
      <c r="H199" s="149"/>
      <c r="I199" s="149"/>
      <c r="J199" s="150"/>
    </row>
    <row r="200" spans="1:10" x14ac:dyDescent="0.25">
      <c r="A200" s="207" t="s">
        <v>26</v>
      </c>
      <c r="B200" s="208"/>
      <c r="C200" s="208"/>
      <c r="D200" s="208"/>
      <c r="E200" s="208"/>
      <c r="F200" s="208"/>
      <c r="G200" s="208"/>
      <c r="H200" s="208"/>
      <c r="I200" s="208"/>
      <c r="J200" s="209"/>
    </row>
    <row r="201" spans="1:10" x14ac:dyDescent="0.25">
      <c r="A201" s="210"/>
      <c r="B201" s="211"/>
      <c r="C201" s="211"/>
      <c r="D201" s="211"/>
      <c r="E201" s="211"/>
      <c r="F201" s="211"/>
      <c r="G201" s="211"/>
      <c r="H201" s="211"/>
      <c r="I201" s="211"/>
      <c r="J201" s="212"/>
    </row>
    <row r="202" spans="1:10" x14ac:dyDescent="0.25">
      <c r="A202" s="210"/>
      <c r="B202" s="211"/>
      <c r="C202" s="211"/>
      <c r="D202" s="211"/>
      <c r="E202" s="211"/>
      <c r="F202" s="211"/>
      <c r="G202" s="211"/>
      <c r="H202" s="211"/>
      <c r="I202" s="211"/>
      <c r="J202" s="212"/>
    </row>
    <row r="203" spans="1:10" x14ac:dyDescent="0.25">
      <c r="A203" s="213"/>
      <c r="B203" s="214"/>
      <c r="C203" s="214"/>
      <c r="D203" s="214"/>
      <c r="E203" s="214"/>
      <c r="F203" s="214"/>
      <c r="G203" s="214"/>
      <c r="H203" s="214"/>
      <c r="I203" s="214"/>
      <c r="J203" s="215"/>
    </row>
    <row r="204" spans="1:10" x14ac:dyDescent="0.25">
      <c r="A204" s="32" t="s">
        <v>173</v>
      </c>
      <c r="B204" s="33"/>
      <c r="C204" s="18"/>
      <c r="D204" s="18"/>
      <c r="E204" s="18"/>
      <c r="F204" s="32" t="str">
        <f>F8</f>
        <v>O &amp; S Business Suites</v>
      </c>
      <c r="G204" s="32"/>
      <c r="H204" s="18"/>
      <c r="I204" s="18"/>
      <c r="J204" s="18"/>
    </row>
    <row r="205" spans="1:10" x14ac:dyDescent="0.25">
      <c r="A205" s="18"/>
      <c r="B205" s="18"/>
      <c r="C205" s="18"/>
      <c r="D205" s="18"/>
      <c r="E205" s="18"/>
      <c r="F205" s="18"/>
      <c r="G205" s="18"/>
      <c r="H205" s="18"/>
      <c r="I205" s="18"/>
      <c r="J205" s="18"/>
    </row>
    <row r="206" spans="1:10" x14ac:dyDescent="0.25">
      <c r="A206" s="18"/>
      <c r="B206" s="18"/>
      <c r="C206" s="18"/>
      <c r="D206" s="18"/>
      <c r="E206" s="18"/>
      <c r="F206" s="18"/>
      <c r="G206" s="18"/>
      <c r="H206" s="18"/>
      <c r="I206" s="18"/>
      <c r="J206" s="18"/>
    </row>
    <row r="207" spans="1:10" x14ac:dyDescent="0.25">
      <c r="A207" s="18"/>
      <c r="B207" s="18"/>
      <c r="C207" s="18"/>
      <c r="D207" s="18"/>
      <c r="E207" s="18"/>
      <c r="F207" s="18"/>
      <c r="G207" s="18"/>
      <c r="H207" s="18"/>
      <c r="I207" s="18"/>
      <c r="J207" s="18"/>
    </row>
    <row r="208" spans="1:10" x14ac:dyDescent="0.25">
      <c r="A208" s="18"/>
      <c r="B208" s="18"/>
      <c r="C208" s="18"/>
      <c r="D208" s="18"/>
      <c r="E208" s="18"/>
      <c r="F208" s="18"/>
      <c r="G208" s="18"/>
      <c r="H208" s="18"/>
      <c r="I208" s="18"/>
      <c r="J208" s="18"/>
    </row>
    <row r="209" spans="1:10" x14ac:dyDescent="0.25">
      <c r="A209" s="18"/>
      <c r="B209" s="18"/>
      <c r="C209" s="18"/>
      <c r="D209" s="18"/>
      <c r="E209" s="18"/>
      <c r="F209" s="18"/>
      <c r="G209" s="18"/>
      <c r="H209" s="18"/>
      <c r="I209" s="18"/>
      <c r="J209" s="18"/>
    </row>
    <row r="210" spans="1:10" x14ac:dyDescent="0.25">
      <c r="A210" s="18"/>
      <c r="B210" s="18"/>
      <c r="C210" s="18"/>
      <c r="D210" s="18"/>
      <c r="E210" s="18"/>
      <c r="F210" s="18"/>
      <c r="G210" s="18"/>
      <c r="H210" s="18"/>
      <c r="I210" s="18"/>
      <c r="J210" s="18"/>
    </row>
    <row r="211" spans="1:10" x14ac:dyDescent="0.25">
      <c r="A211" s="18"/>
      <c r="B211" s="18"/>
      <c r="C211" s="18"/>
      <c r="D211" s="18"/>
      <c r="E211" s="18"/>
      <c r="F211" s="18"/>
      <c r="G211" s="18"/>
      <c r="H211" s="18"/>
      <c r="I211" s="18"/>
      <c r="J211" s="18"/>
    </row>
    <row r="212" spans="1:10" x14ac:dyDescent="0.25">
      <c r="A212" s="18"/>
      <c r="B212" s="18"/>
      <c r="C212" s="18"/>
      <c r="D212" s="18"/>
      <c r="E212" s="18"/>
      <c r="F212" s="18"/>
      <c r="G212" s="18"/>
      <c r="H212" s="18"/>
      <c r="I212" s="18"/>
      <c r="J212" s="18"/>
    </row>
    <row r="213" spans="1:10" x14ac:dyDescent="0.25">
      <c r="A213" s="18"/>
      <c r="B213" s="18"/>
      <c r="C213" s="18"/>
      <c r="D213" s="18"/>
      <c r="E213" s="18"/>
      <c r="F213" s="18"/>
      <c r="G213" s="18"/>
      <c r="H213" s="18"/>
      <c r="I213" s="18"/>
      <c r="J213" s="18"/>
    </row>
    <row r="214" spans="1:10" x14ac:dyDescent="0.25">
      <c r="A214" s="18"/>
      <c r="B214" s="18"/>
      <c r="C214" s="18"/>
      <c r="D214" s="18"/>
      <c r="E214" s="18"/>
      <c r="F214" s="18"/>
      <c r="G214" s="18"/>
      <c r="H214" s="18"/>
      <c r="I214" s="18"/>
      <c r="J214" s="18"/>
    </row>
    <row r="215" spans="1:10" x14ac:dyDescent="0.25">
      <c r="A215" s="18"/>
      <c r="B215" s="18"/>
      <c r="C215" s="18"/>
      <c r="D215" s="18"/>
      <c r="E215" s="18"/>
      <c r="F215" s="18"/>
      <c r="G215" s="18"/>
      <c r="H215" s="18"/>
      <c r="I215" s="18"/>
      <c r="J215" s="18"/>
    </row>
    <row r="216" spans="1:10" x14ac:dyDescent="0.25">
      <c r="A216" s="18"/>
      <c r="B216" s="18"/>
      <c r="C216" s="18"/>
      <c r="D216" s="18"/>
      <c r="E216" s="18"/>
      <c r="F216" s="18"/>
      <c r="G216" s="18"/>
      <c r="H216" s="18"/>
      <c r="I216" s="18"/>
      <c r="J216" s="18"/>
    </row>
    <row r="217" spans="1:10" x14ac:dyDescent="0.25">
      <c r="A217" s="18"/>
      <c r="B217" s="18"/>
      <c r="C217" s="18"/>
      <c r="D217" s="18"/>
      <c r="E217" s="18"/>
      <c r="F217" s="18"/>
      <c r="G217" s="18"/>
      <c r="H217" s="18"/>
      <c r="I217" s="18"/>
      <c r="J217" s="18"/>
    </row>
    <row r="218" spans="1:10" x14ac:dyDescent="0.25">
      <c r="A218" s="18"/>
      <c r="B218" s="18"/>
      <c r="C218" s="18"/>
      <c r="D218" s="18"/>
      <c r="E218" s="18"/>
      <c r="F218" s="18"/>
      <c r="G218" s="18"/>
      <c r="H218" s="18"/>
      <c r="I218" s="18"/>
      <c r="J218" s="18"/>
    </row>
    <row r="251" spans="1:1" x14ac:dyDescent="0.25">
      <c r="A251" s="31" t="s">
        <v>174</v>
      </c>
    </row>
  </sheetData>
  <mergeCells count="402">
    <mergeCell ref="H86:J86"/>
    <mergeCell ref="H87:J87"/>
    <mergeCell ref="A103:B103"/>
    <mergeCell ref="A177:B177"/>
    <mergeCell ref="D177:E177"/>
    <mergeCell ref="C31:J31"/>
    <mergeCell ref="A63:B63"/>
    <mergeCell ref="D63:E63"/>
    <mergeCell ref="A64:B64"/>
    <mergeCell ref="A65:B65"/>
    <mergeCell ref="D65:E65"/>
    <mergeCell ref="A45:B45"/>
    <mergeCell ref="C45:F45"/>
    <mergeCell ref="A60:B60"/>
    <mergeCell ref="A61:B61"/>
    <mergeCell ref="D61:E61"/>
    <mergeCell ref="A62:B62"/>
    <mergeCell ref="D62:E62"/>
    <mergeCell ref="F55:G55"/>
    <mergeCell ref="C32:J32"/>
    <mergeCell ref="I55:J55"/>
    <mergeCell ref="A56:B56"/>
    <mergeCell ref="D58:E58"/>
    <mergeCell ref="F58:G67"/>
    <mergeCell ref="D101:E101"/>
    <mergeCell ref="A171:B171"/>
    <mergeCell ref="D171:E171"/>
    <mergeCell ref="A172:B172"/>
    <mergeCell ref="D172:E172"/>
    <mergeCell ref="D60:E60"/>
    <mergeCell ref="A101:B101"/>
    <mergeCell ref="A102:B102"/>
    <mergeCell ref="D119:E119"/>
    <mergeCell ref="A76:F76"/>
    <mergeCell ref="G77:J77"/>
    <mergeCell ref="G79:J79"/>
    <mergeCell ref="G75:J75"/>
    <mergeCell ref="A77:F77"/>
    <mergeCell ref="A99:J99"/>
    <mergeCell ref="I100:J103"/>
    <mergeCell ref="D100:E100"/>
    <mergeCell ref="G76:J76"/>
    <mergeCell ref="G80:J80"/>
    <mergeCell ref="A81:F81"/>
    <mergeCell ref="H84:J84"/>
    <mergeCell ref="H85:J85"/>
    <mergeCell ref="A110:B110"/>
    <mergeCell ref="A111:B111"/>
    <mergeCell ref="A105:B105"/>
    <mergeCell ref="A178:J178"/>
    <mergeCell ref="I105:J116"/>
    <mergeCell ref="A112:B112"/>
    <mergeCell ref="A113:B113"/>
    <mergeCell ref="A114:B114"/>
    <mergeCell ref="A176:B176"/>
    <mergeCell ref="D176:E176"/>
    <mergeCell ref="A107:B107"/>
    <mergeCell ref="A108:B108"/>
    <mergeCell ref="A109:B109"/>
    <mergeCell ref="A117:J117"/>
    <mergeCell ref="A118:B118"/>
    <mergeCell ref="D118:E118"/>
    <mergeCell ref="I118:J129"/>
    <mergeCell ref="A119:B119"/>
    <mergeCell ref="D97:E97"/>
    <mergeCell ref="A92:J92"/>
    <mergeCell ref="I95:J98"/>
    <mergeCell ref="A93:J93"/>
    <mergeCell ref="D98:E98"/>
    <mergeCell ref="D95:E95"/>
    <mergeCell ref="D96:E96"/>
    <mergeCell ref="A94:J94"/>
    <mergeCell ref="A95:B95"/>
    <mergeCell ref="A96:B96"/>
    <mergeCell ref="A97:B97"/>
    <mergeCell ref="A98:B98"/>
    <mergeCell ref="A100:B100"/>
    <mergeCell ref="A67:B67"/>
    <mergeCell ref="F50:H50"/>
    <mergeCell ref="A53:J53"/>
    <mergeCell ref="A74:F74"/>
    <mergeCell ref="A68:J68"/>
    <mergeCell ref="A69:J69"/>
    <mergeCell ref="A57:B57"/>
    <mergeCell ref="D57:E57"/>
    <mergeCell ref="H57:J57"/>
    <mergeCell ref="A55:B55"/>
    <mergeCell ref="D55:E55"/>
    <mergeCell ref="I50:J50"/>
    <mergeCell ref="D50:E50"/>
    <mergeCell ref="F57:G57"/>
    <mergeCell ref="F51:J51"/>
    <mergeCell ref="A51:B51"/>
    <mergeCell ref="C51:E51"/>
    <mergeCell ref="A70:J71"/>
    <mergeCell ref="H58:J67"/>
    <mergeCell ref="A59:B59"/>
    <mergeCell ref="D59:E59"/>
    <mergeCell ref="G78:J78"/>
    <mergeCell ref="A78:F78"/>
    <mergeCell ref="A75:F75"/>
    <mergeCell ref="A72:J72"/>
    <mergeCell ref="A50:C50"/>
    <mergeCell ref="D67:E67"/>
    <mergeCell ref="A54:J54"/>
    <mergeCell ref="A1:J1"/>
    <mergeCell ref="A52:E52"/>
    <mergeCell ref="F52:J52"/>
    <mergeCell ref="I28:J28"/>
    <mergeCell ref="A29:J29"/>
    <mergeCell ref="A30:J30"/>
    <mergeCell ref="A13:B13"/>
    <mergeCell ref="C28:D28"/>
    <mergeCell ref="F37:J37"/>
    <mergeCell ref="F18:J19"/>
    <mergeCell ref="A31:B31"/>
    <mergeCell ref="A40:E40"/>
    <mergeCell ref="F38:J38"/>
    <mergeCell ref="A73:F73"/>
    <mergeCell ref="A66:B66"/>
    <mergeCell ref="D66:E66"/>
    <mergeCell ref="A49:J49"/>
    <mergeCell ref="C56:J56"/>
    <mergeCell ref="A58:B58"/>
    <mergeCell ref="A200:J203"/>
    <mergeCell ref="A82:F82"/>
    <mergeCell ref="G82:J82"/>
    <mergeCell ref="A88:J88"/>
    <mergeCell ref="A89:J89"/>
    <mergeCell ref="A196:J196"/>
    <mergeCell ref="A197:J197"/>
    <mergeCell ref="A198:J198"/>
    <mergeCell ref="A199:J199"/>
    <mergeCell ref="A193:J193"/>
    <mergeCell ref="A194:J194"/>
    <mergeCell ref="A190:J191"/>
    <mergeCell ref="A195:J195"/>
    <mergeCell ref="A192:J192"/>
    <mergeCell ref="I90:J90"/>
    <mergeCell ref="A115:B115"/>
    <mergeCell ref="A116:B116"/>
    <mergeCell ref="A106:B106"/>
    <mergeCell ref="A173:B173"/>
    <mergeCell ref="D173:E173"/>
    <mergeCell ref="A174:B174"/>
    <mergeCell ref="D174:E174"/>
    <mergeCell ref="A175:B175"/>
    <mergeCell ref="D175:E175"/>
    <mergeCell ref="H48:J48"/>
    <mergeCell ref="F48:G48"/>
    <mergeCell ref="H46:J46"/>
    <mergeCell ref="A46:B46"/>
    <mergeCell ref="D48:E48"/>
    <mergeCell ref="I45:J45"/>
    <mergeCell ref="C43:F43"/>
    <mergeCell ref="A42:J42"/>
    <mergeCell ref="A48:C48"/>
    <mergeCell ref="C46:F46"/>
    <mergeCell ref="A43:B43"/>
    <mergeCell ref="A47:B47"/>
    <mergeCell ref="C47:F47"/>
    <mergeCell ref="H47:J47"/>
    <mergeCell ref="E28:F28"/>
    <mergeCell ref="G28:H28"/>
    <mergeCell ref="A36:E36"/>
    <mergeCell ref="A34:J35"/>
    <mergeCell ref="C44:F44"/>
    <mergeCell ref="E27:F27"/>
    <mergeCell ref="G27:H27"/>
    <mergeCell ref="A27:B27"/>
    <mergeCell ref="A28:B28"/>
    <mergeCell ref="H44:J44"/>
    <mergeCell ref="A44:B44"/>
    <mergeCell ref="H43:J43"/>
    <mergeCell ref="A41:E41"/>
    <mergeCell ref="A33:J33"/>
    <mergeCell ref="A38:E38"/>
    <mergeCell ref="F36:J36"/>
    <mergeCell ref="A39:E39"/>
    <mergeCell ref="F41:J41"/>
    <mergeCell ref="F40:J40"/>
    <mergeCell ref="A32:B32"/>
    <mergeCell ref="A37:E37"/>
    <mergeCell ref="F39:J39"/>
    <mergeCell ref="A24:E24"/>
    <mergeCell ref="C17:E17"/>
    <mergeCell ref="A18:E19"/>
    <mergeCell ref="A25:E25"/>
    <mergeCell ref="F24:J24"/>
    <mergeCell ref="A22:E22"/>
    <mergeCell ref="A23:E23"/>
    <mergeCell ref="F23:J23"/>
    <mergeCell ref="F22:J22"/>
    <mergeCell ref="F20:J21"/>
    <mergeCell ref="G16:J16"/>
    <mergeCell ref="I14:J14"/>
    <mergeCell ref="C13:J13"/>
    <mergeCell ref="A11:E11"/>
    <mergeCell ref="F12:J12"/>
    <mergeCell ref="A12:E12"/>
    <mergeCell ref="F17:G17"/>
    <mergeCell ref="E14:G14"/>
    <mergeCell ref="H17:J17"/>
    <mergeCell ref="B16:E16"/>
    <mergeCell ref="A17:B17"/>
    <mergeCell ref="A2:J2"/>
    <mergeCell ref="A3:E3"/>
    <mergeCell ref="F3:J3"/>
    <mergeCell ref="A4:E4"/>
    <mergeCell ref="F4:J4"/>
    <mergeCell ref="A6:E6"/>
    <mergeCell ref="F6:J6"/>
    <mergeCell ref="A5:E5"/>
    <mergeCell ref="F5:J5"/>
    <mergeCell ref="D90:E90"/>
    <mergeCell ref="A90:B90"/>
    <mergeCell ref="I26:J26"/>
    <mergeCell ref="I27:J27"/>
    <mergeCell ref="A26:B26"/>
    <mergeCell ref="A7:E7"/>
    <mergeCell ref="G26:H26"/>
    <mergeCell ref="C27:D27"/>
    <mergeCell ref="C26:D26"/>
    <mergeCell ref="C14:D14"/>
    <mergeCell ref="F25:J25"/>
    <mergeCell ref="A20:E21"/>
    <mergeCell ref="E26:F26"/>
    <mergeCell ref="A9:E9"/>
    <mergeCell ref="F8:J8"/>
    <mergeCell ref="F9:J9"/>
    <mergeCell ref="F11:J11"/>
    <mergeCell ref="B15:E15"/>
    <mergeCell ref="F7:J7"/>
    <mergeCell ref="A8:E8"/>
    <mergeCell ref="G15:J15"/>
    <mergeCell ref="A10:E10"/>
    <mergeCell ref="F10:J10"/>
    <mergeCell ref="A83:J83"/>
    <mergeCell ref="K43:N43"/>
    <mergeCell ref="P43:R43"/>
    <mergeCell ref="K44:N44"/>
    <mergeCell ref="P44:R44"/>
    <mergeCell ref="K45:N45"/>
    <mergeCell ref="Q45:R45"/>
    <mergeCell ref="C102:H103"/>
    <mergeCell ref="D109:E109"/>
    <mergeCell ref="D108:E108"/>
    <mergeCell ref="A104:J104"/>
    <mergeCell ref="D105:E105"/>
    <mergeCell ref="D107:E107"/>
    <mergeCell ref="D106:E106"/>
    <mergeCell ref="E84:G84"/>
    <mergeCell ref="E85:G85"/>
    <mergeCell ref="E86:G86"/>
    <mergeCell ref="E87:G87"/>
    <mergeCell ref="A91:J91"/>
    <mergeCell ref="G74:J74"/>
    <mergeCell ref="D64:E64"/>
    <mergeCell ref="G73:J73"/>
    <mergeCell ref="A79:F79"/>
    <mergeCell ref="A80:F80"/>
    <mergeCell ref="G81:J81"/>
    <mergeCell ref="D110:E110"/>
    <mergeCell ref="D111:E111"/>
    <mergeCell ref="A128:B128"/>
    <mergeCell ref="D128:E128"/>
    <mergeCell ref="A129:B129"/>
    <mergeCell ref="D129:E129"/>
    <mergeCell ref="D116:E116"/>
    <mergeCell ref="D115:E115"/>
    <mergeCell ref="A127:B127"/>
    <mergeCell ref="A126:B126"/>
    <mergeCell ref="D125:E125"/>
    <mergeCell ref="A125:B125"/>
    <mergeCell ref="D124:E124"/>
    <mergeCell ref="A124:B124"/>
    <mergeCell ref="D123:E123"/>
    <mergeCell ref="A123:B123"/>
    <mergeCell ref="D122:E122"/>
    <mergeCell ref="A122:B122"/>
    <mergeCell ref="A121:B121"/>
    <mergeCell ref="A120:B120"/>
    <mergeCell ref="D114:E114"/>
    <mergeCell ref="D113:E113"/>
    <mergeCell ref="D120:E120"/>
    <mergeCell ref="D121:E121"/>
    <mergeCell ref="D112:E112"/>
    <mergeCell ref="D126:E126"/>
    <mergeCell ref="D127:E127"/>
    <mergeCell ref="A130:J130"/>
    <mergeCell ref="A131:B131"/>
    <mergeCell ref="D131:E131"/>
    <mergeCell ref="I131:J142"/>
    <mergeCell ref="A132:B132"/>
    <mergeCell ref="D132:E132"/>
    <mergeCell ref="A133:B133"/>
    <mergeCell ref="D133:E133"/>
    <mergeCell ref="A134:B134"/>
    <mergeCell ref="D134:E134"/>
    <mergeCell ref="A135:B135"/>
    <mergeCell ref="D135:E135"/>
    <mergeCell ref="A136:B136"/>
    <mergeCell ref="D136:E136"/>
    <mergeCell ref="A137:B137"/>
    <mergeCell ref="D137:E137"/>
    <mergeCell ref="A138:B138"/>
    <mergeCell ref="D138:E138"/>
    <mergeCell ref="A139:B139"/>
    <mergeCell ref="D139:E139"/>
    <mergeCell ref="A140:B140"/>
    <mergeCell ref="D140:E140"/>
    <mergeCell ref="A141:B141"/>
    <mergeCell ref="D141:E141"/>
    <mergeCell ref="A142:B142"/>
    <mergeCell ref="D142:E142"/>
    <mergeCell ref="A143:J143"/>
    <mergeCell ref="A144:B144"/>
    <mergeCell ref="D144:E144"/>
    <mergeCell ref="I144:J153"/>
    <mergeCell ref="A145:B145"/>
    <mergeCell ref="D145:E145"/>
    <mergeCell ref="A146:B146"/>
    <mergeCell ref="D146:E146"/>
    <mergeCell ref="A147:B147"/>
    <mergeCell ref="D147:E147"/>
    <mergeCell ref="A148:B148"/>
    <mergeCell ref="D148:E148"/>
    <mergeCell ref="A149:B149"/>
    <mergeCell ref="D149:E149"/>
    <mergeCell ref="A151:B151"/>
    <mergeCell ref="D151:E151"/>
    <mergeCell ref="A152:B152"/>
    <mergeCell ref="D152:E152"/>
    <mergeCell ref="D155:E155"/>
    <mergeCell ref="I155:J165"/>
    <mergeCell ref="A156:B156"/>
    <mergeCell ref="D156:E156"/>
    <mergeCell ref="A157:B157"/>
    <mergeCell ref="D157:E157"/>
    <mergeCell ref="A158:B158"/>
    <mergeCell ref="D158:E158"/>
    <mergeCell ref="A159:B159"/>
    <mergeCell ref="D159:E159"/>
    <mergeCell ref="A160:B160"/>
    <mergeCell ref="D160:E160"/>
    <mergeCell ref="A161:B161"/>
    <mergeCell ref="D161:E161"/>
    <mergeCell ref="A162:B162"/>
    <mergeCell ref="D162:E162"/>
    <mergeCell ref="A163:B163"/>
    <mergeCell ref="D163:E163"/>
    <mergeCell ref="A164:B164"/>
    <mergeCell ref="D164:E164"/>
    <mergeCell ref="A165:B165"/>
    <mergeCell ref="D165:E165"/>
    <mergeCell ref="A183:B183"/>
    <mergeCell ref="D183:E183"/>
    <mergeCell ref="A184:B184"/>
    <mergeCell ref="D184:E184"/>
    <mergeCell ref="A185:B185"/>
    <mergeCell ref="D185:E185"/>
    <mergeCell ref="A186:B186"/>
    <mergeCell ref="D186:E186"/>
    <mergeCell ref="A166:J166"/>
    <mergeCell ref="A167:B167"/>
    <mergeCell ref="D167:E167"/>
    <mergeCell ref="I167:J177"/>
    <mergeCell ref="A168:B168"/>
    <mergeCell ref="D168:E168"/>
    <mergeCell ref="D181:E181"/>
    <mergeCell ref="A182:B182"/>
    <mergeCell ref="D182:E182"/>
    <mergeCell ref="A179:B179"/>
    <mergeCell ref="D179:E179"/>
    <mergeCell ref="I179:J189"/>
    <mergeCell ref="A180:B180"/>
    <mergeCell ref="D180:E180"/>
    <mergeCell ref="A181:B181"/>
    <mergeCell ref="A188:B188"/>
    <mergeCell ref="D188:E188"/>
    <mergeCell ref="A189:B189"/>
    <mergeCell ref="D189:E189"/>
    <mergeCell ref="A84:B84"/>
    <mergeCell ref="C84:D84"/>
    <mergeCell ref="A85:B85"/>
    <mergeCell ref="C85:D85"/>
    <mergeCell ref="A86:B86"/>
    <mergeCell ref="C86:D86"/>
    <mergeCell ref="A87:B87"/>
    <mergeCell ref="C87:D87"/>
    <mergeCell ref="A187:B187"/>
    <mergeCell ref="D187:E187"/>
    <mergeCell ref="A150:B150"/>
    <mergeCell ref="C150:H150"/>
    <mergeCell ref="A169:B169"/>
    <mergeCell ref="D169:E169"/>
    <mergeCell ref="A170:B170"/>
    <mergeCell ref="D170:E170"/>
    <mergeCell ref="A153:B153"/>
    <mergeCell ref="D153:E153"/>
    <mergeCell ref="A154:J154"/>
    <mergeCell ref="A155:B155"/>
  </mergeCells>
  <phoneticPr fontId="0" type="noConversion"/>
  <hyperlinks>
    <hyperlink ref="C32" r:id="rId1"/>
  </hyperlinks>
  <pageMargins left="0.70866141732283472" right="0.70866141732283472" top="0.74803149606299213" bottom="0.74803149606299213" header="0.31496062992125984" footer="0.31496062992125984"/>
  <pageSetup fitToHeight="0" orientation="portrait" r:id="rId2"/>
  <headerFooter>
    <oddHeader>&amp;C&amp;"Times New Roman,Bold"&amp;20&amp;G</oddHeader>
    <oddFooter>&amp;L&amp;"Times New Roman,Bold"Ref No: &amp;F&amp;C&amp;G&amp;R&amp;P</oddFooter>
  </headerFooter>
  <rowBreaks count="2" manualBreakCount="2">
    <brk id="203" max="16383" man="1"/>
    <brk id="25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5"/>
  <sheetViews>
    <sheetView workbookViewId="0">
      <selection activeCell="C11" sqref="C11"/>
    </sheetView>
  </sheetViews>
  <sheetFormatPr defaultRowHeight="15" x14ac:dyDescent="0.25"/>
  <cols>
    <col min="1" max="1" width="20.5703125" style="35" customWidth="1"/>
    <col min="2" max="2" width="11.7109375" style="35" customWidth="1"/>
    <col min="3" max="4" width="9.140625" style="35"/>
    <col min="5" max="5" width="10.140625" style="35" customWidth="1"/>
    <col min="6" max="6" width="10.7109375" style="35" customWidth="1"/>
    <col min="7" max="7" width="9.140625" style="35"/>
    <col min="8" max="8" width="10.42578125" style="35" customWidth="1"/>
    <col min="9" max="9" width="15.42578125" style="35" customWidth="1"/>
    <col min="10" max="16384" width="9.140625" style="35"/>
  </cols>
  <sheetData>
    <row r="2" spans="1:13" x14ac:dyDescent="0.25">
      <c r="A2" s="34" t="s">
        <v>180</v>
      </c>
      <c r="B2" s="34" t="s">
        <v>181</v>
      </c>
      <c r="C2" s="34" t="s">
        <v>182</v>
      </c>
      <c r="D2" s="294" t="s">
        <v>183</v>
      </c>
      <c r="E2" s="294"/>
    </row>
    <row r="3" spans="1:13" x14ac:dyDescent="0.25">
      <c r="A3" s="36">
        <v>1</v>
      </c>
      <c r="B3" s="36">
        <v>0</v>
      </c>
      <c r="C3" s="36">
        <v>1</v>
      </c>
      <c r="D3" s="295">
        <v>4</v>
      </c>
      <c r="E3" s="295"/>
    </row>
    <row r="6" spans="1:13" x14ac:dyDescent="0.25">
      <c r="A6" s="35" t="s">
        <v>113</v>
      </c>
      <c r="B6" s="37">
        <v>10</v>
      </c>
      <c r="C6" s="38">
        <v>10</v>
      </c>
      <c r="D6" s="39">
        <f>((100/B6)*C6)/100</f>
        <v>1</v>
      </c>
      <c r="E6" s="40"/>
      <c r="J6" s="40"/>
    </row>
    <row r="7" spans="1:13" x14ac:dyDescent="0.25">
      <c r="A7" s="35" t="s">
        <v>114</v>
      </c>
      <c r="B7" s="37">
        <f>A3+B3+C3+D3</f>
        <v>6</v>
      </c>
      <c r="C7" s="38">
        <v>6</v>
      </c>
      <c r="D7" s="39">
        <f t="shared" ref="D7:D12" si="0">((100/B7)*C7)/100</f>
        <v>1</v>
      </c>
      <c r="F7" s="296" t="s">
        <v>184</v>
      </c>
      <c r="G7" s="296"/>
      <c r="H7" s="41" t="s">
        <v>185</v>
      </c>
      <c r="J7" s="42"/>
    </row>
    <row r="8" spans="1:13" x14ac:dyDescent="0.25">
      <c r="A8" s="35" t="s">
        <v>122</v>
      </c>
      <c r="B8" s="37">
        <f>C36</f>
        <v>4</v>
      </c>
      <c r="C8" s="38">
        <v>3</v>
      </c>
      <c r="D8" s="39">
        <f t="shared" si="0"/>
        <v>0.75</v>
      </c>
      <c r="E8" s="40"/>
      <c r="F8" s="293" t="s">
        <v>186</v>
      </c>
      <c r="G8" s="293"/>
      <c r="H8" s="37" t="s">
        <v>187</v>
      </c>
      <c r="J8" s="40"/>
    </row>
    <row r="9" spans="1:13" x14ac:dyDescent="0.25">
      <c r="A9" s="35" t="s">
        <v>126</v>
      </c>
      <c r="B9" s="37">
        <f>C36</f>
        <v>4</v>
      </c>
      <c r="C9" s="38">
        <v>0</v>
      </c>
      <c r="D9" s="39">
        <f t="shared" si="0"/>
        <v>0</v>
      </c>
      <c r="E9" s="40"/>
      <c r="F9" s="293" t="s">
        <v>188</v>
      </c>
      <c r="G9" s="293"/>
      <c r="H9" s="37" t="s">
        <v>189</v>
      </c>
      <c r="J9" s="40"/>
    </row>
    <row r="10" spans="1:13" x14ac:dyDescent="0.25">
      <c r="A10" s="35" t="s">
        <v>43</v>
      </c>
      <c r="B10" s="37">
        <f>C36</f>
        <v>4</v>
      </c>
      <c r="C10" s="38">
        <v>0</v>
      </c>
      <c r="D10" s="39">
        <f t="shared" si="0"/>
        <v>0</v>
      </c>
      <c r="E10" s="40"/>
      <c r="F10" s="293" t="s">
        <v>190</v>
      </c>
      <c r="G10" s="293"/>
      <c r="H10" s="37" t="s">
        <v>191</v>
      </c>
      <c r="J10" s="40"/>
    </row>
    <row r="11" spans="1:13" x14ac:dyDescent="0.25">
      <c r="A11" s="43" t="s">
        <v>120</v>
      </c>
      <c r="B11" s="37">
        <f>C36</f>
        <v>4</v>
      </c>
      <c r="C11" s="38">
        <v>0</v>
      </c>
      <c r="D11" s="39">
        <f t="shared" si="0"/>
        <v>0</v>
      </c>
      <c r="E11" s="40"/>
      <c r="F11" s="293" t="s">
        <v>192</v>
      </c>
      <c r="G11" s="293"/>
      <c r="H11" s="37" t="s">
        <v>193</v>
      </c>
    </row>
    <row r="12" spans="1:13" x14ac:dyDescent="0.25">
      <c r="A12" s="35" t="s">
        <v>44</v>
      </c>
      <c r="B12" s="37">
        <f>C36</f>
        <v>4</v>
      </c>
      <c r="C12" s="38">
        <v>0</v>
      </c>
      <c r="D12" s="39">
        <f t="shared" si="0"/>
        <v>0</v>
      </c>
      <c r="E12" s="40"/>
      <c r="F12" s="293" t="s">
        <v>194</v>
      </c>
      <c r="G12" s="293"/>
      <c r="H12" s="37" t="s">
        <v>179</v>
      </c>
    </row>
    <row r="13" spans="1:13" x14ac:dyDescent="0.25">
      <c r="F13" s="293" t="s">
        <v>195</v>
      </c>
      <c r="G13" s="293"/>
      <c r="H13" s="37" t="s">
        <v>196</v>
      </c>
    </row>
    <row r="14" spans="1:13" x14ac:dyDescent="0.25">
      <c r="A14" s="34" t="s">
        <v>129</v>
      </c>
      <c r="B14" s="44">
        <f>(B39+B40+B41+B42+B43+B44+B45)/100</f>
        <v>0.61250000000000004</v>
      </c>
      <c r="C14" s="44">
        <f>(C39+C40+C41+C42+C43+C44+C45)/100</f>
        <v>0.71250000000000002</v>
      </c>
      <c r="F14" s="293" t="s">
        <v>197</v>
      </c>
      <c r="G14" s="293"/>
      <c r="H14" s="37" t="s">
        <v>189</v>
      </c>
      <c r="M14" s="40"/>
    </row>
    <row r="15" spans="1:13" x14ac:dyDescent="0.25">
      <c r="F15" s="293" t="s">
        <v>198</v>
      </c>
      <c r="G15" s="293"/>
      <c r="H15" s="37" t="s">
        <v>199</v>
      </c>
    </row>
    <row r="16" spans="1:13" x14ac:dyDescent="0.25">
      <c r="A16" s="45" t="s">
        <v>200</v>
      </c>
      <c r="B16" s="46">
        <v>0.01</v>
      </c>
      <c r="C16" s="46">
        <v>0.02</v>
      </c>
      <c r="F16" s="293" t="s">
        <v>201</v>
      </c>
      <c r="G16" s="293"/>
      <c r="H16" s="37" t="s">
        <v>202</v>
      </c>
    </row>
    <row r="17" spans="1:3" x14ac:dyDescent="0.25">
      <c r="A17" s="45" t="s">
        <v>203</v>
      </c>
      <c r="B17" s="46">
        <v>0.01</v>
      </c>
      <c r="C17" s="46">
        <v>0.03</v>
      </c>
    </row>
    <row r="18" spans="1:3" x14ac:dyDescent="0.25">
      <c r="A18" s="45" t="s">
        <v>204</v>
      </c>
      <c r="B18" s="46">
        <v>0.03</v>
      </c>
      <c r="C18" s="46">
        <v>0.08</v>
      </c>
    </row>
    <row r="19" spans="1:3" x14ac:dyDescent="0.25">
      <c r="A19" s="45" t="s">
        <v>205</v>
      </c>
      <c r="B19" s="46">
        <v>0.05</v>
      </c>
      <c r="C19" s="46">
        <v>0.15</v>
      </c>
    </row>
    <row r="20" spans="1:3" x14ac:dyDescent="0.25">
      <c r="A20" s="45" t="s">
        <v>206</v>
      </c>
      <c r="B20" s="46">
        <v>7.0000000000000007E-2</v>
      </c>
      <c r="C20" s="46">
        <v>0.2</v>
      </c>
    </row>
    <row r="21" spans="1:3" x14ac:dyDescent="0.25">
      <c r="A21" s="45" t="s">
        <v>207</v>
      </c>
      <c r="B21" s="46">
        <v>0.1</v>
      </c>
      <c r="C21" s="46">
        <v>0.3</v>
      </c>
    </row>
    <row r="36" spans="1:13" x14ac:dyDescent="0.25">
      <c r="A36" s="35" t="s">
        <v>110</v>
      </c>
      <c r="B36" s="47" t="s">
        <v>208</v>
      </c>
      <c r="C36" s="47">
        <f>D3</f>
        <v>4</v>
      </c>
      <c r="D36" s="48"/>
    </row>
    <row r="38" spans="1:13" x14ac:dyDescent="0.25">
      <c r="A38" s="34"/>
      <c r="B38" s="34" t="s">
        <v>121</v>
      </c>
      <c r="C38" s="34" t="s">
        <v>127</v>
      </c>
      <c r="G38" s="34" t="s">
        <v>113</v>
      </c>
      <c r="H38" s="34" t="s">
        <v>118</v>
      </c>
      <c r="I38" s="34" t="s">
        <v>119</v>
      </c>
      <c r="J38" s="34" t="s">
        <v>37</v>
      </c>
      <c r="K38" s="34" t="s">
        <v>43</v>
      </c>
      <c r="L38" s="34" t="s">
        <v>120</v>
      </c>
      <c r="M38" s="34" t="s">
        <v>44</v>
      </c>
    </row>
    <row r="39" spans="1:13" x14ac:dyDescent="0.25">
      <c r="A39" s="34" t="s">
        <v>35</v>
      </c>
      <c r="B39" s="34">
        <f>G39</f>
        <v>10</v>
      </c>
      <c r="C39" s="34">
        <f>G40</f>
        <v>30</v>
      </c>
      <c r="E39" s="294" t="s">
        <v>121</v>
      </c>
      <c r="F39" s="294"/>
      <c r="G39" s="49">
        <f>C6</f>
        <v>10</v>
      </c>
      <c r="H39" s="49">
        <f>40/B7*C7</f>
        <v>40</v>
      </c>
      <c r="I39" s="49">
        <f>15/B8*C8</f>
        <v>11.25</v>
      </c>
      <c r="J39" s="49">
        <f>10/B9*C9</f>
        <v>0</v>
      </c>
      <c r="K39" s="49">
        <f>10/B10*C10</f>
        <v>0</v>
      </c>
      <c r="L39" s="49">
        <f>5/B11*C11</f>
        <v>0</v>
      </c>
      <c r="M39" s="49">
        <f>5/B12*C12</f>
        <v>0</v>
      </c>
    </row>
    <row r="40" spans="1:13" x14ac:dyDescent="0.25">
      <c r="A40" s="34" t="s">
        <v>36</v>
      </c>
      <c r="B40" s="34">
        <f>H39</f>
        <v>40</v>
      </c>
      <c r="C40" s="34">
        <f>H40</f>
        <v>30</v>
      </c>
      <c r="E40" s="294" t="s">
        <v>125</v>
      </c>
      <c r="F40" s="294"/>
      <c r="G40" s="34">
        <f>G39+20</f>
        <v>30</v>
      </c>
      <c r="H40" s="34">
        <f>30/B7*C7</f>
        <v>30</v>
      </c>
      <c r="I40" s="34">
        <f>15/B8*C8</f>
        <v>11.25</v>
      </c>
      <c r="J40" s="34">
        <f>10/B9*C9</f>
        <v>0</v>
      </c>
      <c r="K40" s="34">
        <f>5/B10*C10</f>
        <v>0</v>
      </c>
      <c r="L40" s="34">
        <f>5/B11*C11</f>
        <v>0</v>
      </c>
      <c r="M40" s="34">
        <f>5/B12*C12</f>
        <v>0</v>
      </c>
    </row>
    <row r="41" spans="1:13" x14ac:dyDescent="0.25">
      <c r="A41" s="34" t="s">
        <v>119</v>
      </c>
      <c r="B41" s="34">
        <f>I39</f>
        <v>11.25</v>
      </c>
      <c r="C41" s="34">
        <f>I40</f>
        <v>11.25</v>
      </c>
      <c r="M41" s="40"/>
    </row>
    <row r="42" spans="1:13" x14ac:dyDescent="0.25">
      <c r="A42" s="34" t="s">
        <v>37</v>
      </c>
      <c r="B42" s="34">
        <f>J39</f>
        <v>0</v>
      </c>
      <c r="C42" s="34">
        <f>J40</f>
        <v>0</v>
      </c>
      <c r="M42" s="40"/>
    </row>
    <row r="43" spans="1:13" x14ac:dyDescent="0.25">
      <c r="A43" s="34" t="s">
        <v>43</v>
      </c>
      <c r="B43" s="34">
        <f>K39</f>
        <v>0</v>
      </c>
      <c r="C43" s="34">
        <f>K40</f>
        <v>0</v>
      </c>
      <c r="M43" s="40"/>
    </row>
    <row r="44" spans="1:13" x14ac:dyDescent="0.25">
      <c r="A44" s="50" t="s">
        <v>120</v>
      </c>
      <c r="B44" s="34">
        <f>L39</f>
        <v>0</v>
      </c>
      <c r="C44" s="34">
        <f>L40</f>
        <v>0</v>
      </c>
      <c r="M44" s="40"/>
    </row>
    <row r="45" spans="1:13" x14ac:dyDescent="0.25">
      <c r="A45" s="34" t="s">
        <v>44</v>
      </c>
      <c r="B45" s="34">
        <f>M39</f>
        <v>0</v>
      </c>
      <c r="C45" s="34">
        <f>M40</f>
        <v>0</v>
      </c>
      <c r="M45" s="40"/>
    </row>
  </sheetData>
  <mergeCells count="14">
    <mergeCell ref="D2:E2"/>
    <mergeCell ref="D3:E3"/>
    <mergeCell ref="F7:G7"/>
    <mergeCell ref="F8:G8"/>
    <mergeCell ref="F9:G9"/>
    <mergeCell ref="F10:G10"/>
    <mergeCell ref="E39:F39"/>
    <mergeCell ref="E40:F40"/>
    <mergeCell ref="F11:G11"/>
    <mergeCell ref="F12:G12"/>
    <mergeCell ref="F13:G13"/>
    <mergeCell ref="F14:G14"/>
    <mergeCell ref="F15:G15"/>
    <mergeCell ref="F16:G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
  <sheetViews>
    <sheetView workbookViewId="0">
      <selection activeCell="C2" sqref="C2"/>
    </sheetView>
  </sheetViews>
  <sheetFormatPr defaultRowHeight="15" x14ac:dyDescent="0.25"/>
  <sheetData>
    <row r="1" spans="2:4" x14ac:dyDescent="0.25">
      <c r="B1" s="28">
        <f>490/1.2</f>
        <v>408.33333333333337</v>
      </c>
      <c r="C1">
        <f>D1/B1</f>
        <v>21551.020408163262</v>
      </c>
      <c r="D1">
        <v>8800000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topLeftCell="C1" workbookViewId="0">
      <selection activeCell="F36" sqref="F36"/>
    </sheetView>
  </sheetViews>
  <sheetFormatPr defaultRowHeight="15" x14ac:dyDescent="0.25"/>
  <sheetData>
    <row r="2" spans="2:13" x14ac:dyDescent="0.25">
      <c r="C2" s="11" t="s">
        <v>93</v>
      </c>
      <c r="D2" s="297"/>
      <c r="E2" s="297"/>
    </row>
    <row r="3" spans="2:13" x14ac:dyDescent="0.25">
      <c r="E3" s="10"/>
      <c r="F3" s="10"/>
      <c r="G3" s="10"/>
      <c r="H3" s="10"/>
      <c r="I3" s="10"/>
      <c r="J3" s="10"/>
    </row>
    <row r="4" spans="2:13" x14ac:dyDescent="0.25">
      <c r="B4" s="11" t="s">
        <v>94</v>
      </c>
      <c r="C4" s="9" t="s">
        <v>74</v>
      </c>
      <c r="D4" s="298" t="s">
        <v>75</v>
      </c>
      <c r="E4" s="298"/>
      <c r="F4" s="298"/>
      <c r="G4" s="12"/>
      <c r="H4" s="298" t="s">
        <v>76</v>
      </c>
      <c r="I4" s="298"/>
      <c r="J4" s="298"/>
      <c r="K4" s="298" t="s">
        <v>77</v>
      </c>
      <c r="L4" s="298"/>
      <c r="M4" s="298"/>
    </row>
    <row r="5" spans="2:13" x14ac:dyDescent="0.25">
      <c r="B5" s="11">
        <v>705</v>
      </c>
      <c r="C5" s="9"/>
      <c r="D5" s="9" t="s">
        <v>78</v>
      </c>
      <c r="E5" s="9" t="s">
        <v>79</v>
      </c>
      <c r="F5" s="9" t="s">
        <v>80</v>
      </c>
      <c r="G5" s="9"/>
      <c r="H5" s="9" t="s">
        <v>78</v>
      </c>
      <c r="I5" s="9" t="s">
        <v>79</v>
      </c>
      <c r="J5" s="9" t="s">
        <v>80</v>
      </c>
      <c r="K5" s="9" t="s">
        <v>78</v>
      </c>
      <c r="L5" s="9" t="s">
        <v>79</v>
      </c>
      <c r="M5" s="9" t="s">
        <v>80</v>
      </c>
    </row>
    <row r="6" spans="2:13" x14ac:dyDescent="0.25">
      <c r="C6" s="8" t="s">
        <v>81</v>
      </c>
      <c r="D6" s="8">
        <v>2.75</v>
      </c>
      <c r="E6" s="8">
        <v>4.5</v>
      </c>
      <c r="F6" s="8">
        <f>D6*E6</f>
        <v>12.375</v>
      </c>
      <c r="G6" s="8" t="s">
        <v>96</v>
      </c>
      <c r="H6" s="8"/>
      <c r="I6" s="8"/>
      <c r="J6" s="8">
        <f>H6*I6</f>
        <v>0</v>
      </c>
      <c r="K6" s="8">
        <v>1.5</v>
      </c>
      <c r="L6" s="8">
        <v>2.7</v>
      </c>
      <c r="M6" s="8">
        <f>K6*L6</f>
        <v>4.0500000000000007</v>
      </c>
    </row>
    <row r="7" spans="2:13" x14ac:dyDescent="0.25">
      <c r="C7" s="8"/>
      <c r="D7" s="8"/>
      <c r="E7" s="8"/>
      <c r="F7" s="8">
        <f t="shared" ref="F7:F33" si="0">D7*E7</f>
        <v>0</v>
      </c>
      <c r="G7" s="8" t="s">
        <v>97</v>
      </c>
      <c r="H7" s="8"/>
      <c r="I7" s="8"/>
      <c r="J7" s="8">
        <f t="shared" ref="J7:J29" si="1">H7*I7</f>
        <v>0</v>
      </c>
      <c r="K7" s="8"/>
      <c r="L7" s="8"/>
      <c r="M7" s="8">
        <f t="shared" ref="M7:M29" si="2">K7*L7</f>
        <v>0</v>
      </c>
    </row>
    <row r="8" spans="2:13" x14ac:dyDescent="0.25">
      <c r="C8" s="8"/>
      <c r="D8" s="8"/>
      <c r="E8" s="8"/>
      <c r="F8" s="8">
        <f t="shared" si="0"/>
        <v>0</v>
      </c>
      <c r="G8" s="8"/>
      <c r="H8" s="8"/>
      <c r="I8" s="8"/>
      <c r="J8" s="8">
        <f t="shared" si="1"/>
        <v>0</v>
      </c>
      <c r="K8" s="8"/>
      <c r="L8" s="8"/>
      <c r="M8" s="8">
        <f t="shared" si="2"/>
        <v>0</v>
      </c>
    </row>
    <row r="9" spans="2:13" x14ac:dyDescent="0.25">
      <c r="C9" s="8" t="s">
        <v>84</v>
      </c>
      <c r="D9" s="8">
        <v>2.2000000000000002</v>
      </c>
      <c r="E9" s="8">
        <f>2+0.45</f>
        <v>2.4500000000000002</v>
      </c>
      <c r="F9" s="8">
        <f t="shared" si="0"/>
        <v>5.3900000000000006</v>
      </c>
      <c r="G9" s="8" t="s">
        <v>96</v>
      </c>
      <c r="H9" s="8"/>
      <c r="I9" s="8"/>
      <c r="J9" s="8">
        <f t="shared" si="1"/>
        <v>0</v>
      </c>
      <c r="K9" s="8"/>
      <c r="L9" s="8"/>
      <c r="M9" s="8">
        <f t="shared" si="2"/>
        <v>0</v>
      </c>
    </row>
    <row r="10" spans="2:13" x14ac:dyDescent="0.25">
      <c r="C10" s="8"/>
      <c r="D10" s="8"/>
      <c r="E10" s="8"/>
      <c r="F10" s="8">
        <f t="shared" si="0"/>
        <v>0</v>
      </c>
      <c r="G10" s="8" t="s">
        <v>97</v>
      </c>
      <c r="H10" s="8"/>
      <c r="I10" s="8"/>
      <c r="J10" s="8">
        <f t="shared" si="1"/>
        <v>0</v>
      </c>
      <c r="K10" s="8"/>
      <c r="L10" s="8"/>
      <c r="M10" s="8">
        <f t="shared" si="2"/>
        <v>0</v>
      </c>
    </row>
    <row r="11" spans="2:13" x14ac:dyDescent="0.25">
      <c r="C11" s="8"/>
      <c r="D11" s="8"/>
      <c r="E11" s="8"/>
      <c r="F11" s="8">
        <f t="shared" si="0"/>
        <v>0</v>
      </c>
      <c r="G11" s="8"/>
      <c r="H11" s="8"/>
      <c r="I11" s="8"/>
      <c r="J11" s="8">
        <f t="shared" si="1"/>
        <v>0</v>
      </c>
      <c r="K11" s="8"/>
      <c r="L11" s="8"/>
      <c r="M11" s="8">
        <f t="shared" si="2"/>
        <v>0</v>
      </c>
    </row>
    <row r="12" spans="2:13" x14ac:dyDescent="0.25">
      <c r="C12" s="8"/>
      <c r="D12" s="8"/>
      <c r="E12" s="8"/>
      <c r="F12" s="8">
        <f t="shared" si="0"/>
        <v>0</v>
      </c>
      <c r="G12" s="8"/>
      <c r="H12" s="8"/>
      <c r="I12" s="8"/>
      <c r="J12" s="8">
        <f t="shared" si="1"/>
        <v>0</v>
      </c>
      <c r="K12" s="8"/>
      <c r="L12" s="8"/>
      <c r="M12" s="8">
        <f t="shared" si="2"/>
        <v>0</v>
      </c>
    </row>
    <row r="13" spans="2:13" x14ac:dyDescent="0.25">
      <c r="C13" s="8" t="s">
        <v>82</v>
      </c>
      <c r="D13" s="8">
        <v>3.2</v>
      </c>
      <c r="E13" s="8">
        <f>2.3+0.45</f>
        <v>2.75</v>
      </c>
      <c r="F13" s="8">
        <f t="shared" si="0"/>
        <v>8.8000000000000007</v>
      </c>
      <c r="G13" s="8" t="s">
        <v>96</v>
      </c>
      <c r="H13" s="8"/>
      <c r="I13" s="8"/>
      <c r="J13" s="8">
        <f t="shared" si="1"/>
        <v>0</v>
      </c>
      <c r="K13" s="8"/>
      <c r="L13" s="8"/>
      <c r="M13" s="8">
        <f t="shared" si="2"/>
        <v>0</v>
      </c>
    </row>
    <row r="14" spans="2:13" x14ac:dyDescent="0.25">
      <c r="C14" s="8"/>
      <c r="D14" s="8"/>
      <c r="E14" s="8"/>
      <c r="F14" s="8">
        <f t="shared" si="0"/>
        <v>0</v>
      </c>
      <c r="G14" s="8" t="s">
        <v>97</v>
      </c>
      <c r="H14" s="8"/>
      <c r="I14" s="8"/>
      <c r="J14" s="8">
        <f t="shared" si="1"/>
        <v>0</v>
      </c>
      <c r="K14" s="8"/>
      <c r="L14" s="8"/>
      <c r="M14" s="8">
        <f t="shared" si="2"/>
        <v>0</v>
      </c>
    </row>
    <row r="15" spans="2:13" x14ac:dyDescent="0.25">
      <c r="C15" s="8"/>
      <c r="D15" s="8"/>
      <c r="E15" s="8"/>
      <c r="F15" s="8">
        <f t="shared" si="0"/>
        <v>0</v>
      </c>
      <c r="G15" s="8"/>
      <c r="H15" s="8"/>
      <c r="I15" s="8"/>
      <c r="J15" s="8">
        <f t="shared" si="1"/>
        <v>0</v>
      </c>
      <c r="K15" s="8"/>
      <c r="L15" s="8"/>
      <c r="M15" s="8">
        <f t="shared" si="2"/>
        <v>0</v>
      </c>
    </row>
    <row r="16" spans="2:13" x14ac:dyDescent="0.25">
      <c r="C16" s="8"/>
      <c r="D16" s="8"/>
      <c r="E16" s="8"/>
      <c r="F16" s="8">
        <f t="shared" si="0"/>
        <v>0</v>
      </c>
      <c r="G16" s="8"/>
      <c r="H16" s="8"/>
      <c r="I16" s="8"/>
      <c r="J16" s="8">
        <f t="shared" si="1"/>
        <v>0</v>
      </c>
      <c r="K16" s="8"/>
      <c r="L16" s="8"/>
      <c r="M16" s="8">
        <f t="shared" si="2"/>
        <v>0</v>
      </c>
    </row>
    <row r="17" spans="3:13" x14ac:dyDescent="0.25">
      <c r="C17" s="8" t="s">
        <v>83</v>
      </c>
      <c r="D17" s="8"/>
      <c r="E17" s="8"/>
      <c r="F17" s="8">
        <f t="shared" si="0"/>
        <v>0</v>
      </c>
      <c r="G17" s="8" t="s">
        <v>96</v>
      </c>
      <c r="H17" s="8"/>
      <c r="I17" s="8"/>
      <c r="J17" s="8">
        <f t="shared" si="1"/>
        <v>0</v>
      </c>
      <c r="K17" s="8"/>
      <c r="L17" s="8"/>
      <c r="M17" s="8">
        <f t="shared" si="2"/>
        <v>0</v>
      </c>
    </row>
    <row r="18" spans="3:13" x14ac:dyDescent="0.25">
      <c r="C18" s="8"/>
      <c r="D18" s="8"/>
      <c r="E18" s="8"/>
      <c r="F18" s="8">
        <f t="shared" si="0"/>
        <v>0</v>
      </c>
      <c r="G18" s="8" t="s">
        <v>97</v>
      </c>
      <c r="H18" s="8"/>
      <c r="I18" s="8"/>
      <c r="J18" s="8">
        <f t="shared" si="1"/>
        <v>0</v>
      </c>
      <c r="K18" s="8"/>
      <c r="L18" s="8"/>
      <c r="M18" s="8">
        <f t="shared" si="2"/>
        <v>0</v>
      </c>
    </row>
    <row r="19" spans="3:13" x14ac:dyDescent="0.25">
      <c r="C19" s="8"/>
      <c r="D19" s="8"/>
      <c r="E19" s="8"/>
      <c r="F19" s="8">
        <f t="shared" si="0"/>
        <v>0</v>
      </c>
      <c r="G19" s="8"/>
      <c r="H19" s="8"/>
      <c r="I19" s="8"/>
      <c r="J19" s="8">
        <f t="shared" si="1"/>
        <v>0</v>
      </c>
      <c r="K19" s="8"/>
      <c r="L19" s="8"/>
      <c r="M19" s="8">
        <f t="shared" si="2"/>
        <v>0</v>
      </c>
    </row>
    <row r="20" spans="3:13" x14ac:dyDescent="0.25">
      <c r="C20" s="8" t="s">
        <v>83</v>
      </c>
      <c r="D20" s="8"/>
      <c r="E20" s="8"/>
      <c r="F20" s="8">
        <f t="shared" si="0"/>
        <v>0</v>
      </c>
      <c r="G20" s="8" t="s">
        <v>96</v>
      </c>
      <c r="H20" s="8"/>
      <c r="I20" s="8"/>
      <c r="J20" s="8">
        <f t="shared" si="1"/>
        <v>0</v>
      </c>
      <c r="K20" s="8"/>
      <c r="L20" s="8"/>
      <c r="M20" s="8">
        <f t="shared" si="2"/>
        <v>0</v>
      </c>
    </row>
    <row r="21" spans="3:13" x14ac:dyDescent="0.25">
      <c r="C21" s="8"/>
      <c r="D21" s="8"/>
      <c r="E21" s="8"/>
      <c r="F21" s="8">
        <f t="shared" si="0"/>
        <v>0</v>
      </c>
      <c r="G21" s="8" t="s">
        <v>97</v>
      </c>
      <c r="H21" s="8"/>
      <c r="I21" s="8"/>
      <c r="J21" s="8">
        <f t="shared" si="1"/>
        <v>0</v>
      </c>
      <c r="K21" s="8"/>
      <c r="L21" s="8"/>
      <c r="M21" s="8">
        <f t="shared" si="2"/>
        <v>0</v>
      </c>
    </row>
    <row r="22" spans="3:13" x14ac:dyDescent="0.25">
      <c r="C22" s="8"/>
      <c r="D22" s="8"/>
      <c r="E22" s="8"/>
      <c r="F22" s="8">
        <f t="shared" si="0"/>
        <v>0</v>
      </c>
      <c r="G22" s="8"/>
      <c r="H22" s="8"/>
      <c r="I22" s="8"/>
      <c r="J22" s="8">
        <f t="shared" si="1"/>
        <v>0</v>
      </c>
      <c r="K22" s="8"/>
      <c r="L22" s="8"/>
      <c r="M22" s="8">
        <f t="shared" si="2"/>
        <v>0</v>
      </c>
    </row>
    <row r="23" spans="3:13" x14ac:dyDescent="0.25">
      <c r="C23" s="8" t="s">
        <v>89</v>
      </c>
      <c r="D23" s="8">
        <v>1.25</v>
      </c>
      <c r="E23" s="8">
        <v>1.55</v>
      </c>
      <c r="F23" s="8">
        <f t="shared" si="0"/>
        <v>1.9375</v>
      </c>
      <c r="G23" s="8" t="s">
        <v>98</v>
      </c>
      <c r="H23" s="8"/>
      <c r="I23" s="8"/>
      <c r="J23" s="8">
        <f t="shared" si="1"/>
        <v>0</v>
      </c>
      <c r="K23" s="8"/>
      <c r="L23" s="8"/>
      <c r="M23" s="8">
        <f t="shared" si="2"/>
        <v>0</v>
      </c>
    </row>
    <row r="24" spans="3:13" x14ac:dyDescent="0.25">
      <c r="C24" s="8" t="s">
        <v>90</v>
      </c>
      <c r="D24" s="8">
        <v>1.1000000000000001</v>
      </c>
      <c r="E24" s="8">
        <v>1.2</v>
      </c>
      <c r="F24" s="8">
        <f t="shared" si="0"/>
        <v>1.32</v>
      </c>
      <c r="G24" s="8" t="s">
        <v>98</v>
      </c>
      <c r="H24" s="8"/>
      <c r="I24" s="8"/>
      <c r="J24" s="8">
        <f t="shared" si="1"/>
        <v>0</v>
      </c>
      <c r="K24" s="8"/>
      <c r="L24" s="8"/>
      <c r="M24" s="8">
        <f t="shared" si="2"/>
        <v>0</v>
      </c>
    </row>
    <row r="25" spans="3:13" x14ac:dyDescent="0.25">
      <c r="C25" s="8" t="s">
        <v>91</v>
      </c>
      <c r="D25" s="8"/>
      <c r="E25" s="8"/>
      <c r="F25" s="8">
        <f t="shared" si="0"/>
        <v>0</v>
      </c>
      <c r="G25" s="8" t="s">
        <v>98</v>
      </c>
      <c r="H25" s="8"/>
      <c r="I25" s="8"/>
      <c r="J25" s="8">
        <f t="shared" si="1"/>
        <v>0</v>
      </c>
      <c r="K25" s="8"/>
      <c r="L25" s="8"/>
      <c r="M25" s="8">
        <f t="shared" si="2"/>
        <v>0</v>
      </c>
    </row>
    <row r="26" spans="3:13" x14ac:dyDescent="0.25">
      <c r="C26" s="8"/>
      <c r="D26" s="8"/>
      <c r="E26" s="8"/>
      <c r="F26" s="8">
        <f t="shared" si="0"/>
        <v>0</v>
      </c>
      <c r="G26" s="8"/>
      <c r="H26" s="8"/>
      <c r="I26" s="8"/>
      <c r="J26" s="8">
        <f t="shared" si="1"/>
        <v>0</v>
      </c>
      <c r="K26" s="8"/>
      <c r="L26" s="8"/>
      <c r="M26" s="8">
        <f t="shared" si="2"/>
        <v>0</v>
      </c>
    </row>
    <row r="27" spans="3:13" x14ac:dyDescent="0.25">
      <c r="C27" s="8" t="s">
        <v>85</v>
      </c>
      <c r="D27" s="8">
        <v>2.5499999999999998</v>
      </c>
      <c r="E27" s="8">
        <v>0.9</v>
      </c>
      <c r="F27" s="8">
        <f t="shared" si="0"/>
        <v>2.2949999999999999</v>
      </c>
      <c r="G27" s="8"/>
      <c r="H27" s="8"/>
      <c r="I27" s="8"/>
      <c r="J27" s="8">
        <f t="shared" si="1"/>
        <v>0</v>
      </c>
      <c r="K27" s="8"/>
      <c r="L27" s="8"/>
      <c r="M27" s="8">
        <f t="shared" si="2"/>
        <v>0</v>
      </c>
    </row>
    <row r="28" spans="3:13" x14ac:dyDescent="0.25">
      <c r="C28" s="8" t="s">
        <v>86</v>
      </c>
      <c r="D28" s="8">
        <v>1.25</v>
      </c>
      <c r="E28" s="8">
        <v>0.45</v>
      </c>
      <c r="F28" s="8">
        <f t="shared" si="0"/>
        <v>0.5625</v>
      </c>
      <c r="G28" s="8"/>
      <c r="H28" s="8"/>
      <c r="I28" s="8"/>
      <c r="J28" s="8">
        <f t="shared" si="1"/>
        <v>0</v>
      </c>
      <c r="K28" s="8"/>
      <c r="L28" s="8"/>
      <c r="M28" s="8">
        <f t="shared" si="2"/>
        <v>0</v>
      </c>
    </row>
    <row r="29" spans="3:13" x14ac:dyDescent="0.25">
      <c r="C29" s="8" t="s">
        <v>87</v>
      </c>
      <c r="D29" s="8"/>
      <c r="E29" s="8"/>
      <c r="F29" s="8">
        <f t="shared" si="0"/>
        <v>0</v>
      </c>
      <c r="G29" s="8"/>
      <c r="H29" s="8"/>
      <c r="I29" s="8"/>
      <c r="J29" s="8">
        <f t="shared" si="1"/>
        <v>0</v>
      </c>
      <c r="K29" s="8"/>
      <c r="L29" s="8"/>
      <c r="M29" s="8">
        <f t="shared" si="2"/>
        <v>0</v>
      </c>
    </row>
    <row r="30" spans="3:13" x14ac:dyDescent="0.25">
      <c r="C30" s="8" t="s">
        <v>88</v>
      </c>
      <c r="D30" s="8"/>
      <c r="E30" s="8"/>
      <c r="F30" s="8">
        <f t="shared" si="0"/>
        <v>0</v>
      </c>
      <c r="G30" s="8"/>
      <c r="H30" s="8"/>
      <c r="I30" s="8"/>
      <c r="J30" s="8">
        <f>H30*I30</f>
        <v>0</v>
      </c>
      <c r="K30" s="8"/>
      <c r="L30" s="8"/>
      <c r="M30" s="8">
        <f>K30*L30</f>
        <v>0</v>
      </c>
    </row>
    <row r="31" spans="3:13" x14ac:dyDescent="0.25">
      <c r="C31" s="8"/>
      <c r="D31" s="8"/>
      <c r="E31" s="8"/>
      <c r="F31" s="8">
        <f t="shared" si="0"/>
        <v>0</v>
      </c>
      <c r="G31" s="8"/>
      <c r="H31" s="8"/>
      <c r="I31" s="8"/>
      <c r="J31" s="8">
        <f>H31*I31</f>
        <v>0</v>
      </c>
      <c r="K31" s="8"/>
      <c r="L31" s="8"/>
      <c r="M31" s="8">
        <f>K31*L31</f>
        <v>0</v>
      </c>
    </row>
    <row r="32" spans="3:13" x14ac:dyDescent="0.25">
      <c r="C32" s="8"/>
      <c r="D32" s="8"/>
      <c r="E32" s="8"/>
      <c r="F32" s="8">
        <f t="shared" si="0"/>
        <v>0</v>
      </c>
      <c r="G32" s="8"/>
      <c r="H32" s="8"/>
      <c r="I32" s="8"/>
      <c r="J32" s="8">
        <f>H32*I32</f>
        <v>0</v>
      </c>
      <c r="K32" s="8"/>
      <c r="L32" s="8"/>
      <c r="M32" s="8">
        <f>K32*L32</f>
        <v>0</v>
      </c>
    </row>
    <row r="33" spans="3:13" x14ac:dyDescent="0.25">
      <c r="C33" s="8"/>
      <c r="D33" s="8"/>
      <c r="E33" s="8"/>
      <c r="F33" s="8">
        <f t="shared" si="0"/>
        <v>0</v>
      </c>
      <c r="G33" s="8"/>
      <c r="H33" s="8"/>
      <c r="I33" s="8"/>
      <c r="J33" s="8">
        <f>H33*I33</f>
        <v>0</v>
      </c>
      <c r="K33" s="8"/>
      <c r="L33" s="8"/>
      <c r="M33" s="8">
        <f>K33*L33</f>
        <v>0</v>
      </c>
    </row>
    <row r="34" spans="3:13" x14ac:dyDescent="0.25">
      <c r="C34" s="8" t="s">
        <v>92</v>
      </c>
      <c r="D34" s="8"/>
      <c r="E34" s="8">
        <f>F34*10.764</f>
        <v>351.76751999999999</v>
      </c>
      <c r="F34" s="8">
        <f>SUM(F6:F33)</f>
        <v>32.68</v>
      </c>
      <c r="G34" s="8"/>
      <c r="H34" s="8"/>
      <c r="I34" s="8">
        <f>J34*10.764</f>
        <v>0</v>
      </c>
      <c r="J34" s="8">
        <f>SUM(J6:J33)</f>
        <v>0</v>
      </c>
      <c r="K34" s="8"/>
      <c r="L34" s="8">
        <f>M34*10.764</f>
        <v>43.594200000000008</v>
      </c>
      <c r="M34" s="8">
        <f>SUM(M6:M33)</f>
        <v>4.0500000000000007</v>
      </c>
    </row>
  </sheetData>
  <mergeCells count="4">
    <mergeCell ref="D2:E2"/>
    <mergeCell ref="D4:F4"/>
    <mergeCell ref="H4:J4"/>
    <mergeCell ref="K4:M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0"/>
  <sheetViews>
    <sheetView workbookViewId="0">
      <selection activeCell="A63" sqref="A63:J63"/>
    </sheetView>
  </sheetViews>
  <sheetFormatPr defaultRowHeight="15" x14ac:dyDescent="0.25"/>
  <cols>
    <col min="2" max="2" width="11.7109375" customWidth="1"/>
  </cols>
  <sheetData>
    <row r="2" spans="1:16" x14ac:dyDescent="0.25">
      <c r="A2" t="s">
        <v>110</v>
      </c>
      <c r="B2" s="19" t="s">
        <v>130</v>
      </c>
      <c r="C2" s="13">
        <v>7</v>
      </c>
    </row>
    <row r="3" spans="1:16" x14ac:dyDescent="0.25">
      <c r="B3" t="s">
        <v>111</v>
      </c>
      <c r="C3" t="s">
        <v>112</v>
      </c>
    </row>
    <row r="4" spans="1:16" x14ac:dyDescent="0.25">
      <c r="A4" t="s">
        <v>113</v>
      </c>
      <c r="B4" s="8">
        <v>10</v>
      </c>
      <c r="C4" s="20">
        <v>10</v>
      </c>
      <c r="D4" s="14"/>
      <c r="E4" s="14">
        <f>C4*10</f>
        <v>100</v>
      </c>
      <c r="F4" s="14"/>
    </row>
    <row r="5" spans="1:16" x14ac:dyDescent="0.25">
      <c r="A5" t="s">
        <v>114</v>
      </c>
      <c r="B5" t="s">
        <v>115</v>
      </c>
      <c r="C5" t="s">
        <v>116</v>
      </c>
      <c r="J5" s="8" t="s">
        <v>117</v>
      </c>
      <c r="K5" s="8" t="s">
        <v>118</v>
      </c>
      <c r="L5" s="8" t="s">
        <v>119</v>
      </c>
      <c r="M5" s="8" t="s">
        <v>37</v>
      </c>
      <c r="N5" s="8" t="s">
        <v>43</v>
      </c>
      <c r="O5" s="8" t="s">
        <v>120</v>
      </c>
      <c r="P5" s="8" t="s">
        <v>44</v>
      </c>
    </row>
    <row r="6" spans="1:16" x14ac:dyDescent="0.25">
      <c r="B6" s="8">
        <f>C2+1</f>
        <v>8</v>
      </c>
      <c r="C6" s="20">
        <v>8</v>
      </c>
      <c r="D6" s="14"/>
      <c r="E6" s="14">
        <f>(100/B6)*C6</f>
        <v>100</v>
      </c>
      <c r="F6" s="14"/>
      <c r="G6" s="15" t="s">
        <v>121</v>
      </c>
      <c r="J6" s="15">
        <f>C4</f>
        <v>10</v>
      </c>
      <c r="K6" s="15">
        <f>40/B6*C6</f>
        <v>40</v>
      </c>
      <c r="L6" s="15">
        <f>15/B8*C8</f>
        <v>15</v>
      </c>
      <c r="M6" s="15">
        <f>10/B10*C10</f>
        <v>10</v>
      </c>
      <c r="N6" s="15">
        <f>10/B12*C12</f>
        <v>1.4285714285714286</v>
      </c>
      <c r="O6" s="15">
        <f>5/B14*C14</f>
        <v>0</v>
      </c>
      <c r="P6" s="15">
        <f>5/B16*C16</f>
        <v>0</v>
      </c>
    </row>
    <row r="7" spans="1:16" x14ac:dyDescent="0.25">
      <c r="A7" t="s">
        <v>122</v>
      </c>
      <c r="B7" t="s">
        <v>123</v>
      </c>
      <c r="C7" t="s">
        <v>124</v>
      </c>
      <c r="G7" s="8" t="s">
        <v>125</v>
      </c>
      <c r="H7" s="8"/>
      <c r="I7" s="8"/>
      <c r="J7" s="8">
        <f>J6+20</f>
        <v>30</v>
      </c>
      <c r="K7" s="8">
        <f>30/B6*C6</f>
        <v>30</v>
      </c>
      <c r="L7" s="8">
        <f>15/B8*C8</f>
        <v>15</v>
      </c>
      <c r="M7" s="8">
        <f>10/B10*C10</f>
        <v>10</v>
      </c>
      <c r="N7" s="8">
        <f>5/B12*C12</f>
        <v>0.7142857142857143</v>
      </c>
      <c r="O7" s="8">
        <f>5/B14*C14</f>
        <v>0</v>
      </c>
      <c r="P7" s="8">
        <f>5/B16*C16</f>
        <v>0</v>
      </c>
    </row>
    <row r="8" spans="1:16" x14ac:dyDescent="0.25">
      <c r="B8" s="8">
        <f>C2</f>
        <v>7</v>
      </c>
      <c r="C8" s="20">
        <v>7</v>
      </c>
      <c r="D8" s="14"/>
      <c r="E8" s="14">
        <f>(100/B8)*C8</f>
        <v>100</v>
      </c>
      <c r="F8" s="14"/>
    </row>
    <row r="9" spans="1:16" x14ac:dyDescent="0.25">
      <c r="A9" t="s">
        <v>126</v>
      </c>
      <c r="B9" t="s">
        <v>123</v>
      </c>
      <c r="C9" t="s">
        <v>124</v>
      </c>
    </row>
    <row r="10" spans="1:16" x14ac:dyDescent="0.25">
      <c r="B10" s="8">
        <f>C2</f>
        <v>7</v>
      </c>
      <c r="C10" s="20">
        <v>7</v>
      </c>
      <c r="D10" s="14"/>
      <c r="E10" s="14">
        <f>(100/B10)*C10</f>
        <v>100</v>
      </c>
      <c r="F10" s="14"/>
    </row>
    <row r="11" spans="1:16" x14ac:dyDescent="0.25">
      <c r="A11" t="s">
        <v>43</v>
      </c>
      <c r="B11" t="s">
        <v>123</v>
      </c>
      <c r="C11" t="s">
        <v>124</v>
      </c>
    </row>
    <row r="12" spans="1:16" x14ac:dyDescent="0.25">
      <c r="B12" s="8">
        <f>C2</f>
        <v>7</v>
      </c>
      <c r="C12" s="20">
        <v>1</v>
      </c>
      <c r="D12" s="14"/>
      <c r="E12" s="22">
        <f>(100/B12)*C12</f>
        <v>14.285714285714286</v>
      </c>
      <c r="F12" s="14"/>
      <c r="J12" s="8"/>
      <c r="K12" s="8" t="s">
        <v>121</v>
      </c>
      <c r="L12" s="8" t="s">
        <v>127</v>
      </c>
      <c r="M12" s="14" t="s">
        <v>128</v>
      </c>
    </row>
    <row r="13" spans="1:16" ht="30" x14ac:dyDescent="0.25">
      <c r="A13" s="16" t="s">
        <v>120</v>
      </c>
      <c r="B13" t="s">
        <v>123</v>
      </c>
      <c r="C13" t="s">
        <v>124</v>
      </c>
      <c r="J13" s="8" t="s">
        <v>35</v>
      </c>
      <c r="K13" s="8">
        <f>J6</f>
        <v>10</v>
      </c>
      <c r="L13" s="8">
        <f>J7</f>
        <v>30</v>
      </c>
      <c r="M13" s="14" t="s">
        <v>128</v>
      </c>
    </row>
    <row r="14" spans="1:16" x14ac:dyDescent="0.25">
      <c r="B14" s="8">
        <f>C2</f>
        <v>7</v>
      </c>
      <c r="C14" s="20">
        <v>0</v>
      </c>
      <c r="D14" s="14"/>
      <c r="E14" s="14">
        <f>(100/B14)*C14</f>
        <v>0</v>
      </c>
      <c r="F14" s="14"/>
      <c r="J14" s="8" t="s">
        <v>36</v>
      </c>
      <c r="K14" s="8">
        <f>K6</f>
        <v>40</v>
      </c>
      <c r="L14" s="8">
        <f>K7</f>
        <v>30</v>
      </c>
      <c r="M14" s="14"/>
    </row>
    <row r="15" spans="1:16" x14ac:dyDescent="0.25">
      <c r="A15" t="s">
        <v>44</v>
      </c>
      <c r="B15" t="s">
        <v>123</v>
      </c>
      <c r="C15" t="s">
        <v>124</v>
      </c>
      <c r="J15" s="8" t="s">
        <v>119</v>
      </c>
      <c r="K15" s="8">
        <f>L6</f>
        <v>15</v>
      </c>
      <c r="L15" s="8">
        <f>L7</f>
        <v>15</v>
      </c>
      <c r="M15" s="14"/>
    </row>
    <row r="16" spans="1:16" x14ac:dyDescent="0.25">
      <c r="B16" s="8">
        <f>C2</f>
        <v>7</v>
      </c>
      <c r="C16" s="20">
        <v>0</v>
      </c>
      <c r="D16" s="14"/>
      <c r="E16" s="14">
        <f>(100/B16)*C16</f>
        <v>0</v>
      </c>
      <c r="F16" s="14"/>
      <c r="J16" s="8" t="s">
        <v>37</v>
      </c>
      <c r="K16" s="8">
        <f>M6</f>
        <v>10</v>
      </c>
      <c r="L16" s="8">
        <f>M7</f>
        <v>10</v>
      </c>
      <c r="M16" s="14"/>
    </row>
    <row r="17" spans="10:13" x14ac:dyDescent="0.25">
      <c r="J17" s="8" t="s">
        <v>43</v>
      </c>
      <c r="K17" s="8">
        <f>N6</f>
        <v>1.4285714285714286</v>
      </c>
      <c r="L17" s="8">
        <f>N7</f>
        <v>0.7142857142857143</v>
      </c>
      <c r="M17" s="14"/>
    </row>
    <row r="18" spans="10:13" ht="30" x14ac:dyDescent="0.25">
      <c r="J18" s="17" t="s">
        <v>120</v>
      </c>
      <c r="K18" s="8">
        <f>O6</f>
        <v>0</v>
      </c>
      <c r="L18" s="8">
        <f>O7</f>
        <v>0</v>
      </c>
      <c r="M18" s="14"/>
    </row>
    <row r="19" spans="10:13" x14ac:dyDescent="0.25">
      <c r="J19" s="8" t="s">
        <v>44</v>
      </c>
      <c r="K19" s="8">
        <f>P6</f>
        <v>0</v>
      </c>
      <c r="L19" s="8">
        <f>P7</f>
        <v>0</v>
      </c>
      <c r="M19" s="14"/>
    </row>
    <row r="20" spans="10:13" x14ac:dyDescent="0.25">
      <c r="J20" s="8" t="s">
        <v>129</v>
      </c>
      <c r="K20" s="8">
        <f>K13+K14+K15+K16+K17+K18+K19</f>
        <v>76.428571428571431</v>
      </c>
      <c r="L20" s="8">
        <f>L13+L14+L15+L16+L17+L18+L19</f>
        <v>85.714285714285708</v>
      </c>
      <c r="M20" s="1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0"/>
  <sheetViews>
    <sheetView workbookViewId="0">
      <selection activeCell="A63" sqref="A63:J63"/>
    </sheetView>
  </sheetViews>
  <sheetFormatPr defaultRowHeight="15" x14ac:dyDescent="0.25"/>
  <cols>
    <col min="2" max="2" width="11.7109375" customWidth="1"/>
  </cols>
  <sheetData>
    <row r="2" spans="1:16" x14ac:dyDescent="0.25">
      <c r="A2" t="s">
        <v>110</v>
      </c>
      <c r="B2" s="13" t="s">
        <v>130</v>
      </c>
      <c r="C2" s="13">
        <v>4</v>
      </c>
    </row>
    <row r="3" spans="1:16" x14ac:dyDescent="0.25">
      <c r="B3" t="s">
        <v>111</v>
      </c>
      <c r="C3" t="s">
        <v>112</v>
      </c>
    </row>
    <row r="4" spans="1:16" x14ac:dyDescent="0.25">
      <c r="A4" t="s">
        <v>113</v>
      </c>
      <c r="B4" s="8">
        <v>10</v>
      </c>
      <c r="C4" s="20">
        <v>0</v>
      </c>
      <c r="D4" s="14"/>
      <c r="E4" s="14">
        <f>C4*10</f>
        <v>0</v>
      </c>
      <c r="F4" s="14"/>
    </row>
    <row r="5" spans="1:16" x14ac:dyDescent="0.25">
      <c r="A5" t="s">
        <v>114</v>
      </c>
      <c r="B5" t="s">
        <v>115</v>
      </c>
      <c r="C5" t="s">
        <v>116</v>
      </c>
      <c r="J5" s="8" t="s">
        <v>117</v>
      </c>
      <c r="K5" s="8" t="s">
        <v>118</v>
      </c>
      <c r="L5" s="8" t="s">
        <v>119</v>
      </c>
      <c r="M5" s="8" t="s">
        <v>37</v>
      </c>
      <c r="N5" s="8" t="s">
        <v>43</v>
      </c>
      <c r="O5" s="8" t="s">
        <v>120</v>
      </c>
      <c r="P5" s="8" t="s">
        <v>44</v>
      </c>
    </row>
    <row r="6" spans="1:16" x14ac:dyDescent="0.25">
      <c r="B6" s="8">
        <f>C2+1</f>
        <v>5</v>
      </c>
      <c r="C6" s="20">
        <v>0</v>
      </c>
      <c r="D6" s="14"/>
      <c r="E6" s="14">
        <f>(100/B6)*C6</f>
        <v>0</v>
      </c>
      <c r="F6" s="14"/>
      <c r="G6" s="15" t="s">
        <v>121</v>
      </c>
      <c r="J6" s="15">
        <f>C4</f>
        <v>0</v>
      </c>
      <c r="K6" s="15">
        <f>40/B6*C6</f>
        <v>0</v>
      </c>
      <c r="L6" s="15">
        <f>15/B8*C8</f>
        <v>0</v>
      </c>
      <c r="M6" s="15">
        <f>10/B10*C10</f>
        <v>0</v>
      </c>
      <c r="N6" s="15">
        <f>10/B12*C12</f>
        <v>0</v>
      </c>
      <c r="O6" s="15">
        <f>5/B14*C14</f>
        <v>0</v>
      </c>
      <c r="P6" s="15">
        <f>5/B16*C16</f>
        <v>0</v>
      </c>
    </row>
    <row r="7" spans="1:16" x14ac:dyDescent="0.25">
      <c r="A7" t="s">
        <v>122</v>
      </c>
      <c r="B7" t="s">
        <v>123</v>
      </c>
      <c r="C7" t="s">
        <v>124</v>
      </c>
      <c r="G7" s="8" t="s">
        <v>125</v>
      </c>
      <c r="H7" s="8"/>
      <c r="I7" s="8"/>
      <c r="J7" s="8">
        <f>J6+20</f>
        <v>20</v>
      </c>
      <c r="K7" s="8">
        <f>30/B6*C6</f>
        <v>0</v>
      </c>
      <c r="L7" s="8">
        <f>15/B8*C8</f>
        <v>0</v>
      </c>
      <c r="M7" s="8">
        <f>10/B10*C10</f>
        <v>0</v>
      </c>
      <c r="N7" s="8">
        <f>5/B12*C12</f>
        <v>0</v>
      </c>
      <c r="O7" s="8">
        <f>5/B14*C14</f>
        <v>0</v>
      </c>
      <c r="P7" s="8">
        <f>5/B16*C16</f>
        <v>0</v>
      </c>
    </row>
    <row r="8" spans="1:16" x14ac:dyDescent="0.25">
      <c r="B8" s="8">
        <f>C2</f>
        <v>4</v>
      </c>
      <c r="C8" s="20">
        <v>0</v>
      </c>
      <c r="D8" s="14"/>
      <c r="E8" s="14">
        <f>(100/B8)*C8</f>
        <v>0</v>
      </c>
      <c r="F8" s="14"/>
    </row>
    <row r="9" spans="1:16" x14ac:dyDescent="0.25">
      <c r="A9" t="s">
        <v>126</v>
      </c>
      <c r="B9" t="s">
        <v>123</v>
      </c>
      <c r="C9" t="s">
        <v>124</v>
      </c>
    </row>
    <row r="10" spans="1:16" x14ac:dyDescent="0.25">
      <c r="B10" s="8">
        <f>C2</f>
        <v>4</v>
      </c>
      <c r="C10" s="20">
        <v>0</v>
      </c>
      <c r="D10" s="14"/>
      <c r="E10" s="14">
        <f>(100/B10)*C10</f>
        <v>0</v>
      </c>
      <c r="F10" s="14"/>
    </row>
    <row r="11" spans="1:16" x14ac:dyDescent="0.25">
      <c r="A11" t="s">
        <v>43</v>
      </c>
      <c r="B11" t="s">
        <v>123</v>
      </c>
      <c r="C11" t="s">
        <v>124</v>
      </c>
    </row>
    <row r="12" spans="1:16" x14ac:dyDescent="0.25">
      <c r="B12" s="8">
        <f>C2</f>
        <v>4</v>
      </c>
      <c r="C12" s="20">
        <v>0</v>
      </c>
      <c r="D12" s="14"/>
      <c r="E12" s="14">
        <f>(100/B12)*C12</f>
        <v>0</v>
      </c>
      <c r="F12" s="14"/>
      <c r="J12" s="8"/>
      <c r="K12" s="8" t="s">
        <v>121</v>
      </c>
      <c r="L12" s="8" t="s">
        <v>127</v>
      </c>
      <c r="M12" s="14" t="s">
        <v>128</v>
      </c>
    </row>
    <row r="13" spans="1:16" ht="30" x14ac:dyDescent="0.25">
      <c r="A13" s="16" t="s">
        <v>120</v>
      </c>
      <c r="B13" t="s">
        <v>123</v>
      </c>
      <c r="C13" t="s">
        <v>124</v>
      </c>
      <c r="J13" s="8" t="s">
        <v>35</v>
      </c>
      <c r="K13" s="8">
        <f>J6</f>
        <v>0</v>
      </c>
      <c r="L13" s="8">
        <f>J7</f>
        <v>20</v>
      </c>
      <c r="M13" s="14" t="s">
        <v>128</v>
      </c>
    </row>
    <row r="14" spans="1:16" x14ac:dyDescent="0.25">
      <c r="B14" s="8">
        <f>C2</f>
        <v>4</v>
      </c>
      <c r="C14" s="20">
        <v>0</v>
      </c>
      <c r="D14" s="14"/>
      <c r="E14" s="14">
        <f>(100/B14)*C14</f>
        <v>0</v>
      </c>
      <c r="F14" s="14"/>
      <c r="J14" s="8" t="s">
        <v>36</v>
      </c>
      <c r="K14" s="8">
        <f>K6</f>
        <v>0</v>
      </c>
      <c r="L14" s="8">
        <f>K7</f>
        <v>0</v>
      </c>
      <c r="M14" s="14"/>
    </row>
    <row r="15" spans="1:16" x14ac:dyDescent="0.25">
      <c r="A15" t="s">
        <v>44</v>
      </c>
      <c r="B15" t="s">
        <v>123</v>
      </c>
      <c r="C15" t="s">
        <v>124</v>
      </c>
      <c r="J15" s="8" t="s">
        <v>119</v>
      </c>
      <c r="K15" s="8">
        <f>L6</f>
        <v>0</v>
      </c>
      <c r="L15" s="8">
        <f>L7</f>
        <v>0</v>
      </c>
      <c r="M15" s="14"/>
    </row>
    <row r="16" spans="1:16" x14ac:dyDescent="0.25">
      <c r="B16" s="8">
        <f>C2</f>
        <v>4</v>
      </c>
      <c r="C16" s="20">
        <v>0</v>
      </c>
      <c r="D16" s="14"/>
      <c r="E16" s="14">
        <f>(100/B16)*C16</f>
        <v>0</v>
      </c>
      <c r="F16" s="14"/>
      <c r="J16" s="8" t="s">
        <v>37</v>
      </c>
      <c r="K16" s="8">
        <f>M6</f>
        <v>0</v>
      </c>
      <c r="L16" s="8">
        <f>M7</f>
        <v>0</v>
      </c>
      <c r="M16" s="14"/>
    </row>
    <row r="17" spans="10:13" x14ac:dyDescent="0.25">
      <c r="J17" s="8" t="s">
        <v>43</v>
      </c>
      <c r="K17" s="8">
        <f>N6</f>
        <v>0</v>
      </c>
      <c r="L17" s="8">
        <f>N7</f>
        <v>0</v>
      </c>
      <c r="M17" s="14"/>
    </row>
    <row r="18" spans="10:13" ht="30" x14ac:dyDescent="0.25">
      <c r="J18" s="17" t="s">
        <v>120</v>
      </c>
      <c r="K18" s="8">
        <f>O6</f>
        <v>0</v>
      </c>
      <c r="L18" s="8">
        <f>O7</f>
        <v>0</v>
      </c>
      <c r="M18" s="14"/>
    </row>
    <row r="19" spans="10:13" x14ac:dyDescent="0.25">
      <c r="J19" s="8" t="s">
        <v>44</v>
      </c>
      <c r="K19" s="8">
        <f>P6</f>
        <v>0</v>
      </c>
      <c r="L19" s="8">
        <f>P7</f>
        <v>0</v>
      </c>
      <c r="M19" s="14"/>
    </row>
    <row r="20" spans="10:13" x14ac:dyDescent="0.25">
      <c r="J20" s="8" t="s">
        <v>129</v>
      </c>
      <c r="K20" s="8">
        <f>K13+K14+K15+K16+K17+K18+K19</f>
        <v>0</v>
      </c>
      <c r="L20" s="8">
        <f>L13+L14+L15+L16+L17+L18+L19</f>
        <v>20</v>
      </c>
      <c r="M20"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Sheet1</vt:lpstr>
      <vt:lpstr>Construction %</vt:lpstr>
      <vt:lpstr>Sheet2</vt:lpstr>
      <vt:lpstr>Wing A</vt:lpstr>
      <vt:lpstr>Construction % (2)</vt:lpstr>
      <vt:lpstr>Construction % (3)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Welcome</cp:lastModifiedBy>
  <cp:lastPrinted>2025-09-13T12:41:28Z</cp:lastPrinted>
  <dcterms:created xsi:type="dcterms:W3CDTF">2013-11-23T05:32:33Z</dcterms:created>
  <dcterms:modified xsi:type="dcterms:W3CDTF">2025-09-13T12:41:36Z</dcterms:modified>
</cp:coreProperties>
</file>