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 l="1"/>
  <c r="J76" i="1"/>
  <c r="J75" i="1"/>
  <c r="J74" i="1"/>
  <c r="H67" i="1"/>
  <c r="J71" i="1" l="1"/>
  <c r="C70" i="1" s="1"/>
  <c r="D70" i="1" s="1"/>
  <c r="J72" i="1"/>
  <c r="J73" i="1" s="1"/>
  <c r="J78" i="1" s="1"/>
  <c r="J79" i="1" s="1"/>
  <c r="D76" i="1"/>
  <c r="D79" i="1"/>
  <c r="D75" i="1"/>
  <c r="D71" i="1"/>
  <c r="J70" i="1"/>
  <c r="D77" i="1"/>
  <c r="J66" i="1"/>
  <c r="J68" i="1" s="1"/>
  <c r="D78" i="1"/>
  <c r="D74" i="1"/>
  <c r="E70" i="1"/>
  <c r="J69" i="1"/>
  <c r="D73" i="1"/>
  <c r="D72" i="1"/>
  <c r="I138" i="1"/>
  <c r="I67" i="1" l="1"/>
  <c r="I68" i="1" s="1"/>
  <c r="G70" i="1"/>
  <c r="J67" i="1"/>
  <c r="I168" i="1"/>
  <c r="I139" i="1"/>
  <c r="I171" i="1"/>
  <c r="I161" i="1"/>
  <c r="I66" i="1" l="1"/>
  <c r="C68" i="1" s="1"/>
  <c r="G129" i="1"/>
  <c r="G131" i="1" s="1"/>
  <c r="G130" i="1"/>
  <c r="G124" i="1"/>
  <c r="G125" i="1"/>
  <c r="G126" i="1" s="1"/>
  <c r="J130" i="1" s="1"/>
  <c r="D155" i="1"/>
  <c r="D154" i="1"/>
  <c r="D153" i="1"/>
  <c r="D152" i="1"/>
  <c r="D151" i="1"/>
  <c r="D150" i="1"/>
  <c r="D149" i="1"/>
  <c r="D148" i="1"/>
  <c r="D145" i="1"/>
  <c r="D144" i="1"/>
  <c r="D143" i="1"/>
  <c r="D142" i="1"/>
  <c r="D141" i="1"/>
  <c r="D140" i="1"/>
  <c r="D139" i="1"/>
  <c r="D138" i="1"/>
  <c r="C124" i="1" s="1"/>
  <c r="C125" i="1" l="1"/>
  <c r="C126" i="1"/>
  <c r="E124" i="1"/>
  <c r="E125" i="1"/>
  <c r="E126" i="1" s="1"/>
  <c r="K118" i="1"/>
  <c r="K167" i="1"/>
  <c r="K174" i="1"/>
  <c r="K175" i="1"/>
  <c r="K182" i="1"/>
  <c r="M163" i="1"/>
  <c r="L164" i="1"/>
  <c r="L163" i="1"/>
  <c r="N139" i="1"/>
  <c r="D188" i="1"/>
  <c r="D187" i="1"/>
  <c r="K187" i="1" s="1"/>
  <c r="D186" i="1"/>
  <c r="K186" i="1" s="1"/>
  <c r="D184" i="1"/>
  <c r="D183" i="1"/>
  <c r="K183" i="1" s="1"/>
  <c r="D185" i="1"/>
  <c r="D171" i="1"/>
  <c r="K171" i="1" s="1"/>
  <c r="D173" i="1"/>
  <c r="D172" i="1"/>
  <c r="D170" i="1"/>
  <c r="K170" i="1" s="1"/>
  <c r="D169" i="1"/>
  <c r="K169" i="1" s="1"/>
  <c r="D168" i="1"/>
  <c r="K168" i="1" s="1"/>
  <c r="G183" i="1"/>
  <c r="G168" i="1"/>
  <c r="D180" i="1"/>
  <c r="K180" i="1" s="1"/>
  <c r="D181" i="1"/>
  <c r="K181" i="1" s="1"/>
  <c r="D179" i="1"/>
  <c r="D177" i="1"/>
  <c r="K177" i="1" s="1"/>
  <c r="E177" i="1"/>
  <c r="E178" i="1"/>
  <c r="D178" i="1"/>
  <c r="K178" i="1" s="1"/>
  <c r="A177" i="1"/>
  <c r="A178" i="1" s="1"/>
  <c r="A179" i="1" s="1"/>
  <c r="A180" i="1" s="1"/>
  <c r="A181" i="1" s="1"/>
  <c r="G176" i="1"/>
  <c r="D176" i="1"/>
  <c r="E165" i="1"/>
  <c r="E164" i="1"/>
  <c r="D166" i="1"/>
  <c r="D165" i="1"/>
  <c r="D164" i="1"/>
  <c r="K164" i="1" s="1"/>
  <c r="D162" i="1"/>
  <c r="K162" i="1" s="1"/>
  <c r="D163" i="1"/>
  <c r="K163" i="1" s="1"/>
  <c r="D161" i="1"/>
  <c r="K155" i="1"/>
  <c r="K154" i="1"/>
  <c r="K139" i="1"/>
  <c r="K153" i="1"/>
  <c r="K152" i="1"/>
  <c r="K151" i="1"/>
  <c r="K150" i="1"/>
  <c r="K149" i="1"/>
  <c r="K148" i="1"/>
  <c r="K145" i="1"/>
  <c r="K144" i="1"/>
  <c r="K142" i="1"/>
  <c r="K143" i="1"/>
  <c r="K141" i="1"/>
  <c r="K140" i="1"/>
  <c r="G148" i="1"/>
  <c r="C48" i="1"/>
  <c r="A183" i="1"/>
  <c r="A168" i="1"/>
  <c r="K166" i="1" l="1"/>
  <c r="I166" i="1"/>
  <c r="K161" i="1"/>
  <c r="E129" i="1"/>
  <c r="E130" i="1"/>
  <c r="K185" i="1"/>
  <c r="K165" i="1"/>
  <c r="K138" i="1"/>
  <c r="C129" i="1"/>
  <c r="C131" i="1" s="1"/>
  <c r="K188" i="1"/>
  <c r="K184" i="1"/>
  <c r="K176" i="1"/>
  <c r="K172" i="1"/>
  <c r="K173" i="1"/>
  <c r="C130" i="1"/>
  <c r="K179" i="1"/>
  <c r="C13" i="1"/>
  <c r="A184" i="1"/>
  <c r="A169" i="1"/>
  <c r="E131" i="1" l="1"/>
  <c r="K130" i="1" s="1"/>
  <c r="E28" i="1"/>
  <c r="A185" i="1"/>
  <c r="A170" i="1"/>
  <c r="I164" i="1" l="1"/>
  <c r="M164" i="1" s="1"/>
  <c r="A162" i="1"/>
  <c r="A163" i="1" s="1"/>
  <c r="A164" i="1" s="1"/>
  <c r="A165" i="1" s="1"/>
  <c r="A166" i="1" s="1"/>
  <c r="G161" i="1"/>
  <c r="A186" i="1"/>
  <c r="A171" i="1"/>
  <c r="F121" i="1" l="1"/>
  <c r="A187" i="1"/>
  <c r="A172" i="1"/>
  <c r="B191" i="1" l="1"/>
  <c r="A173" i="1"/>
  <c r="A188" i="1"/>
  <c r="B1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A139" i="1"/>
  <c r="A140" i="1" s="1"/>
  <c r="A141" i="1" s="1"/>
  <c r="G138" i="1"/>
  <c r="J105" i="1"/>
  <c r="J104" i="1"/>
  <c r="J103" i="1"/>
  <c r="J102" i="1"/>
  <c r="C94" i="1"/>
  <c r="J91" i="1"/>
  <c r="J90" i="1"/>
  <c r="J89" i="1"/>
  <c r="J88" i="1"/>
  <c r="D54" i="1"/>
  <c r="G48" i="1"/>
  <c r="G49" i="1" s="1"/>
  <c r="E41" i="1"/>
  <c r="E42" i="1" s="1"/>
  <c r="E25" i="1"/>
  <c r="E23" i="1"/>
  <c r="E7" i="1"/>
  <c r="E3" i="1"/>
  <c r="H81" i="1"/>
  <c r="H95" i="1"/>
  <c r="A142" i="1" l="1"/>
  <c r="A143" i="1" s="1"/>
  <c r="A144" i="1" s="1"/>
  <c r="A145" i="1" s="1"/>
  <c r="A148" i="1" s="1"/>
  <c r="A149" i="1" s="1"/>
  <c r="A150" i="1" s="1"/>
  <c r="A151" i="1" s="1"/>
  <c r="A152" i="1" s="1"/>
  <c r="A153" i="1" s="1"/>
  <c r="A154" i="1" s="1"/>
  <c r="A155" i="1" s="1"/>
  <c r="D60" i="1"/>
  <c r="D105" i="1"/>
  <c r="D106" i="1"/>
  <c r="D107" i="1"/>
  <c r="D101" i="1"/>
  <c r="D102" i="1"/>
  <c r="D103" i="1"/>
  <c r="D104" i="1"/>
  <c r="J94" i="1"/>
  <c r="D93" i="1"/>
  <c r="D91" i="1"/>
  <c r="D90" i="1"/>
  <c r="D89" i="1"/>
  <c r="D87" i="1"/>
  <c r="J80" i="1"/>
  <c r="D92" i="1"/>
  <c r="D88" i="1"/>
  <c r="J84" i="1"/>
  <c r="J85" i="1"/>
  <c r="C84" i="1" s="1"/>
  <c r="J83" i="1"/>
  <c r="J86" i="1"/>
  <c r="J100" i="1"/>
  <c r="J98" i="1"/>
  <c r="J99" i="1"/>
  <c r="C98" i="1" s="1"/>
  <c r="J97" i="1"/>
  <c r="J101" i="1" l="1"/>
  <c r="J106" i="1" s="1"/>
  <c r="J107" i="1" s="1"/>
  <c r="G98" i="1"/>
  <c r="J87" i="1"/>
  <c r="D100" i="1"/>
  <c r="J96" i="1"/>
  <c r="D86" i="1"/>
  <c r="J82" i="1"/>
  <c r="D84" i="1"/>
  <c r="D98" i="1"/>
  <c r="D99" i="1" l="1"/>
  <c r="I95" i="1" s="1"/>
  <c r="I96" i="1" s="1"/>
  <c r="E98" i="1"/>
  <c r="J92" i="1"/>
  <c r="J93" i="1" s="1"/>
  <c r="D85" i="1"/>
  <c r="I81" i="1" s="1"/>
  <c r="J95" i="1"/>
  <c r="G84" i="1" l="1"/>
  <c r="D64" i="1" s="1"/>
  <c r="D65" i="1" s="1"/>
  <c r="E84" i="1"/>
  <c r="J81" i="1"/>
  <c r="I94" i="1"/>
  <c r="C96" i="1" s="1"/>
  <c r="I82" i="1"/>
  <c r="I80" i="1" l="1"/>
  <c r="C82" i="1" s="1"/>
  <c r="F65" i="1"/>
</calcChain>
</file>

<file path=xl/sharedStrings.xml><?xml version="1.0" encoding="utf-8"?>
<sst xmlns="http://schemas.openxmlformats.org/spreadsheetml/2006/main" count="369" uniqueCount="223">
  <si>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</si>
  <si>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</si>
  <si>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</si>
  <si>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</si>
  <si>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</si>
  <si>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</si>
  <si>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</si>
  <si>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</si>
  <si>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</si>
  <si>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</si>
  <si>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</si>
  <si>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</si>
  <si>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</si>
  <si>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</si>
  <si>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</si>
  <si>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</si>
  <si>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</si>
  <si>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</si>
  <si>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</si>
  <si>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</si>
  <si>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</si>
  <si>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</si>
  <si>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</si>
  <si>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</si>
  <si>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</si>
  <si>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</si>
  <si>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</si>
  <si>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</si>
  <si>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</si>
  <si>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</si>
  <si>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</si>
  <si>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</si>
  <si>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</si>
  <si>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</si>
  <si>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</si>
  <si>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</si>
  <si>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</si>
  <si>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</si>
  <si>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</si>
  <si>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</si>
  <si>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</si>
  <si>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</si>
  <si>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</si>
  <si>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</si>
  <si>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</si>
  <si>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</si>
  <si>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</si>
  <si>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</si>
  <si>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</si>
  <si>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</si>
  <si>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</si>
  <si>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</si>
  <si>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</si>
  <si>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</si>
  <si>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</si>
  <si>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</si>
  <si>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</si>
  <si>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</si>
  <si>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</si>
  <si>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</si>
  <si>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</si>
  <si>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</si>
  <si>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</si>
  <si>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</si>
  <si>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</si>
  <si>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</si>
  <si>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</si>
  <si>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</si>
  <si>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</si>
  <si>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</si>
  <si>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</si>
  <si>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</si>
  <si>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</si>
  <si>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</si>
  <si>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</si>
  <si>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</si>
  <si>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</si>
  <si>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</si>
  <si>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</si>
  <si>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</si>
  <si>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</si>
  <si>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</si>
  <si>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</si>
  <si>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</si>
  <si>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</si>
  <si>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</si>
  <si>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</si>
  <si>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</si>
  <si>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</si>
  <si>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</si>
  <si>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</si>
  <si>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</si>
  <si>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</si>
  <si>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</si>
  <si>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</si>
  <si>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</si>
  <si>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</si>
  <si>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</si>
  <si>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</si>
  <si>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</si>
  <si>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</si>
  <si>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</si>
  <si>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</si>
  <si>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</si>
  <si>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</si>
  <si>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</si>
  <si>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</si>
  <si>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</si>
  <si>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</si>
  <si>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</si>
  <si>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</si>
  <si>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</si>
  <si>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</si>
  <si>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</si>
  <si>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</si>
  <si>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</si>
  <si>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</si>
  <si>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</si>
  <si>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</si>
  <si>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</si>
  <si>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</si>
  <si>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</si>
  <si>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</si>
  <si>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</si>
  <si>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</si>
  <si>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</si>
  <si>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</si>
  <si>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</si>
  <si>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</si>
  <si>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</si>
  <si>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</si>
  <si>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</si>
  <si>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</si>
  <si>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</si>
  <si>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</si>
  <si>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</si>
  <si>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</si>
  <si>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</si>
  <si>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</si>
  <si>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</si>
  <si>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</si>
  <si>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</si>
  <si>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</si>
  <si>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</si>
  <si>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</si>
  <si>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</si>
  <si>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</si>
  <si>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</si>
  <si>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</si>
  <si>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</si>
  <si>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</si>
  <si>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</si>
  <si>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</si>
  <si>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</si>
  <si>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</si>
  <si>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</si>
  <si>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</si>
  <si>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</si>
  <si>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</si>
  <si>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</si>
  <si>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</si>
  <si>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</si>
  <si>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</si>
  <si>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</si>
  <si>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</si>
  <si>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</si>
  <si>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</si>
  <si>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</si>
  <si>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</si>
  <si>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</si>
  <si>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</si>
  <si>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</si>
  <si>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</si>
  <si>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</si>
  <si>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Nine Homemakers</t>
  </si>
  <si>
    <t>Ninestar Heaven</t>
  </si>
  <si>
    <t>P99000045841</t>
  </si>
  <si>
    <t>Gut No</t>
  </si>
  <si>
    <t>Makane</t>
  </si>
  <si>
    <t>Palghar</t>
  </si>
  <si>
    <t>Open Plot</t>
  </si>
  <si>
    <t>Internal Road</t>
  </si>
  <si>
    <t>https://goo.gl/maps/PZWQaEUCFXjLCJGYA</t>
  </si>
  <si>
    <t>1.9KM from Saphale Railway Station</t>
  </si>
  <si>
    <t>Bodanpada Road</t>
  </si>
  <si>
    <t>Saphale West</t>
  </si>
  <si>
    <t>Building No 3 (Wing A &amp; B)</t>
  </si>
  <si>
    <t>District Collector, Palghar</t>
  </si>
  <si>
    <t>As per RERA - 31/12/2026</t>
  </si>
  <si>
    <t>Wing A</t>
  </si>
  <si>
    <t>Wing B</t>
  </si>
  <si>
    <t>Shop</t>
  </si>
  <si>
    <t>Ground Floor For Commercial &amp; Parking</t>
  </si>
  <si>
    <t>2nd to 7th Floor</t>
  </si>
  <si>
    <t>Makane Kapase</t>
  </si>
  <si>
    <t>Ekta Nagar Makane</t>
  </si>
  <si>
    <t>Society Formation &amp; Maintenance Charges</t>
  </si>
  <si>
    <t>visitor</t>
  </si>
  <si>
    <t>site</t>
  </si>
  <si>
    <t>1st Floor For Residential</t>
  </si>
  <si>
    <t>117 &amp; Gut No. 118 (Pt)</t>
  </si>
  <si>
    <t>2 Wings</t>
  </si>
  <si>
    <t>Mahsul/Kash-1/T-1/NAP/SR-117/2020</t>
  </si>
  <si>
    <t xml:space="preserve">Building No. 3 (A &amp; B Wing) = G/St + 1st to 7th Floor
</t>
  </si>
  <si>
    <t>Building No. 3 (B Wing) = G/St + 1st to 7th Floor</t>
  </si>
  <si>
    <t>Building No. 3</t>
  </si>
  <si>
    <t xml:space="preserve">Building No. 3 </t>
  </si>
  <si>
    <t xml:space="preserve">Builder Saleable Area </t>
  </si>
  <si>
    <t xml:space="preserve">Wing A </t>
  </si>
  <si>
    <t>We considered Gross carpet area = Net carpet + Balcony.</t>
  </si>
  <si>
    <t>rate sheet</t>
  </si>
  <si>
    <t>flat</t>
  </si>
  <si>
    <t>shop</t>
  </si>
  <si>
    <t>cost sheet</t>
  </si>
  <si>
    <t>Flats - 84, Shops - 16</t>
  </si>
  <si>
    <t>Mahsul/KA-1/Mej-1/B.S.P./SR/CR/117/20</t>
  </si>
  <si>
    <t xml:space="preserve">1.Vitrified tiles flooring 2. Granite Kitchen Platform  3. Decorative Enternace  etc. 
</t>
  </si>
  <si>
    <t>Office No. 1031, Wing J, Akshar Business Park, Plot No. 03 Sector 25, Near APMC Market, 
Vashi, Navi Mumbai, Maharashtra 400703 TEL: 022-46090378/79/8
E mail : vsjcapf@gmail.com. Web site : www.vsjadon.com</t>
  </si>
  <si>
    <t xml:space="preserve">Building No. 3 (A Wing) = G/St + 1st to 7th Floor
</t>
  </si>
  <si>
    <t>Shruti Tathare</t>
  </si>
  <si>
    <t>Building No. 3 (A Wing) = G/St + 1st to 7th Floor</t>
  </si>
  <si>
    <t>Harshad Pawade</t>
  </si>
  <si>
    <t xml:space="preserve">Wing A &amp; B = Construction work is in process at the time of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</si>
</sst>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righ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278</xdr:row>
      <xdr:rowOff>57150</xdr:rowOff>
    </xdr:from>
    <xdr:to>
      <xdr:col>6</xdr:col>
      <xdr:colOff>319500</xdr:colOff>
      <xdr:row>295</xdr:row>
      <xdr:rowOff>87312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6350" y="55502175"/>
          <a:ext cx="4320000" cy="3430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457200</xdr:colOff>
      <xdr:row>260</xdr:row>
      <xdr:rowOff>0</xdr:rowOff>
    </xdr:from>
    <xdr:to>
      <xdr:col>6</xdr:col>
      <xdr:colOff>319500</xdr:colOff>
      <xdr:row>277</xdr:row>
      <xdr:rowOff>30164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6350" y="51844575"/>
          <a:ext cx="4320000" cy="3430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597478</xdr:colOff>
      <xdr:row>210</xdr:row>
      <xdr:rowOff>147206</xdr:rowOff>
    </xdr:from>
    <xdr:to>
      <xdr:col>10</xdr:col>
      <xdr:colOff>684068</xdr:colOff>
      <xdr:row>215</xdr:row>
      <xdr:rowOff>25978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7117773" y="40403320"/>
          <a:ext cx="2008909" cy="8659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10</xdr:col>
      <xdr:colOff>39830</xdr:colOff>
      <xdr:row>210</xdr:row>
      <xdr:rowOff>161060</xdr:rowOff>
    </xdr:from>
    <xdr:to>
      <xdr:col>12</xdr:col>
      <xdr:colOff>645967</xdr:colOff>
      <xdr:row>215</xdr:row>
      <xdr:rowOff>39832</xdr:rowOff>
    </xdr:to>
    <xdr:sp macro="" textlink="">
      <xdr:nvSpPr>
        <xdr:cNvPr id="30" name="Rectangle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8482444" y="40417174"/>
          <a:ext cx="2008909" cy="8659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A Wing</a:t>
          </a:r>
        </a:p>
      </xdr:txBody>
    </xdr:sp>
    <xdr:clientData/>
  </xdr:twoCellAnchor>
  <xdr:twoCellAnchor>
    <xdr:from>
      <xdr:col>8</xdr:col>
      <xdr:colOff>1039091</xdr:colOff>
      <xdr:row>212</xdr:row>
      <xdr:rowOff>190501</xdr:rowOff>
    </xdr:from>
    <xdr:to>
      <xdr:col>9</xdr:col>
      <xdr:colOff>69272</xdr:colOff>
      <xdr:row>215</xdr:row>
      <xdr:rowOff>77933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559386" y="40628456"/>
          <a:ext cx="190500" cy="476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147203</xdr:colOff>
      <xdr:row>212</xdr:row>
      <xdr:rowOff>117765</xdr:rowOff>
    </xdr:from>
    <xdr:to>
      <xdr:col>10</xdr:col>
      <xdr:colOff>628649</xdr:colOff>
      <xdr:row>215</xdr:row>
      <xdr:rowOff>25978</xdr:rowOff>
    </xdr:to>
    <xdr:cxnSp macro="">
      <xdr:nvCxnSpPr>
        <xdr:cNvPr id="31" name="Straight Arrow Connector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8589817" y="40772197"/>
          <a:ext cx="481446" cy="49703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450273</xdr:colOff>
      <xdr:row>219</xdr:row>
      <xdr:rowOff>0</xdr:rowOff>
    </xdr:from>
    <xdr:to>
      <xdr:col>12</xdr:col>
      <xdr:colOff>294410</xdr:colOff>
      <xdr:row>223</xdr:row>
      <xdr:rowOff>69271</xdr:rowOff>
    </xdr:to>
    <xdr:sp macro="" textlink="">
      <xdr:nvSpPr>
        <xdr:cNvPr id="27" name="Rectangl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8130887" y="42039886"/>
          <a:ext cx="2008909" cy="8659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14</xdr:col>
      <xdr:colOff>619991</xdr:colOff>
      <xdr:row>220</xdr:row>
      <xdr:rowOff>143741</xdr:rowOff>
    </xdr:from>
    <xdr:to>
      <xdr:col>17</xdr:col>
      <xdr:colOff>585354</xdr:colOff>
      <xdr:row>225</xdr:row>
      <xdr:rowOff>13853</xdr:rowOff>
    </xdr:to>
    <xdr:sp macro="" textlink="">
      <xdr:nvSpPr>
        <xdr:cNvPr id="28" name="Rectangl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12093286" y="42382786"/>
          <a:ext cx="2008909" cy="8659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A Wing</a:t>
          </a:r>
        </a:p>
      </xdr:txBody>
    </xdr:sp>
    <xdr:clientData/>
  </xdr:twoCellAnchor>
  <xdr:twoCellAnchor>
    <xdr:from>
      <xdr:col>0</xdr:col>
      <xdr:colOff>141082</xdr:colOff>
      <xdr:row>212</xdr:row>
      <xdr:rowOff>168343</xdr:rowOff>
    </xdr:from>
    <xdr:to>
      <xdr:col>7</xdr:col>
      <xdr:colOff>663636</xdr:colOff>
      <xdr:row>249</xdr:row>
      <xdr:rowOff>130761</xdr:rowOff>
    </xdr:to>
    <xdr:grpSp>
      <xdr:nvGrpSpPr>
        <xdr:cNvPr id="5" name="Group 4"/>
        <xdr:cNvGrpSpPr/>
      </xdr:nvGrpSpPr>
      <xdr:grpSpPr>
        <a:xfrm>
          <a:off x="141082" y="40761408"/>
          <a:ext cx="6212706" cy="7309092"/>
          <a:chOff x="149365" y="41465430"/>
          <a:chExt cx="6212706" cy="7309092"/>
        </a:xfrm>
      </xdr:grpSpPr>
      <xdr:pic>
        <xdr:nvPicPr>
          <xdr:cNvPr id="32" name="Picture 31" descr="https://vsjcllp.vsjadon.com/upload/insp-24762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8412" y="41465430"/>
            <a:ext cx="3063659" cy="22998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7621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33630" y="4661452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7621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80054" y="46603961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7621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9365" y="41472055"/>
            <a:ext cx="3063659" cy="22998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7621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5530" y="43859725"/>
            <a:ext cx="1996926" cy="2665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7621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1213" y="43846473"/>
            <a:ext cx="1996926" cy="2665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7621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33461" y="43833222"/>
            <a:ext cx="1996926" cy="2665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33619</xdr:colOff>
      <xdr:row>13</xdr:row>
      <xdr:rowOff>179294</xdr:rowOff>
    </xdr:from>
    <xdr:to>
      <xdr:col>6</xdr:col>
      <xdr:colOff>38185</xdr:colOff>
      <xdr:row>32</xdr:row>
      <xdr:rowOff>159794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325" y="2667000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14</xdr:row>
      <xdr:rowOff>0</xdr:rowOff>
    </xdr:from>
    <xdr:to>
      <xdr:col>17</xdr:col>
      <xdr:colOff>60597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76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0</xdr:colOff>
      <xdr:row>34</xdr:row>
      <xdr:rowOff>172528</xdr:rowOff>
    </xdr:from>
    <xdr:to>
      <xdr:col>17</xdr:col>
      <xdr:colOff>60596</xdr:colOff>
      <xdr:row>53</xdr:row>
      <xdr:rowOff>153028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765" y="666073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ZWQaEUCFXjLCJGY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9"/>
  <sheetViews>
    <sheetView tabSelected="1" view="pageBreakPreview" zoomScale="115" zoomScaleNormal="100" zoomScaleSheetLayoutView="115" workbookViewId="0">
      <selection activeCell="M7" sqref="M7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36" t="s">
        <v>217</v>
      </c>
      <c r="B1" s="136"/>
      <c r="C1" s="136"/>
      <c r="D1" s="136"/>
      <c r="E1" s="136"/>
      <c r="F1" s="136"/>
      <c r="G1" s="136"/>
      <c r="H1" s="136"/>
    </row>
    <row r="2" spans="1:8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25">
      <c r="A3" s="96" t="s">
        <v>1</v>
      </c>
      <c r="B3" s="96"/>
      <c r="C3" s="96"/>
      <c r="D3" s="96"/>
      <c r="E3" s="96" t="str">
        <f ca="1">TEXT(TODAY(),"DD/MM/YYYY")</f>
        <v>13/09/2025</v>
      </c>
      <c r="F3" s="96"/>
      <c r="G3" s="96"/>
      <c r="H3" s="96"/>
    </row>
    <row r="4" spans="1:8" ht="15" customHeight="1" x14ac:dyDescent="0.25">
      <c r="A4" s="96" t="s">
        <v>2</v>
      </c>
      <c r="B4" s="96"/>
      <c r="C4" s="96"/>
      <c r="D4" s="96"/>
      <c r="E4" s="96" t="s">
        <v>173</v>
      </c>
      <c r="F4" s="96"/>
      <c r="G4" s="96"/>
      <c r="H4" s="96"/>
    </row>
    <row r="5" spans="1:8" x14ac:dyDescent="0.25">
      <c r="A5" s="96" t="s">
        <v>3</v>
      </c>
      <c r="B5" s="96"/>
      <c r="C5" s="96"/>
      <c r="D5" s="96"/>
      <c r="E5" s="137">
        <v>45912</v>
      </c>
      <c r="F5" s="96"/>
      <c r="G5" s="96"/>
      <c r="H5" s="96"/>
    </row>
    <row r="6" spans="1:8" ht="16.5" customHeight="1" x14ac:dyDescent="0.25">
      <c r="A6" s="96" t="s">
        <v>4</v>
      </c>
      <c r="B6" s="96"/>
      <c r="C6" s="96"/>
      <c r="D6" s="96"/>
      <c r="E6" s="96" t="s">
        <v>174</v>
      </c>
      <c r="F6" s="96"/>
      <c r="G6" s="96"/>
      <c r="H6" s="96"/>
    </row>
    <row r="7" spans="1:8" ht="15" customHeight="1" x14ac:dyDescent="0.25">
      <c r="A7" s="96" t="s">
        <v>5</v>
      </c>
      <c r="B7" s="96"/>
      <c r="C7" s="96"/>
      <c r="D7" s="96"/>
      <c r="E7" s="96" t="str">
        <f>E6</f>
        <v>Nine Homemakers</v>
      </c>
      <c r="F7" s="96"/>
      <c r="G7" s="96"/>
      <c r="H7" s="96"/>
    </row>
    <row r="8" spans="1:8" x14ac:dyDescent="0.25">
      <c r="A8" s="96" t="s">
        <v>6</v>
      </c>
      <c r="B8" s="96"/>
      <c r="C8" s="96"/>
      <c r="D8" s="96"/>
      <c r="E8" s="110" t="s">
        <v>175</v>
      </c>
      <c r="F8" s="110"/>
      <c r="G8" s="110"/>
      <c r="H8" s="110"/>
    </row>
    <row r="9" spans="1:8" x14ac:dyDescent="0.25">
      <c r="A9" s="96" t="s">
        <v>126</v>
      </c>
      <c r="B9" s="96"/>
      <c r="C9" s="96"/>
      <c r="D9" s="96"/>
      <c r="E9" s="96">
        <v>9860281916</v>
      </c>
      <c r="F9" s="96"/>
      <c r="G9" s="96"/>
      <c r="H9" s="96"/>
    </row>
    <row r="10" spans="1:8" x14ac:dyDescent="0.25">
      <c r="A10" s="96" t="s">
        <v>7</v>
      </c>
      <c r="B10" s="96"/>
      <c r="C10" s="96"/>
      <c r="D10" s="96"/>
      <c r="E10" s="96" t="s">
        <v>186</v>
      </c>
      <c r="F10" s="96"/>
      <c r="G10" s="96"/>
      <c r="H10" s="96"/>
    </row>
    <row r="11" spans="1:8" ht="32.25" customHeight="1" x14ac:dyDescent="0.25">
      <c r="A11" s="76" t="s">
        <v>8</v>
      </c>
      <c r="B11" s="76"/>
      <c r="C11" s="76"/>
      <c r="D11" s="76"/>
      <c r="E11" s="97" t="s">
        <v>108</v>
      </c>
      <c r="F11" s="97"/>
      <c r="G11" s="97"/>
      <c r="H11" s="97"/>
    </row>
    <row r="12" spans="1:8" x14ac:dyDescent="0.25">
      <c r="A12" s="76" t="s">
        <v>9</v>
      </c>
      <c r="B12" s="76"/>
      <c r="C12" s="76"/>
      <c r="D12" s="76"/>
      <c r="E12" s="97" t="s">
        <v>176</v>
      </c>
      <c r="F12" s="96"/>
      <c r="G12" s="96"/>
      <c r="H12" s="96"/>
    </row>
    <row r="13" spans="1:8" ht="34.5" customHeight="1" x14ac:dyDescent="0.25">
      <c r="A13" s="99" t="s">
        <v>10</v>
      </c>
      <c r="B13" s="99"/>
      <c r="C13" s="99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Ninestar Heaven, Gut No.117 &amp; Gut No. 118 (Pt), near Ekta Nagar Makane, Bodanpada Road, Makane Kapase, Makane, Saphale West, Palghar, Palghar - 401102.</v>
      </c>
      <c r="D13" s="99"/>
      <c r="E13" s="99"/>
      <c r="F13" s="99"/>
      <c r="G13" s="99"/>
      <c r="H13" s="99"/>
    </row>
    <row r="14" spans="1:8" ht="15" customHeight="1" x14ac:dyDescent="0.25">
      <c r="A14" s="97" t="s">
        <v>177</v>
      </c>
      <c r="B14" s="97"/>
      <c r="C14" s="97" t="s">
        <v>200</v>
      </c>
      <c r="D14" s="97"/>
      <c r="E14" s="97"/>
      <c r="F14" s="97"/>
      <c r="G14" s="97"/>
      <c r="H14" s="97"/>
    </row>
    <row r="15" spans="1:8" ht="15.75" hidden="1" customHeight="1" x14ac:dyDescent="0.25">
      <c r="A15" s="173" t="s">
        <v>170</v>
      </c>
      <c r="B15" s="174"/>
      <c r="C15" s="173" t="s">
        <v>194</v>
      </c>
      <c r="D15" s="175"/>
      <c r="E15" s="175"/>
      <c r="F15" s="175"/>
      <c r="G15" s="175"/>
      <c r="H15" s="174"/>
    </row>
    <row r="16" spans="1:8" ht="15.75" customHeight="1" x14ac:dyDescent="0.25">
      <c r="A16" s="99" t="s">
        <v>11</v>
      </c>
      <c r="B16" s="99"/>
      <c r="C16" s="96" t="s">
        <v>184</v>
      </c>
      <c r="D16" s="96"/>
      <c r="E16" s="99" t="s">
        <v>171</v>
      </c>
      <c r="F16" s="99"/>
      <c r="G16" s="97" t="s">
        <v>178</v>
      </c>
      <c r="H16" s="97"/>
    </row>
    <row r="17" spans="1:8" x14ac:dyDescent="0.25">
      <c r="A17" s="76" t="s">
        <v>13</v>
      </c>
      <c r="B17" s="76"/>
      <c r="C17" s="97" t="s">
        <v>185</v>
      </c>
      <c r="D17" s="97"/>
      <c r="E17" s="99" t="s">
        <v>12</v>
      </c>
      <c r="F17" s="99"/>
      <c r="G17" s="138" t="s">
        <v>179</v>
      </c>
      <c r="H17" s="138"/>
    </row>
    <row r="18" spans="1:8" x14ac:dyDescent="0.25">
      <c r="A18" s="76" t="s">
        <v>76</v>
      </c>
      <c r="B18" s="76"/>
      <c r="C18" s="97" t="s">
        <v>179</v>
      </c>
      <c r="D18" s="97"/>
      <c r="E18" s="99" t="s">
        <v>14</v>
      </c>
      <c r="F18" s="99"/>
      <c r="G18" s="97">
        <v>401102</v>
      </c>
      <c r="H18" s="97"/>
    </row>
    <row r="19" spans="1:8" ht="32.25" customHeight="1" x14ac:dyDescent="0.25">
      <c r="A19" s="76" t="s">
        <v>127</v>
      </c>
      <c r="B19" s="76"/>
      <c r="C19" s="97" t="s">
        <v>195</v>
      </c>
      <c r="D19" s="97"/>
      <c r="E19" s="99" t="s">
        <v>15</v>
      </c>
      <c r="F19" s="99"/>
      <c r="G19" s="97" t="s">
        <v>183</v>
      </c>
      <c r="H19" s="97"/>
    </row>
    <row r="20" spans="1:8" ht="15" customHeight="1" x14ac:dyDescent="0.25">
      <c r="A20" s="99" t="s">
        <v>79</v>
      </c>
      <c r="B20" s="99"/>
      <c r="C20" s="99"/>
      <c r="D20" s="99"/>
      <c r="E20" s="96" t="s">
        <v>16</v>
      </c>
      <c r="F20" s="96"/>
      <c r="G20" s="96"/>
      <c r="H20" s="96"/>
    </row>
    <row r="21" spans="1:8" ht="18.75" customHeight="1" x14ac:dyDescent="0.25">
      <c r="A21" s="99"/>
      <c r="B21" s="99"/>
      <c r="C21" s="99"/>
      <c r="D21" s="99"/>
      <c r="E21" s="96"/>
      <c r="F21" s="96"/>
      <c r="G21" s="96"/>
      <c r="H21" s="96"/>
    </row>
    <row r="22" spans="1:8" ht="15" customHeight="1" x14ac:dyDescent="0.25">
      <c r="A22" s="99" t="s">
        <v>17</v>
      </c>
      <c r="B22" s="99"/>
      <c r="C22" s="99"/>
      <c r="D22" s="99"/>
      <c r="E22" s="97" t="s">
        <v>18</v>
      </c>
      <c r="F22" s="97"/>
      <c r="G22" s="97"/>
      <c r="H22" s="97"/>
    </row>
    <row r="23" spans="1:8" ht="15" customHeight="1" x14ac:dyDescent="0.25">
      <c r="A23" s="76" t="s">
        <v>19</v>
      </c>
      <c r="B23" s="76"/>
      <c r="C23" s="76"/>
      <c r="D23" s="76"/>
      <c r="E23" s="97" t="str">
        <f>IF(AND(G17="Mumbai"),"Upper Class","Middle Class")</f>
        <v>Middle Class</v>
      </c>
      <c r="F23" s="97"/>
      <c r="G23" s="97"/>
      <c r="H23" s="97"/>
    </row>
    <row r="24" spans="1:8" x14ac:dyDescent="0.25">
      <c r="A24" s="76" t="s">
        <v>20</v>
      </c>
      <c r="B24" s="76"/>
      <c r="C24" s="76"/>
      <c r="D24" s="76"/>
      <c r="E24" s="97" t="s">
        <v>21</v>
      </c>
      <c r="F24" s="97"/>
      <c r="G24" s="97"/>
      <c r="H24" s="97"/>
    </row>
    <row r="25" spans="1:8" ht="15.75" customHeight="1" x14ac:dyDescent="0.25">
      <c r="A25" s="76" t="s">
        <v>22</v>
      </c>
      <c r="B25" s="76"/>
      <c r="C25" s="76"/>
      <c r="D25" s="76"/>
      <c r="E25" s="97" t="str">
        <f>IF(AND(G17="Mumbai"),"Developed","Developing")</f>
        <v>Developing</v>
      </c>
      <c r="F25" s="97"/>
      <c r="G25" s="97"/>
      <c r="H25" s="97"/>
    </row>
    <row r="26" spans="1:8" x14ac:dyDescent="0.25">
      <c r="A26" s="76" t="s">
        <v>23</v>
      </c>
      <c r="B26" s="76"/>
      <c r="C26" s="76"/>
      <c r="D26" s="76"/>
      <c r="E26" s="97" t="s">
        <v>24</v>
      </c>
      <c r="F26" s="97"/>
      <c r="G26" s="97"/>
      <c r="H26" s="97"/>
    </row>
    <row r="27" spans="1:8" ht="15.75" customHeight="1" x14ac:dyDescent="0.25">
      <c r="A27" s="76" t="s">
        <v>84</v>
      </c>
      <c r="B27" s="76"/>
      <c r="C27" s="76"/>
      <c r="D27" s="76"/>
      <c r="E27" s="97" t="s">
        <v>85</v>
      </c>
      <c r="F27" s="97"/>
      <c r="G27" s="97"/>
      <c r="H27" s="97"/>
    </row>
    <row r="28" spans="1:8" ht="15" customHeight="1" x14ac:dyDescent="0.25">
      <c r="A28" s="76" t="s">
        <v>35</v>
      </c>
      <c r="B28" s="76"/>
      <c r="C28" s="76"/>
      <c r="D28" s="76"/>
      <c r="E28" s="9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97"/>
      <c r="G28" s="97"/>
      <c r="H28" s="97"/>
    </row>
    <row r="29" spans="1:8" ht="15.75" customHeight="1" x14ac:dyDescent="0.25">
      <c r="A29" s="76" t="s">
        <v>96</v>
      </c>
      <c r="B29" s="76"/>
      <c r="C29" s="76"/>
      <c r="D29" s="76"/>
      <c r="E29" s="97" t="s">
        <v>36</v>
      </c>
      <c r="F29" s="97"/>
      <c r="G29" s="97"/>
      <c r="H29" s="97"/>
    </row>
    <row r="30" spans="1:8" s="19" customFormat="1" x14ac:dyDescent="0.25">
      <c r="A30" s="141" t="s">
        <v>97</v>
      </c>
      <c r="B30" s="141"/>
      <c r="C30" s="117" t="s">
        <v>29</v>
      </c>
      <c r="D30" s="117"/>
      <c r="E30" s="117"/>
      <c r="F30" s="117" t="s">
        <v>31</v>
      </c>
      <c r="G30" s="117"/>
      <c r="H30" s="117"/>
    </row>
    <row r="31" spans="1:8" s="19" customFormat="1" x14ac:dyDescent="0.25">
      <c r="A31" s="139" t="s">
        <v>25</v>
      </c>
      <c r="B31" s="139" t="s">
        <v>30</v>
      </c>
      <c r="C31" s="140" t="s">
        <v>30</v>
      </c>
      <c r="D31" s="140"/>
      <c r="E31" s="140"/>
      <c r="F31" s="140" t="s">
        <v>180</v>
      </c>
      <c r="G31" s="140"/>
      <c r="H31" s="140"/>
    </row>
    <row r="32" spans="1:8" x14ac:dyDescent="0.25">
      <c r="A32" s="139" t="s">
        <v>26</v>
      </c>
      <c r="B32" s="139" t="s">
        <v>30</v>
      </c>
      <c r="C32" s="140" t="s">
        <v>30</v>
      </c>
      <c r="D32" s="140"/>
      <c r="E32" s="140"/>
      <c r="F32" s="140" t="s">
        <v>180</v>
      </c>
      <c r="G32" s="140"/>
      <c r="H32" s="140"/>
    </row>
    <row r="33" spans="1:8" s="19" customFormat="1" x14ac:dyDescent="0.25">
      <c r="A33" s="139" t="s">
        <v>28</v>
      </c>
      <c r="B33" s="139" t="s">
        <v>30</v>
      </c>
      <c r="C33" s="140" t="s">
        <v>30</v>
      </c>
      <c r="D33" s="140"/>
      <c r="E33" s="140"/>
      <c r="F33" s="140" t="s">
        <v>180</v>
      </c>
      <c r="G33" s="140"/>
      <c r="H33" s="140"/>
    </row>
    <row r="34" spans="1:8" x14ac:dyDescent="0.25">
      <c r="A34" s="139" t="s">
        <v>27</v>
      </c>
      <c r="B34" s="139" t="s">
        <v>30</v>
      </c>
      <c r="C34" s="140" t="s">
        <v>30</v>
      </c>
      <c r="D34" s="140"/>
      <c r="E34" s="140"/>
      <c r="F34" s="140" t="s">
        <v>181</v>
      </c>
      <c r="G34" s="140"/>
      <c r="H34" s="140"/>
    </row>
    <row r="35" spans="1:8" x14ac:dyDescent="0.25">
      <c r="A35" s="76" t="s">
        <v>32</v>
      </c>
      <c r="B35" s="76"/>
      <c r="C35" s="76"/>
      <c r="D35" s="76"/>
      <c r="E35" s="76"/>
      <c r="F35" s="76"/>
      <c r="G35" s="76"/>
      <c r="H35" s="76"/>
    </row>
    <row r="36" spans="1:8" ht="15.75" customHeight="1" x14ac:dyDescent="0.25">
      <c r="A36" s="118" t="s">
        <v>33</v>
      </c>
      <c r="B36" s="118"/>
      <c r="C36" s="143">
        <v>19.569326799999999</v>
      </c>
      <c r="D36" s="143"/>
      <c r="E36" s="118" t="s">
        <v>34</v>
      </c>
      <c r="F36" s="118"/>
      <c r="G36" s="144">
        <v>72.812953300000004</v>
      </c>
      <c r="H36" s="144"/>
    </row>
    <row r="37" spans="1:8" x14ac:dyDescent="0.25">
      <c r="A37" s="118" t="s">
        <v>169</v>
      </c>
      <c r="B37" s="118"/>
      <c r="C37" s="176" t="s">
        <v>182</v>
      </c>
      <c r="D37" s="97"/>
      <c r="E37" s="97"/>
      <c r="F37" s="97"/>
      <c r="G37" s="97"/>
      <c r="H37" s="97"/>
    </row>
    <row r="38" spans="1:8" x14ac:dyDescent="0.25">
      <c r="A38" s="124" t="s">
        <v>37</v>
      </c>
      <c r="B38" s="124"/>
      <c r="C38" s="124"/>
      <c r="D38" s="124"/>
      <c r="E38" s="124"/>
      <c r="F38" s="124"/>
      <c r="G38" s="124"/>
      <c r="H38" s="124"/>
    </row>
    <row r="39" spans="1:8" x14ac:dyDescent="0.25">
      <c r="A39" s="76" t="s">
        <v>38</v>
      </c>
      <c r="B39" s="76"/>
      <c r="C39" s="76"/>
      <c r="D39" s="76"/>
      <c r="E39" s="142">
        <v>8364</v>
      </c>
      <c r="F39" s="142"/>
      <c r="G39" s="142"/>
      <c r="H39" s="142"/>
    </row>
    <row r="40" spans="1:8" x14ac:dyDescent="0.25">
      <c r="A40" s="76" t="s">
        <v>39</v>
      </c>
      <c r="B40" s="76"/>
      <c r="C40" s="76"/>
      <c r="D40" s="76"/>
      <c r="E40" s="75">
        <v>1.1000000000000001</v>
      </c>
      <c r="F40" s="75"/>
      <c r="G40" s="75"/>
      <c r="H40" s="75"/>
    </row>
    <row r="41" spans="1:8" x14ac:dyDescent="0.25">
      <c r="A41" s="76" t="s">
        <v>40</v>
      </c>
      <c r="B41" s="76"/>
      <c r="C41" s="76"/>
      <c r="D41" s="76"/>
      <c r="E41" s="75">
        <f>E43/E39-E40</f>
        <v>1.1394823051171685</v>
      </c>
      <c r="F41" s="75"/>
      <c r="G41" s="75"/>
      <c r="H41" s="75"/>
    </row>
    <row r="42" spans="1:8" x14ac:dyDescent="0.25">
      <c r="A42" s="76" t="s">
        <v>41</v>
      </c>
      <c r="B42" s="76"/>
      <c r="C42" s="76"/>
      <c r="D42" s="76"/>
      <c r="E42" s="75">
        <f>E40+E41</f>
        <v>2.2394823051171686</v>
      </c>
      <c r="F42" s="75"/>
      <c r="G42" s="75"/>
      <c r="H42" s="75"/>
    </row>
    <row r="43" spans="1:8" x14ac:dyDescent="0.25">
      <c r="A43" s="76" t="s">
        <v>95</v>
      </c>
      <c r="B43" s="76"/>
      <c r="C43" s="76"/>
      <c r="D43" s="76"/>
      <c r="E43" s="181">
        <v>18731.03</v>
      </c>
      <c r="F43" s="181"/>
      <c r="G43" s="181"/>
      <c r="H43" s="181"/>
    </row>
    <row r="44" spans="1:8" x14ac:dyDescent="0.25">
      <c r="A44" s="96" t="s">
        <v>42</v>
      </c>
      <c r="B44" s="96"/>
      <c r="C44" s="96"/>
      <c r="D44" s="96"/>
      <c r="E44" s="96" t="s">
        <v>201</v>
      </c>
      <c r="F44" s="96"/>
      <c r="G44" s="96"/>
      <c r="H44" s="96"/>
    </row>
    <row r="45" spans="1:8" x14ac:dyDescent="0.25">
      <c r="A45" s="124" t="s">
        <v>43</v>
      </c>
      <c r="B45" s="124"/>
      <c r="C45" s="124"/>
      <c r="D45" s="124"/>
      <c r="E45" s="124"/>
      <c r="F45" s="124"/>
      <c r="G45" s="124"/>
      <c r="H45" s="124"/>
    </row>
    <row r="46" spans="1:8" ht="33.75" customHeight="1" x14ac:dyDescent="0.25">
      <c r="A46" s="91" t="s">
        <v>156</v>
      </c>
      <c r="B46" s="92"/>
      <c r="C46" s="182" t="s">
        <v>187</v>
      </c>
      <c r="D46" s="183"/>
      <c r="E46" s="183"/>
      <c r="F46" s="183"/>
      <c r="G46" s="183"/>
      <c r="H46" s="184"/>
    </row>
    <row r="47" spans="1:8" ht="30.75" customHeight="1" x14ac:dyDescent="0.25">
      <c r="A47" s="91" t="s">
        <v>44</v>
      </c>
      <c r="B47" s="92"/>
      <c r="C47" s="91" t="s">
        <v>215</v>
      </c>
      <c r="D47" s="93"/>
      <c r="E47" s="92"/>
      <c r="F47" s="17" t="s">
        <v>45</v>
      </c>
      <c r="G47" s="94">
        <v>44498</v>
      </c>
      <c r="H47" s="92"/>
    </row>
    <row r="48" spans="1:8" ht="30.75" customHeight="1" x14ac:dyDescent="0.25">
      <c r="A48" s="91" t="s">
        <v>46</v>
      </c>
      <c r="B48" s="92"/>
      <c r="C48" s="91" t="str">
        <f>C47</f>
        <v>Mahsul/KA-1/Mej-1/B.S.P./SR/CR/117/20</v>
      </c>
      <c r="D48" s="93"/>
      <c r="E48" s="92"/>
      <c r="F48" s="17" t="s">
        <v>45</v>
      </c>
      <c r="G48" s="94">
        <f>G47</f>
        <v>44498</v>
      </c>
      <c r="H48" s="95"/>
    </row>
    <row r="49" spans="1:14" s="20" customFormat="1" x14ac:dyDescent="0.25">
      <c r="A49" s="149" t="s">
        <v>160</v>
      </c>
      <c r="B49" s="150"/>
      <c r="C49" s="91" t="s">
        <v>202</v>
      </c>
      <c r="D49" s="93"/>
      <c r="E49" s="92"/>
      <c r="F49" s="17" t="s">
        <v>45</v>
      </c>
      <c r="G49" s="94">
        <f>G48</f>
        <v>44498</v>
      </c>
      <c r="H49" s="95"/>
    </row>
    <row r="50" spans="1:14" s="20" customFormat="1" x14ac:dyDescent="0.25">
      <c r="A50" s="151"/>
      <c r="B50" s="152"/>
      <c r="C50" s="91" t="s">
        <v>203</v>
      </c>
      <c r="D50" s="93"/>
      <c r="E50" s="93"/>
      <c r="F50" s="93"/>
      <c r="G50" s="93"/>
      <c r="H50" s="92"/>
    </row>
    <row r="51" spans="1:14" x14ac:dyDescent="0.25">
      <c r="A51" s="102" t="s">
        <v>172</v>
      </c>
      <c r="B51" s="103"/>
      <c r="C51" s="106" t="s">
        <v>30</v>
      </c>
      <c r="D51" s="107"/>
      <c r="E51" s="108"/>
      <c r="F51" s="46" t="s">
        <v>45</v>
      </c>
      <c r="G51" s="100" t="s">
        <v>30</v>
      </c>
      <c r="H51" s="101"/>
    </row>
    <row r="52" spans="1:14" hidden="1" x14ac:dyDescent="0.25">
      <c r="A52" s="104"/>
      <c r="B52" s="105"/>
      <c r="C52" s="106" t="s">
        <v>30</v>
      </c>
      <c r="D52" s="107"/>
      <c r="E52" s="107"/>
      <c r="F52" s="107"/>
      <c r="G52" s="107"/>
      <c r="H52" s="108"/>
    </row>
    <row r="53" spans="1:14" x14ac:dyDescent="0.25">
      <c r="A53" s="98" t="s">
        <v>48</v>
      </c>
      <c r="B53" s="98"/>
      <c r="C53" s="98"/>
      <c r="D53" s="98"/>
      <c r="E53" s="98"/>
      <c r="F53" s="98"/>
      <c r="G53" s="98"/>
      <c r="H53" s="98"/>
    </row>
    <row r="54" spans="1:14" x14ac:dyDescent="0.25">
      <c r="A54" s="99" t="s">
        <v>94</v>
      </c>
      <c r="B54" s="99"/>
      <c r="C54" s="99"/>
      <c r="D54" s="96">
        <f>E43</f>
        <v>18731.03</v>
      </c>
      <c r="E54" s="96"/>
      <c r="F54" s="96"/>
      <c r="G54" s="96"/>
      <c r="H54" s="96"/>
    </row>
    <row r="55" spans="1:14" x14ac:dyDescent="0.25">
      <c r="A55" s="97" t="s">
        <v>49</v>
      </c>
      <c r="B55" s="96"/>
      <c r="C55" s="96"/>
      <c r="D55" s="96" t="s">
        <v>214</v>
      </c>
      <c r="E55" s="96"/>
      <c r="F55" s="96"/>
      <c r="G55" s="96"/>
      <c r="H55" s="96"/>
      <c r="I55" s="21"/>
    </row>
    <row r="56" spans="1:14" x14ac:dyDescent="0.25">
      <c r="A56" s="146" t="s">
        <v>50</v>
      </c>
      <c r="B56" s="147"/>
      <c r="C56" s="148"/>
      <c r="D56" s="133" t="s">
        <v>203</v>
      </c>
      <c r="E56" s="145"/>
      <c r="F56" s="145"/>
      <c r="G56" s="145"/>
      <c r="H56" s="145"/>
    </row>
    <row r="57" spans="1:14" ht="15.75" customHeight="1" x14ac:dyDescent="0.25">
      <c r="A57" s="97" t="s">
        <v>92</v>
      </c>
      <c r="B57" s="97"/>
      <c r="C57" s="97"/>
      <c r="D57" s="97" t="s">
        <v>218</v>
      </c>
      <c r="E57" s="96"/>
      <c r="F57" s="96"/>
      <c r="G57" s="96"/>
      <c r="H57" s="96"/>
    </row>
    <row r="58" spans="1:14" ht="15.75" customHeight="1" x14ac:dyDescent="0.25">
      <c r="A58" s="97"/>
      <c r="B58" s="97"/>
      <c r="C58" s="97"/>
      <c r="D58" s="96" t="s">
        <v>204</v>
      </c>
      <c r="E58" s="96"/>
      <c r="F58" s="96"/>
      <c r="G58" s="96"/>
      <c r="H58" s="96"/>
    </row>
    <row r="59" spans="1:14" ht="15.75" customHeight="1" x14ac:dyDescent="0.25">
      <c r="A59" s="76" t="s">
        <v>47</v>
      </c>
      <c r="B59" s="76"/>
      <c r="C59" s="76"/>
      <c r="D59" s="97" t="s">
        <v>188</v>
      </c>
      <c r="E59" s="97"/>
      <c r="F59" s="97"/>
      <c r="G59" s="97"/>
      <c r="H59" s="97"/>
      <c r="J59" s="22"/>
      <c r="K59" s="21"/>
      <c r="N59" s="21"/>
    </row>
    <row r="60" spans="1:14" ht="15.75" customHeight="1" x14ac:dyDescent="0.25">
      <c r="A60" s="76" t="s">
        <v>90</v>
      </c>
      <c r="B60" s="76"/>
      <c r="C60" s="76"/>
      <c r="D60" s="180" t="str">
        <f>(IF(G51="NA","60 Years After Completion",IF(G51&lt;&gt;"NA",""&amp;60-ROUNDDOWN((E3-G51)/360,0)&amp;" Years"," ")))</f>
        <v>60 Years After Completion</v>
      </c>
      <c r="E60" s="180"/>
      <c r="F60" s="180"/>
      <c r="G60" s="180"/>
      <c r="H60" s="180"/>
      <c r="N60" s="21"/>
    </row>
    <row r="61" spans="1:14" ht="15.75" customHeight="1" x14ac:dyDescent="0.25">
      <c r="A61" s="76" t="s">
        <v>91</v>
      </c>
      <c r="B61" s="76"/>
      <c r="C61" s="76"/>
      <c r="D61" s="99" t="s">
        <v>24</v>
      </c>
      <c r="E61" s="99"/>
      <c r="F61" s="99"/>
      <c r="G61" s="99"/>
      <c r="H61" s="99"/>
      <c r="J61" s="23"/>
      <c r="K61" s="23"/>
    </row>
    <row r="62" spans="1:14" ht="30.75" customHeight="1" x14ac:dyDescent="0.25">
      <c r="A62" s="76" t="s">
        <v>77</v>
      </c>
      <c r="B62" s="76"/>
      <c r="C62" s="76"/>
      <c r="D62" s="97" t="s">
        <v>216</v>
      </c>
      <c r="E62" s="99"/>
      <c r="F62" s="99"/>
      <c r="G62" s="99"/>
      <c r="H62" s="99"/>
    </row>
    <row r="63" spans="1:14" x14ac:dyDescent="0.25">
      <c r="A63" s="99" t="s">
        <v>154</v>
      </c>
      <c r="B63" s="99"/>
      <c r="C63" s="99"/>
      <c r="D63" s="99" t="s">
        <v>30</v>
      </c>
      <c r="E63" s="99"/>
      <c r="F63" s="99"/>
      <c r="G63" s="99"/>
      <c r="H63" s="99"/>
      <c r="I63" s="24"/>
      <c r="J63" s="24"/>
      <c r="K63" s="24"/>
      <c r="L63" s="24"/>
      <c r="M63" s="24"/>
      <c r="N63" s="24"/>
    </row>
    <row r="64" spans="1:14" ht="15.75" customHeight="1" x14ac:dyDescent="0.25">
      <c r="A64" s="134" t="s">
        <v>89</v>
      </c>
      <c r="B64" s="134"/>
      <c r="C64" s="134"/>
      <c r="D64" s="133" t="str">
        <f ca="1">(IF(G84&gt;95%,"Nothing",IF(G84&gt;0%,"Cement, Aggregate, Steel, etc",IF(G84=0%,"Work not yet Started"))))</f>
        <v>Cement, Aggregate, Steel, etc</v>
      </c>
      <c r="E64" s="133"/>
      <c r="F64" s="133"/>
      <c r="G64" s="133"/>
      <c r="H64" s="133"/>
      <c r="J64" s="23"/>
    </row>
    <row r="65" spans="1:10" ht="33.75" customHeight="1" thickBot="1" x14ac:dyDescent="0.3">
      <c r="A65" s="132" t="s">
        <v>121</v>
      </c>
      <c r="B65" s="132"/>
      <c r="C65" s="132"/>
      <c r="D65" s="133" t="str">
        <f ca="1">(IF(D64="Nothing","Yes",IF(D64="Cement, Aggregate, Steel, etc","Under Construction",IF(D64="Work not yet Started","Work not yet Started"))))</f>
        <v>Under Construction</v>
      </c>
      <c r="E65" s="133"/>
      <c r="F65" s="133" t="str">
        <f ca="1">(IF(D64="Nothing","Yes",IF(D64="Cement, Aggregate, Steel, etc","Under Construction",IF(D64="Work not yet Started","Work not yet Started"))))</f>
        <v>Under Construction</v>
      </c>
      <c r="G65" s="133"/>
      <c r="H65" s="133"/>
    </row>
    <row r="66" spans="1:10" x14ac:dyDescent="0.25">
      <c r="A66" s="83" t="s">
        <v>146</v>
      </c>
      <c r="B66" s="84"/>
      <c r="C66" s="85" t="s">
        <v>220</v>
      </c>
      <c r="D66" s="86"/>
      <c r="E66" s="86"/>
      <c r="F66" s="86"/>
      <c r="G66" s="86"/>
      <c r="H66" s="87"/>
      <c r="I66" s="42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 Floor, External Plaster upto 1 Floor Completed</v>
      </c>
      <c r="J66" s="43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 Floor, External Plaster upto 1 Floor</v>
      </c>
    </row>
    <row r="67" spans="1:10" x14ac:dyDescent="0.25">
      <c r="A67" s="15" t="s">
        <v>148</v>
      </c>
      <c r="B67" s="62">
        <v>0</v>
      </c>
      <c r="C67" s="62" t="s">
        <v>75</v>
      </c>
      <c r="D67" s="62">
        <v>1</v>
      </c>
      <c r="E67" s="62" t="s">
        <v>74</v>
      </c>
      <c r="F67" s="62">
        <v>0</v>
      </c>
      <c r="G67" s="62" t="s">
        <v>83</v>
      </c>
      <c r="H67" s="16">
        <f ca="1">--TRIM(RIGHT(SUBSTITUTE(LEFT(C66,_xlfn.AGGREGATE(16,6,FIND({0,1,2,3,4,5,6,7,8,9},C66,ROW(INDIRECT("1:"&amp;LEN(C66)))),1))," ",REPT(" ",LEN(C66))),LEN(C66)))</f>
        <v>7</v>
      </c>
      <c r="I67" s="4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5" customHeight="1" x14ac:dyDescent="0.25">
      <c r="A68" s="109" t="s">
        <v>93</v>
      </c>
      <c r="B68" s="110"/>
      <c r="C68" s="130" t="str">
        <f ca="1">(IF($C$52=C66,"All work Completed. OC Received.",I66))</f>
        <v>Excavation, Plinth, RCC Slab, Brickwork Completed, Internal Plaster upto 1 Floor, External Plaster upto 1 Floor Completed</v>
      </c>
      <c r="D68" s="130"/>
      <c r="E68" s="130"/>
      <c r="F68" s="130"/>
      <c r="G68" s="130"/>
      <c r="H68" s="131"/>
      <c r="I68" s="44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25">
      <c r="A69" s="81" t="s">
        <v>51</v>
      </c>
      <c r="B69" s="82"/>
      <c r="C69" s="60" t="s">
        <v>145</v>
      </c>
      <c r="D69" s="60" t="s">
        <v>86</v>
      </c>
      <c r="E69" s="82" t="s">
        <v>88</v>
      </c>
      <c r="F69" s="82"/>
      <c r="G69" s="82" t="s">
        <v>87</v>
      </c>
      <c r="H69" s="135"/>
      <c r="I69" s="13" t="s">
        <v>147</v>
      </c>
      <c r="J69" s="25">
        <f ca="1">H67*25%</f>
        <v>1.75</v>
      </c>
    </row>
    <row r="70" spans="1:10" x14ac:dyDescent="0.25">
      <c r="A70" s="81" t="s">
        <v>134</v>
      </c>
      <c r="B70" s="82"/>
      <c r="C70" s="60">
        <f ca="1">J71</f>
        <v>7</v>
      </c>
      <c r="D70" s="53">
        <f ca="1">((100/H67)*C70)/100</f>
        <v>1</v>
      </c>
      <c r="E70" s="155">
        <f ca="1">(((C71/H67*10)+(40/(D67+F67+H67)*C72)+(7.5/(H67)*C73)+(7.5/(H67)*C74)+(10/H67*C75)+(10/H67*C76)+(5/H67*C77)+(5/H67*C78)+(5/H67*C79))/100)</f>
        <v>0.6</v>
      </c>
      <c r="F70" s="156"/>
      <c r="G70" s="155">
        <f ca="1">((((C70/H67)*20)+((C71/H67)*25)+(30/(H67+F67+D67)*C72)+(5/H67*C73)+(5/H67*C74)+(5/H67*C75)+(5/H67*C76)+(0/H67*C77)+(0/H67*C78)+(5/H67*C79))/100)</f>
        <v>0.81428571428571417</v>
      </c>
      <c r="H70" s="177"/>
      <c r="I70" s="13" t="s">
        <v>103</v>
      </c>
      <c r="J70" s="26">
        <f ca="1">H67*50%</f>
        <v>3.5</v>
      </c>
    </row>
    <row r="71" spans="1:10" x14ac:dyDescent="0.25">
      <c r="A71" s="81" t="s">
        <v>52</v>
      </c>
      <c r="B71" s="82"/>
      <c r="C71" s="54">
        <v>7</v>
      </c>
      <c r="D71" s="53">
        <f ca="1">((100/H67)*C71)/100</f>
        <v>1</v>
      </c>
      <c r="E71" s="157"/>
      <c r="F71" s="158"/>
      <c r="G71" s="157"/>
      <c r="H71" s="178"/>
      <c r="I71" s="13" t="s">
        <v>104</v>
      </c>
      <c r="J71" s="26">
        <f ca="1">H67</f>
        <v>7</v>
      </c>
    </row>
    <row r="72" spans="1:10" ht="15.75" customHeight="1" x14ac:dyDescent="0.25">
      <c r="A72" s="81" t="s">
        <v>135</v>
      </c>
      <c r="B72" s="82"/>
      <c r="C72" s="60">
        <v>8</v>
      </c>
      <c r="D72" s="53">
        <f ca="1">((100/(D67+F67+H67))*C72)/100</f>
        <v>1</v>
      </c>
      <c r="E72" s="157"/>
      <c r="F72" s="158"/>
      <c r="G72" s="157"/>
      <c r="H72" s="178"/>
      <c r="I72" s="13" t="s">
        <v>105</v>
      </c>
      <c r="J72" s="27">
        <f ca="1">(IF(B67&gt;1,(H67/(B67+2)),H67/4))</f>
        <v>1.75</v>
      </c>
    </row>
    <row r="73" spans="1:10" ht="15.75" customHeight="1" x14ac:dyDescent="0.25">
      <c r="A73" s="81" t="s">
        <v>142</v>
      </c>
      <c r="B73" s="82" t="s">
        <v>136</v>
      </c>
      <c r="C73" s="60">
        <v>7</v>
      </c>
      <c r="D73" s="53">
        <f ca="1">((100/H67)*C73)/100</f>
        <v>1</v>
      </c>
      <c r="E73" s="157"/>
      <c r="F73" s="158"/>
      <c r="G73" s="157"/>
      <c r="H73" s="178"/>
      <c r="I73" s="13" t="s">
        <v>106</v>
      </c>
      <c r="J73" s="27">
        <f ca="1">(IF(B67&gt;1,(H67/(B67+2)+J72),H67/4+J72))</f>
        <v>3.5</v>
      </c>
    </row>
    <row r="74" spans="1:10" ht="15.75" customHeight="1" x14ac:dyDescent="0.25">
      <c r="A74" s="81" t="s">
        <v>143</v>
      </c>
      <c r="B74" s="82" t="s">
        <v>136</v>
      </c>
      <c r="C74" s="60">
        <v>1</v>
      </c>
      <c r="D74" s="53">
        <f ca="1">((100/H67)*C74)/100</f>
        <v>0.14285714285714288</v>
      </c>
      <c r="E74" s="157"/>
      <c r="F74" s="158"/>
      <c r="G74" s="157"/>
      <c r="H74" s="178"/>
      <c r="I74" s="13" t="s">
        <v>152</v>
      </c>
      <c r="J74" s="27">
        <f>(IF(B67&gt;1,(H67/(B67+2)+J73),0))</f>
        <v>0</v>
      </c>
    </row>
    <row r="75" spans="1:10" ht="15" customHeight="1" x14ac:dyDescent="0.25">
      <c r="A75" s="81" t="s">
        <v>141</v>
      </c>
      <c r="B75" s="82" t="s">
        <v>138</v>
      </c>
      <c r="C75" s="60">
        <v>1</v>
      </c>
      <c r="D75" s="53">
        <f ca="1">((100/(H67))*C75)/100</f>
        <v>0.14285714285714288</v>
      </c>
      <c r="E75" s="157"/>
      <c r="F75" s="158"/>
      <c r="G75" s="157"/>
      <c r="H75" s="178"/>
      <c r="I75" s="13" t="s">
        <v>149</v>
      </c>
      <c r="J75" s="27">
        <f>(IF(B67&gt;2,(H67/(B67+2)+J74),0))</f>
        <v>0</v>
      </c>
    </row>
    <row r="76" spans="1:10" ht="15.75" customHeight="1" x14ac:dyDescent="0.25">
      <c r="A76" s="81" t="s">
        <v>137</v>
      </c>
      <c r="B76" s="82" t="s">
        <v>137</v>
      </c>
      <c r="C76" s="60">
        <v>0</v>
      </c>
      <c r="D76" s="53">
        <f ca="1">((100/H67)*C76)/100</f>
        <v>0</v>
      </c>
      <c r="E76" s="157"/>
      <c r="F76" s="158"/>
      <c r="G76" s="157"/>
      <c r="H76" s="178"/>
      <c r="I76" s="13" t="s">
        <v>150</v>
      </c>
      <c r="J76" s="28">
        <f>(IF(B67&gt;3,(H67/(B67+2)+J75),0))</f>
        <v>0</v>
      </c>
    </row>
    <row r="77" spans="1:10" ht="15.75" customHeight="1" x14ac:dyDescent="0.25">
      <c r="A77" s="81" t="s">
        <v>144</v>
      </c>
      <c r="B77" s="82"/>
      <c r="C77" s="60">
        <v>0</v>
      </c>
      <c r="D77" s="53">
        <f ca="1">((100/H67)*C77)/100</f>
        <v>0</v>
      </c>
      <c r="E77" s="157"/>
      <c r="F77" s="158"/>
      <c r="G77" s="157"/>
      <c r="H77" s="178"/>
      <c r="I77" s="13" t="s">
        <v>151</v>
      </c>
      <c r="J77" s="27">
        <f>(IF(B67&gt;4,(H67/(B67+2)+J76),0))</f>
        <v>0</v>
      </c>
    </row>
    <row r="78" spans="1:10" ht="15.75" customHeight="1" x14ac:dyDescent="0.25">
      <c r="A78" s="81" t="s">
        <v>139</v>
      </c>
      <c r="B78" s="82" t="s">
        <v>139</v>
      </c>
      <c r="C78" s="60">
        <v>0</v>
      </c>
      <c r="D78" s="53">
        <f ca="1">((100/(H67))*C78)/100</f>
        <v>0</v>
      </c>
      <c r="E78" s="157"/>
      <c r="F78" s="158"/>
      <c r="G78" s="157"/>
      <c r="H78" s="178"/>
      <c r="I78" s="13" t="s">
        <v>153</v>
      </c>
      <c r="J78" s="27">
        <f ca="1">(IF(B67=1,(H67/(B67+3)+J73),IF(B67=0,(H67/4+J73),IF(B67&gt;1,0))))</f>
        <v>5.25</v>
      </c>
    </row>
    <row r="79" spans="1:10" ht="16.5" thickBot="1" x14ac:dyDescent="0.3">
      <c r="A79" s="161" t="s">
        <v>140</v>
      </c>
      <c r="B79" s="162"/>
      <c r="C79" s="61">
        <v>0</v>
      </c>
      <c r="D79" s="56">
        <f ca="1">((100/(H67))*C79)/100</f>
        <v>0</v>
      </c>
      <c r="E79" s="159"/>
      <c r="F79" s="160"/>
      <c r="G79" s="159"/>
      <c r="H79" s="179"/>
      <c r="I79" s="14" t="s">
        <v>107</v>
      </c>
      <c r="J79" s="29">
        <f ca="1">(IF(B67&gt;1.5,(H67/(B67+2)+J73+MAX(0,J74-J73)+MAX(0,J75-J74)+MAX(0,J76-J75)+MAX(0,J77-J76)+MAX(0,J78-J77)),IF(B67=1,(H67/(B67+3)+J78),IF(B67=0,H67/4+J78))))</f>
        <v>7</v>
      </c>
    </row>
    <row r="80" spans="1:10" x14ac:dyDescent="0.25">
      <c r="A80" s="83" t="s">
        <v>146</v>
      </c>
      <c r="B80" s="84"/>
      <c r="C80" s="85" t="s">
        <v>204</v>
      </c>
      <c r="D80" s="86"/>
      <c r="E80" s="86"/>
      <c r="F80" s="86"/>
      <c r="G80" s="86"/>
      <c r="H80" s="87"/>
      <c r="I80" s="42" t="str">
        <f ca="1">IF(D93=100%,"All work Completed. Possession granted to the Building.",IF(D92=100%,"All work Completed, Waiting for OC",I81&amp;""&amp;I82&amp;""&amp;J81&amp;""&amp;J80&amp;" "&amp;J82))</f>
        <v xml:space="preserve">Excavation, Plinth, RCC Slab, Brickwork Completed </v>
      </c>
      <c r="J80" s="43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x14ac:dyDescent="0.25">
      <c r="A81" s="15" t="s">
        <v>148</v>
      </c>
      <c r="B81" s="50">
        <v>0</v>
      </c>
      <c r="C81" s="50" t="s">
        <v>75</v>
      </c>
      <c r="D81" s="50">
        <v>1</v>
      </c>
      <c r="E81" s="50" t="s">
        <v>74</v>
      </c>
      <c r="F81" s="50">
        <v>0</v>
      </c>
      <c r="G81" s="50" t="s">
        <v>83</v>
      </c>
      <c r="H81" s="16">
        <f ca="1">--TRIM(RIGHT(SUBSTITUTE(LEFT(C80,_xlfn.AGGREGATE(16,6,FIND({0,1,2,3,4,5,6,7,8,9},C80,ROW(INDIRECT("1:"&amp;LEN(C80)))),1))," ",REPT(" ",LEN(C80))),LEN(C80)))</f>
        <v>7</v>
      </c>
      <c r="I81" s="44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45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x14ac:dyDescent="0.25">
      <c r="A82" s="109" t="s">
        <v>93</v>
      </c>
      <c r="B82" s="110"/>
      <c r="C82" s="130" t="str">
        <f ca="1">(IF($C$52=C80,"All work Completed. OC Received.",I80))</f>
        <v xml:space="preserve">Excavation, Plinth, RCC Slab, Brickwork Completed </v>
      </c>
      <c r="D82" s="130"/>
      <c r="E82" s="130"/>
      <c r="F82" s="130"/>
      <c r="G82" s="130"/>
      <c r="H82" s="131"/>
      <c r="I82" s="44" t="str">
        <f ca="1">IF(I81&lt;&gt;""," Completed","")</f>
        <v xml:space="preserve"> Completed</v>
      </c>
      <c r="J82" s="45" t="str">
        <f ca="1">IF(J80&lt;&gt;"","Completed","")</f>
        <v/>
      </c>
    </row>
    <row r="83" spans="1:10" ht="15.75" customHeight="1" x14ac:dyDescent="0.25">
      <c r="A83" s="81" t="s">
        <v>51</v>
      </c>
      <c r="B83" s="82"/>
      <c r="C83" s="52" t="s">
        <v>145</v>
      </c>
      <c r="D83" s="52" t="s">
        <v>86</v>
      </c>
      <c r="E83" s="82" t="s">
        <v>88</v>
      </c>
      <c r="F83" s="82"/>
      <c r="G83" s="82" t="s">
        <v>87</v>
      </c>
      <c r="H83" s="135"/>
      <c r="I83" s="13" t="s">
        <v>147</v>
      </c>
      <c r="J83" s="25">
        <f ca="1">H81*25%</f>
        <v>1.75</v>
      </c>
    </row>
    <row r="84" spans="1:10" x14ac:dyDescent="0.25">
      <c r="A84" s="81" t="s">
        <v>134</v>
      </c>
      <c r="B84" s="82"/>
      <c r="C84" s="52">
        <f ca="1">J85</f>
        <v>7</v>
      </c>
      <c r="D84" s="53">
        <f ca="1">((100/H81)*C84)/100</f>
        <v>1</v>
      </c>
      <c r="E84" s="155">
        <f ca="1">(((C85/H81*10)+(40/(D81+F81+H81)*C86)+(7.5/(H81)*C87)+(7.5/(H81)*C88)+(10/H81*C89)+(10/H81*C90)+(5/H81*C91)+(5/H81*C92)+(5/H81*C93))/100)</f>
        <v>0.57499999999999996</v>
      </c>
      <c r="F84" s="156"/>
      <c r="G84" s="155">
        <f ca="1">((((C84/H81)*20)+((C85/H81)*25)+(30/(H81+F81+D81)*C86)+(5/H81*C87)+(5/H81*C88)+(5/H81*C89)+(5/H81*C90)+(0/H81*C91)+(0/H81*C92)+(5/H81*C93))/100)</f>
        <v>0.8</v>
      </c>
      <c r="H84" s="177"/>
      <c r="I84" s="13" t="s">
        <v>103</v>
      </c>
      <c r="J84" s="26">
        <f ca="1">H81*50%</f>
        <v>3.5</v>
      </c>
    </row>
    <row r="85" spans="1:10" x14ac:dyDescent="0.25">
      <c r="A85" s="81" t="s">
        <v>52</v>
      </c>
      <c r="B85" s="82"/>
      <c r="C85" s="54">
        <v>7</v>
      </c>
      <c r="D85" s="53">
        <f ca="1">((100/H81)*C85)/100</f>
        <v>1</v>
      </c>
      <c r="E85" s="157"/>
      <c r="F85" s="158"/>
      <c r="G85" s="157"/>
      <c r="H85" s="178"/>
      <c r="I85" s="13" t="s">
        <v>104</v>
      </c>
      <c r="J85" s="26">
        <f ca="1">H81</f>
        <v>7</v>
      </c>
    </row>
    <row r="86" spans="1:10" ht="15.75" customHeight="1" x14ac:dyDescent="0.25">
      <c r="A86" s="81" t="s">
        <v>135</v>
      </c>
      <c r="B86" s="82"/>
      <c r="C86" s="52">
        <v>8</v>
      </c>
      <c r="D86" s="53">
        <f ca="1">((100/(D81+F81+H81))*C86)/100</f>
        <v>1</v>
      </c>
      <c r="E86" s="157"/>
      <c r="F86" s="158"/>
      <c r="G86" s="157"/>
      <c r="H86" s="178"/>
      <c r="I86" s="13" t="s">
        <v>105</v>
      </c>
      <c r="J86" s="27">
        <f ca="1">(IF(B81&gt;1,(H81/(B81+2)),H81/4))</f>
        <v>1.75</v>
      </c>
    </row>
    <row r="87" spans="1:10" ht="15.75" customHeight="1" x14ac:dyDescent="0.25">
      <c r="A87" s="81" t="s">
        <v>142</v>
      </c>
      <c r="B87" s="82" t="s">
        <v>136</v>
      </c>
      <c r="C87" s="52">
        <v>7</v>
      </c>
      <c r="D87" s="53">
        <f ca="1">((100/H81)*C87)/100</f>
        <v>1</v>
      </c>
      <c r="E87" s="157"/>
      <c r="F87" s="158"/>
      <c r="G87" s="157"/>
      <c r="H87" s="178"/>
      <c r="I87" s="13" t="s">
        <v>106</v>
      </c>
      <c r="J87" s="27">
        <f ca="1">(IF(B81&gt;1,(H81/(B81+2)+J86),H81/4+J86))</f>
        <v>3.5</v>
      </c>
    </row>
    <row r="88" spans="1:10" ht="15.75" customHeight="1" x14ac:dyDescent="0.25">
      <c r="A88" s="81" t="s">
        <v>143</v>
      </c>
      <c r="B88" s="82" t="s">
        <v>136</v>
      </c>
      <c r="C88" s="52">
        <v>0</v>
      </c>
      <c r="D88" s="53">
        <f ca="1">((100/H81)*C88)/100</f>
        <v>0</v>
      </c>
      <c r="E88" s="157"/>
      <c r="F88" s="158"/>
      <c r="G88" s="157"/>
      <c r="H88" s="178"/>
      <c r="I88" s="13" t="s">
        <v>152</v>
      </c>
      <c r="J88" s="27">
        <f>(IF(B81&gt;1,(H81/(B81+2)+J87),0))</f>
        <v>0</v>
      </c>
    </row>
    <row r="89" spans="1:10" ht="15" customHeight="1" x14ac:dyDescent="0.25">
      <c r="A89" s="81" t="s">
        <v>141</v>
      </c>
      <c r="B89" s="82" t="s">
        <v>138</v>
      </c>
      <c r="C89" s="52">
        <v>0</v>
      </c>
      <c r="D89" s="53">
        <f ca="1">((100/(H81))*C89)/100</f>
        <v>0</v>
      </c>
      <c r="E89" s="157"/>
      <c r="F89" s="158"/>
      <c r="G89" s="157"/>
      <c r="H89" s="178"/>
      <c r="I89" s="13" t="s">
        <v>149</v>
      </c>
      <c r="J89" s="27">
        <f>(IF(B81&gt;2,(H81/(B81+2)+J88),0))</f>
        <v>0</v>
      </c>
    </row>
    <row r="90" spans="1:10" ht="15.75" customHeight="1" x14ac:dyDescent="0.25">
      <c r="A90" s="81" t="s">
        <v>137</v>
      </c>
      <c r="B90" s="82" t="s">
        <v>137</v>
      </c>
      <c r="C90" s="52">
        <v>0</v>
      </c>
      <c r="D90" s="53">
        <f ca="1">((100/H81)*C90)/100</f>
        <v>0</v>
      </c>
      <c r="E90" s="157"/>
      <c r="F90" s="158"/>
      <c r="G90" s="157"/>
      <c r="H90" s="178"/>
      <c r="I90" s="13" t="s">
        <v>150</v>
      </c>
      <c r="J90" s="28">
        <f>(IF(B81&gt;3,(H81/(B81+2)+J89),0))</f>
        <v>0</v>
      </c>
    </row>
    <row r="91" spans="1:10" ht="15.75" customHeight="1" x14ac:dyDescent="0.25">
      <c r="A91" s="81" t="s">
        <v>144</v>
      </c>
      <c r="B91" s="82"/>
      <c r="C91" s="52">
        <v>0</v>
      </c>
      <c r="D91" s="53">
        <f ca="1">((100/H81)*C91)/100</f>
        <v>0</v>
      </c>
      <c r="E91" s="157"/>
      <c r="F91" s="158"/>
      <c r="G91" s="157"/>
      <c r="H91" s="178"/>
      <c r="I91" s="13" t="s">
        <v>151</v>
      </c>
      <c r="J91" s="27">
        <f>(IF(B81&gt;4,(H81/(B81+2)+J90),0))</f>
        <v>0</v>
      </c>
    </row>
    <row r="92" spans="1:10" ht="15.75" customHeight="1" x14ac:dyDescent="0.25">
      <c r="A92" s="81" t="s">
        <v>139</v>
      </c>
      <c r="B92" s="82" t="s">
        <v>139</v>
      </c>
      <c r="C92" s="52">
        <v>0</v>
      </c>
      <c r="D92" s="53">
        <f ca="1">((100/(H81))*C92)/100</f>
        <v>0</v>
      </c>
      <c r="E92" s="157"/>
      <c r="F92" s="158"/>
      <c r="G92" s="157"/>
      <c r="H92" s="178"/>
      <c r="I92" s="13" t="s">
        <v>153</v>
      </c>
      <c r="J92" s="27">
        <f ca="1">(IF(B81=1,(H81/(B81+3)+J87),IF(B81=0,(H81/4+J87),IF(B81&gt;1,0))))</f>
        <v>5.25</v>
      </c>
    </row>
    <row r="93" spans="1:10" ht="16.5" thickBot="1" x14ac:dyDescent="0.3">
      <c r="A93" s="161" t="s">
        <v>140</v>
      </c>
      <c r="B93" s="162"/>
      <c r="C93" s="55">
        <v>0</v>
      </c>
      <c r="D93" s="56">
        <f ca="1">((100/(H81))*C93)/100</f>
        <v>0</v>
      </c>
      <c r="E93" s="159"/>
      <c r="F93" s="160"/>
      <c r="G93" s="159"/>
      <c r="H93" s="179"/>
      <c r="I93" s="14" t="s">
        <v>107</v>
      </c>
      <c r="J93" s="29">
        <f ca="1">(IF(B81&gt;1.5,(H81/(B81+2)+J87+MAX(0,J88-J87)+MAX(0,J89-J88)+MAX(0,J90-J89)+MAX(0,J91-J90)+MAX(0,J92-J91)),IF(B81=1,(H81/(B81+3)+J92),IF(B81=0,H81/4+J92))))</f>
        <v>7</v>
      </c>
    </row>
    <row r="94" spans="1:10" ht="15.75" hidden="1" customHeight="1" x14ac:dyDescent="0.25">
      <c r="A94" s="83" t="s">
        <v>146</v>
      </c>
      <c r="B94" s="84"/>
      <c r="C94" s="85" t="str">
        <f>D58</f>
        <v>Building No. 3 (B Wing) = G/St + 1st to 7th Floor</v>
      </c>
      <c r="D94" s="86"/>
      <c r="E94" s="86"/>
      <c r="F94" s="86"/>
      <c r="G94" s="86"/>
      <c r="H94" s="87"/>
      <c r="I94" s="42" t="str">
        <f ca="1">IF(D107=100%,"All work Completed. Possession granted to the Building.",IF(D106=100%,"All work Completed, Waiting for OC",I95&amp;""&amp;I96&amp;""&amp;J95&amp;""&amp;J94&amp;" "&amp;J96))</f>
        <v>Excavation, Plinth Completed, RCC upto 7 Slab, Brickwork upto 6 Floor Completed</v>
      </c>
      <c r="J94" s="43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7 Slab, Brickwork upto 6 Floor</v>
      </c>
    </row>
    <row r="95" spans="1:10" hidden="1" x14ac:dyDescent="0.25">
      <c r="A95" s="15" t="s">
        <v>148</v>
      </c>
      <c r="B95" s="50">
        <v>0</v>
      </c>
      <c r="C95" s="50" t="s">
        <v>75</v>
      </c>
      <c r="D95" s="50">
        <v>1</v>
      </c>
      <c r="E95" s="50" t="s">
        <v>74</v>
      </c>
      <c r="F95" s="50">
        <v>0</v>
      </c>
      <c r="G95" s="50" t="s">
        <v>83</v>
      </c>
      <c r="H95" s="16">
        <f ca="1">--TRIM(RIGHT(SUBSTITUTE(LEFT(C94,_xlfn.AGGREGATE(16,6,FIND({0,1,2,3,4,5,6,7,8,9},C94,ROW(INDIRECT("1:"&amp;LEN(C94)))),1))," ",REPT(" ",LEN(C94))),LEN(C94)))</f>
        <v>7</v>
      </c>
      <c r="I95" s="44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5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0.75" hidden="1" customHeight="1" x14ac:dyDescent="0.25">
      <c r="A96" s="109" t="s">
        <v>93</v>
      </c>
      <c r="B96" s="110"/>
      <c r="C96" s="130" t="str">
        <f ca="1">(IF($C$52=C94,"All work Completed. OC Received.",I94))</f>
        <v>Excavation, Plinth Completed, RCC upto 7 Slab, Brickwork upto 6 Floor Completed</v>
      </c>
      <c r="D96" s="130"/>
      <c r="E96" s="130"/>
      <c r="F96" s="130"/>
      <c r="G96" s="130"/>
      <c r="H96" s="131"/>
      <c r="I96" s="44" t="str">
        <f ca="1">IF(I95&lt;&gt;""," Completed","")</f>
        <v xml:space="preserve"> Completed</v>
      </c>
      <c r="J96" s="45" t="str">
        <f ca="1">IF(J94&lt;&gt;"","Completed","")</f>
        <v>Completed</v>
      </c>
    </row>
    <row r="97" spans="1:10" ht="15.75" hidden="1" customHeight="1" x14ac:dyDescent="0.25">
      <c r="A97" s="81" t="s">
        <v>51</v>
      </c>
      <c r="B97" s="82"/>
      <c r="C97" s="52" t="s">
        <v>145</v>
      </c>
      <c r="D97" s="52" t="s">
        <v>86</v>
      </c>
      <c r="E97" s="82" t="s">
        <v>88</v>
      </c>
      <c r="F97" s="82"/>
      <c r="G97" s="82" t="s">
        <v>87</v>
      </c>
      <c r="H97" s="135"/>
      <c r="I97" s="13" t="s">
        <v>147</v>
      </c>
      <c r="J97" s="25">
        <f ca="1">H95*25%</f>
        <v>1.75</v>
      </c>
    </row>
    <row r="98" spans="1:10" hidden="1" x14ac:dyDescent="0.25">
      <c r="A98" s="81" t="s">
        <v>134</v>
      </c>
      <c r="B98" s="82"/>
      <c r="C98" s="54">
        <f ca="1">J99</f>
        <v>7</v>
      </c>
      <c r="D98" s="53">
        <f ca="1">((100/H95)*C98)/100</f>
        <v>1</v>
      </c>
      <c r="E98" s="155">
        <f ca="1">(((C99/H95*10)+(40/(D95+F95+H95)*C100)+(7.5/(H95)*C101)+(7.5/(H95)*C102)+(10/H95*C103)+(10/H95*C104)+(5/H95*C105)+(5/H95*C106)+(5/H95*C107))/100)</f>
        <v>0.51428571428571435</v>
      </c>
      <c r="F98" s="156"/>
      <c r="G98" s="155">
        <f ca="1">((((C98/H95)*20)+((C99/H95)*25)+(30/(H95+F95+D95)*C100)+(5/H95*C101)+(5/H95*C102)+(5/H95*C103)+(5/H95*C104)+(0/H95*C105)+(0/H95*C106)+(5/H95*C107))/100)</f>
        <v>0.75535714285714295</v>
      </c>
      <c r="H98" s="177"/>
      <c r="I98" s="13" t="s">
        <v>103</v>
      </c>
      <c r="J98" s="26">
        <f ca="1">H95*50%</f>
        <v>3.5</v>
      </c>
    </row>
    <row r="99" spans="1:10" hidden="1" x14ac:dyDescent="0.25">
      <c r="A99" s="81" t="s">
        <v>52</v>
      </c>
      <c r="B99" s="82"/>
      <c r="C99" s="54">
        <v>7</v>
      </c>
      <c r="D99" s="53">
        <f ca="1">((100/H95)*C99)/100</f>
        <v>1</v>
      </c>
      <c r="E99" s="157"/>
      <c r="F99" s="158"/>
      <c r="G99" s="157"/>
      <c r="H99" s="178"/>
      <c r="I99" s="13" t="s">
        <v>104</v>
      </c>
      <c r="J99" s="26">
        <f ca="1">H95</f>
        <v>7</v>
      </c>
    </row>
    <row r="100" spans="1:10" ht="15.75" hidden="1" customHeight="1" x14ac:dyDescent="0.25">
      <c r="A100" s="81" t="s">
        <v>135</v>
      </c>
      <c r="B100" s="82"/>
      <c r="C100" s="52">
        <v>7</v>
      </c>
      <c r="D100" s="53">
        <f ca="1">((100/(D95+F95+H95))*C100)/100</f>
        <v>0.875</v>
      </c>
      <c r="E100" s="157"/>
      <c r="F100" s="158"/>
      <c r="G100" s="157"/>
      <c r="H100" s="178"/>
      <c r="I100" s="13" t="s">
        <v>105</v>
      </c>
      <c r="J100" s="27">
        <f ca="1">(IF(B95&gt;1,(H95/(B95+2)),H95/4))</f>
        <v>1.75</v>
      </c>
    </row>
    <row r="101" spans="1:10" ht="15.75" hidden="1" customHeight="1" x14ac:dyDescent="0.25">
      <c r="A101" s="81" t="s">
        <v>142</v>
      </c>
      <c r="B101" s="82" t="s">
        <v>136</v>
      </c>
      <c r="C101" s="52">
        <v>6</v>
      </c>
      <c r="D101" s="53">
        <f ca="1">((100/H95)*C101)/100</f>
        <v>0.85714285714285721</v>
      </c>
      <c r="E101" s="157"/>
      <c r="F101" s="158"/>
      <c r="G101" s="157"/>
      <c r="H101" s="178"/>
      <c r="I101" s="13" t="s">
        <v>106</v>
      </c>
      <c r="J101" s="27">
        <f ca="1">(IF(B95&gt;1,(H95/(B95+2)+J100),H95/4+J100))</f>
        <v>3.5</v>
      </c>
    </row>
    <row r="102" spans="1:10" ht="15.75" hidden="1" customHeight="1" x14ac:dyDescent="0.25">
      <c r="A102" s="81" t="s">
        <v>143</v>
      </c>
      <c r="B102" s="82" t="s">
        <v>136</v>
      </c>
      <c r="C102" s="52">
        <v>0</v>
      </c>
      <c r="D102" s="53">
        <f ca="1">((100/H95)*C102)/100</f>
        <v>0</v>
      </c>
      <c r="E102" s="157"/>
      <c r="F102" s="158"/>
      <c r="G102" s="157"/>
      <c r="H102" s="178"/>
      <c r="I102" s="13" t="s">
        <v>152</v>
      </c>
      <c r="J102" s="27">
        <f>(IF(B95&gt;1,(H95/(B95+2)+J101),0))</f>
        <v>0</v>
      </c>
    </row>
    <row r="103" spans="1:10" ht="15" hidden="1" customHeight="1" x14ac:dyDescent="0.25">
      <c r="A103" s="81" t="s">
        <v>141</v>
      </c>
      <c r="B103" s="82" t="s">
        <v>138</v>
      </c>
      <c r="C103" s="52">
        <v>0</v>
      </c>
      <c r="D103" s="53">
        <f ca="1">((100/(H95))*C103)/100</f>
        <v>0</v>
      </c>
      <c r="E103" s="157"/>
      <c r="F103" s="158"/>
      <c r="G103" s="157"/>
      <c r="H103" s="178"/>
      <c r="I103" s="13" t="s">
        <v>149</v>
      </c>
      <c r="J103" s="27">
        <f>(IF(B95&gt;2,(H95/(B95+2)+J102),0))</f>
        <v>0</v>
      </c>
    </row>
    <row r="104" spans="1:10" ht="15.75" hidden="1" customHeight="1" x14ac:dyDescent="0.25">
      <c r="A104" s="81" t="s">
        <v>137</v>
      </c>
      <c r="B104" s="82" t="s">
        <v>137</v>
      </c>
      <c r="C104" s="52">
        <v>0</v>
      </c>
      <c r="D104" s="53">
        <f ca="1">((100/H95)*C104)/100</f>
        <v>0</v>
      </c>
      <c r="E104" s="157"/>
      <c r="F104" s="158"/>
      <c r="G104" s="157"/>
      <c r="H104" s="178"/>
      <c r="I104" s="13" t="s">
        <v>150</v>
      </c>
      <c r="J104" s="28">
        <f>(IF(B95&gt;3,(H95/(B95+2)+J103),0))</f>
        <v>0</v>
      </c>
    </row>
    <row r="105" spans="1:10" ht="15.75" hidden="1" customHeight="1" x14ac:dyDescent="0.25">
      <c r="A105" s="81" t="s">
        <v>144</v>
      </c>
      <c r="B105" s="82"/>
      <c r="C105" s="52">
        <v>0</v>
      </c>
      <c r="D105" s="53">
        <f ca="1">((100/H95)*C105)/100</f>
        <v>0</v>
      </c>
      <c r="E105" s="157"/>
      <c r="F105" s="158"/>
      <c r="G105" s="157"/>
      <c r="H105" s="178"/>
      <c r="I105" s="13" t="s">
        <v>151</v>
      </c>
      <c r="J105" s="27">
        <f>(IF(B95&gt;4,(H95/(B95+2)+J104),0))</f>
        <v>0</v>
      </c>
    </row>
    <row r="106" spans="1:10" ht="15.75" hidden="1" customHeight="1" x14ac:dyDescent="0.25">
      <c r="A106" s="81" t="s">
        <v>139</v>
      </c>
      <c r="B106" s="82" t="s">
        <v>139</v>
      </c>
      <c r="C106" s="52">
        <v>0</v>
      </c>
      <c r="D106" s="53">
        <f ca="1">((100/(H95))*C106)/100</f>
        <v>0</v>
      </c>
      <c r="E106" s="157"/>
      <c r="F106" s="158"/>
      <c r="G106" s="157"/>
      <c r="H106" s="178"/>
      <c r="I106" s="13" t="s">
        <v>153</v>
      </c>
      <c r="J106" s="27">
        <f ca="1">(IF(B95=1,(H95/(B95+3)+J101),IF(B95=0,(H95/4+J101),IF(B95&gt;1,0))))</f>
        <v>5.25</v>
      </c>
    </row>
    <row r="107" spans="1:10" ht="16.5" hidden="1" thickBot="1" x14ac:dyDescent="0.3">
      <c r="A107" s="161" t="s">
        <v>140</v>
      </c>
      <c r="B107" s="162"/>
      <c r="C107" s="55">
        <v>0</v>
      </c>
      <c r="D107" s="56">
        <f ca="1">((100/(H95))*C107)/100</f>
        <v>0</v>
      </c>
      <c r="E107" s="159"/>
      <c r="F107" s="160"/>
      <c r="G107" s="159"/>
      <c r="H107" s="179"/>
      <c r="I107" s="14" t="s">
        <v>107</v>
      </c>
      <c r="J107" s="29">
        <f ca="1">(IF(B95&gt;1.5,(H95/(B95+2)+J101+MAX(0,J102-J101)+MAX(0,J103-J102)+MAX(0,J104-J103)+MAX(0,J105-J104)+MAX(0,J106-J105)),IF(B95=1,(H95/(B95+3)+J106),IF(B95=0,H95/4+J106))))</f>
        <v>7</v>
      </c>
    </row>
    <row r="108" spans="1:10" x14ac:dyDescent="0.25">
      <c r="A108" s="172" t="s">
        <v>162</v>
      </c>
      <c r="B108" s="172"/>
      <c r="C108" s="172"/>
      <c r="D108" s="172"/>
      <c r="E108" s="172"/>
      <c r="F108" s="163" t="s">
        <v>167</v>
      </c>
      <c r="G108" s="163"/>
      <c r="H108" s="163"/>
    </row>
    <row r="109" spans="1:10" x14ac:dyDescent="0.25">
      <c r="A109" s="76" t="s">
        <v>165</v>
      </c>
      <c r="B109" s="76"/>
      <c r="C109" s="76"/>
      <c r="D109" s="76"/>
      <c r="E109" s="76"/>
      <c r="F109" s="88">
        <v>3200</v>
      </c>
      <c r="G109" s="88"/>
      <c r="H109" s="88"/>
    </row>
    <row r="110" spans="1:10" x14ac:dyDescent="0.25">
      <c r="A110" s="76" t="s">
        <v>164</v>
      </c>
      <c r="B110" s="76"/>
      <c r="C110" s="76"/>
      <c r="D110" s="76"/>
      <c r="E110" s="76"/>
      <c r="F110" s="123">
        <v>6500</v>
      </c>
      <c r="G110" s="123"/>
      <c r="H110" s="123"/>
    </row>
    <row r="111" spans="1:10" hidden="1" x14ac:dyDescent="0.25">
      <c r="A111" s="76" t="s">
        <v>166</v>
      </c>
      <c r="B111" s="76"/>
      <c r="C111" s="76"/>
      <c r="D111" s="76"/>
      <c r="E111" s="76"/>
      <c r="F111" s="123"/>
      <c r="G111" s="123"/>
      <c r="H111" s="123"/>
    </row>
    <row r="112" spans="1:10" s="30" customFormat="1" hidden="1" x14ac:dyDescent="0.25">
      <c r="A112" s="76" t="s">
        <v>163</v>
      </c>
      <c r="B112" s="76"/>
      <c r="C112" s="76"/>
      <c r="D112" s="76"/>
      <c r="E112" s="76"/>
      <c r="F112" s="123"/>
      <c r="G112" s="123"/>
      <c r="H112" s="123"/>
    </row>
    <row r="113" spans="1:11" s="30" customFormat="1" x14ac:dyDescent="0.25">
      <c r="A113" s="76" t="s">
        <v>98</v>
      </c>
      <c r="B113" s="76"/>
      <c r="C113" s="76"/>
      <c r="D113" s="76"/>
      <c r="E113" s="76"/>
      <c r="F113" s="123">
        <v>175000</v>
      </c>
      <c r="G113" s="123"/>
      <c r="H113" s="123"/>
      <c r="J113" s="30" t="s">
        <v>197</v>
      </c>
      <c r="K113" s="30" t="s">
        <v>198</v>
      </c>
    </row>
    <row r="114" spans="1:11" s="30" customFormat="1" hidden="1" x14ac:dyDescent="0.25">
      <c r="A114" s="76" t="s">
        <v>99</v>
      </c>
      <c r="B114" s="76"/>
      <c r="C114" s="76"/>
      <c r="D114" s="76"/>
      <c r="E114" s="76"/>
      <c r="F114" s="123"/>
      <c r="G114" s="123"/>
      <c r="H114" s="123"/>
    </row>
    <row r="115" spans="1:11" s="30" customFormat="1" hidden="1" x14ac:dyDescent="0.25">
      <c r="A115" s="76" t="s">
        <v>168</v>
      </c>
      <c r="B115" s="76"/>
      <c r="C115" s="76"/>
      <c r="D115" s="76"/>
      <c r="E115" s="76"/>
      <c r="F115" s="123"/>
      <c r="G115" s="123"/>
      <c r="H115" s="123"/>
    </row>
    <row r="116" spans="1:11" s="30" customFormat="1" hidden="1" x14ac:dyDescent="0.25">
      <c r="A116" s="76" t="s">
        <v>100</v>
      </c>
      <c r="B116" s="76"/>
      <c r="C116" s="76"/>
      <c r="D116" s="76"/>
      <c r="E116" s="76"/>
      <c r="F116" s="123"/>
      <c r="G116" s="123"/>
      <c r="H116" s="123"/>
    </row>
    <row r="117" spans="1:11" s="30" customFormat="1" hidden="1" x14ac:dyDescent="0.25">
      <c r="A117" s="76" t="s">
        <v>101</v>
      </c>
      <c r="B117" s="76"/>
      <c r="C117" s="76"/>
      <c r="D117" s="76"/>
      <c r="E117" s="76"/>
      <c r="F117" s="123"/>
      <c r="G117" s="123"/>
      <c r="H117" s="123"/>
    </row>
    <row r="118" spans="1:11" s="30" customFormat="1" x14ac:dyDescent="0.25">
      <c r="A118" s="76" t="s">
        <v>196</v>
      </c>
      <c r="B118" s="76"/>
      <c r="C118" s="76"/>
      <c r="D118" s="76"/>
      <c r="E118" s="76"/>
      <c r="F118" s="123">
        <v>75000</v>
      </c>
      <c r="G118" s="123"/>
      <c r="H118" s="123"/>
      <c r="J118" s="30">
        <v>5800</v>
      </c>
      <c r="K118" s="30">
        <f>2200000/414</f>
        <v>5314.0096618357484</v>
      </c>
    </row>
    <row r="119" spans="1:11" s="30" customFormat="1" hidden="1" x14ac:dyDescent="0.25">
      <c r="A119" s="76" t="s">
        <v>102</v>
      </c>
      <c r="B119" s="76"/>
      <c r="C119" s="76"/>
      <c r="D119" s="76"/>
      <c r="E119" s="76"/>
      <c r="F119" s="123"/>
      <c r="G119" s="123"/>
      <c r="H119" s="123"/>
    </row>
    <row r="120" spans="1:11" x14ac:dyDescent="0.25">
      <c r="A120" s="76" t="s">
        <v>53</v>
      </c>
      <c r="B120" s="76"/>
      <c r="C120" s="76"/>
      <c r="D120" s="76"/>
      <c r="E120" s="76"/>
      <c r="F120" s="123">
        <v>100000</v>
      </c>
      <c r="G120" s="123"/>
      <c r="H120" s="123"/>
    </row>
    <row r="121" spans="1:11" s="31" customFormat="1" x14ac:dyDescent="0.25">
      <c r="A121" s="124" t="s">
        <v>54</v>
      </c>
      <c r="B121" s="124"/>
      <c r="C121" s="124"/>
      <c r="D121" s="124"/>
      <c r="E121" s="124"/>
      <c r="F121" s="123">
        <f>F109*0.8</f>
        <v>2560</v>
      </c>
      <c r="G121" s="123"/>
      <c r="H121" s="123"/>
    </row>
    <row r="122" spans="1:11" s="32" customFormat="1" ht="15.75" customHeight="1" x14ac:dyDescent="0.25">
      <c r="A122" s="122" t="s">
        <v>78</v>
      </c>
      <c r="B122" s="122"/>
      <c r="C122" s="122"/>
      <c r="D122" s="122"/>
      <c r="E122" s="122"/>
      <c r="F122" s="122"/>
      <c r="G122" s="122"/>
      <c r="H122" s="122"/>
    </row>
    <row r="123" spans="1:11" s="32" customFormat="1" ht="15.75" customHeight="1" x14ac:dyDescent="0.25">
      <c r="A123" s="165" t="s">
        <v>55</v>
      </c>
      <c r="B123" s="165"/>
      <c r="C123" s="166" t="s">
        <v>81</v>
      </c>
      <c r="D123" s="166"/>
      <c r="E123" s="164" t="s">
        <v>56</v>
      </c>
      <c r="F123" s="164"/>
      <c r="G123" s="165" t="s">
        <v>57</v>
      </c>
      <c r="H123" s="165"/>
      <c r="J123" s="32" t="s">
        <v>210</v>
      </c>
    </row>
    <row r="124" spans="1:11" s="32" customFormat="1" x14ac:dyDescent="0.25">
      <c r="A124" s="187" t="s">
        <v>206</v>
      </c>
      <c r="B124" s="41" t="s">
        <v>189</v>
      </c>
      <c r="C124" s="171">
        <f>COUNT(D138:D145)</f>
        <v>8</v>
      </c>
      <c r="D124" s="153"/>
      <c r="E124" s="89">
        <f>SUM(D138:D145)</f>
        <v>1250.3462399999999</v>
      </c>
      <c r="F124" s="90"/>
      <c r="G124" s="89">
        <f>SUM(F138:F145)</f>
        <v>2015</v>
      </c>
      <c r="H124" s="90"/>
      <c r="J124" s="32" t="s">
        <v>197</v>
      </c>
      <c r="K124" s="32" t="s">
        <v>213</v>
      </c>
    </row>
    <row r="125" spans="1:11" s="32" customFormat="1" x14ac:dyDescent="0.25">
      <c r="A125" s="188"/>
      <c r="B125" s="41" t="s">
        <v>190</v>
      </c>
      <c r="C125" s="171">
        <f>COUNT(D148:D155)</f>
        <v>8</v>
      </c>
      <c r="D125" s="153"/>
      <c r="E125" s="89">
        <f>SUM(D148:D155)</f>
        <v>1250.3462399999999</v>
      </c>
      <c r="F125" s="90"/>
      <c r="G125" s="89">
        <f>SUM(F148:F155)</f>
        <v>2015</v>
      </c>
      <c r="H125" s="90"/>
      <c r="I125" s="32" t="s">
        <v>211</v>
      </c>
      <c r="J125" s="32">
        <v>3800</v>
      </c>
      <c r="K125" s="32">
        <v>3600</v>
      </c>
    </row>
    <row r="126" spans="1:11" s="32" customFormat="1" x14ac:dyDescent="0.25">
      <c r="A126" s="122" t="s">
        <v>155</v>
      </c>
      <c r="B126" s="122"/>
      <c r="C126" s="129">
        <f>SUM(C124:D125)</f>
        <v>16</v>
      </c>
      <c r="D126" s="167"/>
      <c r="E126" s="168">
        <f>SUM(E124:F125)</f>
        <v>2500.6924799999997</v>
      </c>
      <c r="F126" s="169"/>
      <c r="G126" s="168">
        <f>SUM(G124:H125)</f>
        <v>4030</v>
      </c>
      <c r="H126" s="169"/>
      <c r="I126" s="32" t="s">
        <v>212</v>
      </c>
      <c r="J126" s="32">
        <v>9000</v>
      </c>
      <c r="K126" s="32">
        <v>8600</v>
      </c>
    </row>
    <row r="127" spans="1:11" s="32" customFormat="1" x14ac:dyDescent="0.25">
      <c r="A127" s="122" t="s">
        <v>73</v>
      </c>
      <c r="B127" s="122"/>
      <c r="C127" s="122"/>
      <c r="D127" s="122"/>
      <c r="E127" s="122"/>
      <c r="F127" s="122"/>
      <c r="G127" s="122"/>
      <c r="H127" s="122"/>
    </row>
    <row r="128" spans="1:11" s="32" customFormat="1" ht="15.75" customHeight="1" x14ac:dyDescent="0.25">
      <c r="A128" s="78" t="s">
        <v>55</v>
      </c>
      <c r="B128" s="78"/>
      <c r="C128" s="167" t="s">
        <v>81</v>
      </c>
      <c r="D128" s="167"/>
      <c r="E128" s="170" t="s">
        <v>56</v>
      </c>
      <c r="F128" s="170"/>
      <c r="G128" s="78" t="s">
        <v>57</v>
      </c>
      <c r="H128" s="78"/>
    </row>
    <row r="129" spans="1:14" s="32" customFormat="1" x14ac:dyDescent="0.25">
      <c r="A129" s="185" t="s">
        <v>206</v>
      </c>
      <c r="B129" s="57" t="s">
        <v>189</v>
      </c>
      <c r="C129" s="153">
        <f>COUNT(D161:D166)+COUNT(D168:D173)*6</f>
        <v>42</v>
      </c>
      <c r="D129" s="153"/>
      <c r="E129" s="154">
        <f>SUM(D161:D166)+SUM(D168:D173)*6</f>
        <v>18054.02664</v>
      </c>
      <c r="F129" s="154"/>
      <c r="G129" s="154">
        <f>SUM(F161:F166)+SUM(F168:F173)*6</f>
        <v>28070</v>
      </c>
      <c r="H129" s="154"/>
    </row>
    <row r="130" spans="1:14" s="32" customFormat="1" x14ac:dyDescent="0.25">
      <c r="A130" s="186"/>
      <c r="B130" s="57" t="s">
        <v>190</v>
      </c>
      <c r="C130" s="153">
        <f>COUNT(D176:D181)+COUNT(D183:D188)*6</f>
        <v>42</v>
      </c>
      <c r="D130" s="153"/>
      <c r="E130" s="154">
        <f>SUM(D176:D181)+SUM(D183:D188)*6</f>
        <v>18054.02664</v>
      </c>
      <c r="F130" s="154"/>
      <c r="G130" s="154">
        <f>SUM(F176:F181)+SUM(F183:F188)*6</f>
        <v>28070</v>
      </c>
      <c r="H130" s="154"/>
      <c r="J130" s="58">
        <f>SUM(G126,G131)</f>
        <v>60170</v>
      </c>
      <c r="K130" s="58">
        <f>SUM(E126,E131)</f>
        <v>38608.745759999998</v>
      </c>
    </row>
    <row r="131" spans="1:14" s="32" customFormat="1" x14ac:dyDescent="0.25">
      <c r="A131" s="168" t="s">
        <v>155</v>
      </c>
      <c r="B131" s="168"/>
      <c r="C131" s="129">
        <f>SUM(C129:D130)</f>
        <v>84</v>
      </c>
      <c r="D131" s="129"/>
      <c r="E131" s="129">
        <f>SUM(E129:F130)</f>
        <v>36108.05328</v>
      </c>
      <c r="F131" s="129"/>
      <c r="G131" s="129">
        <f>SUM(G129:H130)</f>
        <v>56140</v>
      </c>
      <c r="H131" s="129"/>
    </row>
    <row r="132" spans="1:14" s="31" customFormat="1" x14ac:dyDescent="0.25">
      <c r="A132" s="117" t="s">
        <v>58</v>
      </c>
      <c r="B132" s="117"/>
      <c r="C132" s="117"/>
      <c r="D132" s="117"/>
      <c r="E132" s="117"/>
      <c r="F132" s="117"/>
      <c r="G132" s="117"/>
      <c r="H132" s="117"/>
    </row>
    <row r="133" spans="1:14" x14ac:dyDescent="0.25">
      <c r="A133" s="118" t="s">
        <v>59</v>
      </c>
      <c r="B133" s="118"/>
      <c r="C133" s="118"/>
      <c r="D133" s="118"/>
      <c r="E133" s="118"/>
      <c r="F133" s="118"/>
      <c r="G133" s="118"/>
      <c r="H133" s="118"/>
    </row>
    <row r="134" spans="1:14" ht="51.75" customHeight="1" x14ac:dyDescent="0.25">
      <c r="A134" s="40" t="s">
        <v>123</v>
      </c>
      <c r="B134" s="40" t="s">
        <v>122</v>
      </c>
      <c r="C134" s="40" t="s">
        <v>60</v>
      </c>
      <c r="D134" s="40" t="s">
        <v>61</v>
      </c>
      <c r="E134" s="48" t="s">
        <v>161</v>
      </c>
      <c r="F134" s="40" t="s">
        <v>207</v>
      </c>
      <c r="G134" s="79" t="s">
        <v>63</v>
      </c>
      <c r="H134" s="80"/>
    </row>
    <row r="135" spans="1:14" s="34" customFormat="1" x14ac:dyDescent="0.25">
      <c r="A135" s="64" t="s">
        <v>205</v>
      </c>
      <c r="B135" s="65"/>
      <c r="C135" s="65"/>
      <c r="D135" s="65"/>
      <c r="E135" s="65"/>
      <c r="F135" s="65"/>
      <c r="G135" s="65"/>
      <c r="H135" s="66"/>
      <c r="J135" s="33"/>
    </row>
    <row r="136" spans="1:14" s="34" customFormat="1" x14ac:dyDescent="0.25">
      <c r="A136" s="64" t="s">
        <v>208</v>
      </c>
      <c r="B136" s="65"/>
      <c r="C136" s="65"/>
      <c r="D136" s="65"/>
      <c r="E136" s="65"/>
      <c r="F136" s="65"/>
      <c r="G136" s="65"/>
      <c r="H136" s="66"/>
      <c r="J136" s="33"/>
    </row>
    <row r="137" spans="1:14" s="34" customFormat="1" x14ac:dyDescent="0.25">
      <c r="A137" s="64" t="s">
        <v>192</v>
      </c>
      <c r="B137" s="65"/>
      <c r="C137" s="65"/>
      <c r="D137" s="65"/>
      <c r="E137" s="65"/>
      <c r="F137" s="65"/>
      <c r="G137" s="65"/>
      <c r="H137" s="66"/>
      <c r="J137" s="33"/>
    </row>
    <row r="138" spans="1:14" s="34" customFormat="1" ht="15.75" customHeight="1" x14ac:dyDescent="0.25">
      <c r="A138" s="67">
        <v>1</v>
      </c>
      <c r="B138" s="68"/>
      <c r="C138" s="39" t="s">
        <v>191</v>
      </c>
      <c r="D138" s="39">
        <f>(7.39+1.2*2.1)*10.764</f>
        <v>106.67124</v>
      </c>
      <c r="E138" s="39">
        <v>0</v>
      </c>
      <c r="F138" s="51">
        <v>175</v>
      </c>
      <c r="G138" s="69" t="str">
        <f>A137</f>
        <v>Ground Floor For Commercial &amp; Parking</v>
      </c>
      <c r="H138" s="70"/>
      <c r="I138" s="33">
        <f>1000000/F138</f>
        <v>5714.2857142857147</v>
      </c>
      <c r="J138" s="34">
        <v>175</v>
      </c>
      <c r="K138" s="34">
        <f>J138/D138</f>
        <v>1.6405546612189004</v>
      </c>
      <c r="L138" s="63"/>
      <c r="M138" s="63"/>
      <c r="N138" s="33"/>
    </row>
    <row r="139" spans="1:14" s="34" customFormat="1" ht="15.75" customHeight="1" x14ac:dyDescent="0.25">
      <c r="A139" s="67">
        <f t="shared" ref="A139:A155" si="0">A138+1</f>
        <v>2</v>
      </c>
      <c r="B139" s="68"/>
      <c r="C139" s="39" t="s">
        <v>191</v>
      </c>
      <c r="D139" s="39">
        <f>(11.57+1.2*2.75)*10.764</f>
        <v>160.06067999999999</v>
      </c>
      <c r="E139" s="39">
        <v>0</v>
      </c>
      <c r="F139" s="51">
        <v>260</v>
      </c>
      <c r="G139" s="71"/>
      <c r="H139" s="72"/>
      <c r="I139" s="33">
        <f>2250000/F139</f>
        <v>8653.8461538461543</v>
      </c>
      <c r="J139" s="34">
        <v>260</v>
      </c>
      <c r="K139" s="34">
        <f t="shared" ref="K139:K155" si="1">J139/D139</f>
        <v>1.6243839523860577</v>
      </c>
      <c r="L139" s="63">
        <v>11.225</v>
      </c>
      <c r="M139" s="63"/>
      <c r="N139" s="34">
        <f>2.75*3.4+1.5*1.25</f>
        <v>11.225</v>
      </c>
    </row>
    <row r="140" spans="1:14" s="34" customFormat="1" ht="15.75" customHeight="1" x14ac:dyDescent="0.25">
      <c r="A140" s="67">
        <f t="shared" si="0"/>
        <v>3</v>
      </c>
      <c r="B140" s="68"/>
      <c r="C140" s="39" t="s">
        <v>191</v>
      </c>
      <c r="D140" s="39">
        <f>(10.25+1.2*2.15)*10.764</f>
        <v>138.10211999999999</v>
      </c>
      <c r="E140" s="39">
        <v>0</v>
      </c>
      <c r="F140" s="51">
        <v>220</v>
      </c>
      <c r="G140" s="71"/>
      <c r="H140" s="72"/>
      <c r="I140" s="33"/>
      <c r="J140" s="34">
        <v>220</v>
      </c>
      <c r="K140" s="34">
        <f t="shared" si="1"/>
        <v>1.5930240607457729</v>
      </c>
      <c r="L140" s="63"/>
      <c r="M140" s="63"/>
      <c r="N140" s="33"/>
    </row>
    <row r="141" spans="1:14" s="34" customFormat="1" ht="15.75" customHeight="1" x14ac:dyDescent="0.25">
      <c r="A141" s="67">
        <f t="shared" si="0"/>
        <v>4</v>
      </c>
      <c r="B141" s="68"/>
      <c r="C141" s="39" t="s">
        <v>191</v>
      </c>
      <c r="D141" s="39">
        <f>(13.13+1.2*2.75)*10.764</f>
        <v>176.85252</v>
      </c>
      <c r="E141" s="39">
        <v>0</v>
      </c>
      <c r="F141" s="51">
        <v>285</v>
      </c>
      <c r="G141" s="71"/>
      <c r="H141" s="72"/>
      <c r="I141" s="33"/>
      <c r="J141" s="34">
        <v>285</v>
      </c>
      <c r="K141" s="34">
        <f t="shared" si="1"/>
        <v>1.6115122362972267</v>
      </c>
      <c r="L141" s="63"/>
      <c r="M141" s="63"/>
      <c r="N141" s="33"/>
    </row>
    <row r="142" spans="1:14" s="34" customFormat="1" ht="15.75" customHeight="1" x14ac:dyDescent="0.25">
      <c r="A142" s="67">
        <f t="shared" si="0"/>
        <v>5</v>
      </c>
      <c r="B142" s="68"/>
      <c r="C142" s="39" t="s">
        <v>191</v>
      </c>
      <c r="D142" s="39">
        <f>(13.13+1.2*2.75)*10.764</f>
        <v>176.85252</v>
      </c>
      <c r="E142" s="39">
        <v>0</v>
      </c>
      <c r="F142" s="51">
        <v>285</v>
      </c>
      <c r="G142" s="71"/>
      <c r="H142" s="72"/>
      <c r="I142" s="33"/>
      <c r="J142" s="34">
        <v>285</v>
      </c>
      <c r="K142" s="34">
        <f t="shared" si="1"/>
        <v>1.6115122362972267</v>
      </c>
      <c r="L142" s="63"/>
      <c r="M142" s="63"/>
      <c r="N142" s="33"/>
    </row>
    <row r="143" spans="1:14" s="34" customFormat="1" ht="15.75" customHeight="1" x14ac:dyDescent="0.25">
      <c r="A143" s="67">
        <f t="shared" si="0"/>
        <v>6</v>
      </c>
      <c r="B143" s="68"/>
      <c r="C143" s="39" t="s">
        <v>191</v>
      </c>
      <c r="D143" s="39">
        <f>(13.13+2.75*1.2)*10.764</f>
        <v>176.85252</v>
      </c>
      <c r="E143" s="39">
        <v>0</v>
      </c>
      <c r="F143" s="51">
        <v>285</v>
      </c>
      <c r="G143" s="71"/>
      <c r="H143" s="72"/>
      <c r="I143" s="33"/>
      <c r="J143" s="34">
        <v>285</v>
      </c>
      <c r="K143" s="34">
        <f t="shared" si="1"/>
        <v>1.6115122362972267</v>
      </c>
      <c r="L143" s="63"/>
      <c r="M143" s="63"/>
      <c r="N143" s="33"/>
    </row>
    <row r="144" spans="1:14" s="34" customFormat="1" ht="15.75" customHeight="1" x14ac:dyDescent="0.25">
      <c r="A144" s="67">
        <f t="shared" si="0"/>
        <v>7</v>
      </c>
      <c r="B144" s="68"/>
      <c r="C144" s="39" t="s">
        <v>191</v>
      </c>
      <c r="D144" s="39">
        <f>(10.25+1.2*2.15)*10.764</f>
        <v>138.10211999999999</v>
      </c>
      <c r="E144" s="39">
        <v>0</v>
      </c>
      <c r="F144" s="51">
        <v>220</v>
      </c>
      <c r="G144" s="71"/>
      <c r="H144" s="72"/>
      <c r="I144" s="33"/>
      <c r="J144" s="34">
        <v>220</v>
      </c>
      <c r="K144" s="34">
        <f t="shared" si="1"/>
        <v>1.5930240607457729</v>
      </c>
      <c r="L144" s="63"/>
      <c r="M144" s="63"/>
      <c r="N144" s="33"/>
    </row>
    <row r="145" spans="1:14" s="34" customFormat="1" ht="15.75" customHeight="1" x14ac:dyDescent="0.25">
      <c r="A145" s="67">
        <f t="shared" si="0"/>
        <v>8</v>
      </c>
      <c r="B145" s="68"/>
      <c r="C145" s="39" t="s">
        <v>191</v>
      </c>
      <c r="D145" s="39">
        <f>(13.13+1.2*2.75)*10.764</f>
        <v>176.85252</v>
      </c>
      <c r="E145" s="39">
        <v>0</v>
      </c>
      <c r="F145" s="51">
        <v>285</v>
      </c>
      <c r="G145" s="73"/>
      <c r="H145" s="74"/>
      <c r="I145" s="33"/>
      <c r="J145" s="34">
        <v>285</v>
      </c>
      <c r="K145" s="34">
        <f t="shared" si="1"/>
        <v>1.6115122362972267</v>
      </c>
      <c r="L145" s="63"/>
      <c r="M145" s="63"/>
      <c r="N145" s="33"/>
    </row>
    <row r="146" spans="1:14" s="34" customFormat="1" x14ac:dyDescent="0.25">
      <c r="A146" s="64" t="s">
        <v>190</v>
      </c>
      <c r="B146" s="65"/>
      <c r="C146" s="65"/>
      <c r="D146" s="65"/>
      <c r="E146" s="65"/>
      <c r="F146" s="65"/>
      <c r="G146" s="65"/>
      <c r="H146" s="66"/>
      <c r="J146" s="33"/>
    </row>
    <row r="147" spans="1:14" s="34" customFormat="1" x14ac:dyDescent="0.25">
      <c r="A147" s="64" t="s">
        <v>192</v>
      </c>
      <c r="B147" s="65"/>
      <c r="C147" s="65"/>
      <c r="D147" s="65"/>
      <c r="E147" s="65"/>
      <c r="F147" s="65"/>
      <c r="G147" s="65"/>
      <c r="H147" s="66"/>
      <c r="J147" s="33"/>
    </row>
    <row r="148" spans="1:14" s="34" customFormat="1" ht="15.75" customHeight="1" x14ac:dyDescent="0.25">
      <c r="A148" s="67">
        <f>A145+1</f>
        <v>9</v>
      </c>
      <c r="B148" s="68"/>
      <c r="C148" s="39" t="s">
        <v>191</v>
      </c>
      <c r="D148" s="39">
        <f>(13.13+2.75*1.2)*10.764</f>
        <v>176.85252</v>
      </c>
      <c r="E148" s="39">
        <v>0</v>
      </c>
      <c r="F148" s="51">
        <v>285</v>
      </c>
      <c r="G148" s="69" t="str">
        <f>A137</f>
        <v>Ground Floor For Commercial &amp; Parking</v>
      </c>
      <c r="H148" s="70"/>
      <c r="I148" s="33"/>
      <c r="J148" s="34">
        <v>285</v>
      </c>
      <c r="K148" s="34">
        <f t="shared" si="1"/>
        <v>1.6115122362972267</v>
      </c>
      <c r="L148" s="63"/>
      <c r="M148" s="63"/>
      <c r="N148" s="33"/>
    </row>
    <row r="149" spans="1:14" s="34" customFormat="1" ht="15.75" customHeight="1" x14ac:dyDescent="0.25">
      <c r="A149" s="67">
        <f t="shared" si="0"/>
        <v>10</v>
      </c>
      <c r="B149" s="68"/>
      <c r="C149" s="39" t="s">
        <v>191</v>
      </c>
      <c r="D149" s="39">
        <f>(10.25+1.2*2.15)*10.764</f>
        <v>138.10211999999999</v>
      </c>
      <c r="E149" s="39">
        <v>0</v>
      </c>
      <c r="F149" s="51">
        <v>220</v>
      </c>
      <c r="G149" s="71"/>
      <c r="H149" s="72"/>
      <c r="I149" s="33"/>
      <c r="J149" s="34">
        <v>220</v>
      </c>
      <c r="K149" s="34">
        <f t="shared" si="1"/>
        <v>1.5930240607457729</v>
      </c>
      <c r="L149" s="63"/>
      <c r="M149" s="63"/>
      <c r="N149" s="33"/>
    </row>
    <row r="150" spans="1:14" s="34" customFormat="1" ht="15.75" customHeight="1" x14ac:dyDescent="0.25">
      <c r="A150" s="67">
        <f t="shared" si="0"/>
        <v>11</v>
      </c>
      <c r="B150" s="68"/>
      <c r="C150" s="39" t="s">
        <v>191</v>
      </c>
      <c r="D150" s="39">
        <f>(13.13+1.2*2.75)*10.764</f>
        <v>176.85252</v>
      </c>
      <c r="E150" s="39">
        <v>0</v>
      </c>
      <c r="F150" s="51">
        <v>285</v>
      </c>
      <c r="G150" s="71"/>
      <c r="H150" s="72"/>
      <c r="I150" s="33"/>
      <c r="J150" s="34">
        <v>285</v>
      </c>
      <c r="K150" s="34">
        <f t="shared" si="1"/>
        <v>1.6115122362972267</v>
      </c>
      <c r="L150" s="63"/>
      <c r="M150" s="63"/>
      <c r="N150" s="33"/>
    </row>
    <row r="151" spans="1:14" s="34" customFormat="1" ht="15.75" customHeight="1" x14ac:dyDescent="0.25">
      <c r="A151" s="67">
        <f t="shared" si="0"/>
        <v>12</v>
      </c>
      <c r="B151" s="68"/>
      <c r="C151" s="39" t="s">
        <v>191</v>
      </c>
      <c r="D151" s="39">
        <f>(13.13+1.2*2.75)*10.764</f>
        <v>176.85252</v>
      </c>
      <c r="E151" s="39">
        <v>0</v>
      </c>
      <c r="F151" s="51">
        <v>285</v>
      </c>
      <c r="G151" s="71"/>
      <c r="H151" s="72"/>
      <c r="I151" s="33"/>
      <c r="J151" s="34">
        <v>285</v>
      </c>
      <c r="K151" s="34">
        <f t="shared" si="1"/>
        <v>1.6115122362972267</v>
      </c>
      <c r="L151" s="63"/>
      <c r="M151" s="63"/>
      <c r="N151" s="33"/>
    </row>
    <row r="152" spans="1:14" s="34" customFormat="1" ht="15.75" customHeight="1" x14ac:dyDescent="0.25">
      <c r="A152" s="67">
        <f t="shared" si="0"/>
        <v>13</v>
      </c>
      <c r="B152" s="68"/>
      <c r="C152" s="39" t="s">
        <v>191</v>
      </c>
      <c r="D152" s="39">
        <f>(13.13+2.75*1.2)*10.764</f>
        <v>176.85252</v>
      </c>
      <c r="E152" s="39">
        <v>0</v>
      </c>
      <c r="F152" s="51">
        <v>285</v>
      </c>
      <c r="G152" s="71"/>
      <c r="H152" s="72"/>
      <c r="I152" s="33"/>
      <c r="J152" s="34">
        <v>285</v>
      </c>
      <c r="K152" s="34">
        <f t="shared" si="1"/>
        <v>1.6115122362972267</v>
      </c>
      <c r="L152" s="63"/>
      <c r="M152" s="63"/>
      <c r="N152" s="33"/>
    </row>
    <row r="153" spans="1:14" s="34" customFormat="1" ht="15.75" customHeight="1" x14ac:dyDescent="0.25">
      <c r="A153" s="67">
        <f t="shared" si="0"/>
        <v>14</v>
      </c>
      <c r="B153" s="68"/>
      <c r="C153" s="39" t="s">
        <v>191</v>
      </c>
      <c r="D153" s="39">
        <f>(10.25+1.2*2.15)*10.764</f>
        <v>138.10211999999999</v>
      </c>
      <c r="E153" s="39">
        <v>0</v>
      </c>
      <c r="F153" s="51">
        <v>220</v>
      </c>
      <c r="G153" s="71"/>
      <c r="H153" s="72"/>
      <c r="I153" s="33"/>
      <c r="J153" s="34">
        <v>220</v>
      </c>
      <c r="K153" s="34">
        <f t="shared" si="1"/>
        <v>1.5930240607457729</v>
      </c>
      <c r="L153" s="63"/>
      <c r="M153" s="63"/>
      <c r="N153" s="33"/>
    </row>
    <row r="154" spans="1:14" s="34" customFormat="1" ht="15.75" customHeight="1" x14ac:dyDescent="0.25">
      <c r="A154" s="67">
        <f t="shared" si="0"/>
        <v>15</v>
      </c>
      <c r="B154" s="68"/>
      <c r="C154" s="39" t="s">
        <v>191</v>
      </c>
      <c r="D154" s="39">
        <f>(11.57+1.2*2.75)*10.764</f>
        <v>160.06067999999999</v>
      </c>
      <c r="E154" s="39">
        <v>0</v>
      </c>
      <c r="F154" s="51">
        <v>260</v>
      </c>
      <c r="G154" s="71"/>
      <c r="H154" s="72"/>
      <c r="I154" s="33"/>
      <c r="J154" s="34">
        <v>260</v>
      </c>
      <c r="K154" s="34">
        <f t="shared" si="1"/>
        <v>1.6243839523860577</v>
      </c>
      <c r="L154" s="63"/>
      <c r="M154" s="63"/>
      <c r="N154" s="33"/>
    </row>
    <row r="155" spans="1:14" s="34" customFormat="1" ht="15.75" customHeight="1" x14ac:dyDescent="0.25">
      <c r="A155" s="67">
        <f t="shared" si="0"/>
        <v>16</v>
      </c>
      <c r="B155" s="68"/>
      <c r="C155" s="39" t="s">
        <v>191</v>
      </c>
      <c r="D155" s="39">
        <f>(7.39+1.2*2.1)*10.764</f>
        <v>106.67124</v>
      </c>
      <c r="E155" s="39">
        <v>0</v>
      </c>
      <c r="F155" s="51">
        <v>175</v>
      </c>
      <c r="G155" s="73"/>
      <c r="H155" s="74"/>
      <c r="I155" s="33"/>
      <c r="J155" s="34">
        <v>175</v>
      </c>
      <c r="K155" s="34">
        <f t="shared" si="1"/>
        <v>1.6405546612189004</v>
      </c>
      <c r="L155" s="63"/>
      <c r="M155" s="63"/>
      <c r="N155" s="33"/>
    </row>
    <row r="156" spans="1:14" s="34" customFormat="1" x14ac:dyDescent="0.25">
      <c r="A156" s="67"/>
      <c r="B156" s="125"/>
      <c r="C156" s="125"/>
      <c r="D156" s="125"/>
      <c r="E156" s="125"/>
      <c r="F156" s="125"/>
      <c r="G156" s="125"/>
      <c r="H156" s="68"/>
      <c r="I156" s="33"/>
      <c r="N156" s="33"/>
    </row>
    <row r="157" spans="1:14" ht="47.25" customHeight="1" x14ac:dyDescent="0.25">
      <c r="A157" s="49" t="s">
        <v>124</v>
      </c>
      <c r="B157" s="49" t="s">
        <v>125</v>
      </c>
      <c r="C157" s="40" t="s">
        <v>60</v>
      </c>
      <c r="D157" s="40" t="s">
        <v>61</v>
      </c>
      <c r="E157" s="48" t="s">
        <v>62</v>
      </c>
      <c r="F157" s="40" t="s">
        <v>207</v>
      </c>
      <c r="G157" s="79" t="s">
        <v>63</v>
      </c>
      <c r="H157" s="80"/>
      <c r="I157" s="33"/>
    </row>
    <row r="158" spans="1:14" s="34" customFormat="1" x14ac:dyDescent="0.25">
      <c r="A158" s="64" t="s">
        <v>205</v>
      </c>
      <c r="B158" s="65"/>
      <c r="C158" s="65"/>
      <c r="D158" s="65"/>
      <c r="E158" s="65"/>
      <c r="F158" s="65"/>
      <c r="G158" s="65"/>
      <c r="H158" s="66"/>
      <c r="J158" s="33"/>
    </row>
    <row r="159" spans="1:14" s="34" customFormat="1" x14ac:dyDescent="0.25">
      <c r="A159" s="64" t="s">
        <v>189</v>
      </c>
      <c r="B159" s="65"/>
      <c r="C159" s="65"/>
      <c r="D159" s="65"/>
      <c r="E159" s="65"/>
      <c r="F159" s="65"/>
      <c r="G159" s="65"/>
      <c r="H159" s="66"/>
      <c r="J159" s="33"/>
    </row>
    <row r="160" spans="1:14" s="34" customFormat="1" x14ac:dyDescent="0.25">
      <c r="A160" s="64" t="s">
        <v>199</v>
      </c>
      <c r="B160" s="65"/>
      <c r="C160" s="65"/>
      <c r="D160" s="65"/>
      <c r="E160" s="65"/>
      <c r="F160" s="65"/>
      <c r="G160" s="65"/>
      <c r="H160" s="66"/>
      <c r="J160" s="33"/>
    </row>
    <row r="161" spans="1:14" s="34" customFormat="1" ht="15.75" customHeight="1" x14ac:dyDescent="0.25">
      <c r="A161" s="67">
        <v>101</v>
      </c>
      <c r="B161" s="68"/>
      <c r="C161" s="47">
        <v>1</v>
      </c>
      <c r="D161" s="39">
        <f>(32.95+5.5)*10.764</f>
        <v>413.87580000000003</v>
      </c>
      <c r="E161" s="39">
        <v>0</v>
      </c>
      <c r="F161" s="51">
        <v>630</v>
      </c>
      <c r="G161" s="69" t="str">
        <f>A160</f>
        <v>1st Floor For Residential</v>
      </c>
      <c r="H161" s="70"/>
      <c r="I161" s="33">
        <f>2268000/F161</f>
        <v>3600</v>
      </c>
      <c r="J161" s="34">
        <v>630</v>
      </c>
      <c r="K161" s="34">
        <f>J161/D161</f>
        <v>1.5221957891715339</v>
      </c>
      <c r="L161" s="63"/>
      <c r="M161" s="63"/>
      <c r="N161" s="33"/>
    </row>
    <row r="162" spans="1:14" s="34" customFormat="1" ht="15.75" customHeight="1" x14ac:dyDescent="0.25">
      <c r="A162" s="67">
        <f t="shared" ref="A162:A166" si="2">A161+1</f>
        <v>102</v>
      </c>
      <c r="B162" s="68"/>
      <c r="C162" s="47">
        <v>1</v>
      </c>
      <c r="D162" s="39">
        <f t="shared" ref="D162:D163" si="3">(32.95+5.5)*10.764</f>
        <v>413.87580000000003</v>
      </c>
      <c r="E162" s="39">
        <v>0</v>
      </c>
      <c r="F162" s="51">
        <v>630</v>
      </c>
      <c r="G162" s="71"/>
      <c r="H162" s="72"/>
      <c r="I162" s="33"/>
      <c r="J162" s="34">
        <v>630</v>
      </c>
      <c r="K162" s="34">
        <f t="shared" ref="K162:K188" si="4">J162/D162</f>
        <v>1.5221957891715339</v>
      </c>
      <c r="L162" s="63"/>
      <c r="M162" s="63"/>
      <c r="N162" s="33"/>
    </row>
    <row r="163" spans="1:14" s="34" customFormat="1" ht="15.75" customHeight="1" x14ac:dyDescent="0.25">
      <c r="A163" s="67">
        <f t="shared" si="2"/>
        <v>103</v>
      </c>
      <c r="B163" s="68"/>
      <c r="C163" s="47">
        <v>1</v>
      </c>
      <c r="D163" s="39">
        <f t="shared" si="3"/>
        <v>413.87580000000003</v>
      </c>
      <c r="E163" s="39">
        <v>0</v>
      </c>
      <c r="F163" s="51">
        <v>630</v>
      </c>
      <c r="G163" s="71"/>
      <c r="H163" s="72"/>
      <c r="I163" s="33"/>
      <c r="J163" s="34">
        <v>630</v>
      </c>
      <c r="K163" s="34">
        <f t="shared" si="4"/>
        <v>1.5221957891715339</v>
      </c>
      <c r="L163" s="34">
        <f t="shared" ref="L163" si="5">4.35*2.75+2.65*2.15+2.9*2.75+1*1.5+1.15*2.15+2.15*0.4+1.1*0.45</f>
        <v>30.962499999999999</v>
      </c>
      <c r="M163" s="34">
        <f>2.75*2</f>
        <v>5.5</v>
      </c>
      <c r="N163" s="33"/>
    </row>
    <row r="164" spans="1:14" s="34" customFormat="1" ht="15.75" customHeight="1" x14ac:dyDescent="0.25">
      <c r="A164" s="67">
        <f t="shared" si="2"/>
        <v>104</v>
      </c>
      <c r="B164" s="68"/>
      <c r="C164" s="47">
        <v>2</v>
      </c>
      <c r="D164" s="39">
        <f>43.43*10.764</f>
        <v>467.48051999999996</v>
      </c>
      <c r="E164" s="39">
        <f>(7.9*1.4+3.1*1.2+2.2*4.6)*10.764</f>
        <v>268.02359999999999</v>
      </c>
      <c r="F164" s="51">
        <v>1100</v>
      </c>
      <c r="G164" s="71"/>
      <c r="H164" s="72"/>
      <c r="I164" s="33">
        <f>F164-E164</f>
        <v>831.97640000000001</v>
      </c>
      <c r="J164" s="34">
        <v>1100</v>
      </c>
      <c r="K164" s="34">
        <f t="shared" si="4"/>
        <v>2.3530392239659528</v>
      </c>
      <c r="L164" s="34">
        <f t="shared" ref="L164" si="6">2.75*4.35+1.25*1.15+2.75*3.05+2.15*2.65+2.15*1.15+2.15*0.4+2.75*2.9+1.5*1+1.1*0.45</f>
        <v>40.787499999999994</v>
      </c>
      <c r="M164" s="34">
        <f>J164/I164</f>
        <v>1.3221528879905728</v>
      </c>
      <c r="N164" s="33"/>
    </row>
    <row r="165" spans="1:14" s="34" customFormat="1" ht="15.75" customHeight="1" x14ac:dyDescent="0.25">
      <c r="A165" s="67">
        <f t="shared" si="2"/>
        <v>105</v>
      </c>
      <c r="B165" s="68"/>
      <c r="C165" s="47">
        <v>1</v>
      </c>
      <c r="D165" s="39">
        <f>32.95*10.764</f>
        <v>354.67380000000003</v>
      </c>
      <c r="E165" s="39">
        <f>(5*1.4+2.9*1.1)*10.764</f>
        <v>109.68515999999998</v>
      </c>
      <c r="F165" s="51">
        <v>750</v>
      </c>
      <c r="G165" s="71"/>
      <c r="H165" s="72"/>
      <c r="I165" s="33"/>
      <c r="J165" s="34">
        <v>750</v>
      </c>
      <c r="K165" s="34">
        <f t="shared" si="4"/>
        <v>2.1146191232619942</v>
      </c>
      <c r="L165" s="63"/>
      <c r="M165" s="63"/>
      <c r="N165" s="33"/>
    </row>
    <row r="166" spans="1:14" s="34" customFormat="1" ht="15.75" customHeight="1" x14ac:dyDescent="0.25">
      <c r="A166" s="67">
        <f t="shared" si="2"/>
        <v>106</v>
      </c>
      <c r="B166" s="68"/>
      <c r="C166" s="47">
        <v>1</v>
      </c>
      <c r="D166" s="39">
        <f t="shared" ref="D166" si="7">(32.95+5.5)*10.764</f>
        <v>413.87580000000003</v>
      </c>
      <c r="E166" s="39">
        <v>0</v>
      </c>
      <c r="F166" s="51">
        <v>630</v>
      </c>
      <c r="G166" s="73"/>
      <c r="H166" s="74"/>
      <c r="I166" s="59">
        <f>F166/D166</f>
        <v>1.5221957891715339</v>
      </c>
      <c r="J166" s="34">
        <v>630</v>
      </c>
      <c r="K166" s="34">
        <f t="shared" si="4"/>
        <v>1.5221957891715339</v>
      </c>
      <c r="L166" s="63"/>
      <c r="M166" s="63"/>
      <c r="N166" s="33"/>
    </row>
    <row r="167" spans="1:14" s="34" customFormat="1" x14ac:dyDescent="0.25">
      <c r="A167" s="64" t="s">
        <v>193</v>
      </c>
      <c r="B167" s="65"/>
      <c r="C167" s="65"/>
      <c r="D167" s="65"/>
      <c r="E167" s="65"/>
      <c r="F167" s="65"/>
      <c r="G167" s="65"/>
      <c r="H167" s="66"/>
      <c r="I167" s="33"/>
      <c r="K167" s="34" t="e">
        <f t="shared" si="4"/>
        <v>#DIV/0!</v>
      </c>
    </row>
    <row r="168" spans="1:14" s="34" customFormat="1" ht="15.75" customHeight="1" x14ac:dyDescent="0.25">
      <c r="A168" s="67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to 701</v>
      </c>
      <c r="B168" s="68"/>
      <c r="C168" s="47">
        <v>1</v>
      </c>
      <c r="D168" s="39">
        <f t="shared" ref="D168:D170" si="8">(32.95+5.5)*10.764</f>
        <v>413.87580000000003</v>
      </c>
      <c r="E168" s="39">
        <v>0</v>
      </c>
      <c r="F168" s="51">
        <v>630</v>
      </c>
      <c r="G168" s="69" t="str">
        <f>A167</f>
        <v>2nd to 7th Floor</v>
      </c>
      <c r="H168" s="70"/>
      <c r="I168" s="33">
        <f>2000000/F168</f>
        <v>3174.6031746031745</v>
      </c>
      <c r="J168" s="34">
        <v>630</v>
      </c>
      <c r="K168" s="34">
        <f t="shared" si="4"/>
        <v>1.5221957891715339</v>
      </c>
    </row>
    <row r="169" spans="1:14" s="34" customFormat="1" ht="15.75" customHeight="1" x14ac:dyDescent="0.25">
      <c r="A169" s="67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to 702</v>
      </c>
      <c r="B169" s="68"/>
      <c r="C169" s="47">
        <v>1</v>
      </c>
      <c r="D169" s="39">
        <f t="shared" si="8"/>
        <v>413.87580000000003</v>
      </c>
      <c r="E169" s="39">
        <v>0</v>
      </c>
      <c r="F169" s="51">
        <v>630</v>
      </c>
      <c r="G169" s="71"/>
      <c r="H169" s="72"/>
      <c r="I169" s="33"/>
      <c r="J169" s="34">
        <v>630</v>
      </c>
      <c r="K169" s="34">
        <f t="shared" si="4"/>
        <v>1.5221957891715339</v>
      </c>
    </row>
    <row r="170" spans="1:14" s="34" customFormat="1" ht="15.75" customHeight="1" x14ac:dyDescent="0.25">
      <c r="A170" s="67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to 703</v>
      </c>
      <c r="B170" s="68"/>
      <c r="C170" s="47">
        <v>1</v>
      </c>
      <c r="D170" s="39">
        <f t="shared" si="8"/>
        <v>413.87580000000003</v>
      </c>
      <c r="E170" s="39">
        <v>0</v>
      </c>
      <c r="F170" s="51">
        <v>630</v>
      </c>
      <c r="G170" s="71"/>
      <c r="H170" s="72"/>
      <c r="I170" s="33"/>
      <c r="J170" s="34">
        <v>630</v>
      </c>
      <c r="K170" s="34">
        <f t="shared" si="4"/>
        <v>1.5221957891715339</v>
      </c>
    </row>
    <row r="171" spans="1:14" s="34" customFormat="1" ht="15.75" customHeight="1" x14ac:dyDescent="0.25">
      <c r="A171" s="67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to 704</v>
      </c>
      <c r="B171" s="68"/>
      <c r="C171" s="47">
        <v>2</v>
      </c>
      <c r="D171" s="39">
        <f>(43.43+5.5)*10.764</f>
        <v>526.68251999999995</v>
      </c>
      <c r="E171" s="39">
        <v>0</v>
      </c>
      <c r="F171" s="51">
        <v>800</v>
      </c>
      <c r="G171" s="71"/>
      <c r="H171" s="72"/>
      <c r="I171" s="33">
        <f>2880000/F171</f>
        <v>3600</v>
      </c>
      <c r="J171" s="34">
        <v>800</v>
      </c>
      <c r="K171" s="34">
        <f t="shared" si="4"/>
        <v>1.5189416197066878</v>
      </c>
    </row>
    <row r="172" spans="1:14" s="34" customFormat="1" ht="15.75" customHeight="1" x14ac:dyDescent="0.25">
      <c r="A172" s="67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to 705</v>
      </c>
      <c r="B172" s="68"/>
      <c r="C172" s="47">
        <v>1</v>
      </c>
      <c r="D172" s="39">
        <f t="shared" ref="D172:D173" si="9">(32.95+5.5)*10.764</f>
        <v>413.87580000000003</v>
      </c>
      <c r="E172" s="39">
        <v>0</v>
      </c>
      <c r="F172" s="51">
        <v>630</v>
      </c>
      <c r="G172" s="71"/>
      <c r="H172" s="72"/>
      <c r="I172" s="33"/>
      <c r="J172" s="34">
        <v>630</v>
      </c>
      <c r="K172" s="34">
        <f t="shared" si="4"/>
        <v>1.5221957891715339</v>
      </c>
    </row>
    <row r="173" spans="1:14" s="34" customFormat="1" ht="15.75" customHeight="1" x14ac:dyDescent="0.25">
      <c r="A173" s="67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206 to 706</v>
      </c>
      <c r="B173" s="68"/>
      <c r="C173" s="47">
        <v>1</v>
      </c>
      <c r="D173" s="39">
        <f t="shared" si="9"/>
        <v>413.87580000000003</v>
      </c>
      <c r="E173" s="39">
        <v>0</v>
      </c>
      <c r="F173" s="51">
        <v>630</v>
      </c>
      <c r="G173" s="73"/>
      <c r="H173" s="74"/>
      <c r="I173" s="33"/>
      <c r="J173" s="34">
        <v>630</v>
      </c>
      <c r="K173" s="34">
        <f t="shared" si="4"/>
        <v>1.5221957891715339</v>
      </c>
    </row>
    <row r="174" spans="1:14" s="34" customFormat="1" x14ac:dyDescent="0.25">
      <c r="A174" s="64" t="s">
        <v>190</v>
      </c>
      <c r="B174" s="65"/>
      <c r="C174" s="65"/>
      <c r="D174" s="65"/>
      <c r="E174" s="65"/>
      <c r="F174" s="65"/>
      <c r="G174" s="65"/>
      <c r="H174" s="66"/>
      <c r="J174" s="33"/>
      <c r="K174" s="34" t="e">
        <f t="shared" si="4"/>
        <v>#DIV/0!</v>
      </c>
    </row>
    <row r="175" spans="1:14" s="34" customFormat="1" x14ac:dyDescent="0.25">
      <c r="A175" s="64" t="s">
        <v>199</v>
      </c>
      <c r="B175" s="65"/>
      <c r="C175" s="65"/>
      <c r="D175" s="65"/>
      <c r="E175" s="65"/>
      <c r="F175" s="65"/>
      <c r="G175" s="65"/>
      <c r="H175" s="66"/>
      <c r="J175" s="33"/>
      <c r="K175" s="34" t="e">
        <f t="shared" si="4"/>
        <v>#DIV/0!</v>
      </c>
    </row>
    <row r="176" spans="1:14" s="34" customFormat="1" ht="15.75" customHeight="1" x14ac:dyDescent="0.25">
      <c r="A176" s="67">
        <v>101</v>
      </c>
      <c r="B176" s="68"/>
      <c r="C176" s="47">
        <v>1</v>
      </c>
      <c r="D176" s="39">
        <f>(32.95+5.5)*10.764</f>
        <v>413.87580000000003</v>
      </c>
      <c r="E176" s="39">
        <v>0</v>
      </c>
      <c r="F176" s="51">
        <v>630</v>
      </c>
      <c r="G176" s="69" t="str">
        <f>A175</f>
        <v>1st Floor For Residential</v>
      </c>
      <c r="H176" s="70"/>
      <c r="I176" s="33"/>
      <c r="J176" s="34">
        <v>630</v>
      </c>
      <c r="K176" s="34">
        <f t="shared" si="4"/>
        <v>1.5221957891715339</v>
      </c>
      <c r="L176" s="63"/>
      <c r="M176" s="63"/>
      <c r="N176" s="33"/>
    </row>
    <row r="177" spans="1:14" s="34" customFormat="1" ht="15.75" customHeight="1" x14ac:dyDescent="0.25">
      <c r="A177" s="67">
        <f t="shared" ref="A177:A181" si="10">A176+1</f>
        <v>102</v>
      </c>
      <c r="B177" s="68"/>
      <c r="C177" s="47">
        <v>1</v>
      </c>
      <c r="D177" s="39">
        <f>32.95*10.764</f>
        <v>354.67380000000003</v>
      </c>
      <c r="E177" s="39">
        <f>(5*1.4+2.9*1.1)*10.764</f>
        <v>109.68515999999998</v>
      </c>
      <c r="F177" s="51">
        <v>750</v>
      </c>
      <c r="G177" s="71"/>
      <c r="H177" s="72"/>
      <c r="I177" s="33"/>
      <c r="J177" s="34">
        <v>750</v>
      </c>
      <c r="K177" s="34">
        <f t="shared" si="4"/>
        <v>2.1146191232619942</v>
      </c>
      <c r="L177" s="63"/>
      <c r="M177" s="63"/>
      <c r="N177" s="33"/>
    </row>
    <row r="178" spans="1:14" s="34" customFormat="1" ht="15.75" customHeight="1" x14ac:dyDescent="0.25">
      <c r="A178" s="67">
        <f t="shared" si="10"/>
        <v>103</v>
      </c>
      <c r="B178" s="68"/>
      <c r="C178" s="47">
        <v>2</v>
      </c>
      <c r="D178" s="39">
        <f>43.43*10.764</f>
        <v>467.48051999999996</v>
      </c>
      <c r="E178" s="39">
        <f>(7.9*1.4+3.1*1.2+2.2*4.6)*10.764</f>
        <v>268.02359999999999</v>
      </c>
      <c r="F178" s="51">
        <v>1100</v>
      </c>
      <c r="G178" s="71"/>
      <c r="H178" s="72"/>
      <c r="I178" s="33"/>
      <c r="J178" s="34">
        <v>1100</v>
      </c>
      <c r="K178" s="34">
        <f t="shared" si="4"/>
        <v>2.3530392239659528</v>
      </c>
      <c r="L178" s="63"/>
      <c r="M178" s="63"/>
      <c r="N178" s="33"/>
    </row>
    <row r="179" spans="1:14" s="34" customFormat="1" ht="15.75" customHeight="1" x14ac:dyDescent="0.25">
      <c r="A179" s="67">
        <f t="shared" si="10"/>
        <v>104</v>
      </c>
      <c r="B179" s="68"/>
      <c r="C179" s="47">
        <v>1</v>
      </c>
      <c r="D179" s="39">
        <f>(32.95+5.5)*10.764</f>
        <v>413.87580000000003</v>
      </c>
      <c r="E179" s="39">
        <v>0</v>
      </c>
      <c r="F179" s="51">
        <v>630</v>
      </c>
      <c r="G179" s="71"/>
      <c r="H179" s="72"/>
      <c r="I179" s="33"/>
      <c r="J179" s="34">
        <v>630</v>
      </c>
      <c r="K179" s="34">
        <f t="shared" si="4"/>
        <v>1.5221957891715339</v>
      </c>
      <c r="L179" s="63"/>
      <c r="M179" s="63"/>
      <c r="N179" s="33"/>
    </row>
    <row r="180" spans="1:14" s="34" customFormat="1" ht="15.75" customHeight="1" x14ac:dyDescent="0.25">
      <c r="A180" s="67">
        <f t="shared" si="10"/>
        <v>105</v>
      </c>
      <c r="B180" s="68"/>
      <c r="C180" s="47">
        <v>1</v>
      </c>
      <c r="D180" s="39">
        <f t="shared" ref="D180:D188" si="11">(32.95+5.5)*10.764</f>
        <v>413.87580000000003</v>
      </c>
      <c r="E180" s="39">
        <v>0</v>
      </c>
      <c r="F180" s="51">
        <v>630</v>
      </c>
      <c r="G180" s="71"/>
      <c r="H180" s="72"/>
      <c r="I180" s="33"/>
      <c r="J180" s="34">
        <v>630</v>
      </c>
      <c r="K180" s="34">
        <f t="shared" si="4"/>
        <v>1.5221957891715339</v>
      </c>
      <c r="L180" s="63"/>
      <c r="M180" s="63"/>
      <c r="N180" s="33"/>
    </row>
    <row r="181" spans="1:14" s="34" customFormat="1" ht="15.75" customHeight="1" x14ac:dyDescent="0.25">
      <c r="A181" s="67">
        <f t="shared" si="10"/>
        <v>106</v>
      </c>
      <c r="B181" s="68"/>
      <c r="C181" s="47">
        <v>1</v>
      </c>
      <c r="D181" s="39">
        <f t="shared" si="11"/>
        <v>413.87580000000003</v>
      </c>
      <c r="E181" s="39">
        <v>0</v>
      </c>
      <c r="F181" s="51">
        <v>630</v>
      </c>
      <c r="G181" s="73"/>
      <c r="H181" s="74"/>
      <c r="I181" s="33"/>
      <c r="J181" s="34">
        <v>630</v>
      </c>
      <c r="K181" s="34">
        <f t="shared" si="4"/>
        <v>1.5221957891715339</v>
      </c>
      <c r="L181" s="63"/>
      <c r="M181" s="63"/>
      <c r="N181" s="33"/>
    </row>
    <row r="182" spans="1:14" s="34" customFormat="1" x14ac:dyDescent="0.25">
      <c r="A182" s="64" t="s">
        <v>193</v>
      </c>
      <c r="B182" s="65"/>
      <c r="C182" s="65"/>
      <c r="D182" s="65"/>
      <c r="E182" s="65"/>
      <c r="F182" s="65"/>
      <c r="G182" s="65"/>
      <c r="H182" s="66"/>
      <c r="I182" s="33"/>
      <c r="K182" s="34" t="e">
        <f t="shared" si="4"/>
        <v>#DIV/0!</v>
      </c>
    </row>
    <row r="183" spans="1:14" s="34" customFormat="1" ht="15.75" customHeight="1" x14ac:dyDescent="0.25">
      <c r="A183" s="67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201 to 701</v>
      </c>
      <c r="B183" s="68"/>
      <c r="C183" s="47">
        <v>1</v>
      </c>
      <c r="D183" s="39">
        <f t="shared" si="11"/>
        <v>413.87580000000003</v>
      </c>
      <c r="E183" s="39">
        <v>0</v>
      </c>
      <c r="F183" s="51">
        <v>630</v>
      </c>
      <c r="G183" s="69" t="str">
        <f>A182</f>
        <v>2nd to 7th Floor</v>
      </c>
      <c r="H183" s="70"/>
      <c r="I183" s="33"/>
      <c r="J183" s="34">
        <v>630</v>
      </c>
      <c r="K183" s="34">
        <f t="shared" si="4"/>
        <v>1.5221957891715339</v>
      </c>
    </row>
    <row r="184" spans="1:14" s="34" customFormat="1" ht="15.75" customHeight="1" x14ac:dyDescent="0.25">
      <c r="A184" s="67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202 to 702</v>
      </c>
      <c r="B184" s="68"/>
      <c r="C184" s="47">
        <v>1</v>
      </c>
      <c r="D184" s="39">
        <f t="shared" si="11"/>
        <v>413.87580000000003</v>
      </c>
      <c r="E184" s="39">
        <v>0</v>
      </c>
      <c r="F184" s="51">
        <v>630</v>
      </c>
      <c r="G184" s="71"/>
      <c r="H184" s="72"/>
      <c r="I184" s="33"/>
      <c r="J184" s="34">
        <v>630</v>
      </c>
      <c r="K184" s="34">
        <f t="shared" si="4"/>
        <v>1.5221957891715339</v>
      </c>
    </row>
    <row r="185" spans="1:14" s="34" customFormat="1" ht="15.75" customHeight="1" x14ac:dyDescent="0.25">
      <c r="A185" s="67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203 to 703</v>
      </c>
      <c r="B185" s="68"/>
      <c r="C185" s="47">
        <v>2</v>
      </c>
      <c r="D185" s="39">
        <f>(43.43+5.5)*10.764</f>
        <v>526.68251999999995</v>
      </c>
      <c r="E185" s="39">
        <v>0</v>
      </c>
      <c r="F185" s="51">
        <v>800</v>
      </c>
      <c r="G185" s="71"/>
      <c r="H185" s="72"/>
      <c r="I185" s="33"/>
      <c r="J185" s="34">
        <v>800</v>
      </c>
      <c r="K185" s="34">
        <f t="shared" si="4"/>
        <v>1.5189416197066878</v>
      </c>
    </row>
    <row r="186" spans="1:14" s="34" customFormat="1" ht="15.75" customHeight="1" x14ac:dyDescent="0.25">
      <c r="A186" s="67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204 to 704</v>
      </c>
      <c r="B186" s="68"/>
      <c r="C186" s="47">
        <v>1</v>
      </c>
      <c r="D186" s="39">
        <f t="shared" si="11"/>
        <v>413.87580000000003</v>
      </c>
      <c r="E186" s="39">
        <v>0</v>
      </c>
      <c r="F186" s="51">
        <v>630</v>
      </c>
      <c r="G186" s="71"/>
      <c r="H186" s="72"/>
      <c r="I186" s="33"/>
      <c r="J186" s="34">
        <v>630</v>
      </c>
      <c r="K186" s="34">
        <f t="shared" si="4"/>
        <v>1.5221957891715339</v>
      </c>
    </row>
    <row r="187" spans="1:14" s="34" customFormat="1" ht="15.75" customHeight="1" x14ac:dyDescent="0.25">
      <c r="A187" s="67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205 to 705</v>
      </c>
      <c r="B187" s="68"/>
      <c r="C187" s="47">
        <v>1</v>
      </c>
      <c r="D187" s="39">
        <f t="shared" si="11"/>
        <v>413.87580000000003</v>
      </c>
      <c r="E187" s="39">
        <v>0</v>
      </c>
      <c r="F187" s="51">
        <v>630</v>
      </c>
      <c r="G187" s="71"/>
      <c r="H187" s="72"/>
      <c r="I187" s="33"/>
      <c r="J187" s="34">
        <v>630</v>
      </c>
      <c r="K187" s="34">
        <f t="shared" si="4"/>
        <v>1.5221957891715339</v>
      </c>
    </row>
    <row r="188" spans="1:14" s="34" customFormat="1" ht="15.75" customHeight="1" x14ac:dyDescent="0.25">
      <c r="A188" s="67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206 to 706</v>
      </c>
      <c r="B188" s="68"/>
      <c r="C188" s="47">
        <v>1</v>
      </c>
      <c r="D188" s="39">
        <f t="shared" si="11"/>
        <v>413.87580000000003</v>
      </c>
      <c r="E188" s="39">
        <v>0</v>
      </c>
      <c r="F188" s="51">
        <v>630</v>
      </c>
      <c r="G188" s="73"/>
      <c r="H188" s="74"/>
      <c r="I188" s="33"/>
      <c r="J188" s="34">
        <v>630</v>
      </c>
      <c r="K188" s="34">
        <f t="shared" si="4"/>
        <v>1.5221957891715339</v>
      </c>
    </row>
    <row r="189" spans="1:14" s="32" customFormat="1" x14ac:dyDescent="0.25">
      <c r="A189" s="119" t="s">
        <v>71</v>
      </c>
      <c r="B189" s="119"/>
      <c r="C189" s="119"/>
      <c r="D189" s="119"/>
      <c r="E189" s="119"/>
      <c r="F189" s="119"/>
      <c r="G189" s="119"/>
      <c r="H189" s="119"/>
    </row>
    <row r="190" spans="1:14" s="32" customFormat="1" x14ac:dyDescent="0.25">
      <c r="A190" s="57" t="s">
        <v>158</v>
      </c>
      <c r="B190" s="114" t="s">
        <v>222</v>
      </c>
      <c r="C190" s="115"/>
      <c r="D190" s="115"/>
      <c r="E190" s="115"/>
      <c r="F190" s="115"/>
      <c r="G190" s="115"/>
      <c r="H190" s="116"/>
    </row>
    <row r="191" spans="1:14" s="32" customFormat="1" x14ac:dyDescent="0.25">
      <c r="A191" s="57" t="s">
        <v>158</v>
      </c>
      <c r="B191" s="114" t="str">
        <f>(IF(F157="Saleable area Loading :","We have considered Saleable area of Flats as per our Calculation.","We considered Saleable area of Flat as per Builder area Sheet."))</f>
        <v>We considered Saleable area of Flat as per Builder area Sheet.</v>
      </c>
      <c r="C191" s="115"/>
      <c r="D191" s="115"/>
      <c r="E191" s="115"/>
      <c r="F191" s="115"/>
      <c r="G191" s="115"/>
      <c r="H191" s="116"/>
    </row>
    <row r="192" spans="1:14" s="32" customFormat="1" x14ac:dyDescent="0.25">
      <c r="A192" s="57" t="s">
        <v>158</v>
      </c>
      <c r="B192" s="114" t="str">
        <f>(IF(F134="Saleable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92" s="115"/>
      <c r="D192" s="115"/>
      <c r="E192" s="115"/>
      <c r="F192" s="115"/>
      <c r="G192" s="115"/>
      <c r="H192" s="116"/>
    </row>
    <row r="193" spans="1:8" s="32" customFormat="1" x14ac:dyDescent="0.25">
      <c r="A193" s="57" t="s">
        <v>158</v>
      </c>
      <c r="B193" s="114" t="s">
        <v>128</v>
      </c>
      <c r="C193" s="115"/>
      <c r="D193" s="115"/>
      <c r="E193" s="115"/>
      <c r="F193" s="115"/>
      <c r="G193" s="115"/>
      <c r="H193" s="116"/>
    </row>
    <row r="194" spans="1:8" s="32" customFormat="1" x14ac:dyDescent="0.25">
      <c r="A194" s="41" t="s">
        <v>158</v>
      </c>
      <c r="B194" s="111" t="s">
        <v>209</v>
      </c>
      <c r="C194" s="112"/>
      <c r="D194" s="112"/>
      <c r="E194" s="112"/>
      <c r="F194" s="112"/>
      <c r="G194" s="112"/>
      <c r="H194" s="113"/>
    </row>
    <row r="195" spans="1:8" s="32" customFormat="1" x14ac:dyDescent="0.25">
      <c r="A195" s="41" t="s">
        <v>158</v>
      </c>
      <c r="B195" s="111" t="s">
        <v>157</v>
      </c>
      <c r="C195" s="112"/>
      <c r="D195" s="112"/>
      <c r="E195" s="112"/>
      <c r="F195" s="112"/>
      <c r="G195" s="112"/>
      <c r="H195" s="113"/>
    </row>
    <row r="196" spans="1:8" s="32" customFormat="1" x14ac:dyDescent="0.25">
      <c r="A196" s="41" t="s">
        <v>158</v>
      </c>
      <c r="B196" s="111" t="s">
        <v>129</v>
      </c>
      <c r="C196" s="112"/>
      <c r="D196" s="112"/>
      <c r="E196" s="112"/>
      <c r="F196" s="112"/>
      <c r="G196" s="112"/>
      <c r="H196" s="113"/>
    </row>
    <row r="197" spans="1:8" s="32" customFormat="1" ht="34.5" hidden="1" customHeight="1" x14ac:dyDescent="0.25">
      <c r="A197" s="41" t="s">
        <v>158</v>
      </c>
      <c r="B197" s="111" t="s">
        <v>159</v>
      </c>
      <c r="C197" s="112"/>
      <c r="D197" s="112"/>
      <c r="E197" s="112"/>
      <c r="F197" s="112"/>
      <c r="G197" s="112"/>
      <c r="H197" s="113"/>
    </row>
    <row r="198" spans="1:8" s="32" customFormat="1" x14ac:dyDescent="0.25">
      <c r="A198" s="41" t="s">
        <v>158</v>
      </c>
      <c r="B198" s="111" t="s">
        <v>130</v>
      </c>
      <c r="C198" s="112"/>
      <c r="D198" s="112"/>
      <c r="E198" s="112"/>
      <c r="F198" s="112"/>
      <c r="G198" s="112"/>
      <c r="H198" s="113"/>
    </row>
    <row r="199" spans="1:8" s="32" customFormat="1" hidden="1" x14ac:dyDescent="0.25">
      <c r="A199" s="41" t="s">
        <v>158</v>
      </c>
      <c r="B199" s="126" t="s">
        <v>131</v>
      </c>
      <c r="C199" s="127"/>
      <c r="D199" s="127"/>
      <c r="E199" s="127"/>
      <c r="F199" s="127"/>
      <c r="G199" s="127"/>
      <c r="H199" s="128"/>
    </row>
    <row r="200" spans="1:8" x14ac:dyDescent="0.25">
      <c r="A200" s="98" t="s">
        <v>64</v>
      </c>
      <c r="B200" s="98"/>
      <c r="C200" s="98"/>
      <c r="D200" s="98"/>
      <c r="E200" s="98"/>
      <c r="F200" s="98"/>
      <c r="G200" s="98"/>
      <c r="H200" s="98"/>
    </row>
    <row r="201" spans="1:8" x14ac:dyDescent="0.25">
      <c r="A201" s="76" t="s">
        <v>65</v>
      </c>
      <c r="B201" s="76"/>
      <c r="C201" s="76"/>
      <c r="D201" s="76"/>
      <c r="E201" s="76"/>
      <c r="F201" s="76"/>
      <c r="G201" s="76"/>
      <c r="H201" s="76"/>
    </row>
    <row r="202" spans="1:8" ht="15.75" customHeight="1" x14ac:dyDescent="0.25">
      <c r="A202" s="77" t="s">
        <v>66</v>
      </c>
      <c r="B202" s="77"/>
      <c r="C202" s="77"/>
      <c r="D202" s="77"/>
      <c r="E202" s="77"/>
      <c r="F202" s="77"/>
      <c r="G202" s="77"/>
      <c r="H202" s="77"/>
    </row>
    <row r="203" spans="1:8" x14ac:dyDescent="0.25">
      <c r="A203" s="76" t="s">
        <v>67</v>
      </c>
      <c r="B203" s="76"/>
      <c r="C203" s="76"/>
      <c r="D203" s="76"/>
      <c r="E203" s="76"/>
      <c r="F203" s="76"/>
      <c r="G203" s="76"/>
      <c r="H203" s="76"/>
    </row>
    <row r="204" spans="1:8" x14ac:dyDescent="0.25">
      <c r="A204" s="76" t="s">
        <v>68</v>
      </c>
      <c r="B204" s="76"/>
      <c r="C204" s="76"/>
      <c r="D204" s="76"/>
      <c r="E204" s="76"/>
      <c r="F204" s="76"/>
      <c r="G204" s="76"/>
      <c r="H204" s="76"/>
    </row>
    <row r="205" spans="1:8" x14ac:dyDescent="0.25">
      <c r="A205" s="76" t="s">
        <v>132</v>
      </c>
      <c r="B205" s="76"/>
      <c r="C205" s="76"/>
      <c r="D205" s="76"/>
      <c r="E205" s="76"/>
      <c r="F205" s="76"/>
      <c r="G205" s="76"/>
      <c r="H205" s="76"/>
    </row>
    <row r="206" spans="1:8" ht="35.25" customHeight="1" x14ac:dyDescent="0.25">
      <c r="A206" s="99" t="s">
        <v>133</v>
      </c>
      <c r="B206" s="99"/>
      <c r="C206" s="99"/>
      <c r="D206" s="99"/>
      <c r="E206" s="99"/>
      <c r="F206" s="99"/>
      <c r="G206" s="99"/>
      <c r="H206" s="99"/>
    </row>
    <row r="207" spans="1:8" x14ac:dyDescent="0.25">
      <c r="A207" s="121" t="s">
        <v>80</v>
      </c>
      <c r="B207" s="121"/>
      <c r="C207" s="121" t="s">
        <v>221</v>
      </c>
      <c r="D207" s="121"/>
      <c r="E207" s="121" t="s">
        <v>109</v>
      </c>
      <c r="F207" s="121"/>
      <c r="G207" s="121" t="s">
        <v>219</v>
      </c>
      <c r="H207" s="121"/>
    </row>
    <row r="208" spans="1:8" x14ac:dyDescent="0.25">
      <c r="A208" s="120" t="s">
        <v>82</v>
      </c>
      <c r="B208" s="120"/>
      <c r="C208" s="120"/>
      <c r="D208" s="120"/>
      <c r="E208" s="120"/>
      <c r="F208" s="120"/>
      <c r="G208" s="120"/>
      <c r="H208" s="120"/>
    </row>
    <row r="209" spans="1:8" x14ac:dyDescent="0.25">
      <c r="A209" s="120"/>
      <c r="B209" s="120"/>
      <c r="C209" s="120"/>
      <c r="D209" s="120"/>
      <c r="E209" s="120"/>
      <c r="F209" s="120"/>
      <c r="G209" s="120"/>
      <c r="H209" s="120"/>
    </row>
    <row r="210" spans="1:8" x14ac:dyDescent="0.25">
      <c r="A210" s="120"/>
      <c r="B210" s="120"/>
      <c r="C210" s="120"/>
      <c r="D210" s="120"/>
      <c r="E210" s="120"/>
      <c r="F210" s="120"/>
      <c r="G210" s="120"/>
      <c r="H210" s="120"/>
    </row>
    <row r="211" spans="1:8" x14ac:dyDescent="0.25">
      <c r="A211" s="120"/>
      <c r="B211" s="120"/>
      <c r="C211" s="120"/>
      <c r="D211" s="120"/>
      <c r="E211" s="120"/>
      <c r="F211" s="120"/>
      <c r="G211" s="120"/>
      <c r="H211" s="120"/>
    </row>
    <row r="212" spans="1:8" x14ac:dyDescent="0.25">
      <c r="A212" s="35" t="s">
        <v>69</v>
      </c>
      <c r="B212" s="36"/>
      <c r="C212" s="36"/>
      <c r="D212" s="35" t="str">
        <f>E8</f>
        <v>Ninestar Heaven</v>
      </c>
      <c r="F212" s="36"/>
      <c r="G212" s="36"/>
      <c r="H212" s="36"/>
    </row>
    <row r="213" spans="1:8" x14ac:dyDescent="0.25">
      <c r="A213" s="36"/>
      <c r="B213" s="36"/>
      <c r="C213" s="36"/>
      <c r="D213" s="36"/>
      <c r="E213" s="36"/>
      <c r="F213" s="36"/>
      <c r="G213" s="36"/>
      <c r="H213" s="36"/>
    </row>
    <row r="214" spans="1:8" x14ac:dyDescent="0.25">
      <c r="A214" s="36"/>
      <c r="B214" s="36"/>
      <c r="C214" s="36"/>
      <c r="D214" s="36"/>
      <c r="E214" s="36"/>
      <c r="F214" s="36"/>
      <c r="G214" s="36"/>
      <c r="H214" s="36"/>
    </row>
    <row r="215" spans="1:8" ht="15" customHeight="1" x14ac:dyDescent="0.25"/>
    <row r="256" hidden="1" x14ac:dyDescent="0.25"/>
    <row r="257" spans="1:1" hidden="1" x14ac:dyDescent="0.25"/>
    <row r="258" spans="1:1" hidden="1" x14ac:dyDescent="0.25"/>
    <row r="259" spans="1:1" x14ac:dyDescent="0.25">
      <c r="A259" s="38" t="s">
        <v>70</v>
      </c>
    </row>
  </sheetData>
  <mergeCells count="367"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B197:H197"/>
    <mergeCell ref="A46:B46"/>
    <mergeCell ref="C46:H46"/>
    <mergeCell ref="B195:H195"/>
    <mergeCell ref="G98:H107"/>
    <mergeCell ref="A99:B99"/>
    <mergeCell ref="A100:B100"/>
    <mergeCell ref="A101:B101"/>
    <mergeCell ref="F110:H110"/>
    <mergeCell ref="A110:E110"/>
    <mergeCell ref="A112:E112"/>
    <mergeCell ref="A138:B138"/>
    <mergeCell ref="A139:B139"/>
    <mergeCell ref="A140:B140"/>
    <mergeCell ref="A129:A130"/>
    <mergeCell ref="A146:H146"/>
    <mergeCell ref="A147:H147"/>
    <mergeCell ref="C124:D124"/>
    <mergeCell ref="E124:F124"/>
    <mergeCell ref="C131:D131"/>
    <mergeCell ref="G126:H126"/>
    <mergeCell ref="A124:A125"/>
    <mergeCell ref="A158:H158"/>
    <mergeCell ref="A114:E114"/>
    <mergeCell ref="A15:B15"/>
    <mergeCell ref="C15:H15"/>
    <mergeCell ref="A37:B37"/>
    <mergeCell ref="C37:H37"/>
    <mergeCell ref="A96:B96"/>
    <mergeCell ref="C96:H96"/>
    <mergeCell ref="A97:B97"/>
    <mergeCell ref="E97:F97"/>
    <mergeCell ref="G97:H97"/>
    <mergeCell ref="A60:C60"/>
    <mergeCell ref="D59:H59"/>
    <mergeCell ref="E84:F93"/>
    <mergeCell ref="G84:H93"/>
    <mergeCell ref="A92:B92"/>
    <mergeCell ref="A93:B93"/>
    <mergeCell ref="D60:H60"/>
    <mergeCell ref="A41:D41"/>
    <mergeCell ref="E41:H41"/>
    <mergeCell ref="E42:H42"/>
    <mergeCell ref="E43:H43"/>
    <mergeCell ref="E44:H44"/>
    <mergeCell ref="A42:D42"/>
    <mergeCell ref="A35:H35"/>
    <mergeCell ref="A34:B34"/>
    <mergeCell ref="F114:H114"/>
    <mergeCell ref="A115:E115"/>
    <mergeCell ref="A117:E117"/>
    <mergeCell ref="F111:H111"/>
    <mergeCell ref="A116:E116"/>
    <mergeCell ref="A113:E113"/>
    <mergeCell ref="F112:H112"/>
    <mergeCell ref="A111:E111"/>
    <mergeCell ref="A108:E108"/>
    <mergeCell ref="F117:H117"/>
    <mergeCell ref="F118:H118"/>
    <mergeCell ref="A119:E119"/>
    <mergeCell ref="G131:H131"/>
    <mergeCell ref="C130:D130"/>
    <mergeCell ref="E130:F130"/>
    <mergeCell ref="G130:H130"/>
    <mergeCell ref="C128:D128"/>
    <mergeCell ref="G128:H128"/>
    <mergeCell ref="E125:F125"/>
    <mergeCell ref="G125:H125"/>
    <mergeCell ref="A126:B126"/>
    <mergeCell ref="C126:D126"/>
    <mergeCell ref="E126:F126"/>
    <mergeCell ref="E128:F128"/>
    <mergeCell ref="A131:B131"/>
    <mergeCell ref="C125:D125"/>
    <mergeCell ref="G123:H123"/>
    <mergeCell ref="A118:E118"/>
    <mergeCell ref="L141:M141"/>
    <mergeCell ref="L140:M140"/>
    <mergeCell ref="L139:M139"/>
    <mergeCell ref="L138:M138"/>
    <mergeCell ref="A91:B91"/>
    <mergeCell ref="C129:D129"/>
    <mergeCell ref="E129:F129"/>
    <mergeCell ref="G129:H129"/>
    <mergeCell ref="F115:H115"/>
    <mergeCell ref="A109:E109"/>
    <mergeCell ref="A137:H137"/>
    <mergeCell ref="G134:H134"/>
    <mergeCell ref="A98:B98"/>
    <mergeCell ref="E98:F107"/>
    <mergeCell ref="A105:B105"/>
    <mergeCell ref="A106:B106"/>
    <mergeCell ref="A107:B107"/>
    <mergeCell ref="F108:H108"/>
    <mergeCell ref="F113:H113"/>
    <mergeCell ref="E123:F123"/>
    <mergeCell ref="A123:B123"/>
    <mergeCell ref="F116:H116"/>
    <mergeCell ref="C123:D123"/>
    <mergeCell ref="F119:H119"/>
    <mergeCell ref="C34:E34"/>
    <mergeCell ref="A39:D39"/>
    <mergeCell ref="E39:H39"/>
    <mergeCell ref="F31:H31"/>
    <mergeCell ref="F32:H32"/>
    <mergeCell ref="A38:H38"/>
    <mergeCell ref="A59:C59"/>
    <mergeCell ref="F34:H34"/>
    <mergeCell ref="A36:B36"/>
    <mergeCell ref="E36:F36"/>
    <mergeCell ref="C36:D36"/>
    <mergeCell ref="G36:H36"/>
    <mergeCell ref="A43:D43"/>
    <mergeCell ref="A44:D44"/>
    <mergeCell ref="A45:H45"/>
    <mergeCell ref="D56:H56"/>
    <mergeCell ref="A56:C56"/>
    <mergeCell ref="G48:H48"/>
    <mergeCell ref="A49:B50"/>
    <mergeCell ref="D57:H57"/>
    <mergeCell ref="D58:H58"/>
    <mergeCell ref="C48:E48"/>
    <mergeCell ref="C51:E51"/>
    <mergeCell ref="A48:B48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88:B88"/>
    <mergeCell ref="A61:C61"/>
    <mergeCell ref="D61:H61"/>
    <mergeCell ref="C82:H82"/>
    <mergeCell ref="A85:B85"/>
    <mergeCell ref="A87:B87"/>
    <mergeCell ref="E83:F83"/>
    <mergeCell ref="A62:C62"/>
    <mergeCell ref="D62:H62"/>
    <mergeCell ref="A65:C65"/>
    <mergeCell ref="D65:H65"/>
    <mergeCell ref="A63:C63"/>
    <mergeCell ref="D63:H63"/>
    <mergeCell ref="A64:C64"/>
    <mergeCell ref="D64:H64"/>
    <mergeCell ref="A84:B84"/>
    <mergeCell ref="G83:H83"/>
    <mergeCell ref="A66:B66"/>
    <mergeCell ref="C66:H66"/>
    <mergeCell ref="A68:B68"/>
    <mergeCell ref="C68:H68"/>
    <mergeCell ref="A69:B69"/>
    <mergeCell ref="E69:F69"/>
    <mergeCell ref="G69:H69"/>
    <mergeCell ref="A208:H211"/>
    <mergeCell ref="A207:B207"/>
    <mergeCell ref="E207:F207"/>
    <mergeCell ref="C207:D207"/>
    <mergeCell ref="G207:H207"/>
    <mergeCell ref="A122:H122"/>
    <mergeCell ref="A120:E120"/>
    <mergeCell ref="F120:H120"/>
    <mergeCell ref="A121:E121"/>
    <mergeCell ref="F121:H121"/>
    <mergeCell ref="A203:H203"/>
    <mergeCell ref="A127:H127"/>
    <mergeCell ref="A206:H206"/>
    <mergeCell ref="A204:H204"/>
    <mergeCell ref="A156:H156"/>
    <mergeCell ref="A200:H200"/>
    <mergeCell ref="A201:H201"/>
    <mergeCell ref="B198:H198"/>
    <mergeCell ref="B199:H199"/>
    <mergeCell ref="A160:H160"/>
    <mergeCell ref="E131:F131"/>
    <mergeCell ref="A135:H135"/>
    <mergeCell ref="A141:B141"/>
    <mergeCell ref="A159:H159"/>
    <mergeCell ref="B196:H196"/>
    <mergeCell ref="B192:H192"/>
    <mergeCell ref="A132:H132"/>
    <mergeCell ref="A133:H133"/>
    <mergeCell ref="A162:B162"/>
    <mergeCell ref="A163:B163"/>
    <mergeCell ref="B190:H190"/>
    <mergeCell ref="B191:H191"/>
    <mergeCell ref="B193:H193"/>
    <mergeCell ref="B194:H194"/>
    <mergeCell ref="A189:H189"/>
    <mergeCell ref="A152:B152"/>
    <mergeCell ref="A153:B153"/>
    <mergeCell ref="A149:B149"/>
    <mergeCell ref="A186:B186"/>
    <mergeCell ref="A187:B187"/>
    <mergeCell ref="A136:H136"/>
    <mergeCell ref="G138:H145"/>
    <mergeCell ref="G183:H188"/>
    <mergeCell ref="A188:B188"/>
    <mergeCell ref="A182:H182"/>
    <mergeCell ref="A183:B183"/>
    <mergeCell ref="A184:B184"/>
    <mergeCell ref="A185:B185"/>
    <mergeCell ref="A54:C54"/>
    <mergeCell ref="A55:C55"/>
    <mergeCell ref="D55:H55"/>
    <mergeCell ref="G51:H51"/>
    <mergeCell ref="A51:B52"/>
    <mergeCell ref="C52:H52"/>
    <mergeCell ref="C50:H50"/>
    <mergeCell ref="L152:M152"/>
    <mergeCell ref="L151:M151"/>
    <mergeCell ref="L142:M142"/>
    <mergeCell ref="A143:B143"/>
    <mergeCell ref="L143:M143"/>
    <mergeCell ref="A144:B144"/>
    <mergeCell ref="L144:M144"/>
    <mergeCell ref="A145:B145"/>
    <mergeCell ref="L145:M145"/>
    <mergeCell ref="A148:B148"/>
    <mergeCell ref="L148:M148"/>
    <mergeCell ref="A90:B90"/>
    <mergeCell ref="A83:B83"/>
    <mergeCell ref="A86:B86"/>
    <mergeCell ref="A82:B82"/>
    <mergeCell ref="A80:B80"/>
    <mergeCell ref="C80:H80"/>
    <mergeCell ref="E40:H40"/>
    <mergeCell ref="A40:D40"/>
    <mergeCell ref="A205:H205"/>
    <mergeCell ref="A202:H202"/>
    <mergeCell ref="A128:B128"/>
    <mergeCell ref="G157:H157"/>
    <mergeCell ref="A102:B102"/>
    <mergeCell ref="A103:B103"/>
    <mergeCell ref="A104:B104"/>
    <mergeCell ref="A94:B94"/>
    <mergeCell ref="C94:H94"/>
    <mergeCell ref="A89:B89"/>
    <mergeCell ref="F109:H109"/>
    <mergeCell ref="G124:H124"/>
    <mergeCell ref="A47:B47"/>
    <mergeCell ref="C47:E47"/>
    <mergeCell ref="G47:H47"/>
    <mergeCell ref="G49:H49"/>
    <mergeCell ref="D54:H54"/>
    <mergeCell ref="C49:E49"/>
    <mergeCell ref="A57:C58"/>
    <mergeCell ref="A151:B151"/>
    <mergeCell ref="A142:B142"/>
    <mergeCell ref="A53:H53"/>
    <mergeCell ref="L162:M162"/>
    <mergeCell ref="A161:B161"/>
    <mergeCell ref="A164:B164"/>
    <mergeCell ref="A165:B165"/>
    <mergeCell ref="L165:M165"/>
    <mergeCell ref="A166:B166"/>
    <mergeCell ref="L166:M166"/>
    <mergeCell ref="G148:H155"/>
    <mergeCell ref="G161:H166"/>
    <mergeCell ref="L149:M149"/>
    <mergeCell ref="A150:B150"/>
    <mergeCell ref="L150:M150"/>
    <mergeCell ref="L153:M153"/>
    <mergeCell ref="A154:B154"/>
    <mergeCell ref="L154:M154"/>
    <mergeCell ref="A155:B155"/>
    <mergeCell ref="L155:M155"/>
    <mergeCell ref="L161:M161"/>
    <mergeCell ref="L181:M181"/>
    <mergeCell ref="A167:H167"/>
    <mergeCell ref="A168:B168"/>
    <mergeCell ref="A169:B169"/>
    <mergeCell ref="A170:B170"/>
    <mergeCell ref="A171:B171"/>
    <mergeCell ref="L177:M177"/>
    <mergeCell ref="A178:B178"/>
    <mergeCell ref="L178:M178"/>
    <mergeCell ref="A179:B179"/>
    <mergeCell ref="L179:M179"/>
    <mergeCell ref="A180:B180"/>
    <mergeCell ref="L180:M180"/>
    <mergeCell ref="A174:H174"/>
    <mergeCell ref="A175:H175"/>
    <mergeCell ref="A176:B176"/>
    <mergeCell ref="G168:H173"/>
    <mergeCell ref="G176:H181"/>
    <mergeCell ref="A172:B172"/>
    <mergeCell ref="A177:B177"/>
    <mergeCell ref="A181:B181"/>
    <mergeCell ref="L176:M176"/>
    <mergeCell ref="A173:B173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7" max="16383" man="1"/>
    <brk id="211" max="16383" man="1"/>
    <brk id="2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E37" sqref="E37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9" t="s">
        <v>110</v>
      </c>
      <c r="C3" s="189"/>
      <c r="D3" s="189"/>
      <c r="E3" s="189"/>
      <c r="F3" s="189"/>
      <c r="G3" s="189"/>
      <c r="H3" s="189"/>
    </row>
    <row r="4" spans="1:9" x14ac:dyDescent="0.2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2025-09-13T12:27:27Z</cp:lastPrinted>
  <dcterms:created xsi:type="dcterms:W3CDTF">2019-07-16T09:29:46Z</dcterms:created>
  <dcterms:modified xsi:type="dcterms:W3CDTF">2025-09-13T12:27:36Z</dcterms:modified>
</cp:coreProperties>
</file>