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645"/>
  </bookViews>
  <sheets>
    <sheet name="Report (2)" sheetId="1" r:id="rId1"/>
    <sheet name="C%" sheetId="2" r:id="rId2"/>
    <sheet name="Note" sheetId="4" r:id="rId3"/>
    <sheet name="Valuation" sheetId="5" r:id="rId4"/>
    <sheet name="Flat detail" sheetId="3" r:id="rId5"/>
  </sheets>
  <definedNames>
    <definedName name="_xlnm.Print_Area" localSheetId="0">'Report (2)'!$A$1:$J$316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8" i="1" l="1"/>
  <c r="L97" i="1"/>
  <c r="L96" i="1"/>
  <c r="L95" i="1"/>
  <c r="I88" i="1"/>
  <c r="D93" i="1" l="1"/>
  <c r="D100" i="1"/>
  <c r="D96" i="1"/>
  <c r="D99" i="1"/>
  <c r="D95" i="1"/>
  <c r="L91" i="1"/>
  <c r="L90" i="1"/>
  <c r="D98" i="1"/>
  <c r="D94" i="1"/>
  <c r="L93" i="1"/>
  <c r="D97" i="1"/>
  <c r="L92" i="1"/>
  <c r="C91" i="1" s="1"/>
  <c r="D91" i="1" s="1"/>
  <c r="K134" i="1"/>
  <c r="L137" i="1"/>
  <c r="D130" i="1"/>
  <c r="D139" i="1"/>
  <c r="D138" i="1"/>
  <c r="D137" i="1"/>
  <c r="D136" i="1"/>
  <c r="D135" i="1"/>
  <c r="D134" i="1"/>
  <c r="D133" i="1"/>
  <c r="I182" i="1"/>
  <c r="F182" i="1"/>
  <c r="D182" i="1"/>
  <c r="C117" i="1" l="1"/>
  <c r="D117" i="1"/>
  <c r="G182" i="1"/>
  <c r="G121" i="1" s="1"/>
  <c r="D121" i="1"/>
  <c r="L94" i="1"/>
  <c r="L99" i="1" s="1"/>
  <c r="L100" i="1" s="1"/>
  <c r="C92" i="1" s="1"/>
  <c r="F91" i="1" s="1"/>
  <c r="K87" i="1" s="1"/>
  <c r="C89" i="1" s="1"/>
  <c r="K137" i="1"/>
  <c r="M137" i="1" s="1"/>
  <c r="D92" i="1" l="1"/>
  <c r="H91" i="1"/>
  <c r="K131" i="1"/>
  <c r="D131" i="1"/>
  <c r="D129" i="1"/>
  <c r="D128" i="1"/>
  <c r="D114" i="1" s="1"/>
  <c r="F39" i="1"/>
  <c r="H46" i="1"/>
  <c r="C46" i="1"/>
  <c r="F3" i="1" l="1"/>
  <c r="F7" i="1" l="1"/>
  <c r="L84" i="1" l="1"/>
  <c r="L83" i="1"/>
  <c r="L82" i="1"/>
  <c r="L81" i="1"/>
  <c r="L68" i="1"/>
  <c r="L67" i="1"/>
  <c r="L66" i="1"/>
  <c r="L65" i="1"/>
  <c r="I72" i="1"/>
  <c r="I58" i="1"/>
  <c r="D86" i="1" l="1"/>
  <c r="D84" i="1"/>
  <c r="D82" i="1"/>
  <c r="D80" i="1"/>
  <c r="L78" i="1"/>
  <c r="C77" i="1" s="1"/>
  <c r="L76" i="1"/>
  <c r="D85" i="1"/>
  <c r="D81" i="1"/>
  <c r="C79" i="1"/>
  <c r="D79" i="1" s="1"/>
  <c r="L77" i="1"/>
  <c r="L79" i="1"/>
  <c r="L80" i="1" s="1"/>
  <c r="L85" i="1" s="1"/>
  <c r="L86" i="1" s="1"/>
  <c r="C78" i="1" s="1"/>
  <c r="D83" i="1"/>
  <c r="D63" i="1"/>
  <c r="L61" i="1"/>
  <c r="D67" i="1"/>
  <c r="D70" i="1"/>
  <c r="D68" i="1"/>
  <c r="D66" i="1"/>
  <c r="D64" i="1"/>
  <c r="L62" i="1"/>
  <c r="C61" i="1" s="1"/>
  <c r="L60" i="1"/>
  <c r="L63" i="1"/>
  <c r="D69" i="1"/>
  <c r="D65" i="1"/>
  <c r="N166" i="1"/>
  <c r="L64" i="1" l="1"/>
  <c r="L69" i="1" s="1"/>
  <c r="L70" i="1" s="1"/>
  <c r="C62" i="1" s="1"/>
  <c r="D62" i="1" s="1"/>
  <c r="F77" i="1"/>
  <c r="D78" i="1"/>
  <c r="H77" i="1"/>
  <c r="D77" i="1"/>
  <c r="D61" i="1"/>
  <c r="F7" i="5"/>
  <c r="G7" i="5" s="1"/>
  <c r="F8" i="5"/>
  <c r="G8" i="5" s="1"/>
  <c r="G6" i="5"/>
  <c r="G5" i="5"/>
  <c r="H61" i="1" l="1"/>
  <c r="F61" i="1"/>
  <c r="K57" i="1" s="1"/>
  <c r="C59" i="1" s="1"/>
  <c r="K71" i="1"/>
  <c r="C73" i="1" s="1"/>
  <c r="G9" i="5"/>
  <c r="C13" i="1"/>
  <c r="I174" i="1" l="1"/>
  <c r="D179" i="1"/>
  <c r="G179" i="1" s="1"/>
  <c r="D178" i="1"/>
  <c r="G178" i="1" s="1"/>
  <c r="D177" i="1"/>
  <c r="G177" i="1" s="1"/>
  <c r="D176" i="1"/>
  <c r="G176" i="1" s="1"/>
  <c r="D175" i="1"/>
  <c r="G175" i="1" s="1"/>
  <c r="D174" i="1"/>
  <c r="G174" i="1" s="1"/>
  <c r="D172" i="1"/>
  <c r="G172" i="1" s="1"/>
  <c r="D171" i="1"/>
  <c r="I165" i="1"/>
  <c r="D168" i="1"/>
  <c r="G168" i="1" s="1"/>
  <c r="D167" i="1"/>
  <c r="G167" i="1" s="1"/>
  <c r="L167" i="1" s="1"/>
  <c r="D166" i="1"/>
  <c r="G166" i="1" s="1"/>
  <c r="L166" i="1" s="1"/>
  <c r="D165" i="1"/>
  <c r="G165" i="1" s="1"/>
  <c r="D163" i="1"/>
  <c r="G163" i="1" s="1"/>
  <c r="D162" i="1"/>
  <c r="F155" i="1"/>
  <c r="F156" i="1"/>
  <c r="F157" i="1"/>
  <c r="F158" i="1"/>
  <c r="F159" i="1"/>
  <c r="F154" i="1"/>
  <c r="D155" i="1"/>
  <c r="D156" i="1"/>
  <c r="D157" i="1"/>
  <c r="D158" i="1"/>
  <c r="D159" i="1"/>
  <c r="D154" i="1"/>
  <c r="I154" i="1"/>
  <c r="D151" i="1"/>
  <c r="G151" i="1" s="1"/>
  <c r="D152" i="1"/>
  <c r="G152" i="1" s="1"/>
  <c r="I147" i="1"/>
  <c r="D150" i="1"/>
  <c r="G150" i="1" s="1"/>
  <c r="D149" i="1"/>
  <c r="G149" i="1" s="1"/>
  <c r="D148" i="1"/>
  <c r="G148" i="1" s="1"/>
  <c r="D147" i="1"/>
  <c r="G147" i="1" s="1"/>
  <c r="D143" i="1"/>
  <c r="G143" i="1" s="1"/>
  <c r="D144" i="1"/>
  <c r="G144" i="1" s="1"/>
  <c r="D145" i="1"/>
  <c r="G145" i="1" s="1"/>
  <c r="D142" i="1"/>
  <c r="C118" i="1" s="1"/>
  <c r="G139" i="1"/>
  <c r="G138" i="1"/>
  <c r="G137" i="1"/>
  <c r="G136" i="1"/>
  <c r="I133" i="1"/>
  <c r="G133" i="1"/>
  <c r="G131" i="1"/>
  <c r="G130" i="1"/>
  <c r="G129" i="1"/>
  <c r="G142" i="1" l="1"/>
  <c r="D118" i="1"/>
  <c r="G162" i="1"/>
  <c r="C119" i="1"/>
  <c r="D119" i="1"/>
  <c r="C114" i="1"/>
  <c r="G171" i="1"/>
  <c r="G120" i="1" s="1"/>
  <c r="C120" i="1"/>
  <c r="D120" i="1"/>
  <c r="G128" i="1"/>
  <c r="G114" i="1" s="1"/>
  <c r="G135" i="1"/>
  <c r="G154" i="1"/>
  <c r="G156" i="1"/>
  <c r="G158" i="1"/>
  <c r="G159" i="1"/>
  <c r="L159" i="1" s="1"/>
  <c r="G155" i="1"/>
  <c r="G157" i="1"/>
  <c r="G134" i="1"/>
  <c r="G13" i="2"/>
  <c r="G14" i="2" s="1"/>
  <c r="C13" i="2" s="1"/>
  <c r="D4" i="2"/>
  <c r="E3" i="2"/>
  <c r="B5" i="2" s="1"/>
  <c r="H13" i="2" s="1"/>
  <c r="B14" i="2" s="1"/>
  <c r="C3" i="2"/>
  <c r="B10" i="2" s="1"/>
  <c r="D198" i="1"/>
  <c r="G111" i="1"/>
  <c r="D51" i="1"/>
  <c r="F41" i="1"/>
  <c r="D53" i="1" s="1"/>
  <c r="C122" i="1" l="1"/>
  <c r="G117" i="1"/>
  <c r="G122" i="1" s="1"/>
  <c r="D122" i="1"/>
  <c r="B7" i="2"/>
  <c r="J14" i="2" s="1"/>
  <c r="C16" i="2" s="1"/>
  <c r="B9" i="2"/>
  <c r="L13" i="2" s="1"/>
  <c r="B18" i="2" s="1"/>
  <c r="B13" i="2"/>
  <c r="M116" i="1"/>
  <c r="G119" i="1"/>
  <c r="G118" i="1"/>
  <c r="D10" i="2"/>
  <c r="M14" i="2"/>
  <c r="C19" i="2" s="1"/>
  <c r="M13" i="2"/>
  <c r="B19" i="2" s="1"/>
  <c r="H14" i="2"/>
  <c r="C14" i="2" s="1"/>
  <c r="D5" i="2"/>
  <c r="D9" i="2"/>
  <c r="B6" i="2"/>
  <c r="B8" i="2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7" i="2" l="1"/>
  <c r="J13" i="2"/>
  <c r="B16" i="2" s="1"/>
  <c r="L14" i="2"/>
  <c r="C18" i="2" s="1"/>
  <c r="L116" i="1"/>
  <c r="K14" i="2"/>
  <c r="C17" i="2" s="1"/>
  <c r="D8" i="2"/>
  <c r="K13" i="2"/>
  <c r="B17" i="2" s="1"/>
  <c r="D6" i="2"/>
  <c r="I14" i="2"/>
  <c r="C15" i="2" s="1"/>
  <c r="I13" i="2"/>
  <c r="B15" i="2" s="1"/>
  <c r="L34" i="3"/>
  <c r="K34" i="3" s="1"/>
  <c r="E34" i="3"/>
  <c r="I34" i="3"/>
  <c r="H34" i="3" s="1"/>
  <c r="C20" i="2" l="1"/>
  <c r="B20" i="2"/>
  <c r="D34" i="3"/>
  <c r="D36" i="3" s="1"/>
  <c r="E36" i="3"/>
</calcChain>
</file>

<file path=xl/sharedStrings.xml><?xml version="1.0" encoding="utf-8"?>
<sst xmlns="http://schemas.openxmlformats.org/spreadsheetml/2006/main" count="530" uniqueCount="294">
  <si>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</si>
  <si>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</si>
  <si>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</si>
  <si>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</si>
  <si>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</si>
  <si>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</si>
  <si>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</si>
  <si>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</si>
  <si>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</si>
  <si>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</si>
  <si>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</si>
  <si>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</si>
  <si>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</si>
  <si>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</si>
  <si>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</si>
  <si>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</si>
  <si>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</si>
  <si>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</si>
  <si>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</si>
  <si>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</si>
  <si>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</si>
  <si>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</si>
  <si>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</si>
  <si>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</si>
  <si>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</si>
  <si>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</si>
  <si>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</si>
  <si>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</si>
  <si>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</si>
  <si>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</si>
  <si>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</si>
  <si>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</si>
  <si>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</si>
  <si>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</si>
  <si>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</si>
  <si>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</si>
  <si>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</si>
  <si>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</si>
  <si>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</si>
  <si>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Latitude</t>
  </si>
  <si>
    <t>Longitude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</si>
  <si>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</si>
  <si>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</si>
  <si>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</si>
  <si>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</si>
  <si>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</si>
  <si>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</si>
  <si>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</si>
  <si>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</si>
  <si>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</si>
  <si>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</si>
  <si>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</si>
  <si>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</si>
  <si>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</si>
  <si>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</si>
  <si>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</si>
  <si>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</si>
  <si>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</si>
  <si>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</si>
  <si>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</si>
  <si>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</si>
  <si>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</si>
  <si>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</si>
  <si>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No of floors at site : See Construction details</t>
  </si>
  <si>
    <t>Quality of construction: Good</t>
  </si>
  <si>
    <t>Projected life of the structure: 60 Years After Completion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</si>
  <si>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</si>
  <si>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</si>
  <si>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</si>
  <si>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</si>
  <si>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</si>
  <si>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</si>
  <si>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</si>
  <si>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t>Recommended Rates of the Property :</t>
  </si>
  <si>
    <t xml:space="preserve">Recommended rate of Parking </t>
  </si>
  <si>
    <t>Development charges Per Sq. Ft.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</si>
  <si>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</si>
  <si>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</si>
  <si>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</si>
  <si>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</si>
  <si>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</si>
  <si>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</si>
  <si>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</si>
  <si>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</si>
  <si>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</si>
  <si>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</si>
  <si>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</si>
  <si>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</si>
  <si>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PLC Y/N</t>
  </si>
  <si>
    <t>Floor</t>
  </si>
  <si>
    <t>N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</si>
  <si>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</si>
  <si>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</si>
  <si>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</si>
  <si>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</si>
  <si>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</si>
  <si>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</si>
  <si>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</si>
  <si>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</si>
  <si>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 xml:space="preserve">PHOTOGRAPHS OF PROPERTY : 
</t>
  </si>
  <si>
    <t>Google Map :</t>
  </si>
  <si>
    <t xml:space="preserve">Remarks:  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</si>
  <si>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</si>
  <si>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</si>
  <si>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</si>
  <si>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</si>
  <si>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</si>
  <si>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</si>
  <si>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</si>
  <si>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</si>
  <si>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</si>
  <si>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</si>
  <si>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</si>
  <si>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</si>
  <si>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</si>
  <si>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</si>
  <si>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</si>
  <si>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</si>
  <si>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</si>
  <si>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</si>
  <si>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</si>
  <si>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</si>
  <si>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</si>
  <si>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</si>
  <si>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</si>
  <si>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</si>
  <si>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</si>
  <si>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</si>
  <si>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</si>
  <si>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</si>
  <si>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</si>
  <si>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</si>
  <si>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</si>
  <si>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</si>
  <si>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</si>
  <si>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</si>
  <si>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</si>
  <si>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No. of Flats</t>
  </si>
  <si>
    <t>Total Slab</t>
  </si>
  <si>
    <t>Basement</t>
  </si>
  <si>
    <t>Podium</t>
  </si>
  <si>
    <t>Ground</t>
  </si>
  <si>
    <t>Upper Floor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</si>
  <si>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</si>
  <si>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</si>
  <si>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</si>
  <si>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</si>
  <si>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</si>
  <si>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</si>
  <si>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</si>
  <si>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</si>
  <si>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</si>
  <si>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</si>
  <si>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NA
Approved upto :</t>
  </si>
  <si>
    <t>Recommended rate of the flat Per Sq. Ft. ( on Saleable area)</t>
  </si>
  <si>
    <t>Recommended rate of the Shop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</si>
  <si>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</si>
  <si>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</si>
  <si>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</si>
  <si>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</si>
  <si>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</si>
  <si>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</si>
  <si>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</si>
  <si>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</si>
  <si>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</si>
  <si>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</si>
  <si>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</si>
  <si>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</si>
  <si>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</si>
  <si>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</si>
  <si>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</si>
  <si>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</si>
  <si>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</si>
  <si>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</si>
  <si>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</si>
  <si>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</si>
  <si>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</si>
  <si>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Thane - G + 25</t>
  </si>
  <si>
    <t>600000/-</t>
  </si>
  <si>
    <t>Nainesh Tambe/Yogesh Khaire/ Rajesh Khaire/Krishna Kamble/Abhijit More/Avinash/Sunil Peravi</t>
  </si>
  <si>
    <t>Inspected By :</t>
  </si>
  <si>
    <t>Report Prepared By :</t>
  </si>
  <si>
    <t>Axis Sanpada</t>
  </si>
  <si>
    <t>M/s.Shree Tulsi Developes</t>
  </si>
  <si>
    <t>Sagar Sargam Residency</t>
  </si>
  <si>
    <t xml:space="preserve">09930688068
</t>
  </si>
  <si>
    <t>Survey No</t>
  </si>
  <si>
    <t>Haliwali</t>
  </si>
  <si>
    <t>Karjat</t>
  </si>
  <si>
    <t>Raigad</t>
  </si>
  <si>
    <t>About 3Km from Karjat Railway Station</t>
  </si>
  <si>
    <t xml:space="preserve">HP Petrol Pump </t>
  </si>
  <si>
    <t>Karjat Neral Road</t>
  </si>
  <si>
    <t>Open Plot</t>
  </si>
  <si>
    <t>House</t>
  </si>
  <si>
    <t>MS/LNA-1/P.K.129/2016</t>
  </si>
  <si>
    <t>31/03/2017.</t>
  </si>
  <si>
    <t>Residential + Commercial</t>
  </si>
  <si>
    <t>Building No 1 - A Wing</t>
  </si>
  <si>
    <t>Shop</t>
  </si>
  <si>
    <t>1BHK</t>
  </si>
  <si>
    <t xml:space="preserve">Ground Floor </t>
  </si>
  <si>
    <t>1st &amp; 3rd Floor</t>
  </si>
  <si>
    <t>2nd &amp; 4th Floor</t>
  </si>
  <si>
    <t>Building No 2 - B Wing</t>
  </si>
  <si>
    <t>Ground Floor is For Parking &amp; Residential</t>
  </si>
  <si>
    <t>Ground Floor</t>
  </si>
  <si>
    <t>Building No 3 - C Wing</t>
  </si>
  <si>
    <t>2BHK</t>
  </si>
  <si>
    <t>1st To 4th Floor</t>
  </si>
  <si>
    <t>Building No 4 - D Wing</t>
  </si>
  <si>
    <r>
      <rPr>
        <sz val="11"/>
        <color rgb="FF7030A0"/>
        <rFont val="Times New Roman"/>
        <family val="1"/>
      </rPr>
      <t>Pratiksha</t>
    </r>
    <r>
      <rPr>
        <sz val="11"/>
        <color indexed="8"/>
        <rFont val="Times New Roman"/>
        <family val="1"/>
      </rPr>
      <t/>
    </r>
  </si>
  <si>
    <t>Blg No 1 - A Wing</t>
  </si>
  <si>
    <t>No. of Shops</t>
  </si>
  <si>
    <t>Blg No 3 - C Wing</t>
  </si>
  <si>
    <t>Blg No 4 - D Wing</t>
  </si>
  <si>
    <t xml:space="preserve">Material laying at Site: Bricks, Cement &amp; Steel etc. </t>
  </si>
  <si>
    <t xml:space="preserve">Wheather the construction is as per approved Building plan : Under Construction </t>
  </si>
  <si>
    <t>Hissa No</t>
  </si>
  <si>
    <t>Pratiksha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</si>
  <si>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</si>
  <si>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</si>
  <si>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</si>
  <si>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</si>
  <si>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</si>
  <si>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</si>
  <si>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</si>
  <si>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Housing</t>
  </si>
  <si>
    <t>Average</t>
  </si>
  <si>
    <t xml:space="preserve">Valuation Adopted </t>
  </si>
  <si>
    <t>Commonfloor</t>
  </si>
  <si>
    <t>Sachin</t>
  </si>
  <si>
    <t>Rate changed from 4600 to 3700 with refrence to index II</t>
  </si>
  <si>
    <t>Other Charges</t>
  </si>
  <si>
    <t>150000/-</t>
  </si>
  <si>
    <t>Development Charges</t>
  </si>
  <si>
    <t>19.01.2021</t>
  </si>
  <si>
    <t>Asmi</t>
  </si>
  <si>
    <t>Jhoti (S)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</si>
  <si>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</si>
  <si>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</si>
  <si>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</si>
  <si>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</si>
  <si>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</si>
  <si>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</si>
  <si>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</si>
  <si>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</si>
  <si>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</si>
  <si>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</si>
  <si>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</si>
  <si>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</si>
  <si>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</si>
  <si>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</si>
  <si>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</si>
  <si>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</si>
  <si>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</si>
  <si>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</si>
  <si>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</si>
  <si>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</si>
  <si>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</si>
  <si>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</si>
  <si>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</si>
  <si>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</si>
  <si>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Location Link</t>
  </si>
  <si>
    <t>https://goo.gl/maps/Li7xnnindb9kW7dK6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</si>
  <si>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</si>
  <si>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Building No. 1 - A Wing
Building No. 2 - B Wing
Building No. 3 - C Wing
Building No. 4 - D Wing
Building No. 5 - E Wing</t>
  </si>
  <si>
    <t>MS/LNA-1/P.K.53/2021</t>
  </si>
  <si>
    <t xml:space="preserve">Approved Floor plan No. (Building No 1 &amp; 5)  </t>
  </si>
  <si>
    <t xml:space="preserve">Approved Floor plan No.(Building No. 2, 3, 4)  </t>
  </si>
  <si>
    <t xml:space="preserve">Commencement Certificate No. 
</t>
  </si>
  <si>
    <t>MS/L.N.A.1(B)/P.K.129/2016
Valid Up to: Building No. 2, 3, 4 = G + 1st to 4th Floor</t>
  </si>
  <si>
    <t xml:space="preserve">Commencement Certificate No.
</t>
  </si>
  <si>
    <t>05 Buildings</t>
  </si>
  <si>
    <t>Blg No 2 - B Wing</t>
  </si>
  <si>
    <t>Bldg No.1 (A Wing) = G + 1st to 7th Floor</t>
  </si>
  <si>
    <t xml:space="preserve">Bldg No.2 (B Wing) = G + 1st to 4th Floor
Bldg No.3 (C Wing) &amp; Bldg No.4 (D Wing) = G + 1st to 4th Floor </t>
  </si>
  <si>
    <t>Ground Floor is For Parking &amp; Commercial</t>
  </si>
  <si>
    <t>1st to 7th Floor For Residential</t>
  </si>
  <si>
    <t>1RK</t>
  </si>
  <si>
    <t>Building No 5 - E Wing</t>
  </si>
  <si>
    <t>Ground Floor For Residential</t>
  </si>
  <si>
    <t>2BHK(Duplex With 1st Floor )</t>
  </si>
  <si>
    <t>1st Floor Duplex With Grond Floor (Part Terrace Area)</t>
  </si>
  <si>
    <t>Layout :</t>
  </si>
  <si>
    <t>Flats = 122 &amp; shop = 04</t>
  </si>
  <si>
    <t>Bldg No.5 (E Wing) = G + 1st Floor</t>
  </si>
  <si>
    <t>Approved Plan, CC, Sale Plan</t>
  </si>
  <si>
    <t>MS/L.N.A.1/A-1(B)/Token No.15550/P.K.53/2021
Valid Up to: Building No.1 = G + 1st to 7th Floor
Building No. 2, 3, 4 = G + 1st to 4th Floor
Building No.5 = G + 1st Floor</t>
  </si>
  <si>
    <t>Blg No 5 - E Wing</t>
  </si>
  <si>
    <t>Building No.1 = G + 1st to 7th Floor
Building No. 2,3,4 = G + 1st to 4th Floor
Building No. 5 = G + 1st Floor</t>
  </si>
  <si>
    <t>P52000009713</t>
  </si>
  <si>
    <t>Contact Details ( Name &amp; Contact No.)</t>
  </si>
  <si>
    <t>1. Building No.1 (A wing) = Construction was in process at the time of visit.
    Building No.2 (B wing),Building No.3 (C wing) &amp; Building No.4 (D wing) = All work completed. Please provide OC.
   Building No. 5 (Wing   E) = Work is same as last visit ( 07/04/2025).
2. We considered Saleable area as per our calculation.
3. We considered Carpet area as per Approved Plan.
4. We considered Gross carpet area = Net carpet + Enclose balcony + C.B Area + Dry Balcony.
5. We considered Flat &amp; Shop rate as per Market Inquire.
6. Car parking is subjected to authentic documentation.
7. We have updated revised approved floor plan for Building No.1 (A wing) &amp; Building No. 5 (Wing E) &amp; C.C (on 23/07/2024).
7. On RERA site there are 5 number of buildings and we received Approved plans of Building No.1 to 4.  Please provide Plans of Building no.5.
8. On site we meet Mr.Shambhu - 8411826258.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</si>
</sst>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7030A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6" fillId="0" borderId="0"/>
    <xf numFmtId="0" fontId="2" fillId="0" borderId="0"/>
    <xf numFmtId="9" fontId="12" fillId="0" borderId="0" applyFont="0" applyFill="0" applyBorder="0" applyAlignment="0" applyProtection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98">
    <xf numFmtId="0" fontId="0" fillId="0" borderId="0" xfId="0"/>
    <xf numFmtId="0" fontId="8" fillId="0" borderId="0" xfId="0" applyFont="1" applyAlignment="1">
      <alignment horizontal="center" vertical="center"/>
    </xf>
    <xf numFmtId="1" fontId="9" fillId="0" borderId="4" xfId="1" applyNumberFormat="1" applyFont="1" applyFill="1" applyBorder="1" applyAlignment="1">
      <alignment horizontal="center" vertical="top" wrapText="1"/>
    </xf>
    <xf numFmtId="0" fontId="8" fillId="0" borderId="0" xfId="1" applyFont="1" applyAlignment="1">
      <alignment horizontal="center" vertical="center"/>
    </xf>
    <xf numFmtId="1" fontId="7" fillId="0" borderId="4" xfId="1" applyNumberFormat="1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0" borderId="9" xfId="0" applyBorder="1" applyAlignme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0" borderId="4" xfId="0" applyBorder="1"/>
    <xf numFmtId="0" fontId="1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1" applyFont="1"/>
    <xf numFmtId="0" fontId="7" fillId="2" borderId="4" xfId="1" applyFont="1" applyFill="1" applyBorder="1" applyAlignment="1">
      <alignment vertical="top"/>
    </xf>
    <xf numFmtId="0" fontId="7" fillId="0" borderId="0" xfId="2" applyFont="1"/>
    <xf numFmtId="1" fontId="4" fillId="0" borderId="4" xfId="1" applyNumberFormat="1" applyFont="1" applyFill="1" applyBorder="1" applyAlignment="1">
      <alignment horizontal="center" vertical="top" wrapText="1"/>
    </xf>
    <xf numFmtId="0" fontId="8" fillId="0" borderId="0" xfId="0" applyFont="1"/>
    <xf numFmtId="0" fontId="9" fillId="0" borderId="0" xfId="1" applyFont="1" applyBorder="1" applyAlignment="1">
      <alignment vertical="top"/>
    </xf>
    <xf numFmtId="0" fontId="9" fillId="0" borderId="0" xfId="1" applyFont="1" applyBorder="1" applyAlignment="1">
      <alignment vertical="top" wrapText="1"/>
    </xf>
    <xf numFmtId="0" fontId="11" fillId="0" borderId="0" xfId="1" applyFont="1"/>
    <xf numFmtId="0" fontId="7" fillId="2" borderId="4" xfId="1" applyFont="1" applyFill="1" applyBorder="1" applyAlignment="1">
      <alignment horizontal="left" vertical="top"/>
    </xf>
    <xf numFmtId="0" fontId="17" fillId="0" borderId="0" xfId="0" applyFont="1"/>
    <xf numFmtId="0" fontId="17" fillId="0" borderId="4" xfId="0" applyFont="1" applyBorder="1" applyAlignment="1">
      <alignment horizontal="right"/>
    </xf>
    <xf numFmtId="0" fontId="17" fillId="0" borderId="4" xfId="0" applyFont="1" applyBorder="1"/>
    <xf numFmtId="0" fontId="18" fillId="0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3" borderId="4" xfId="0" applyFont="1" applyFill="1" applyBorder="1"/>
    <xf numFmtId="0" fontId="17" fillId="0" borderId="4" xfId="0" applyFont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9" fontId="17" fillId="0" borderId="0" xfId="4" applyFont="1" applyBorder="1"/>
    <xf numFmtId="0" fontId="17" fillId="0" borderId="0" xfId="0" applyFont="1" applyBorder="1"/>
    <xf numFmtId="0" fontId="16" fillId="0" borderId="4" xfId="0" applyFont="1" applyBorder="1" applyAlignment="1">
      <alignment horizontal="center"/>
    </xf>
    <xf numFmtId="0" fontId="17" fillId="0" borderId="0" xfId="0" applyFont="1" applyAlignment="1">
      <alignment wrapText="1"/>
    </xf>
    <xf numFmtId="0" fontId="17" fillId="0" borderId="13" xfId="0" applyFont="1" applyBorder="1"/>
    <xf numFmtId="0" fontId="17" fillId="0" borderId="4" xfId="0" applyFont="1" applyBorder="1" applyAlignment="1">
      <alignment wrapText="1"/>
    </xf>
    <xf numFmtId="9" fontId="17" fillId="0" borderId="4" xfId="4" applyFont="1" applyBorder="1"/>
    <xf numFmtId="0" fontId="17" fillId="0" borderId="0" xfId="0" applyFont="1" applyFill="1" applyBorder="1"/>
    <xf numFmtId="9" fontId="17" fillId="0" borderId="0" xfId="0" applyNumberFormat="1" applyFont="1"/>
    <xf numFmtId="0" fontId="8" fillId="0" borderId="0" xfId="1" applyFont="1" applyAlignment="1">
      <alignment horizontal="center"/>
    </xf>
    <xf numFmtId="0" fontId="5" fillId="0" borderId="0" xfId="1" applyFont="1" applyBorder="1" applyAlignment="1">
      <alignment horizontal="center" vertical="top"/>
    </xf>
    <xf numFmtId="0" fontId="20" fillId="0" borderId="0" xfId="1" applyFont="1" applyBorder="1" applyAlignment="1">
      <alignment horizontal="center" vertical="top" wrapText="1"/>
    </xf>
    <xf numFmtId="0" fontId="14" fillId="0" borderId="0" xfId="1" applyFont="1"/>
    <xf numFmtId="14" fontId="6" fillId="0" borderId="0" xfId="5" applyNumberFormat="1"/>
    <xf numFmtId="0" fontId="6" fillId="0" borderId="0" xfId="5"/>
    <xf numFmtId="0" fontId="1" fillId="0" borderId="0" xfId="6"/>
    <xf numFmtId="0" fontId="10" fillId="0" borderId="4" xfId="6" applyFont="1" applyBorder="1" applyAlignment="1">
      <alignment horizontal="center" vertical="top" wrapText="1"/>
    </xf>
    <xf numFmtId="0" fontId="1" fillId="0" borderId="4" xfId="6" applyBorder="1" applyAlignment="1">
      <alignment horizontal="center" vertical="center"/>
    </xf>
    <xf numFmtId="0" fontId="1" fillId="0" borderId="4" xfId="6" applyBorder="1" applyAlignment="1">
      <alignment horizontal="left" vertical="center"/>
    </xf>
    <xf numFmtId="1" fontId="1" fillId="0" borderId="4" xfId="6" applyNumberFormat="1" applyBorder="1" applyAlignment="1">
      <alignment horizontal="center" vertical="center"/>
    </xf>
    <xf numFmtId="166" fontId="1" fillId="0" borderId="4" xfId="7" applyNumberFormat="1" applyFont="1" applyBorder="1" applyAlignment="1">
      <alignment horizontal="right" vertical="center"/>
    </xf>
    <xf numFmtId="0" fontId="10" fillId="0" borderId="4" xfId="6" applyFont="1" applyBorder="1" applyAlignment="1">
      <alignment horizontal="center" vertical="center"/>
    </xf>
    <xf numFmtId="1" fontId="21" fillId="0" borderId="4" xfId="6" applyNumberFormat="1" applyFont="1" applyBorder="1" applyAlignment="1">
      <alignment horizontal="center" vertical="center"/>
    </xf>
    <xf numFmtId="0" fontId="6" fillId="0" borderId="4" xfId="5" applyBorder="1" applyAlignment="1">
      <alignment horizontal="center" vertical="center"/>
    </xf>
    <xf numFmtId="0" fontId="22" fillId="0" borderId="0" xfId="5" applyFont="1"/>
    <xf numFmtId="14" fontId="0" fillId="0" borderId="0" xfId="0" applyNumberFormat="1"/>
    <xf numFmtId="14" fontId="8" fillId="0" borderId="0" xfId="1" applyNumberFormat="1" applyFont="1" applyAlignment="1">
      <alignment wrapText="1"/>
    </xf>
    <xf numFmtId="0" fontId="9" fillId="0" borderId="0" xfId="1" applyFont="1" applyBorder="1" applyAlignment="1">
      <alignment horizontal="center" vertical="top" wrapText="1"/>
    </xf>
    <xf numFmtId="0" fontId="8" fillId="0" borderId="14" xfId="1" applyFont="1" applyFill="1" applyBorder="1" applyProtection="1">
      <protection hidden="1"/>
    </xf>
    <xf numFmtId="0" fontId="8" fillId="0" borderId="15" xfId="1" applyFont="1" applyBorder="1" applyProtection="1">
      <protection hidden="1"/>
    </xf>
    <xf numFmtId="0" fontId="8" fillId="0" borderId="0" xfId="1" applyFont="1" applyFill="1" applyBorder="1" applyProtection="1">
      <protection hidden="1"/>
    </xf>
    <xf numFmtId="0" fontId="8" fillId="0" borderId="16" xfId="1" applyFont="1" applyBorder="1" applyProtection="1">
      <protection hidden="1"/>
    </xf>
    <xf numFmtId="0" fontId="17" fillId="0" borderId="0" xfId="0" applyFont="1" applyFill="1" applyBorder="1" applyProtection="1">
      <protection hidden="1"/>
    </xf>
    <xf numFmtId="0" fontId="8" fillId="0" borderId="16" xfId="1" applyFont="1" applyBorder="1"/>
    <xf numFmtId="0" fontId="17" fillId="0" borderId="16" xfId="0" applyNumberFormat="1" applyFont="1" applyBorder="1" applyProtection="1">
      <protection hidden="1"/>
    </xf>
    <xf numFmtId="1" fontId="0" fillId="0" borderId="16" xfId="0" applyNumberFormat="1" applyBorder="1"/>
    <xf numFmtId="1" fontId="0" fillId="0" borderId="16" xfId="0" applyNumberFormat="1" applyBorder="1" applyAlignment="1">
      <alignment horizontal="right"/>
    </xf>
    <xf numFmtId="0" fontId="17" fillId="0" borderId="17" xfId="0" applyFont="1" applyFill="1" applyBorder="1" applyProtection="1">
      <protection hidden="1"/>
    </xf>
    <xf numFmtId="1" fontId="0" fillId="0" borderId="18" xfId="0" applyNumberFormat="1" applyBorder="1"/>
    <xf numFmtId="0" fontId="14" fillId="0" borderId="4" xfId="1" applyFont="1" applyBorder="1" applyAlignment="1" applyProtection="1">
      <alignment horizontal="center" wrapText="1"/>
      <protection locked="0"/>
    </xf>
    <xf numFmtId="1" fontId="14" fillId="0" borderId="4" xfId="1" applyNumberFormat="1" applyFont="1" applyBorder="1" applyAlignment="1" applyProtection="1">
      <alignment horizontal="center" wrapText="1"/>
      <protection locked="0"/>
    </xf>
    <xf numFmtId="0" fontId="14" fillId="0" borderId="25" xfId="1" applyFont="1" applyBorder="1" applyAlignment="1" applyProtection="1">
      <alignment horizontal="center" wrapText="1"/>
      <protection locked="0"/>
    </xf>
    <xf numFmtId="0" fontId="14" fillId="0" borderId="4" xfId="1" applyFont="1" applyBorder="1" applyAlignment="1" applyProtection="1">
      <alignment horizontal="center" vertical="top" wrapText="1"/>
      <protection locked="0"/>
    </xf>
    <xf numFmtId="0" fontId="14" fillId="0" borderId="22" xfId="1" applyFont="1" applyFill="1" applyBorder="1" applyAlignment="1" applyProtection="1">
      <alignment horizontal="center" vertical="top"/>
      <protection locked="0"/>
    </xf>
    <xf numFmtId="0" fontId="14" fillId="0" borderId="4" xfId="1" applyFont="1" applyFill="1" applyBorder="1" applyAlignment="1" applyProtection="1">
      <alignment horizontal="center" vertical="top"/>
      <protection locked="0"/>
    </xf>
    <xf numFmtId="1" fontId="7" fillId="0" borderId="4" xfId="1" applyNumberFormat="1" applyFont="1" applyFill="1" applyBorder="1" applyAlignment="1">
      <alignment horizontal="center" vertical="center" wrapText="1"/>
    </xf>
    <xf numFmtId="0" fontId="14" fillId="0" borderId="30" xfId="1" applyFont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1" fontId="7" fillId="0" borderId="13" xfId="1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0" fontId="7" fillId="2" borderId="4" xfId="1" applyFont="1" applyFill="1" applyBorder="1" applyAlignment="1">
      <alignment horizontal="left" vertical="top"/>
    </xf>
    <xf numFmtId="0" fontId="14" fillId="0" borderId="4" xfId="1" applyFont="1" applyBorder="1" applyAlignment="1" applyProtection="1">
      <alignment horizontal="center" vertical="top" wrapText="1"/>
      <protection locked="0"/>
    </xf>
    <xf numFmtId="0" fontId="14" fillId="0" borderId="22" xfId="1" applyFont="1" applyFill="1" applyBorder="1" applyAlignment="1" applyProtection="1">
      <alignment horizontal="center" vertical="top"/>
      <protection locked="0"/>
    </xf>
    <xf numFmtId="0" fontId="14" fillId="0" borderId="4" xfId="1" applyFont="1" applyFill="1" applyBorder="1" applyAlignment="1" applyProtection="1">
      <alignment horizontal="center" vertical="top"/>
      <protection locked="0"/>
    </xf>
    <xf numFmtId="1" fontId="7" fillId="0" borderId="4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65" fontId="14" fillId="0" borderId="4" xfId="1" applyNumberFormat="1" applyFont="1" applyBorder="1" applyAlignment="1" applyProtection="1">
      <alignment horizontal="center" wrapText="1"/>
      <protection locked="0"/>
    </xf>
    <xf numFmtId="0" fontId="14" fillId="0" borderId="22" xfId="1" applyFont="1" applyFill="1" applyBorder="1" applyAlignment="1" applyProtection="1">
      <alignment horizontal="center" vertical="top" wrapText="1"/>
      <protection locked="0"/>
    </xf>
    <xf numFmtId="0" fontId="14" fillId="0" borderId="4" xfId="1" applyFont="1" applyFill="1" applyBorder="1" applyAlignment="1" applyProtection="1">
      <alignment horizontal="center" vertical="top" wrapText="1"/>
      <protection locked="0"/>
    </xf>
    <xf numFmtId="9" fontId="14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4" fillId="2" borderId="25" xfId="1" applyNumberFormat="1" applyFont="1" applyFill="1" applyBorder="1" applyAlignment="1" applyProtection="1">
      <alignment horizontal="center" vertical="center" wrapText="1"/>
      <protection hidden="1"/>
    </xf>
    <xf numFmtId="9" fontId="14" fillId="2" borderId="23" xfId="1" applyNumberFormat="1" applyFont="1" applyFill="1" applyBorder="1" applyAlignment="1" applyProtection="1">
      <alignment horizontal="center" vertical="center" wrapText="1"/>
      <protection hidden="1"/>
    </xf>
    <xf numFmtId="9" fontId="14" fillId="2" borderId="26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22" xfId="1" applyFont="1" applyFill="1" applyBorder="1" applyAlignment="1" applyProtection="1">
      <alignment horizontal="center" vertical="top"/>
      <protection locked="0"/>
    </xf>
    <xf numFmtId="0" fontId="14" fillId="0" borderId="4" xfId="1" applyFont="1" applyFill="1" applyBorder="1" applyAlignment="1" applyProtection="1">
      <alignment horizontal="center" vertical="top"/>
      <protection locked="0"/>
    </xf>
    <xf numFmtId="0" fontId="14" fillId="0" borderId="24" xfId="1" applyFont="1" applyFill="1" applyBorder="1" applyAlignment="1" applyProtection="1">
      <alignment horizontal="center" vertical="top" wrapText="1"/>
      <protection locked="0"/>
    </xf>
    <xf numFmtId="0" fontId="14" fillId="0" borderId="25" xfId="1" applyFont="1" applyFill="1" applyBorder="1" applyAlignment="1" applyProtection="1">
      <alignment horizontal="center" vertical="top" wrapText="1"/>
      <protection locked="0"/>
    </xf>
    <xf numFmtId="0" fontId="15" fillId="0" borderId="19" xfId="1" applyFont="1" applyFill="1" applyBorder="1" applyAlignment="1" applyProtection="1">
      <alignment horizontal="center" vertical="top" wrapText="1"/>
      <protection locked="0"/>
    </xf>
    <xf numFmtId="0" fontId="15" fillId="0" borderId="20" xfId="1" applyFont="1" applyFill="1" applyBorder="1" applyAlignment="1" applyProtection="1">
      <alignment horizontal="center" vertical="top" wrapText="1"/>
      <protection locked="0"/>
    </xf>
    <xf numFmtId="0" fontId="15" fillId="0" borderId="20" xfId="1" applyFont="1" applyFill="1" applyBorder="1" applyAlignment="1" applyProtection="1">
      <alignment horizontal="left" vertical="top" wrapText="1"/>
      <protection locked="0"/>
    </xf>
    <xf numFmtId="0" fontId="15" fillId="0" borderId="21" xfId="1" applyFont="1" applyFill="1" applyBorder="1" applyAlignment="1" applyProtection="1">
      <alignment horizontal="left" vertical="top" wrapText="1"/>
      <protection locked="0"/>
    </xf>
    <xf numFmtId="0" fontId="14" fillId="0" borderId="23" xfId="1" applyFont="1" applyFill="1" applyBorder="1" applyAlignment="1" applyProtection="1">
      <alignment horizontal="center" vertical="top"/>
      <protection locked="0"/>
    </xf>
    <xf numFmtId="0" fontId="15" fillId="0" borderId="22" xfId="1" applyFont="1" applyBorder="1" applyAlignment="1" applyProtection="1">
      <alignment horizontal="left" vertical="top"/>
      <protection locked="0"/>
    </xf>
    <xf numFmtId="0" fontId="15" fillId="0" borderId="4" xfId="1" applyFont="1" applyBorder="1" applyAlignment="1" applyProtection="1">
      <alignment horizontal="left" vertical="top"/>
      <protection locked="0"/>
    </xf>
    <xf numFmtId="0" fontId="15" fillId="0" borderId="4" xfId="1" applyFont="1" applyFill="1" applyBorder="1" applyAlignment="1" applyProtection="1">
      <alignment horizontal="left" vertical="top" wrapText="1"/>
      <protection locked="0"/>
    </xf>
    <xf numFmtId="0" fontId="15" fillId="0" borderId="23" xfId="1" applyFont="1" applyFill="1" applyBorder="1" applyAlignment="1" applyProtection="1">
      <alignment horizontal="left" vertical="top" wrapText="1"/>
      <protection locked="0"/>
    </xf>
    <xf numFmtId="0" fontId="14" fillId="0" borderId="22" xfId="1" applyFont="1" applyBorder="1" applyAlignment="1" applyProtection="1">
      <alignment horizontal="center" vertical="top" wrapText="1"/>
      <protection locked="0"/>
    </xf>
    <xf numFmtId="0" fontId="14" fillId="0" borderId="4" xfId="1" applyFont="1" applyBorder="1" applyAlignment="1" applyProtection="1">
      <alignment horizontal="center" vertical="top" wrapText="1"/>
      <protection locked="0"/>
    </xf>
    <xf numFmtId="0" fontId="14" fillId="0" borderId="23" xfId="1" applyFont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>
      <alignment horizontal="center" vertical="top"/>
    </xf>
    <xf numFmtId="0" fontId="7" fillId="0" borderId="3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left" vertical="top"/>
    </xf>
    <xf numFmtId="0" fontId="7" fillId="0" borderId="2" xfId="1" applyFont="1" applyFill="1" applyBorder="1" applyAlignment="1">
      <alignment horizontal="left" vertical="top"/>
    </xf>
    <xf numFmtId="0" fontId="7" fillId="0" borderId="3" xfId="1" applyFont="1" applyFill="1" applyBorder="1" applyAlignment="1">
      <alignment horizontal="left" vertical="top"/>
    </xf>
    <xf numFmtId="165" fontId="7" fillId="0" borderId="1" xfId="1" applyNumberFormat="1" applyFont="1" applyFill="1" applyBorder="1" applyAlignment="1">
      <alignment horizontal="left" vertical="top"/>
    </xf>
    <xf numFmtId="165" fontId="7" fillId="0" borderId="2" xfId="1" applyNumberFormat="1" applyFont="1" applyFill="1" applyBorder="1" applyAlignment="1">
      <alignment horizontal="left" vertical="top"/>
    </xf>
    <xf numFmtId="165" fontId="7" fillId="0" borderId="3" xfId="1" applyNumberFormat="1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left" vertical="top" wrapText="1"/>
    </xf>
    <xf numFmtId="0" fontId="7" fillId="0" borderId="3" xfId="1" applyFont="1" applyFill="1" applyBorder="1" applyAlignment="1">
      <alignment horizontal="left" vertical="top" wrapText="1"/>
    </xf>
    <xf numFmtId="0" fontId="14" fillId="0" borderId="1" xfId="1" applyFont="1" applyFill="1" applyBorder="1" applyAlignment="1" applyProtection="1">
      <alignment horizontal="left" vertical="center" wrapText="1"/>
      <protection locked="0"/>
    </xf>
    <xf numFmtId="0" fontId="14" fillId="0" borderId="2" xfId="1" applyFont="1" applyFill="1" applyBorder="1" applyAlignment="1" applyProtection="1">
      <alignment horizontal="left" vertical="center" wrapText="1"/>
      <protection locked="0"/>
    </xf>
    <xf numFmtId="0" fontId="14" fillId="0" borderId="3" xfId="1" applyFont="1" applyFill="1" applyBorder="1" applyAlignment="1" applyProtection="1">
      <alignment horizontal="left" vertical="center" wrapText="1"/>
      <protection locked="0"/>
    </xf>
    <xf numFmtId="0" fontId="9" fillId="0" borderId="1" xfId="1" applyFont="1" applyFill="1" applyBorder="1" applyAlignment="1">
      <alignment horizontal="left" vertical="top"/>
    </xf>
    <xf numFmtId="0" fontId="9" fillId="0" borderId="2" xfId="1" applyFont="1" applyFill="1" applyBorder="1" applyAlignment="1">
      <alignment horizontal="left" vertical="top"/>
    </xf>
    <xf numFmtId="0" fontId="9" fillId="0" borderId="3" xfId="1" applyFont="1" applyFill="1" applyBorder="1" applyAlignment="1">
      <alignment horizontal="left" vertical="top"/>
    </xf>
    <xf numFmtId="0" fontId="7" fillId="0" borderId="8" xfId="1" applyFont="1" applyFill="1" applyBorder="1" applyAlignment="1">
      <alignment horizontal="left" vertical="top" wrapText="1"/>
    </xf>
    <xf numFmtId="0" fontId="7" fillId="0" borderId="9" xfId="1" applyFont="1" applyFill="1" applyBorder="1" applyAlignment="1">
      <alignment horizontal="left" vertical="top" wrapText="1"/>
    </xf>
    <xf numFmtId="0" fontId="7" fillId="0" borderId="4" xfId="1" applyFont="1" applyFill="1" applyBorder="1" applyAlignment="1">
      <alignment horizontal="left" vertical="top"/>
    </xf>
    <xf numFmtId="0" fontId="7" fillId="0" borderId="5" xfId="1" applyFont="1" applyFill="1" applyBorder="1" applyAlignment="1">
      <alignment horizontal="left" vertical="top" wrapText="1"/>
    </xf>
    <xf numFmtId="0" fontId="7" fillId="0" borderId="7" xfId="1" applyFont="1" applyFill="1" applyBorder="1" applyAlignment="1">
      <alignment horizontal="left" vertical="top" wrapText="1"/>
    </xf>
    <xf numFmtId="0" fontId="8" fillId="0" borderId="4" xfId="1" applyFont="1" applyBorder="1" applyAlignment="1">
      <alignment horizontal="left"/>
    </xf>
    <xf numFmtId="0" fontId="8" fillId="0" borderId="1" xfId="1" applyFont="1" applyFill="1" applyBorder="1" applyAlignment="1">
      <alignment horizontal="center" vertical="top"/>
    </xf>
    <xf numFmtId="0" fontId="8" fillId="0" borderId="3" xfId="1" applyFont="1" applyFill="1" applyBorder="1" applyAlignment="1">
      <alignment horizontal="center" vertical="top"/>
    </xf>
    <xf numFmtId="0" fontId="13" fillId="0" borderId="1" xfId="1" applyFont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0" fontId="13" fillId="0" borderId="3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/>
    </xf>
    <xf numFmtId="0" fontId="9" fillId="0" borderId="2" xfId="1" applyFont="1" applyBorder="1" applyAlignment="1">
      <alignment horizontal="center" vertical="top"/>
    </xf>
    <xf numFmtId="0" fontId="9" fillId="0" borderId="3" xfId="1" applyFont="1" applyBorder="1" applyAlignment="1">
      <alignment horizontal="center" vertical="top"/>
    </xf>
    <xf numFmtId="0" fontId="7" fillId="0" borderId="1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7" fillId="0" borderId="3" xfId="1" applyFont="1" applyBorder="1" applyAlignment="1">
      <alignment horizontal="left" vertical="top"/>
    </xf>
    <xf numFmtId="14" fontId="7" fillId="0" borderId="1" xfId="1" applyNumberFormat="1" applyFont="1" applyBorder="1" applyAlignment="1">
      <alignment horizontal="left" vertical="top"/>
    </xf>
    <xf numFmtId="14" fontId="7" fillId="0" borderId="2" xfId="1" applyNumberFormat="1" applyFont="1" applyBorder="1" applyAlignment="1">
      <alignment horizontal="left" vertical="top"/>
    </xf>
    <xf numFmtId="14" fontId="7" fillId="0" borderId="3" xfId="1" applyNumberFormat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/>
    </xf>
    <xf numFmtId="0" fontId="9" fillId="0" borderId="2" xfId="1" applyFont="1" applyBorder="1" applyAlignment="1">
      <alignment horizontal="left" vertical="top"/>
    </xf>
    <xf numFmtId="0" fontId="9" fillId="0" borderId="3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 wrapText="1"/>
    </xf>
    <xf numFmtId="0" fontId="8" fillId="0" borderId="1" xfId="1" applyFont="1" applyFill="1" applyBorder="1" applyAlignment="1" applyProtection="1">
      <alignment horizontal="left" vertical="center" wrapText="1"/>
      <protection locked="0"/>
    </xf>
    <xf numFmtId="0" fontId="8" fillId="0" borderId="2" xfId="1" applyFont="1" applyFill="1" applyBorder="1" applyAlignment="1" applyProtection="1">
      <alignment horizontal="left" vertical="center" wrapText="1"/>
      <protection locked="0"/>
    </xf>
    <xf numFmtId="0" fontId="8" fillId="0" borderId="3" xfId="1" applyFont="1" applyFill="1" applyBorder="1" applyAlignment="1" applyProtection="1">
      <alignment horizontal="left" vertical="center" wrapText="1"/>
      <protection locked="0"/>
    </xf>
    <xf numFmtId="0" fontId="14" fillId="0" borderId="1" xfId="1" applyFont="1" applyBorder="1" applyAlignment="1">
      <alignment horizontal="left" vertical="top" wrapText="1"/>
    </xf>
    <xf numFmtId="0" fontId="14" fillId="0" borderId="2" xfId="1" applyFont="1" applyBorder="1" applyAlignment="1">
      <alignment horizontal="left" vertical="top"/>
    </xf>
    <xf numFmtId="0" fontId="14" fillId="0" borderId="3" xfId="1" applyFont="1" applyBorder="1" applyAlignment="1">
      <alignment horizontal="left" vertical="top"/>
    </xf>
    <xf numFmtId="14" fontId="14" fillId="0" borderId="1" xfId="1" applyNumberFormat="1" applyFont="1" applyBorder="1" applyAlignment="1">
      <alignment horizontal="left" vertical="top"/>
    </xf>
    <xf numFmtId="14" fontId="14" fillId="0" borderId="2" xfId="1" applyNumberFormat="1" applyFont="1" applyBorder="1" applyAlignment="1">
      <alignment horizontal="left" vertical="top"/>
    </xf>
    <xf numFmtId="14" fontId="14" fillId="0" borderId="3" xfId="1" applyNumberFormat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14" fillId="0" borderId="2" xfId="1" applyFont="1" applyBorder="1" applyAlignment="1">
      <alignment horizontal="left" vertical="top" wrapText="1"/>
    </xf>
    <xf numFmtId="0" fontId="14" fillId="0" borderId="3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2" borderId="4" xfId="1" applyFont="1" applyFill="1" applyBorder="1" applyAlignment="1">
      <alignment horizontal="left" vertical="top"/>
    </xf>
    <xf numFmtId="0" fontId="7" fillId="0" borderId="4" xfId="1" applyFont="1" applyFill="1" applyBorder="1" applyAlignment="1">
      <alignment horizontal="left" vertical="top" wrapText="1"/>
    </xf>
    <xf numFmtId="0" fontId="14" fillId="0" borderId="2" xfId="1" applyFont="1" applyFill="1" applyBorder="1" applyAlignment="1">
      <alignment horizontal="left" vertical="top" wrapText="1"/>
    </xf>
    <xf numFmtId="0" fontId="14" fillId="0" borderId="3" xfId="1" applyFont="1" applyFill="1" applyBorder="1" applyAlignment="1">
      <alignment horizontal="left" vertical="top" wrapText="1"/>
    </xf>
    <xf numFmtId="0" fontId="7" fillId="0" borderId="6" xfId="1" applyFont="1" applyFill="1" applyBorder="1" applyAlignment="1">
      <alignment horizontal="left" vertical="top" wrapText="1"/>
    </xf>
    <xf numFmtId="0" fontId="7" fillId="0" borderId="10" xfId="1" applyFont="1" applyFill="1" applyBorder="1" applyAlignment="1">
      <alignment horizontal="left" vertical="top" wrapText="1"/>
    </xf>
    <xf numFmtId="0" fontId="7" fillId="0" borderId="5" xfId="1" applyFont="1" applyFill="1" applyBorder="1" applyAlignment="1">
      <alignment horizontal="left" vertical="top"/>
    </xf>
    <xf numFmtId="0" fontId="7" fillId="0" borderId="6" xfId="1" applyFont="1" applyFill="1" applyBorder="1" applyAlignment="1">
      <alignment horizontal="left" vertical="top"/>
    </xf>
    <xf numFmtId="0" fontId="7" fillId="0" borderId="7" xfId="1" applyFont="1" applyFill="1" applyBorder="1" applyAlignment="1">
      <alignment horizontal="left" vertical="top"/>
    </xf>
    <xf numFmtId="0" fontId="7" fillId="0" borderId="8" xfId="1" applyFont="1" applyFill="1" applyBorder="1" applyAlignment="1">
      <alignment horizontal="left" vertical="top"/>
    </xf>
    <xf numFmtId="0" fontId="7" fillId="0" borderId="9" xfId="1" applyFont="1" applyFill="1" applyBorder="1" applyAlignment="1">
      <alignment horizontal="left" vertical="top"/>
    </xf>
    <xf numFmtId="0" fontId="7" fillId="0" borderId="10" xfId="1" applyFont="1" applyFill="1" applyBorder="1" applyAlignment="1">
      <alignment horizontal="left" vertical="top"/>
    </xf>
    <xf numFmtId="0" fontId="9" fillId="0" borderId="1" xfId="1" applyFont="1" applyFill="1" applyBorder="1" applyAlignment="1">
      <alignment vertical="top"/>
    </xf>
    <xf numFmtId="0" fontId="9" fillId="0" borderId="2" xfId="1" applyFont="1" applyFill="1" applyBorder="1" applyAlignment="1">
      <alignment vertical="top"/>
    </xf>
    <xf numFmtId="0" fontId="9" fillId="0" borderId="3" xfId="1" applyFont="1" applyFill="1" applyBorder="1" applyAlignment="1">
      <alignment vertical="top"/>
    </xf>
    <xf numFmtId="0" fontId="14" fillId="0" borderId="1" xfId="1" applyFont="1" applyFill="1" applyBorder="1" applyAlignment="1">
      <alignment horizontal="left" vertical="top"/>
    </xf>
    <xf numFmtId="0" fontId="14" fillId="0" borderId="2" xfId="1" applyFont="1" applyFill="1" applyBorder="1" applyAlignment="1">
      <alignment horizontal="left" vertical="top"/>
    </xf>
    <xf numFmtId="0" fontId="14" fillId="0" borderId="3" xfId="1" applyFont="1" applyFill="1" applyBorder="1" applyAlignment="1">
      <alignment horizontal="left" vertical="top"/>
    </xf>
    <xf numFmtId="0" fontId="14" fillId="0" borderId="1" xfId="1" applyFont="1" applyFill="1" applyBorder="1" applyAlignment="1">
      <alignment horizontal="center" vertical="top"/>
    </xf>
    <xf numFmtId="0" fontId="14" fillId="0" borderId="3" xfId="1" applyFont="1" applyFill="1" applyBorder="1" applyAlignment="1">
      <alignment horizontal="center" vertical="top"/>
    </xf>
    <xf numFmtId="0" fontId="14" fillId="0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7" fillId="2" borderId="2" xfId="1" applyFont="1" applyFill="1" applyBorder="1" applyAlignment="1">
      <alignment horizontal="left" vertical="top"/>
    </xf>
    <xf numFmtId="0" fontId="7" fillId="2" borderId="3" xfId="1" applyFont="1" applyFill="1" applyBorder="1" applyAlignment="1">
      <alignment horizontal="left" vertical="top"/>
    </xf>
    <xf numFmtId="0" fontId="7" fillId="0" borderId="4" xfId="1" applyFont="1" applyFill="1" applyBorder="1" applyAlignment="1">
      <alignment horizontal="center" vertical="top"/>
    </xf>
    <xf numFmtId="0" fontId="8" fillId="0" borderId="3" xfId="1" applyFont="1" applyBorder="1" applyAlignment="1">
      <alignment horizontal="left"/>
    </xf>
    <xf numFmtId="14" fontId="14" fillId="0" borderId="1" xfId="1" applyNumberFormat="1" applyFont="1" applyFill="1" applyBorder="1" applyAlignment="1">
      <alignment horizontal="left" vertical="top"/>
    </xf>
    <xf numFmtId="2" fontId="7" fillId="0" borderId="1" xfId="1" applyNumberFormat="1" applyFont="1" applyFill="1" applyBorder="1" applyAlignment="1">
      <alignment horizontal="left" vertical="top" wrapText="1"/>
    </xf>
    <xf numFmtId="2" fontId="7" fillId="0" borderId="2" xfId="1" applyNumberFormat="1" applyFont="1" applyFill="1" applyBorder="1" applyAlignment="1">
      <alignment horizontal="left" vertical="top" wrapText="1"/>
    </xf>
    <xf numFmtId="2" fontId="7" fillId="0" borderId="3" xfId="1" applyNumberFormat="1" applyFont="1" applyFill="1" applyBorder="1" applyAlignment="1">
      <alignment horizontal="left" vertical="top" wrapText="1"/>
    </xf>
    <xf numFmtId="14" fontId="7" fillId="0" borderId="1" xfId="1" applyNumberFormat="1" applyFont="1" applyFill="1" applyBorder="1" applyAlignment="1">
      <alignment horizontal="left" vertical="top" wrapText="1"/>
    </xf>
    <xf numFmtId="0" fontId="7" fillId="2" borderId="2" xfId="1" applyFont="1" applyFill="1" applyBorder="1" applyAlignment="1">
      <alignment horizontal="left" vertical="top" wrapText="1"/>
    </xf>
    <xf numFmtId="0" fontId="7" fillId="2" borderId="3" xfId="1" applyFont="1" applyFill="1" applyBorder="1" applyAlignment="1">
      <alignment horizontal="left" vertical="top" wrapText="1"/>
    </xf>
    <xf numFmtId="0" fontId="15" fillId="0" borderId="1" xfId="1" applyFont="1" applyFill="1" applyBorder="1" applyAlignment="1">
      <alignment horizontal="left" vertical="top"/>
    </xf>
    <xf numFmtId="0" fontId="15" fillId="0" borderId="3" xfId="1" applyFont="1" applyFill="1" applyBorder="1" applyAlignment="1">
      <alignment horizontal="left" vertical="top"/>
    </xf>
    <xf numFmtId="0" fontId="15" fillId="0" borderId="1" xfId="1" applyFont="1" applyFill="1" applyBorder="1" applyAlignment="1">
      <alignment horizontal="left" vertical="top" wrapText="1"/>
    </xf>
    <xf numFmtId="0" fontId="15" fillId="0" borderId="2" xfId="1" applyFont="1" applyFill="1" applyBorder="1" applyAlignment="1">
      <alignment horizontal="left" vertical="top" wrapText="1"/>
    </xf>
    <xf numFmtId="0" fontId="15" fillId="0" borderId="3" xfId="1" applyFont="1" applyFill="1" applyBorder="1" applyAlignment="1">
      <alignment horizontal="left" vertical="top" wrapText="1"/>
    </xf>
    <xf numFmtId="0" fontId="14" fillId="0" borderId="5" xfId="1" applyFont="1" applyFill="1" applyBorder="1" applyAlignment="1">
      <alignment horizontal="left" vertical="top"/>
    </xf>
    <xf numFmtId="0" fontId="14" fillId="0" borderId="6" xfId="1" applyFont="1" applyFill="1" applyBorder="1" applyAlignment="1">
      <alignment horizontal="left" vertical="top"/>
    </xf>
    <xf numFmtId="0" fontId="14" fillId="0" borderId="7" xfId="1" applyFont="1" applyFill="1" applyBorder="1" applyAlignment="1">
      <alignment horizontal="left" vertical="top"/>
    </xf>
    <xf numFmtId="0" fontId="14" fillId="0" borderId="4" xfId="1" applyFont="1" applyFill="1" applyBorder="1" applyAlignment="1">
      <alignment horizontal="left" vertical="top"/>
    </xf>
    <xf numFmtId="0" fontId="14" fillId="2" borderId="4" xfId="1" applyFont="1" applyFill="1" applyBorder="1" applyAlignment="1">
      <alignment horizontal="left" vertical="top"/>
    </xf>
    <xf numFmtId="0" fontId="9" fillId="0" borderId="4" xfId="1" applyFont="1" applyFill="1" applyBorder="1" applyAlignment="1">
      <alignment horizontal="left" vertical="top"/>
    </xf>
    <xf numFmtId="0" fontId="14" fillId="0" borderId="8" xfId="1" applyFont="1" applyFill="1" applyBorder="1" applyAlignment="1">
      <alignment horizontal="left" vertical="top"/>
    </xf>
    <xf numFmtId="0" fontId="14" fillId="0" borderId="9" xfId="1" applyFont="1" applyFill="1" applyBorder="1" applyAlignment="1">
      <alignment horizontal="left" vertical="top"/>
    </xf>
    <xf numFmtId="0" fontId="14" fillId="0" borderId="10" xfId="1" applyFont="1" applyFill="1" applyBorder="1" applyAlignment="1">
      <alignment horizontal="left" vertical="top"/>
    </xf>
    <xf numFmtId="0" fontId="7" fillId="2" borderId="4" xfId="1" applyFont="1" applyFill="1" applyBorder="1" applyAlignment="1">
      <alignment horizontal="left" vertical="top" wrapText="1"/>
    </xf>
    <xf numFmtId="1" fontId="9" fillId="0" borderId="4" xfId="0" applyNumberFormat="1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top" wrapText="1"/>
    </xf>
    <xf numFmtId="1" fontId="7" fillId="0" borderId="4" xfId="0" applyNumberFormat="1" applyFont="1" applyFill="1" applyBorder="1" applyAlignment="1">
      <alignment horizontal="center" vertical="top" wrapText="1"/>
    </xf>
    <xf numFmtId="1" fontId="9" fillId="0" borderId="4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 wrapText="1"/>
    </xf>
    <xf numFmtId="1" fontId="7" fillId="0" borderId="2" xfId="0" applyNumberFormat="1" applyFont="1" applyFill="1" applyBorder="1" applyAlignment="1">
      <alignment horizontal="center" vertical="top" wrapText="1"/>
    </xf>
    <xf numFmtId="1" fontId="7" fillId="0" borderId="3" xfId="0" applyNumberFormat="1" applyFont="1" applyFill="1" applyBorder="1" applyAlignment="1">
      <alignment horizontal="center" vertical="top" wrapText="1"/>
    </xf>
    <xf numFmtId="1" fontId="7" fillId="0" borderId="1" xfId="1" applyNumberFormat="1" applyFont="1" applyFill="1" applyBorder="1" applyAlignment="1">
      <alignment horizontal="center" vertical="center" wrapText="1"/>
    </xf>
    <xf numFmtId="1" fontId="7" fillId="0" borderId="3" xfId="1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top" wrapText="1"/>
    </xf>
    <xf numFmtId="1" fontId="9" fillId="0" borderId="3" xfId="1" applyNumberFormat="1" applyFont="1" applyFill="1" applyBorder="1" applyAlignment="1">
      <alignment horizontal="center" vertical="top" wrapText="1"/>
    </xf>
    <xf numFmtId="1" fontId="9" fillId="0" borderId="1" xfId="1" applyNumberFormat="1" applyFont="1" applyFill="1" applyBorder="1" applyAlignment="1">
      <alignment horizontal="center" vertical="center" wrapText="1"/>
    </xf>
    <xf numFmtId="1" fontId="9" fillId="0" borderId="2" xfId="1" applyNumberFormat="1" applyFont="1" applyFill="1" applyBorder="1" applyAlignment="1">
      <alignment horizontal="center" vertical="center" wrapText="1"/>
    </xf>
    <xf numFmtId="1" fontId="9" fillId="0" borderId="3" xfId="1" applyNumberFormat="1" applyFont="1" applyFill="1" applyBorder="1" applyAlignment="1">
      <alignment horizontal="center" vertical="center" wrapText="1"/>
    </xf>
    <xf numFmtId="1" fontId="7" fillId="0" borderId="5" xfId="1" applyNumberFormat="1" applyFont="1" applyFill="1" applyBorder="1" applyAlignment="1">
      <alignment horizontal="center" vertical="center" wrapText="1"/>
    </xf>
    <xf numFmtId="1" fontId="7" fillId="0" borderId="7" xfId="1" applyNumberFormat="1" applyFont="1" applyFill="1" applyBorder="1" applyAlignment="1">
      <alignment horizontal="center" vertical="center" wrapText="1"/>
    </xf>
    <xf numFmtId="1" fontId="7" fillId="0" borderId="11" xfId="1" applyNumberFormat="1" applyFont="1" applyFill="1" applyBorder="1" applyAlignment="1">
      <alignment horizontal="center" vertical="center" wrapText="1"/>
    </xf>
    <xf numFmtId="1" fontId="7" fillId="0" borderId="12" xfId="1" applyNumberFormat="1" applyFont="1" applyFill="1" applyBorder="1" applyAlignment="1">
      <alignment horizontal="center" vertical="center" wrapText="1"/>
    </xf>
    <xf numFmtId="1" fontId="9" fillId="0" borderId="4" xfId="1" applyNumberFormat="1" applyFont="1" applyFill="1" applyBorder="1" applyAlignment="1">
      <alignment horizontal="center" vertical="center" wrapText="1"/>
    </xf>
    <xf numFmtId="1" fontId="9" fillId="0" borderId="8" xfId="1" applyNumberFormat="1" applyFont="1" applyFill="1" applyBorder="1" applyAlignment="1">
      <alignment horizontal="center" vertical="center" wrapText="1"/>
    </xf>
    <xf numFmtId="1" fontId="9" fillId="0" borderId="9" xfId="1" applyNumberFormat="1" applyFont="1" applyFill="1" applyBorder="1" applyAlignment="1">
      <alignment horizontal="center" vertical="center" wrapText="1"/>
    </xf>
    <xf numFmtId="1" fontId="9" fillId="0" borderId="10" xfId="1" applyNumberFormat="1" applyFont="1" applyFill="1" applyBorder="1" applyAlignment="1">
      <alignment horizontal="center" vertical="center" wrapText="1"/>
    </xf>
    <xf numFmtId="1" fontId="7" fillId="0" borderId="8" xfId="1" applyNumberFormat="1" applyFont="1" applyFill="1" applyBorder="1" applyAlignment="1">
      <alignment horizontal="center" vertical="center" wrapText="1"/>
    </xf>
    <xf numFmtId="1" fontId="7" fillId="0" borderId="10" xfId="1" applyNumberFormat="1" applyFont="1" applyFill="1" applyBorder="1" applyAlignment="1">
      <alignment horizontal="center" vertical="center" wrapText="1"/>
    </xf>
    <xf numFmtId="1" fontId="7" fillId="0" borderId="4" xfId="1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top" wrapText="1"/>
    </xf>
    <xf numFmtId="0" fontId="9" fillId="0" borderId="2" xfId="2" applyFont="1" applyBorder="1" applyAlignment="1">
      <alignment horizontal="left" vertical="top" wrapText="1"/>
    </xf>
    <xf numFmtId="0" fontId="9" fillId="0" borderId="3" xfId="2" applyFont="1" applyBorder="1" applyAlignment="1">
      <alignment horizontal="left" vertical="top" wrapText="1"/>
    </xf>
    <xf numFmtId="0" fontId="20" fillId="0" borderId="4" xfId="1" applyFont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15" fillId="0" borderId="1" xfId="2" applyFont="1" applyBorder="1" applyAlignment="1">
      <alignment horizontal="left" vertical="top" wrapText="1"/>
    </xf>
    <xf numFmtId="0" fontId="15" fillId="0" borderId="2" xfId="2" applyFont="1" applyBorder="1" applyAlignment="1">
      <alignment horizontal="left" vertical="top" wrapText="1"/>
    </xf>
    <xf numFmtId="0" fontId="15" fillId="0" borderId="3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left" vertical="top" wrapText="1"/>
    </xf>
    <xf numFmtId="1" fontId="15" fillId="0" borderId="4" xfId="0" applyNumberFormat="1" applyFont="1" applyBorder="1" applyAlignment="1">
      <alignment horizontal="center" vertical="top" wrapText="1"/>
    </xf>
    <xf numFmtId="0" fontId="9" fillId="0" borderId="4" xfId="1" applyFont="1" applyFill="1" applyBorder="1" applyAlignment="1">
      <alignment horizontal="center" vertical="top"/>
    </xf>
    <xf numFmtId="0" fontId="9" fillId="0" borderId="1" xfId="1" applyFont="1" applyFill="1" applyBorder="1" applyAlignment="1">
      <alignment horizontal="center" vertical="top"/>
    </xf>
    <xf numFmtId="0" fontId="9" fillId="0" borderId="2" xfId="1" applyFont="1" applyFill="1" applyBorder="1" applyAlignment="1">
      <alignment horizontal="center" vertical="top"/>
    </xf>
    <xf numFmtId="0" fontId="9" fillId="0" borderId="3" xfId="1" applyFont="1" applyFill="1" applyBorder="1" applyAlignment="1">
      <alignment horizontal="center" vertical="top"/>
    </xf>
    <xf numFmtId="0" fontId="7" fillId="2" borderId="1" xfId="1" applyFont="1" applyFill="1" applyBorder="1" applyAlignment="1">
      <alignment horizontal="left" vertical="top"/>
    </xf>
    <xf numFmtId="0" fontId="14" fillId="0" borderId="29" xfId="1" applyFont="1" applyBorder="1" applyAlignment="1" applyProtection="1">
      <alignment horizontal="center" vertical="top" wrapText="1"/>
      <protection locked="0"/>
    </xf>
    <xf numFmtId="0" fontId="14" fillId="0" borderId="30" xfId="1" applyFont="1" applyBorder="1" applyAlignment="1" applyProtection="1">
      <alignment horizontal="center" vertical="top" wrapText="1"/>
      <protection locked="0"/>
    </xf>
    <xf numFmtId="0" fontId="14" fillId="0" borderId="31" xfId="1" applyFont="1" applyBorder="1" applyAlignment="1" applyProtection="1">
      <alignment horizontal="center" vertical="top" wrapText="1"/>
      <protection locked="0"/>
    </xf>
    <xf numFmtId="9" fontId="15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6" xfId="1" applyFont="1" applyFill="1" applyBorder="1" applyAlignment="1" applyProtection="1">
      <alignment horizontal="center" vertical="center" wrapText="1"/>
      <protection locked="0"/>
    </xf>
    <xf numFmtId="0" fontId="15" fillId="0" borderId="28" xfId="1" applyFont="1" applyFill="1" applyBorder="1" applyAlignment="1" applyProtection="1">
      <alignment horizontal="center" vertical="center" wrapText="1"/>
      <protection locked="0"/>
    </xf>
    <xf numFmtId="0" fontId="15" fillId="0" borderId="34" xfId="1" applyFont="1" applyFill="1" applyBorder="1" applyAlignment="1" applyProtection="1">
      <alignment horizontal="center" vertical="center" wrapText="1"/>
      <protection locked="0"/>
    </xf>
    <xf numFmtId="0" fontId="15" fillId="0" borderId="17" xfId="1" applyFont="1" applyFill="1" applyBorder="1" applyAlignment="1" applyProtection="1">
      <alignment horizontal="center" vertical="center" wrapText="1"/>
      <protection locked="0"/>
    </xf>
    <xf numFmtId="0" fontId="15" fillId="0" borderId="18" xfId="1" applyFont="1" applyFill="1" applyBorder="1" applyAlignment="1" applyProtection="1">
      <alignment horizontal="center" vertical="center" wrapText="1"/>
      <protection locked="0"/>
    </xf>
    <xf numFmtId="0" fontId="15" fillId="0" borderId="27" xfId="1" applyFont="1" applyBorder="1" applyAlignment="1" applyProtection="1">
      <alignment horizontal="center" vertical="center"/>
      <protection locked="0"/>
    </xf>
    <xf numFmtId="0" fontId="15" fillId="0" borderId="7" xfId="1" applyFont="1" applyBorder="1" applyAlignment="1" applyProtection="1">
      <alignment horizontal="center" vertical="center"/>
      <protection locked="0"/>
    </xf>
    <xf numFmtId="0" fontId="15" fillId="0" borderId="32" xfId="1" applyFont="1" applyBorder="1" applyAlignment="1" applyProtection="1">
      <alignment horizontal="center" vertical="center"/>
      <protection locked="0"/>
    </xf>
    <xf numFmtId="0" fontId="15" fillId="0" borderId="33" xfId="1" applyFont="1" applyBorder="1" applyAlignment="1" applyProtection="1">
      <alignment horizontal="center" vertical="center"/>
      <protection locked="0"/>
    </xf>
    <xf numFmtId="0" fontId="15" fillId="0" borderId="7" xfId="1" applyFont="1" applyFill="1" applyBorder="1" applyAlignment="1" applyProtection="1">
      <alignment horizontal="center" vertical="center" wrapText="1"/>
      <protection locked="0"/>
    </xf>
    <xf numFmtId="0" fontId="15" fillId="0" borderId="33" xfId="1" applyFont="1" applyFill="1" applyBorder="1" applyAlignment="1" applyProtection="1">
      <alignment horizontal="center" vertical="center" wrapText="1"/>
      <protection locked="0"/>
    </xf>
    <xf numFmtId="0" fontId="15" fillId="0" borderId="5" xfId="1" applyFont="1" applyFill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>
      <alignment horizontal="left" vertical="top"/>
    </xf>
    <xf numFmtId="0" fontId="23" fillId="0" borderId="1" xfId="8" applyFill="1" applyBorder="1" applyAlignment="1">
      <alignment horizontal="center" vertical="top"/>
    </xf>
    <xf numFmtId="0" fontId="7" fillId="0" borderId="2" xfId="1" applyFont="1" applyFill="1" applyBorder="1" applyAlignment="1">
      <alignment horizontal="center" vertical="top"/>
    </xf>
    <xf numFmtId="2" fontId="7" fillId="0" borderId="1" xfId="1" applyNumberFormat="1" applyFont="1" applyFill="1" applyBorder="1" applyAlignment="1">
      <alignment horizontal="left" vertical="top"/>
    </xf>
    <xf numFmtId="2" fontId="7" fillId="0" borderId="2" xfId="1" applyNumberFormat="1" applyFont="1" applyFill="1" applyBorder="1" applyAlignment="1">
      <alignment horizontal="left" vertical="top"/>
    </xf>
    <xf numFmtId="2" fontId="7" fillId="0" borderId="3" xfId="1" applyNumberFormat="1" applyFont="1" applyFill="1" applyBorder="1" applyAlignment="1">
      <alignment horizontal="left" vertical="top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10" fillId="0" borderId="4" xfId="6" applyFont="1" applyBorder="1" applyAlignment="1">
      <alignment horizontal="left"/>
    </xf>
    <xf numFmtId="0" fontId="0" fillId="3" borderId="4" xfId="0" applyFill="1" applyBorder="1" applyAlignment="1">
      <alignment horizontal="center" wrapText="1"/>
    </xf>
    <xf numFmtId="0" fontId="10" fillId="0" borderId="4" xfId="0" applyFont="1" applyBorder="1" applyAlignment="1">
      <alignment horizontal="center"/>
    </xf>
  </cellXfs>
  <cellStyles count="9">
    <cellStyle name="Comma 2" xfId="7"/>
    <cellStyle name="Excel Built-in Normal" xfId="2"/>
    <cellStyle name="Excel Built-in Normal 2" xfId="5"/>
    <cellStyle name="Hyperlink" xfId="8" builtinId="8"/>
    <cellStyle name="Normal" xfId="0" builtinId="0"/>
    <cellStyle name="Normal 2" xfId="3"/>
    <cellStyle name="Normal 3" xfId="1"/>
    <cellStyle name="Normal 4" xfId="6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313766</xdr:colOff>
      <xdr:row>296</xdr:row>
      <xdr:rowOff>85864</xdr:rowOff>
    </xdr:from>
    <xdr:to>
      <xdr:col>7</xdr:col>
      <xdr:colOff>270945</xdr:colOff>
      <xdr:row>310</xdr:row>
      <xdr:rowOff>141982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6119" y="57807364"/>
          <a:ext cx="4305061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268944</xdr:colOff>
      <xdr:row>281</xdr:row>
      <xdr:rowOff>11206</xdr:rowOff>
    </xdr:from>
    <xdr:to>
      <xdr:col>7</xdr:col>
      <xdr:colOff>302560</xdr:colOff>
      <xdr:row>295</xdr:row>
      <xdr:rowOff>67329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1297" y="54707118"/>
          <a:ext cx="4381498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462643</xdr:colOff>
      <xdr:row>243</xdr:row>
      <xdr:rowOff>163285</xdr:rowOff>
    </xdr:from>
    <xdr:to>
      <xdr:col>8</xdr:col>
      <xdr:colOff>487822</xdr:colOff>
      <xdr:row>263</xdr:row>
      <xdr:rowOff>32528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pSpPr/>
      </xdr:nvGrpSpPr>
      <xdr:grpSpPr>
        <a:xfrm>
          <a:off x="462643" y="52815828"/>
          <a:ext cx="5384027" cy="3844896"/>
          <a:chOff x="462643" y="52122160"/>
          <a:chExt cx="5387754" cy="3869743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62643" y="52122160"/>
            <a:ext cx="5387754" cy="386974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/>
        </xdr:nvSpPr>
        <xdr:spPr>
          <a:xfrm rot="21133455">
            <a:off x="1000125" y="53311426"/>
            <a:ext cx="695325" cy="1447800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 txBox="1"/>
        </xdr:nvSpPr>
        <xdr:spPr>
          <a:xfrm>
            <a:off x="838199" y="53006625"/>
            <a:ext cx="9429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>
                <a:solidFill>
                  <a:srgbClr val="FF0000"/>
                </a:solidFill>
              </a:rPr>
              <a:t>Building</a:t>
            </a:r>
            <a:r>
              <a:rPr lang="en-IN" sz="1100" baseline="0">
                <a:solidFill>
                  <a:srgbClr val="FF0000"/>
                </a:solidFill>
              </a:rPr>
              <a:t> 1 A</a:t>
            </a:r>
            <a:endParaRPr lang="en-IN" sz="1100">
              <a:solidFill>
                <a:srgbClr val="FF0000"/>
              </a:solidFill>
            </a:endParaRPr>
          </a:p>
        </xdr:txBody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xmlns="" id="{00000000-0008-0000-0000-00002C000000}"/>
              </a:ext>
            </a:extLst>
          </xdr:cNvPr>
          <xdr:cNvSpPr/>
        </xdr:nvSpPr>
        <xdr:spPr>
          <a:xfrm rot="15814033">
            <a:off x="1409814" y="54550650"/>
            <a:ext cx="620416" cy="1156432"/>
          </a:xfrm>
          <a:prstGeom prst="rect">
            <a:avLst/>
          </a:prstGeom>
          <a:noFill/>
          <a:ln w="19050"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xmlns="" id="{00000000-0008-0000-0000-00002D000000}"/>
              </a:ext>
            </a:extLst>
          </xdr:cNvPr>
          <xdr:cNvSpPr txBox="1"/>
        </xdr:nvSpPr>
        <xdr:spPr>
          <a:xfrm>
            <a:off x="942975" y="55454550"/>
            <a:ext cx="9429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>
                <a:solidFill>
                  <a:schemeClr val="accent6">
                    <a:lumMod val="50000"/>
                  </a:schemeClr>
                </a:solidFill>
              </a:rPr>
              <a:t>Building</a:t>
            </a:r>
            <a:r>
              <a:rPr lang="en-IN" sz="1100" baseline="0">
                <a:solidFill>
                  <a:schemeClr val="accent6">
                    <a:lumMod val="50000"/>
                  </a:schemeClr>
                </a:solidFill>
              </a:rPr>
              <a:t> 2 B</a:t>
            </a:r>
            <a:endParaRPr lang="en-IN" sz="1100">
              <a:solidFill>
                <a:schemeClr val="accent6">
                  <a:lumMod val="50000"/>
                </a:schemeClr>
              </a:solidFill>
            </a:endParaRPr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xmlns="" id="{00000000-0008-0000-0000-00002E000000}"/>
              </a:ext>
            </a:extLst>
          </xdr:cNvPr>
          <xdr:cNvSpPr/>
        </xdr:nvSpPr>
        <xdr:spPr>
          <a:xfrm rot="16200000">
            <a:off x="3538537" y="53239985"/>
            <a:ext cx="638177" cy="514352"/>
          </a:xfrm>
          <a:prstGeom prst="rect">
            <a:avLst/>
          </a:prstGeom>
          <a:noFill/>
          <a:ln w="19050"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xmlns="" id="{00000000-0008-0000-0000-00002F000000}"/>
              </a:ext>
            </a:extLst>
          </xdr:cNvPr>
          <xdr:cNvSpPr/>
        </xdr:nvSpPr>
        <xdr:spPr>
          <a:xfrm>
            <a:off x="2582582" y="53187600"/>
            <a:ext cx="1008343" cy="1059874"/>
          </a:xfrm>
          <a:prstGeom prst="rect">
            <a:avLst/>
          </a:prstGeom>
          <a:noFill/>
          <a:ln w="19050">
            <a:solidFill>
              <a:srgbClr val="7030A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xmlns="" id="{00000000-0008-0000-0000-000030000000}"/>
              </a:ext>
            </a:extLst>
          </xdr:cNvPr>
          <xdr:cNvSpPr/>
        </xdr:nvSpPr>
        <xdr:spPr>
          <a:xfrm>
            <a:off x="2590800" y="54254400"/>
            <a:ext cx="571500" cy="981075"/>
          </a:xfrm>
          <a:prstGeom prst="rect">
            <a:avLst/>
          </a:prstGeom>
          <a:noFill/>
          <a:ln w="1905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xmlns="" id="{00000000-0008-0000-0000-000031000000}"/>
              </a:ext>
            </a:extLst>
          </xdr:cNvPr>
          <xdr:cNvSpPr txBox="1"/>
        </xdr:nvSpPr>
        <xdr:spPr>
          <a:xfrm>
            <a:off x="3552825" y="53959125"/>
            <a:ext cx="9429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>
                <a:solidFill>
                  <a:srgbClr val="7030A0"/>
                </a:solidFill>
              </a:rPr>
              <a:t>Building</a:t>
            </a:r>
            <a:r>
              <a:rPr lang="en-IN" sz="1100" baseline="0">
                <a:solidFill>
                  <a:srgbClr val="7030A0"/>
                </a:solidFill>
              </a:rPr>
              <a:t> 4 D</a:t>
            </a:r>
            <a:endParaRPr lang="en-IN" sz="1100">
              <a:solidFill>
                <a:srgbClr val="7030A0"/>
              </a:solidFill>
            </a:endParaRPr>
          </a:p>
        </xdr:txBody>
      </xdr:sp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xmlns="" id="{00000000-0008-0000-0000-000032000000}"/>
              </a:ext>
            </a:extLst>
          </xdr:cNvPr>
          <xdr:cNvSpPr txBox="1"/>
        </xdr:nvSpPr>
        <xdr:spPr>
          <a:xfrm>
            <a:off x="3095625" y="54673500"/>
            <a:ext cx="9429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>
                <a:solidFill>
                  <a:srgbClr val="0070C0"/>
                </a:solidFill>
              </a:rPr>
              <a:t>Building</a:t>
            </a:r>
            <a:r>
              <a:rPr lang="en-IN" sz="1100" baseline="0">
                <a:solidFill>
                  <a:srgbClr val="0070C0"/>
                </a:solidFill>
              </a:rPr>
              <a:t> 3 C</a:t>
            </a:r>
            <a:endParaRPr lang="en-IN" sz="1100">
              <a:solidFill>
                <a:srgbClr val="0070C0"/>
              </a:solidFill>
            </a:endParaRPr>
          </a:p>
        </xdr:txBody>
      </xdr: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xmlns="" id="{00000000-0008-0000-0000-000033000000}"/>
              </a:ext>
            </a:extLst>
          </xdr:cNvPr>
          <xdr:cNvSpPr txBox="1"/>
        </xdr:nvSpPr>
        <xdr:spPr>
          <a:xfrm>
            <a:off x="4038600" y="53273325"/>
            <a:ext cx="9429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>
                <a:solidFill>
                  <a:schemeClr val="accent4">
                    <a:lumMod val="50000"/>
                  </a:schemeClr>
                </a:solidFill>
              </a:rPr>
              <a:t>Building</a:t>
            </a:r>
            <a:r>
              <a:rPr lang="en-IN" sz="1100" baseline="0">
                <a:solidFill>
                  <a:schemeClr val="accent4">
                    <a:lumMod val="50000"/>
                  </a:schemeClr>
                </a:solidFill>
              </a:rPr>
              <a:t> 5 E</a:t>
            </a:r>
            <a:endParaRPr lang="en-IN" sz="1100">
              <a:solidFill>
                <a:schemeClr val="accent4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11</xdr:col>
      <xdr:colOff>0</xdr:colOff>
      <xdr:row>198</xdr:row>
      <xdr:rowOff>0</xdr:rowOff>
    </xdr:from>
    <xdr:to>
      <xdr:col>12</xdr:col>
      <xdr:colOff>46226</xdr:colOff>
      <xdr:row>199</xdr:row>
      <xdr:rowOff>166779</xdr:rowOff>
    </xdr:to>
    <xdr:sp macro="" textlink="">
      <xdr:nvSpPr>
        <xdr:cNvPr id="32" name="TextBox 281">
          <a:extLst>
            <a:ext uri="{FF2B5EF4-FFF2-40B4-BE49-F238E27FC236}">
              <a16:creationId xmlns:a16="http://schemas.microsoft.com/office/drawing/2014/main" xmlns="" id="{EB1DBE8F-F0AE-4D6E-A8A2-FB2ECBCCDEE5}"/>
            </a:ext>
          </a:extLst>
        </xdr:cNvPr>
        <xdr:cNvSpPr txBox="1"/>
      </xdr:nvSpPr>
      <xdr:spPr>
        <a:xfrm>
          <a:off x="7981950" y="44221400"/>
          <a:ext cx="916176" cy="36362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solidFill>
                <a:sysClr val="windowText" lastClr="000000"/>
              </a:solidFill>
            </a:rPr>
            <a:t>Wing A</a:t>
          </a:r>
          <a:endParaRPr lang="en-IN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42792</xdr:colOff>
      <xdr:row>198</xdr:row>
      <xdr:rowOff>90121</xdr:rowOff>
    </xdr:from>
    <xdr:to>
      <xdr:col>9</xdr:col>
      <xdr:colOff>128917</xdr:colOff>
      <xdr:row>235</xdr:row>
      <xdr:rowOff>35235</xdr:rowOff>
    </xdr:to>
    <xdr:grpSp>
      <xdr:nvGrpSpPr>
        <xdr:cNvPr id="3" name="Group 2"/>
        <xdr:cNvGrpSpPr/>
      </xdr:nvGrpSpPr>
      <xdr:grpSpPr>
        <a:xfrm>
          <a:off x="42792" y="44600860"/>
          <a:ext cx="6132429" cy="7291788"/>
          <a:chOff x="42792" y="44443491"/>
          <a:chExt cx="6132429" cy="7291787"/>
        </a:xfrm>
      </xdr:grpSpPr>
      <xdr:pic>
        <xdr:nvPicPr>
          <xdr:cNvPr id="30" name="Picture 29" descr="https://vsjcllp.vsjadon.com/upload/insp-247622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614221" y="49583041"/>
            <a:ext cx="1611686" cy="214633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7622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10963" y="49588945"/>
            <a:ext cx="2698474" cy="214633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51" descr="https://vsjcllp.vsjadon.com/upload/insp-247622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9357" y="44445689"/>
            <a:ext cx="1976758" cy="262351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4" name="Picture 53" descr="https://vsjcllp.vsjadon.com/upload/insp-247622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24084" y="44448620"/>
            <a:ext cx="1978829" cy="262351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54" descr="https://vsjcllp.vsjadon.com/upload/insp-247622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02605" y="44443491"/>
            <a:ext cx="1972616" cy="262351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6" name="Picture 55" descr="https://vsjcllp.vsjadon.com/upload/insp-247622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7038" y="47154355"/>
            <a:ext cx="1762089" cy="233658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7" name="Picture 56" descr="https://vsjcllp.vsjadon.com/upload/insp-247622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81852" y="47159484"/>
            <a:ext cx="1765188" cy="233658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57" descr="https://vsjcllp.vsjadon.com/upload/insp-247622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37582" y="47157287"/>
            <a:ext cx="1755580" cy="233658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9" name="TextBox 281">
            <a:extLst>
              <a:ext uri="{FF2B5EF4-FFF2-40B4-BE49-F238E27FC236}">
                <a16:creationId xmlns:a16="http://schemas.microsoft.com/office/drawing/2014/main" xmlns="" id="{EB1DBE8F-F0AE-4D6E-A8A2-FB2ECBCCDEE5}"/>
              </a:ext>
            </a:extLst>
          </xdr:cNvPr>
          <xdr:cNvSpPr txBox="1"/>
        </xdr:nvSpPr>
        <xdr:spPr>
          <a:xfrm>
            <a:off x="42792" y="44489331"/>
            <a:ext cx="879053" cy="3670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ysClr val="windowText" lastClr="000000"/>
                </a:solidFill>
              </a:rPr>
              <a:t>Wing A</a:t>
            </a:r>
            <a:endParaRPr lang="en-IN" sz="1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0" name="TextBox 281">
            <a:extLst>
              <a:ext uri="{FF2B5EF4-FFF2-40B4-BE49-F238E27FC236}">
                <a16:creationId xmlns:a16="http://schemas.microsoft.com/office/drawing/2014/main" xmlns="" id="{EB1DBE8F-F0AE-4D6E-A8A2-FB2ECBCCDEE5}"/>
              </a:ext>
            </a:extLst>
          </xdr:cNvPr>
          <xdr:cNvSpPr txBox="1"/>
        </xdr:nvSpPr>
        <xdr:spPr>
          <a:xfrm>
            <a:off x="2579627" y="44556294"/>
            <a:ext cx="879053" cy="3670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ysClr val="windowText" lastClr="000000"/>
                </a:solidFill>
              </a:rPr>
              <a:t>Wing B</a:t>
            </a:r>
            <a:endParaRPr lang="en-IN" sz="1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1" name="TextBox 281">
            <a:extLst>
              <a:ext uri="{FF2B5EF4-FFF2-40B4-BE49-F238E27FC236}">
                <a16:creationId xmlns:a16="http://schemas.microsoft.com/office/drawing/2014/main" xmlns="" id="{EB1DBE8F-F0AE-4D6E-A8A2-FB2ECBCCDEE5}"/>
              </a:ext>
            </a:extLst>
          </xdr:cNvPr>
          <xdr:cNvSpPr txBox="1"/>
        </xdr:nvSpPr>
        <xdr:spPr>
          <a:xfrm>
            <a:off x="5213719" y="44503699"/>
            <a:ext cx="879053" cy="3670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ysClr val="windowText" lastClr="000000"/>
                </a:solidFill>
              </a:rPr>
              <a:t>Wing C</a:t>
            </a:r>
            <a:endParaRPr lang="en-IN" sz="1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2" name="TextBox 281">
            <a:extLst>
              <a:ext uri="{FF2B5EF4-FFF2-40B4-BE49-F238E27FC236}">
                <a16:creationId xmlns:a16="http://schemas.microsoft.com/office/drawing/2014/main" xmlns="" id="{EB1DBE8F-F0AE-4D6E-A8A2-FB2ECBCCDEE5}"/>
              </a:ext>
            </a:extLst>
          </xdr:cNvPr>
          <xdr:cNvSpPr txBox="1"/>
        </xdr:nvSpPr>
        <xdr:spPr>
          <a:xfrm>
            <a:off x="378451" y="47135879"/>
            <a:ext cx="879053" cy="3670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ysClr val="windowText" lastClr="000000"/>
                </a:solidFill>
              </a:rPr>
              <a:t>Wing D</a:t>
            </a:r>
            <a:endParaRPr lang="en-IN" sz="14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3" name="TextBox 281">
            <a:extLst>
              <a:ext uri="{FF2B5EF4-FFF2-40B4-BE49-F238E27FC236}">
                <a16:creationId xmlns:a16="http://schemas.microsoft.com/office/drawing/2014/main" xmlns="" id="{EB1DBE8F-F0AE-4D6E-A8A2-FB2ECBCCDEE5}"/>
              </a:ext>
            </a:extLst>
          </xdr:cNvPr>
          <xdr:cNvSpPr txBox="1"/>
        </xdr:nvSpPr>
        <xdr:spPr>
          <a:xfrm>
            <a:off x="2205744" y="47505442"/>
            <a:ext cx="879053" cy="3670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ysClr val="windowText" lastClr="000000"/>
                </a:solidFill>
              </a:rPr>
              <a:t>Wing E</a:t>
            </a:r>
            <a:endParaRPr lang="en-IN" sz="14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484101</xdr:colOff>
      <xdr:row>1</xdr:row>
      <xdr:rowOff>0</xdr:rowOff>
    </xdr:from>
    <xdr:to>
      <xdr:col>11</xdr:col>
      <xdr:colOff>6869</xdr:colOff>
      <xdr:row>20</xdr:row>
      <xdr:rowOff>125280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30"/>
        <a:stretch/>
      </xdr:blipFill>
      <xdr:spPr>
        <a:xfrm>
          <a:off x="4240761" y="182880"/>
          <a:ext cx="2570768" cy="36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6</xdr:col>
      <xdr:colOff>342056</xdr:colOff>
      <xdr:row>20</xdr:row>
      <xdr:rowOff>125280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70"/>
        <a:stretch/>
      </xdr:blipFill>
      <xdr:spPr>
        <a:xfrm>
          <a:off x="1318260" y="182880"/>
          <a:ext cx="2780456" cy="36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25</xdr:row>
      <xdr:rowOff>0</xdr:rowOff>
    </xdr:from>
    <xdr:to>
      <xdr:col>12</xdr:col>
      <xdr:colOff>307126</xdr:colOff>
      <xdr:row>43</xdr:row>
      <xdr:rowOff>171000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401" y="4762500"/>
          <a:ext cx="6403125" cy="360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13</xdr:col>
      <xdr:colOff>1</xdr:colOff>
      <xdr:row>25</xdr:row>
      <xdr:rowOff>0</xdr:rowOff>
    </xdr:from>
    <xdr:to>
      <xdr:col>23</xdr:col>
      <xdr:colOff>307126</xdr:colOff>
      <xdr:row>43</xdr:row>
      <xdr:rowOff>171000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01001" y="4762500"/>
          <a:ext cx="6403125" cy="360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78442</xdr:colOff>
      <xdr:row>45</xdr:row>
      <xdr:rowOff>11206</xdr:rowOff>
    </xdr:from>
    <xdr:to>
      <xdr:col>11</xdr:col>
      <xdr:colOff>11207</xdr:colOff>
      <xdr:row>72</xdr:row>
      <xdr:rowOff>44824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3334" t="20683" r="34623" b="8537"/>
        <a:stretch/>
      </xdr:blipFill>
      <xdr:spPr>
        <a:xfrm>
          <a:off x="2577354" y="8583706"/>
          <a:ext cx="4168588" cy="517711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6</xdr:col>
      <xdr:colOff>1017333</xdr:colOff>
      <xdr:row>34</xdr:row>
      <xdr:rowOff>98520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391" r="19030" b="6796"/>
        <a:stretch/>
      </xdr:blipFill>
      <xdr:spPr>
        <a:xfrm>
          <a:off x="723900" y="2651760"/>
          <a:ext cx="7601013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35</xdr:row>
      <xdr:rowOff>32820</xdr:rowOff>
    </xdr:from>
    <xdr:to>
      <xdr:col>6</xdr:col>
      <xdr:colOff>746989</xdr:colOff>
      <xdr:row>58</xdr:row>
      <xdr:rowOff>146580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38" t="11392" r="20413" b="11974"/>
        <a:stretch/>
      </xdr:blipFill>
      <xdr:spPr>
        <a:xfrm>
          <a:off x="723900" y="7088940"/>
          <a:ext cx="7330669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Li7xnnindb9kW7dK6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0"/>
  <sheetViews>
    <sheetView tabSelected="1" view="pageBreakPreview" zoomScale="115" zoomScaleNormal="100" zoomScaleSheetLayoutView="115" workbookViewId="0">
      <selection activeCell="N5" sqref="N5"/>
    </sheetView>
  </sheetViews>
  <sheetFormatPr defaultRowHeight="15.75" x14ac:dyDescent="0.25"/>
  <cols>
    <col min="1" max="1" width="9.28515625" style="12" customWidth="1"/>
    <col min="2" max="2" width="13.5703125" style="12" customWidth="1"/>
    <col min="3" max="3" width="15.140625" style="12" customWidth="1"/>
    <col min="4" max="4" width="7.28515625" style="12" customWidth="1"/>
    <col min="5" max="5" width="5.5703125" style="12" customWidth="1"/>
    <col min="6" max="6" width="9.85546875" style="12" customWidth="1"/>
    <col min="7" max="7" width="9" style="12" customWidth="1"/>
    <col min="8" max="8" width="10.7109375" style="12" customWidth="1"/>
    <col min="9" max="9" width="10.28515625" style="12" customWidth="1"/>
    <col min="10" max="10" width="2.85546875" style="12" customWidth="1"/>
    <col min="11" max="11" width="20.85546875" style="12" customWidth="1"/>
    <col min="12" max="12" width="12.42578125" style="12" customWidth="1"/>
    <col min="13" max="256" width="9.140625" style="12"/>
    <col min="257" max="257" width="8.7109375" style="12" customWidth="1"/>
    <col min="258" max="258" width="9.85546875" style="12" customWidth="1"/>
    <col min="259" max="259" width="14.42578125" style="12" customWidth="1"/>
    <col min="260" max="260" width="7.28515625" style="12" customWidth="1"/>
    <col min="261" max="261" width="5.5703125" style="12" customWidth="1"/>
    <col min="262" max="262" width="9" style="12" customWidth="1"/>
    <col min="263" max="264" width="9.85546875" style="12" customWidth="1"/>
    <col min="265" max="265" width="11.140625" style="12" customWidth="1"/>
    <col min="266" max="266" width="2.85546875" style="12" customWidth="1"/>
    <col min="267" max="267" width="3.5703125" style="12" customWidth="1"/>
    <col min="268" max="512" width="9.140625" style="12"/>
    <col min="513" max="513" width="8.7109375" style="12" customWidth="1"/>
    <col min="514" max="514" width="9.85546875" style="12" customWidth="1"/>
    <col min="515" max="515" width="14.42578125" style="12" customWidth="1"/>
    <col min="516" max="516" width="7.28515625" style="12" customWidth="1"/>
    <col min="517" max="517" width="5.5703125" style="12" customWidth="1"/>
    <col min="518" max="518" width="9" style="12" customWidth="1"/>
    <col min="519" max="520" width="9.85546875" style="12" customWidth="1"/>
    <col min="521" max="521" width="11.140625" style="12" customWidth="1"/>
    <col min="522" max="522" width="2.85546875" style="12" customWidth="1"/>
    <col min="523" max="523" width="3.5703125" style="12" customWidth="1"/>
    <col min="524" max="768" width="9.140625" style="12"/>
    <col min="769" max="769" width="8.7109375" style="12" customWidth="1"/>
    <col min="770" max="770" width="9.85546875" style="12" customWidth="1"/>
    <col min="771" max="771" width="14.42578125" style="12" customWidth="1"/>
    <col min="772" max="772" width="7.28515625" style="12" customWidth="1"/>
    <col min="773" max="773" width="5.5703125" style="12" customWidth="1"/>
    <col min="774" max="774" width="9" style="12" customWidth="1"/>
    <col min="775" max="776" width="9.85546875" style="12" customWidth="1"/>
    <col min="777" max="777" width="11.140625" style="12" customWidth="1"/>
    <col min="778" max="778" width="2.85546875" style="12" customWidth="1"/>
    <col min="779" max="779" width="3.5703125" style="12" customWidth="1"/>
    <col min="780" max="1024" width="9.140625" style="12"/>
    <col min="1025" max="1025" width="8.7109375" style="12" customWidth="1"/>
    <col min="1026" max="1026" width="9.85546875" style="12" customWidth="1"/>
    <col min="1027" max="1027" width="14.42578125" style="12" customWidth="1"/>
    <col min="1028" max="1028" width="7.28515625" style="12" customWidth="1"/>
    <col min="1029" max="1029" width="5.5703125" style="12" customWidth="1"/>
    <col min="1030" max="1030" width="9" style="12" customWidth="1"/>
    <col min="1031" max="1032" width="9.85546875" style="12" customWidth="1"/>
    <col min="1033" max="1033" width="11.140625" style="12" customWidth="1"/>
    <col min="1034" max="1034" width="2.85546875" style="12" customWidth="1"/>
    <col min="1035" max="1035" width="3.5703125" style="12" customWidth="1"/>
    <col min="1036" max="1280" width="9.140625" style="12"/>
    <col min="1281" max="1281" width="8.7109375" style="12" customWidth="1"/>
    <col min="1282" max="1282" width="9.85546875" style="12" customWidth="1"/>
    <col min="1283" max="1283" width="14.42578125" style="12" customWidth="1"/>
    <col min="1284" max="1284" width="7.28515625" style="12" customWidth="1"/>
    <col min="1285" max="1285" width="5.5703125" style="12" customWidth="1"/>
    <col min="1286" max="1286" width="9" style="12" customWidth="1"/>
    <col min="1287" max="1288" width="9.85546875" style="12" customWidth="1"/>
    <col min="1289" max="1289" width="11.140625" style="12" customWidth="1"/>
    <col min="1290" max="1290" width="2.85546875" style="12" customWidth="1"/>
    <col min="1291" max="1291" width="3.5703125" style="12" customWidth="1"/>
    <col min="1292" max="1536" width="9.140625" style="12"/>
    <col min="1537" max="1537" width="8.7109375" style="12" customWidth="1"/>
    <col min="1538" max="1538" width="9.85546875" style="12" customWidth="1"/>
    <col min="1539" max="1539" width="14.42578125" style="12" customWidth="1"/>
    <col min="1540" max="1540" width="7.28515625" style="12" customWidth="1"/>
    <col min="1541" max="1541" width="5.5703125" style="12" customWidth="1"/>
    <col min="1542" max="1542" width="9" style="12" customWidth="1"/>
    <col min="1543" max="1544" width="9.85546875" style="12" customWidth="1"/>
    <col min="1545" max="1545" width="11.140625" style="12" customWidth="1"/>
    <col min="1546" max="1546" width="2.85546875" style="12" customWidth="1"/>
    <col min="1547" max="1547" width="3.5703125" style="12" customWidth="1"/>
    <col min="1548" max="1792" width="9.140625" style="12"/>
    <col min="1793" max="1793" width="8.7109375" style="12" customWidth="1"/>
    <col min="1794" max="1794" width="9.85546875" style="12" customWidth="1"/>
    <col min="1795" max="1795" width="14.42578125" style="12" customWidth="1"/>
    <col min="1796" max="1796" width="7.28515625" style="12" customWidth="1"/>
    <col min="1797" max="1797" width="5.5703125" style="12" customWidth="1"/>
    <col min="1798" max="1798" width="9" style="12" customWidth="1"/>
    <col min="1799" max="1800" width="9.85546875" style="12" customWidth="1"/>
    <col min="1801" max="1801" width="11.140625" style="12" customWidth="1"/>
    <col min="1802" max="1802" width="2.85546875" style="12" customWidth="1"/>
    <col min="1803" max="1803" width="3.5703125" style="12" customWidth="1"/>
    <col min="1804" max="2048" width="9.140625" style="12"/>
    <col min="2049" max="2049" width="8.7109375" style="12" customWidth="1"/>
    <col min="2050" max="2050" width="9.85546875" style="12" customWidth="1"/>
    <col min="2051" max="2051" width="14.42578125" style="12" customWidth="1"/>
    <col min="2052" max="2052" width="7.28515625" style="12" customWidth="1"/>
    <col min="2053" max="2053" width="5.5703125" style="12" customWidth="1"/>
    <col min="2054" max="2054" width="9" style="12" customWidth="1"/>
    <col min="2055" max="2056" width="9.85546875" style="12" customWidth="1"/>
    <col min="2057" max="2057" width="11.140625" style="12" customWidth="1"/>
    <col min="2058" max="2058" width="2.85546875" style="12" customWidth="1"/>
    <col min="2059" max="2059" width="3.5703125" style="12" customWidth="1"/>
    <col min="2060" max="2304" width="9.140625" style="12"/>
    <col min="2305" max="2305" width="8.7109375" style="12" customWidth="1"/>
    <col min="2306" max="2306" width="9.85546875" style="12" customWidth="1"/>
    <col min="2307" max="2307" width="14.42578125" style="12" customWidth="1"/>
    <col min="2308" max="2308" width="7.28515625" style="12" customWidth="1"/>
    <col min="2309" max="2309" width="5.5703125" style="12" customWidth="1"/>
    <col min="2310" max="2310" width="9" style="12" customWidth="1"/>
    <col min="2311" max="2312" width="9.85546875" style="12" customWidth="1"/>
    <col min="2313" max="2313" width="11.140625" style="12" customWidth="1"/>
    <col min="2314" max="2314" width="2.85546875" style="12" customWidth="1"/>
    <col min="2315" max="2315" width="3.5703125" style="12" customWidth="1"/>
    <col min="2316" max="2560" width="9.140625" style="12"/>
    <col min="2561" max="2561" width="8.7109375" style="12" customWidth="1"/>
    <col min="2562" max="2562" width="9.85546875" style="12" customWidth="1"/>
    <col min="2563" max="2563" width="14.42578125" style="12" customWidth="1"/>
    <col min="2564" max="2564" width="7.28515625" style="12" customWidth="1"/>
    <col min="2565" max="2565" width="5.5703125" style="12" customWidth="1"/>
    <col min="2566" max="2566" width="9" style="12" customWidth="1"/>
    <col min="2567" max="2568" width="9.85546875" style="12" customWidth="1"/>
    <col min="2569" max="2569" width="11.140625" style="12" customWidth="1"/>
    <col min="2570" max="2570" width="2.85546875" style="12" customWidth="1"/>
    <col min="2571" max="2571" width="3.5703125" style="12" customWidth="1"/>
    <col min="2572" max="2816" width="9.140625" style="12"/>
    <col min="2817" max="2817" width="8.7109375" style="12" customWidth="1"/>
    <col min="2818" max="2818" width="9.85546875" style="12" customWidth="1"/>
    <col min="2819" max="2819" width="14.42578125" style="12" customWidth="1"/>
    <col min="2820" max="2820" width="7.28515625" style="12" customWidth="1"/>
    <col min="2821" max="2821" width="5.5703125" style="12" customWidth="1"/>
    <col min="2822" max="2822" width="9" style="12" customWidth="1"/>
    <col min="2823" max="2824" width="9.85546875" style="12" customWidth="1"/>
    <col min="2825" max="2825" width="11.140625" style="12" customWidth="1"/>
    <col min="2826" max="2826" width="2.85546875" style="12" customWidth="1"/>
    <col min="2827" max="2827" width="3.5703125" style="12" customWidth="1"/>
    <col min="2828" max="3072" width="9.140625" style="12"/>
    <col min="3073" max="3073" width="8.7109375" style="12" customWidth="1"/>
    <col min="3074" max="3074" width="9.85546875" style="12" customWidth="1"/>
    <col min="3075" max="3075" width="14.42578125" style="12" customWidth="1"/>
    <col min="3076" max="3076" width="7.28515625" style="12" customWidth="1"/>
    <col min="3077" max="3077" width="5.5703125" style="12" customWidth="1"/>
    <col min="3078" max="3078" width="9" style="12" customWidth="1"/>
    <col min="3079" max="3080" width="9.85546875" style="12" customWidth="1"/>
    <col min="3081" max="3081" width="11.140625" style="12" customWidth="1"/>
    <col min="3082" max="3082" width="2.85546875" style="12" customWidth="1"/>
    <col min="3083" max="3083" width="3.5703125" style="12" customWidth="1"/>
    <col min="3084" max="3328" width="9.140625" style="12"/>
    <col min="3329" max="3329" width="8.7109375" style="12" customWidth="1"/>
    <col min="3330" max="3330" width="9.85546875" style="12" customWidth="1"/>
    <col min="3331" max="3331" width="14.42578125" style="12" customWidth="1"/>
    <col min="3332" max="3332" width="7.28515625" style="12" customWidth="1"/>
    <col min="3333" max="3333" width="5.5703125" style="12" customWidth="1"/>
    <col min="3334" max="3334" width="9" style="12" customWidth="1"/>
    <col min="3335" max="3336" width="9.85546875" style="12" customWidth="1"/>
    <col min="3337" max="3337" width="11.140625" style="12" customWidth="1"/>
    <col min="3338" max="3338" width="2.85546875" style="12" customWidth="1"/>
    <col min="3339" max="3339" width="3.5703125" style="12" customWidth="1"/>
    <col min="3340" max="3584" width="9.140625" style="12"/>
    <col min="3585" max="3585" width="8.7109375" style="12" customWidth="1"/>
    <col min="3586" max="3586" width="9.85546875" style="12" customWidth="1"/>
    <col min="3587" max="3587" width="14.42578125" style="12" customWidth="1"/>
    <col min="3588" max="3588" width="7.28515625" style="12" customWidth="1"/>
    <col min="3589" max="3589" width="5.5703125" style="12" customWidth="1"/>
    <col min="3590" max="3590" width="9" style="12" customWidth="1"/>
    <col min="3591" max="3592" width="9.85546875" style="12" customWidth="1"/>
    <col min="3593" max="3593" width="11.140625" style="12" customWidth="1"/>
    <col min="3594" max="3594" width="2.85546875" style="12" customWidth="1"/>
    <col min="3595" max="3595" width="3.5703125" style="12" customWidth="1"/>
    <col min="3596" max="3840" width="9.140625" style="12"/>
    <col min="3841" max="3841" width="8.7109375" style="12" customWidth="1"/>
    <col min="3842" max="3842" width="9.85546875" style="12" customWidth="1"/>
    <col min="3843" max="3843" width="14.42578125" style="12" customWidth="1"/>
    <col min="3844" max="3844" width="7.28515625" style="12" customWidth="1"/>
    <col min="3845" max="3845" width="5.5703125" style="12" customWidth="1"/>
    <col min="3846" max="3846" width="9" style="12" customWidth="1"/>
    <col min="3847" max="3848" width="9.85546875" style="12" customWidth="1"/>
    <col min="3849" max="3849" width="11.140625" style="12" customWidth="1"/>
    <col min="3850" max="3850" width="2.85546875" style="12" customWidth="1"/>
    <col min="3851" max="3851" width="3.5703125" style="12" customWidth="1"/>
    <col min="3852" max="4096" width="9.140625" style="12"/>
    <col min="4097" max="4097" width="8.7109375" style="12" customWidth="1"/>
    <col min="4098" max="4098" width="9.85546875" style="12" customWidth="1"/>
    <col min="4099" max="4099" width="14.42578125" style="12" customWidth="1"/>
    <col min="4100" max="4100" width="7.28515625" style="12" customWidth="1"/>
    <col min="4101" max="4101" width="5.5703125" style="12" customWidth="1"/>
    <col min="4102" max="4102" width="9" style="12" customWidth="1"/>
    <col min="4103" max="4104" width="9.85546875" style="12" customWidth="1"/>
    <col min="4105" max="4105" width="11.140625" style="12" customWidth="1"/>
    <col min="4106" max="4106" width="2.85546875" style="12" customWidth="1"/>
    <col min="4107" max="4107" width="3.5703125" style="12" customWidth="1"/>
    <col min="4108" max="4352" width="9.140625" style="12"/>
    <col min="4353" max="4353" width="8.7109375" style="12" customWidth="1"/>
    <col min="4354" max="4354" width="9.85546875" style="12" customWidth="1"/>
    <col min="4355" max="4355" width="14.42578125" style="12" customWidth="1"/>
    <col min="4356" max="4356" width="7.28515625" style="12" customWidth="1"/>
    <col min="4357" max="4357" width="5.5703125" style="12" customWidth="1"/>
    <col min="4358" max="4358" width="9" style="12" customWidth="1"/>
    <col min="4359" max="4360" width="9.85546875" style="12" customWidth="1"/>
    <col min="4361" max="4361" width="11.140625" style="12" customWidth="1"/>
    <col min="4362" max="4362" width="2.85546875" style="12" customWidth="1"/>
    <col min="4363" max="4363" width="3.5703125" style="12" customWidth="1"/>
    <col min="4364" max="4608" width="9.140625" style="12"/>
    <col min="4609" max="4609" width="8.7109375" style="12" customWidth="1"/>
    <col min="4610" max="4610" width="9.85546875" style="12" customWidth="1"/>
    <col min="4611" max="4611" width="14.42578125" style="12" customWidth="1"/>
    <col min="4612" max="4612" width="7.28515625" style="12" customWidth="1"/>
    <col min="4613" max="4613" width="5.5703125" style="12" customWidth="1"/>
    <col min="4614" max="4614" width="9" style="12" customWidth="1"/>
    <col min="4615" max="4616" width="9.85546875" style="12" customWidth="1"/>
    <col min="4617" max="4617" width="11.140625" style="12" customWidth="1"/>
    <col min="4618" max="4618" width="2.85546875" style="12" customWidth="1"/>
    <col min="4619" max="4619" width="3.5703125" style="12" customWidth="1"/>
    <col min="4620" max="4864" width="9.140625" style="12"/>
    <col min="4865" max="4865" width="8.7109375" style="12" customWidth="1"/>
    <col min="4866" max="4866" width="9.85546875" style="12" customWidth="1"/>
    <col min="4867" max="4867" width="14.42578125" style="12" customWidth="1"/>
    <col min="4868" max="4868" width="7.28515625" style="12" customWidth="1"/>
    <col min="4869" max="4869" width="5.5703125" style="12" customWidth="1"/>
    <col min="4870" max="4870" width="9" style="12" customWidth="1"/>
    <col min="4871" max="4872" width="9.85546875" style="12" customWidth="1"/>
    <col min="4873" max="4873" width="11.140625" style="12" customWidth="1"/>
    <col min="4874" max="4874" width="2.85546875" style="12" customWidth="1"/>
    <col min="4875" max="4875" width="3.5703125" style="12" customWidth="1"/>
    <col min="4876" max="5120" width="9.140625" style="12"/>
    <col min="5121" max="5121" width="8.7109375" style="12" customWidth="1"/>
    <col min="5122" max="5122" width="9.85546875" style="12" customWidth="1"/>
    <col min="5123" max="5123" width="14.42578125" style="12" customWidth="1"/>
    <col min="5124" max="5124" width="7.28515625" style="12" customWidth="1"/>
    <col min="5125" max="5125" width="5.5703125" style="12" customWidth="1"/>
    <col min="5126" max="5126" width="9" style="12" customWidth="1"/>
    <col min="5127" max="5128" width="9.85546875" style="12" customWidth="1"/>
    <col min="5129" max="5129" width="11.140625" style="12" customWidth="1"/>
    <col min="5130" max="5130" width="2.85546875" style="12" customWidth="1"/>
    <col min="5131" max="5131" width="3.5703125" style="12" customWidth="1"/>
    <col min="5132" max="5376" width="9.140625" style="12"/>
    <col min="5377" max="5377" width="8.7109375" style="12" customWidth="1"/>
    <col min="5378" max="5378" width="9.85546875" style="12" customWidth="1"/>
    <col min="5379" max="5379" width="14.42578125" style="12" customWidth="1"/>
    <col min="5380" max="5380" width="7.28515625" style="12" customWidth="1"/>
    <col min="5381" max="5381" width="5.5703125" style="12" customWidth="1"/>
    <col min="5382" max="5382" width="9" style="12" customWidth="1"/>
    <col min="5383" max="5384" width="9.85546875" style="12" customWidth="1"/>
    <col min="5385" max="5385" width="11.140625" style="12" customWidth="1"/>
    <col min="5386" max="5386" width="2.85546875" style="12" customWidth="1"/>
    <col min="5387" max="5387" width="3.5703125" style="12" customWidth="1"/>
    <col min="5388" max="5632" width="9.140625" style="12"/>
    <col min="5633" max="5633" width="8.7109375" style="12" customWidth="1"/>
    <col min="5634" max="5634" width="9.85546875" style="12" customWidth="1"/>
    <col min="5635" max="5635" width="14.42578125" style="12" customWidth="1"/>
    <col min="5636" max="5636" width="7.28515625" style="12" customWidth="1"/>
    <col min="5637" max="5637" width="5.5703125" style="12" customWidth="1"/>
    <col min="5638" max="5638" width="9" style="12" customWidth="1"/>
    <col min="5639" max="5640" width="9.85546875" style="12" customWidth="1"/>
    <col min="5641" max="5641" width="11.140625" style="12" customWidth="1"/>
    <col min="5642" max="5642" width="2.85546875" style="12" customWidth="1"/>
    <col min="5643" max="5643" width="3.5703125" style="12" customWidth="1"/>
    <col min="5644" max="5888" width="9.140625" style="12"/>
    <col min="5889" max="5889" width="8.7109375" style="12" customWidth="1"/>
    <col min="5890" max="5890" width="9.85546875" style="12" customWidth="1"/>
    <col min="5891" max="5891" width="14.42578125" style="12" customWidth="1"/>
    <col min="5892" max="5892" width="7.28515625" style="12" customWidth="1"/>
    <col min="5893" max="5893" width="5.5703125" style="12" customWidth="1"/>
    <col min="5894" max="5894" width="9" style="12" customWidth="1"/>
    <col min="5895" max="5896" width="9.85546875" style="12" customWidth="1"/>
    <col min="5897" max="5897" width="11.140625" style="12" customWidth="1"/>
    <col min="5898" max="5898" width="2.85546875" style="12" customWidth="1"/>
    <col min="5899" max="5899" width="3.5703125" style="12" customWidth="1"/>
    <col min="5900" max="6144" width="9.140625" style="12"/>
    <col min="6145" max="6145" width="8.7109375" style="12" customWidth="1"/>
    <col min="6146" max="6146" width="9.85546875" style="12" customWidth="1"/>
    <col min="6147" max="6147" width="14.42578125" style="12" customWidth="1"/>
    <col min="6148" max="6148" width="7.28515625" style="12" customWidth="1"/>
    <col min="6149" max="6149" width="5.5703125" style="12" customWidth="1"/>
    <col min="6150" max="6150" width="9" style="12" customWidth="1"/>
    <col min="6151" max="6152" width="9.85546875" style="12" customWidth="1"/>
    <col min="6153" max="6153" width="11.140625" style="12" customWidth="1"/>
    <col min="6154" max="6154" width="2.85546875" style="12" customWidth="1"/>
    <col min="6155" max="6155" width="3.5703125" style="12" customWidth="1"/>
    <col min="6156" max="6400" width="9.140625" style="12"/>
    <col min="6401" max="6401" width="8.7109375" style="12" customWidth="1"/>
    <col min="6402" max="6402" width="9.85546875" style="12" customWidth="1"/>
    <col min="6403" max="6403" width="14.42578125" style="12" customWidth="1"/>
    <col min="6404" max="6404" width="7.28515625" style="12" customWidth="1"/>
    <col min="6405" max="6405" width="5.5703125" style="12" customWidth="1"/>
    <col min="6406" max="6406" width="9" style="12" customWidth="1"/>
    <col min="6407" max="6408" width="9.85546875" style="12" customWidth="1"/>
    <col min="6409" max="6409" width="11.140625" style="12" customWidth="1"/>
    <col min="6410" max="6410" width="2.85546875" style="12" customWidth="1"/>
    <col min="6411" max="6411" width="3.5703125" style="12" customWidth="1"/>
    <col min="6412" max="6656" width="9.140625" style="12"/>
    <col min="6657" max="6657" width="8.7109375" style="12" customWidth="1"/>
    <col min="6658" max="6658" width="9.85546875" style="12" customWidth="1"/>
    <col min="6659" max="6659" width="14.42578125" style="12" customWidth="1"/>
    <col min="6660" max="6660" width="7.28515625" style="12" customWidth="1"/>
    <col min="6661" max="6661" width="5.5703125" style="12" customWidth="1"/>
    <col min="6662" max="6662" width="9" style="12" customWidth="1"/>
    <col min="6663" max="6664" width="9.85546875" style="12" customWidth="1"/>
    <col min="6665" max="6665" width="11.140625" style="12" customWidth="1"/>
    <col min="6666" max="6666" width="2.85546875" style="12" customWidth="1"/>
    <col min="6667" max="6667" width="3.5703125" style="12" customWidth="1"/>
    <col min="6668" max="6912" width="9.140625" style="12"/>
    <col min="6913" max="6913" width="8.7109375" style="12" customWidth="1"/>
    <col min="6914" max="6914" width="9.85546875" style="12" customWidth="1"/>
    <col min="6915" max="6915" width="14.42578125" style="12" customWidth="1"/>
    <col min="6916" max="6916" width="7.28515625" style="12" customWidth="1"/>
    <col min="6917" max="6917" width="5.5703125" style="12" customWidth="1"/>
    <col min="6918" max="6918" width="9" style="12" customWidth="1"/>
    <col min="6919" max="6920" width="9.85546875" style="12" customWidth="1"/>
    <col min="6921" max="6921" width="11.140625" style="12" customWidth="1"/>
    <col min="6922" max="6922" width="2.85546875" style="12" customWidth="1"/>
    <col min="6923" max="6923" width="3.5703125" style="12" customWidth="1"/>
    <col min="6924" max="7168" width="9.140625" style="12"/>
    <col min="7169" max="7169" width="8.7109375" style="12" customWidth="1"/>
    <col min="7170" max="7170" width="9.85546875" style="12" customWidth="1"/>
    <col min="7171" max="7171" width="14.42578125" style="12" customWidth="1"/>
    <col min="7172" max="7172" width="7.28515625" style="12" customWidth="1"/>
    <col min="7173" max="7173" width="5.5703125" style="12" customWidth="1"/>
    <col min="7174" max="7174" width="9" style="12" customWidth="1"/>
    <col min="7175" max="7176" width="9.85546875" style="12" customWidth="1"/>
    <col min="7177" max="7177" width="11.140625" style="12" customWidth="1"/>
    <col min="7178" max="7178" width="2.85546875" style="12" customWidth="1"/>
    <col min="7179" max="7179" width="3.5703125" style="12" customWidth="1"/>
    <col min="7180" max="7424" width="9.140625" style="12"/>
    <col min="7425" max="7425" width="8.7109375" style="12" customWidth="1"/>
    <col min="7426" max="7426" width="9.85546875" style="12" customWidth="1"/>
    <col min="7427" max="7427" width="14.42578125" style="12" customWidth="1"/>
    <col min="7428" max="7428" width="7.28515625" style="12" customWidth="1"/>
    <col min="7429" max="7429" width="5.5703125" style="12" customWidth="1"/>
    <col min="7430" max="7430" width="9" style="12" customWidth="1"/>
    <col min="7431" max="7432" width="9.85546875" style="12" customWidth="1"/>
    <col min="7433" max="7433" width="11.140625" style="12" customWidth="1"/>
    <col min="7434" max="7434" width="2.85546875" style="12" customWidth="1"/>
    <col min="7435" max="7435" width="3.5703125" style="12" customWidth="1"/>
    <col min="7436" max="7680" width="9.140625" style="12"/>
    <col min="7681" max="7681" width="8.7109375" style="12" customWidth="1"/>
    <col min="7682" max="7682" width="9.85546875" style="12" customWidth="1"/>
    <col min="7683" max="7683" width="14.42578125" style="12" customWidth="1"/>
    <col min="7684" max="7684" width="7.28515625" style="12" customWidth="1"/>
    <col min="7685" max="7685" width="5.5703125" style="12" customWidth="1"/>
    <col min="7686" max="7686" width="9" style="12" customWidth="1"/>
    <col min="7687" max="7688" width="9.85546875" style="12" customWidth="1"/>
    <col min="7689" max="7689" width="11.140625" style="12" customWidth="1"/>
    <col min="7690" max="7690" width="2.85546875" style="12" customWidth="1"/>
    <col min="7691" max="7691" width="3.5703125" style="12" customWidth="1"/>
    <col min="7692" max="7936" width="9.140625" style="12"/>
    <col min="7937" max="7937" width="8.7109375" style="12" customWidth="1"/>
    <col min="7938" max="7938" width="9.85546875" style="12" customWidth="1"/>
    <col min="7939" max="7939" width="14.42578125" style="12" customWidth="1"/>
    <col min="7940" max="7940" width="7.28515625" style="12" customWidth="1"/>
    <col min="7941" max="7941" width="5.5703125" style="12" customWidth="1"/>
    <col min="7942" max="7942" width="9" style="12" customWidth="1"/>
    <col min="7943" max="7944" width="9.85546875" style="12" customWidth="1"/>
    <col min="7945" max="7945" width="11.140625" style="12" customWidth="1"/>
    <col min="7946" max="7946" width="2.85546875" style="12" customWidth="1"/>
    <col min="7947" max="7947" width="3.5703125" style="12" customWidth="1"/>
    <col min="7948" max="8192" width="9.140625" style="12"/>
    <col min="8193" max="8193" width="8.7109375" style="12" customWidth="1"/>
    <col min="8194" max="8194" width="9.85546875" style="12" customWidth="1"/>
    <col min="8195" max="8195" width="14.42578125" style="12" customWidth="1"/>
    <col min="8196" max="8196" width="7.28515625" style="12" customWidth="1"/>
    <col min="8197" max="8197" width="5.5703125" style="12" customWidth="1"/>
    <col min="8198" max="8198" width="9" style="12" customWidth="1"/>
    <col min="8199" max="8200" width="9.85546875" style="12" customWidth="1"/>
    <col min="8201" max="8201" width="11.140625" style="12" customWidth="1"/>
    <col min="8202" max="8202" width="2.85546875" style="12" customWidth="1"/>
    <col min="8203" max="8203" width="3.5703125" style="12" customWidth="1"/>
    <col min="8204" max="8448" width="9.140625" style="12"/>
    <col min="8449" max="8449" width="8.7109375" style="12" customWidth="1"/>
    <col min="8450" max="8450" width="9.85546875" style="12" customWidth="1"/>
    <col min="8451" max="8451" width="14.42578125" style="12" customWidth="1"/>
    <col min="8452" max="8452" width="7.28515625" style="12" customWidth="1"/>
    <col min="8453" max="8453" width="5.5703125" style="12" customWidth="1"/>
    <col min="8454" max="8454" width="9" style="12" customWidth="1"/>
    <col min="8455" max="8456" width="9.85546875" style="12" customWidth="1"/>
    <col min="8457" max="8457" width="11.140625" style="12" customWidth="1"/>
    <col min="8458" max="8458" width="2.85546875" style="12" customWidth="1"/>
    <col min="8459" max="8459" width="3.5703125" style="12" customWidth="1"/>
    <col min="8460" max="8704" width="9.140625" style="12"/>
    <col min="8705" max="8705" width="8.7109375" style="12" customWidth="1"/>
    <col min="8706" max="8706" width="9.85546875" style="12" customWidth="1"/>
    <col min="8707" max="8707" width="14.42578125" style="12" customWidth="1"/>
    <col min="8708" max="8708" width="7.28515625" style="12" customWidth="1"/>
    <col min="8709" max="8709" width="5.5703125" style="12" customWidth="1"/>
    <col min="8710" max="8710" width="9" style="12" customWidth="1"/>
    <col min="8711" max="8712" width="9.85546875" style="12" customWidth="1"/>
    <col min="8713" max="8713" width="11.140625" style="12" customWidth="1"/>
    <col min="8714" max="8714" width="2.85546875" style="12" customWidth="1"/>
    <col min="8715" max="8715" width="3.5703125" style="12" customWidth="1"/>
    <col min="8716" max="8960" width="9.140625" style="12"/>
    <col min="8961" max="8961" width="8.7109375" style="12" customWidth="1"/>
    <col min="8962" max="8962" width="9.85546875" style="12" customWidth="1"/>
    <col min="8963" max="8963" width="14.42578125" style="12" customWidth="1"/>
    <col min="8964" max="8964" width="7.28515625" style="12" customWidth="1"/>
    <col min="8965" max="8965" width="5.5703125" style="12" customWidth="1"/>
    <col min="8966" max="8966" width="9" style="12" customWidth="1"/>
    <col min="8967" max="8968" width="9.85546875" style="12" customWidth="1"/>
    <col min="8969" max="8969" width="11.140625" style="12" customWidth="1"/>
    <col min="8970" max="8970" width="2.85546875" style="12" customWidth="1"/>
    <col min="8971" max="8971" width="3.5703125" style="12" customWidth="1"/>
    <col min="8972" max="9216" width="9.140625" style="12"/>
    <col min="9217" max="9217" width="8.7109375" style="12" customWidth="1"/>
    <col min="9218" max="9218" width="9.85546875" style="12" customWidth="1"/>
    <col min="9219" max="9219" width="14.42578125" style="12" customWidth="1"/>
    <col min="9220" max="9220" width="7.28515625" style="12" customWidth="1"/>
    <col min="9221" max="9221" width="5.5703125" style="12" customWidth="1"/>
    <col min="9222" max="9222" width="9" style="12" customWidth="1"/>
    <col min="9223" max="9224" width="9.85546875" style="12" customWidth="1"/>
    <col min="9225" max="9225" width="11.140625" style="12" customWidth="1"/>
    <col min="9226" max="9226" width="2.85546875" style="12" customWidth="1"/>
    <col min="9227" max="9227" width="3.5703125" style="12" customWidth="1"/>
    <col min="9228" max="9472" width="9.140625" style="12"/>
    <col min="9473" max="9473" width="8.7109375" style="12" customWidth="1"/>
    <col min="9474" max="9474" width="9.85546875" style="12" customWidth="1"/>
    <col min="9475" max="9475" width="14.42578125" style="12" customWidth="1"/>
    <col min="9476" max="9476" width="7.28515625" style="12" customWidth="1"/>
    <col min="9477" max="9477" width="5.5703125" style="12" customWidth="1"/>
    <col min="9478" max="9478" width="9" style="12" customWidth="1"/>
    <col min="9479" max="9480" width="9.85546875" style="12" customWidth="1"/>
    <col min="9481" max="9481" width="11.140625" style="12" customWidth="1"/>
    <col min="9482" max="9482" width="2.85546875" style="12" customWidth="1"/>
    <col min="9483" max="9483" width="3.5703125" style="12" customWidth="1"/>
    <col min="9484" max="9728" width="9.140625" style="12"/>
    <col min="9729" max="9729" width="8.7109375" style="12" customWidth="1"/>
    <col min="9730" max="9730" width="9.85546875" style="12" customWidth="1"/>
    <col min="9731" max="9731" width="14.42578125" style="12" customWidth="1"/>
    <col min="9732" max="9732" width="7.28515625" style="12" customWidth="1"/>
    <col min="9733" max="9733" width="5.5703125" style="12" customWidth="1"/>
    <col min="9734" max="9734" width="9" style="12" customWidth="1"/>
    <col min="9735" max="9736" width="9.85546875" style="12" customWidth="1"/>
    <col min="9737" max="9737" width="11.140625" style="12" customWidth="1"/>
    <col min="9738" max="9738" width="2.85546875" style="12" customWidth="1"/>
    <col min="9739" max="9739" width="3.5703125" style="12" customWidth="1"/>
    <col min="9740" max="9984" width="9.140625" style="12"/>
    <col min="9985" max="9985" width="8.7109375" style="12" customWidth="1"/>
    <col min="9986" max="9986" width="9.85546875" style="12" customWidth="1"/>
    <col min="9987" max="9987" width="14.42578125" style="12" customWidth="1"/>
    <col min="9988" max="9988" width="7.28515625" style="12" customWidth="1"/>
    <col min="9989" max="9989" width="5.5703125" style="12" customWidth="1"/>
    <col min="9990" max="9990" width="9" style="12" customWidth="1"/>
    <col min="9991" max="9992" width="9.85546875" style="12" customWidth="1"/>
    <col min="9993" max="9993" width="11.140625" style="12" customWidth="1"/>
    <col min="9994" max="9994" width="2.85546875" style="12" customWidth="1"/>
    <col min="9995" max="9995" width="3.5703125" style="12" customWidth="1"/>
    <col min="9996" max="10240" width="9.140625" style="12"/>
    <col min="10241" max="10241" width="8.7109375" style="12" customWidth="1"/>
    <col min="10242" max="10242" width="9.85546875" style="12" customWidth="1"/>
    <col min="10243" max="10243" width="14.42578125" style="12" customWidth="1"/>
    <col min="10244" max="10244" width="7.28515625" style="12" customWidth="1"/>
    <col min="10245" max="10245" width="5.5703125" style="12" customWidth="1"/>
    <col min="10246" max="10246" width="9" style="12" customWidth="1"/>
    <col min="10247" max="10248" width="9.85546875" style="12" customWidth="1"/>
    <col min="10249" max="10249" width="11.140625" style="12" customWidth="1"/>
    <col min="10250" max="10250" width="2.85546875" style="12" customWidth="1"/>
    <col min="10251" max="10251" width="3.5703125" style="12" customWidth="1"/>
    <col min="10252" max="10496" width="9.140625" style="12"/>
    <col min="10497" max="10497" width="8.7109375" style="12" customWidth="1"/>
    <col min="10498" max="10498" width="9.85546875" style="12" customWidth="1"/>
    <col min="10499" max="10499" width="14.42578125" style="12" customWidth="1"/>
    <col min="10500" max="10500" width="7.28515625" style="12" customWidth="1"/>
    <col min="10501" max="10501" width="5.5703125" style="12" customWidth="1"/>
    <col min="10502" max="10502" width="9" style="12" customWidth="1"/>
    <col min="10503" max="10504" width="9.85546875" style="12" customWidth="1"/>
    <col min="10505" max="10505" width="11.140625" style="12" customWidth="1"/>
    <col min="10506" max="10506" width="2.85546875" style="12" customWidth="1"/>
    <col min="10507" max="10507" width="3.5703125" style="12" customWidth="1"/>
    <col min="10508" max="10752" width="9.140625" style="12"/>
    <col min="10753" max="10753" width="8.7109375" style="12" customWidth="1"/>
    <col min="10754" max="10754" width="9.85546875" style="12" customWidth="1"/>
    <col min="10755" max="10755" width="14.42578125" style="12" customWidth="1"/>
    <col min="10756" max="10756" width="7.28515625" style="12" customWidth="1"/>
    <col min="10757" max="10757" width="5.5703125" style="12" customWidth="1"/>
    <col min="10758" max="10758" width="9" style="12" customWidth="1"/>
    <col min="10759" max="10760" width="9.85546875" style="12" customWidth="1"/>
    <col min="10761" max="10761" width="11.140625" style="12" customWidth="1"/>
    <col min="10762" max="10762" width="2.85546875" style="12" customWidth="1"/>
    <col min="10763" max="10763" width="3.5703125" style="12" customWidth="1"/>
    <col min="10764" max="11008" width="9.140625" style="12"/>
    <col min="11009" max="11009" width="8.7109375" style="12" customWidth="1"/>
    <col min="11010" max="11010" width="9.85546875" style="12" customWidth="1"/>
    <col min="11011" max="11011" width="14.42578125" style="12" customWidth="1"/>
    <col min="11012" max="11012" width="7.28515625" style="12" customWidth="1"/>
    <col min="11013" max="11013" width="5.5703125" style="12" customWidth="1"/>
    <col min="11014" max="11014" width="9" style="12" customWidth="1"/>
    <col min="11015" max="11016" width="9.85546875" style="12" customWidth="1"/>
    <col min="11017" max="11017" width="11.140625" style="12" customWidth="1"/>
    <col min="11018" max="11018" width="2.85546875" style="12" customWidth="1"/>
    <col min="11019" max="11019" width="3.5703125" style="12" customWidth="1"/>
    <col min="11020" max="11264" width="9.140625" style="12"/>
    <col min="11265" max="11265" width="8.7109375" style="12" customWidth="1"/>
    <col min="11266" max="11266" width="9.85546875" style="12" customWidth="1"/>
    <col min="11267" max="11267" width="14.42578125" style="12" customWidth="1"/>
    <col min="11268" max="11268" width="7.28515625" style="12" customWidth="1"/>
    <col min="11269" max="11269" width="5.5703125" style="12" customWidth="1"/>
    <col min="11270" max="11270" width="9" style="12" customWidth="1"/>
    <col min="11271" max="11272" width="9.85546875" style="12" customWidth="1"/>
    <col min="11273" max="11273" width="11.140625" style="12" customWidth="1"/>
    <col min="11274" max="11274" width="2.85546875" style="12" customWidth="1"/>
    <col min="11275" max="11275" width="3.5703125" style="12" customWidth="1"/>
    <col min="11276" max="11520" width="9.140625" style="12"/>
    <col min="11521" max="11521" width="8.7109375" style="12" customWidth="1"/>
    <col min="11522" max="11522" width="9.85546875" style="12" customWidth="1"/>
    <col min="11523" max="11523" width="14.42578125" style="12" customWidth="1"/>
    <col min="11524" max="11524" width="7.28515625" style="12" customWidth="1"/>
    <col min="11525" max="11525" width="5.5703125" style="12" customWidth="1"/>
    <col min="11526" max="11526" width="9" style="12" customWidth="1"/>
    <col min="11527" max="11528" width="9.85546875" style="12" customWidth="1"/>
    <col min="11529" max="11529" width="11.140625" style="12" customWidth="1"/>
    <col min="11530" max="11530" width="2.85546875" style="12" customWidth="1"/>
    <col min="11531" max="11531" width="3.5703125" style="12" customWidth="1"/>
    <col min="11532" max="11776" width="9.140625" style="12"/>
    <col min="11777" max="11777" width="8.7109375" style="12" customWidth="1"/>
    <col min="11778" max="11778" width="9.85546875" style="12" customWidth="1"/>
    <col min="11779" max="11779" width="14.42578125" style="12" customWidth="1"/>
    <col min="11780" max="11780" width="7.28515625" style="12" customWidth="1"/>
    <col min="11781" max="11781" width="5.5703125" style="12" customWidth="1"/>
    <col min="11782" max="11782" width="9" style="12" customWidth="1"/>
    <col min="11783" max="11784" width="9.85546875" style="12" customWidth="1"/>
    <col min="11785" max="11785" width="11.140625" style="12" customWidth="1"/>
    <col min="11786" max="11786" width="2.85546875" style="12" customWidth="1"/>
    <col min="11787" max="11787" width="3.5703125" style="12" customWidth="1"/>
    <col min="11788" max="12032" width="9.140625" style="12"/>
    <col min="12033" max="12033" width="8.7109375" style="12" customWidth="1"/>
    <col min="12034" max="12034" width="9.85546875" style="12" customWidth="1"/>
    <col min="12035" max="12035" width="14.42578125" style="12" customWidth="1"/>
    <col min="12036" max="12036" width="7.28515625" style="12" customWidth="1"/>
    <col min="12037" max="12037" width="5.5703125" style="12" customWidth="1"/>
    <col min="12038" max="12038" width="9" style="12" customWidth="1"/>
    <col min="12039" max="12040" width="9.85546875" style="12" customWidth="1"/>
    <col min="12041" max="12041" width="11.140625" style="12" customWidth="1"/>
    <col min="12042" max="12042" width="2.85546875" style="12" customWidth="1"/>
    <col min="12043" max="12043" width="3.5703125" style="12" customWidth="1"/>
    <col min="12044" max="12288" width="9.140625" style="12"/>
    <col min="12289" max="12289" width="8.7109375" style="12" customWidth="1"/>
    <col min="12290" max="12290" width="9.85546875" style="12" customWidth="1"/>
    <col min="12291" max="12291" width="14.42578125" style="12" customWidth="1"/>
    <col min="12292" max="12292" width="7.28515625" style="12" customWidth="1"/>
    <col min="12293" max="12293" width="5.5703125" style="12" customWidth="1"/>
    <col min="12294" max="12294" width="9" style="12" customWidth="1"/>
    <col min="12295" max="12296" width="9.85546875" style="12" customWidth="1"/>
    <col min="12297" max="12297" width="11.140625" style="12" customWidth="1"/>
    <col min="12298" max="12298" width="2.85546875" style="12" customWidth="1"/>
    <col min="12299" max="12299" width="3.5703125" style="12" customWidth="1"/>
    <col min="12300" max="12544" width="9.140625" style="12"/>
    <col min="12545" max="12545" width="8.7109375" style="12" customWidth="1"/>
    <col min="12546" max="12546" width="9.85546875" style="12" customWidth="1"/>
    <col min="12547" max="12547" width="14.42578125" style="12" customWidth="1"/>
    <col min="12548" max="12548" width="7.28515625" style="12" customWidth="1"/>
    <col min="12549" max="12549" width="5.5703125" style="12" customWidth="1"/>
    <col min="12550" max="12550" width="9" style="12" customWidth="1"/>
    <col min="12551" max="12552" width="9.85546875" style="12" customWidth="1"/>
    <col min="12553" max="12553" width="11.140625" style="12" customWidth="1"/>
    <col min="12554" max="12554" width="2.85546875" style="12" customWidth="1"/>
    <col min="12555" max="12555" width="3.5703125" style="12" customWidth="1"/>
    <col min="12556" max="12800" width="9.140625" style="12"/>
    <col min="12801" max="12801" width="8.7109375" style="12" customWidth="1"/>
    <col min="12802" max="12802" width="9.85546875" style="12" customWidth="1"/>
    <col min="12803" max="12803" width="14.42578125" style="12" customWidth="1"/>
    <col min="12804" max="12804" width="7.28515625" style="12" customWidth="1"/>
    <col min="12805" max="12805" width="5.5703125" style="12" customWidth="1"/>
    <col min="12806" max="12806" width="9" style="12" customWidth="1"/>
    <col min="12807" max="12808" width="9.85546875" style="12" customWidth="1"/>
    <col min="12809" max="12809" width="11.140625" style="12" customWidth="1"/>
    <col min="12810" max="12810" width="2.85546875" style="12" customWidth="1"/>
    <col min="12811" max="12811" width="3.5703125" style="12" customWidth="1"/>
    <col min="12812" max="13056" width="9.140625" style="12"/>
    <col min="13057" max="13057" width="8.7109375" style="12" customWidth="1"/>
    <col min="13058" max="13058" width="9.85546875" style="12" customWidth="1"/>
    <col min="13059" max="13059" width="14.42578125" style="12" customWidth="1"/>
    <col min="13060" max="13060" width="7.28515625" style="12" customWidth="1"/>
    <col min="13061" max="13061" width="5.5703125" style="12" customWidth="1"/>
    <col min="13062" max="13062" width="9" style="12" customWidth="1"/>
    <col min="13063" max="13064" width="9.85546875" style="12" customWidth="1"/>
    <col min="13065" max="13065" width="11.140625" style="12" customWidth="1"/>
    <col min="13066" max="13066" width="2.85546875" style="12" customWidth="1"/>
    <col min="13067" max="13067" width="3.5703125" style="12" customWidth="1"/>
    <col min="13068" max="13312" width="9.140625" style="12"/>
    <col min="13313" max="13313" width="8.7109375" style="12" customWidth="1"/>
    <col min="13314" max="13314" width="9.85546875" style="12" customWidth="1"/>
    <col min="13315" max="13315" width="14.42578125" style="12" customWidth="1"/>
    <col min="13316" max="13316" width="7.28515625" style="12" customWidth="1"/>
    <col min="13317" max="13317" width="5.5703125" style="12" customWidth="1"/>
    <col min="13318" max="13318" width="9" style="12" customWidth="1"/>
    <col min="13319" max="13320" width="9.85546875" style="12" customWidth="1"/>
    <col min="13321" max="13321" width="11.140625" style="12" customWidth="1"/>
    <col min="13322" max="13322" width="2.85546875" style="12" customWidth="1"/>
    <col min="13323" max="13323" width="3.5703125" style="12" customWidth="1"/>
    <col min="13324" max="13568" width="9.140625" style="12"/>
    <col min="13569" max="13569" width="8.7109375" style="12" customWidth="1"/>
    <col min="13570" max="13570" width="9.85546875" style="12" customWidth="1"/>
    <col min="13571" max="13571" width="14.42578125" style="12" customWidth="1"/>
    <col min="13572" max="13572" width="7.28515625" style="12" customWidth="1"/>
    <col min="13573" max="13573" width="5.5703125" style="12" customWidth="1"/>
    <col min="13574" max="13574" width="9" style="12" customWidth="1"/>
    <col min="13575" max="13576" width="9.85546875" style="12" customWidth="1"/>
    <col min="13577" max="13577" width="11.140625" style="12" customWidth="1"/>
    <col min="13578" max="13578" width="2.85546875" style="12" customWidth="1"/>
    <col min="13579" max="13579" width="3.5703125" style="12" customWidth="1"/>
    <col min="13580" max="13824" width="9.140625" style="12"/>
    <col min="13825" max="13825" width="8.7109375" style="12" customWidth="1"/>
    <col min="13826" max="13826" width="9.85546875" style="12" customWidth="1"/>
    <col min="13827" max="13827" width="14.42578125" style="12" customWidth="1"/>
    <col min="13828" max="13828" width="7.28515625" style="12" customWidth="1"/>
    <col min="13829" max="13829" width="5.5703125" style="12" customWidth="1"/>
    <col min="13830" max="13830" width="9" style="12" customWidth="1"/>
    <col min="13831" max="13832" width="9.85546875" style="12" customWidth="1"/>
    <col min="13833" max="13833" width="11.140625" style="12" customWidth="1"/>
    <col min="13834" max="13834" width="2.85546875" style="12" customWidth="1"/>
    <col min="13835" max="13835" width="3.5703125" style="12" customWidth="1"/>
    <col min="13836" max="14080" width="9.140625" style="12"/>
    <col min="14081" max="14081" width="8.7109375" style="12" customWidth="1"/>
    <col min="14082" max="14082" width="9.85546875" style="12" customWidth="1"/>
    <col min="14083" max="14083" width="14.42578125" style="12" customWidth="1"/>
    <col min="14084" max="14084" width="7.28515625" style="12" customWidth="1"/>
    <col min="14085" max="14085" width="5.5703125" style="12" customWidth="1"/>
    <col min="14086" max="14086" width="9" style="12" customWidth="1"/>
    <col min="14087" max="14088" width="9.85546875" style="12" customWidth="1"/>
    <col min="14089" max="14089" width="11.140625" style="12" customWidth="1"/>
    <col min="14090" max="14090" width="2.85546875" style="12" customWidth="1"/>
    <col min="14091" max="14091" width="3.5703125" style="12" customWidth="1"/>
    <col min="14092" max="14336" width="9.140625" style="12"/>
    <col min="14337" max="14337" width="8.7109375" style="12" customWidth="1"/>
    <col min="14338" max="14338" width="9.85546875" style="12" customWidth="1"/>
    <col min="14339" max="14339" width="14.42578125" style="12" customWidth="1"/>
    <col min="14340" max="14340" width="7.28515625" style="12" customWidth="1"/>
    <col min="14341" max="14341" width="5.5703125" style="12" customWidth="1"/>
    <col min="14342" max="14342" width="9" style="12" customWidth="1"/>
    <col min="14343" max="14344" width="9.85546875" style="12" customWidth="1"/>
    <col min="14345" max="14345" width="11.140625" style="12" customWidth="1"/>
    <col min="14346" max="14346" width="2.85546875" style="12" customWidth="1"/>
    <col min="14347" max="14347" width="3.5703125" style="12" customWidth="1"/>
    <col min="14348" max="14592" width="9.140625" style="12"/>
    <col min="14593" max="14593" width="8.7109375" style="12" customWidth="1"/>
    <col min="14594" max="14594" width="9.85546875" style="12" customWidth="1"/>
    <col min="14595" max="14595" width="14.42578125" style="12" customWidth="1"/>
    <col min="14596" max="14596" width="7.28515625" style="12" customWidth="1"/>
    <col min="14597" max="14597" width="5.5703125" style="12" customWidth="1"/>
    <col min="14598" max="14598" width="9" style="12" customWidth="1"/>
    <col min="14599" max="14600" width="9.85546875" style="12" customWidth="1"/>
    <col min="14601" max="14601" width="11.140625" style="12" customWidth="1"/>
    <col min="14602" max="14602" width="2.85546875" style="12" customWidth="1"/>
    <col min="14603" max="14603" width="3.5703125" style="12" customWidth="1"/>
    <col min="14604" max="14848" width="9.140625" style="12"/>
    <col min="14849" max="14849" width="8.7109375" style="12" customWidth="1"/>
    <col min="14850" max="14850" width="9.85546875" style="12" customWidth="1"/>
    <col min="14851" max="14851" width="14.42578125" style="12" customWidth="1"/>
    <col min="14852" max="14852" width="7.28515625" style="12" customWidth="1"/>
    <col min="14853" max="14853" width="5.5703125" style="12" customWidth="1"/>
    <col min="14854" max="14854" width="9" style="12" customWidth="1"/>
    <col min="14855" max="14856" width="9.85546875" style="12" customWidth="1"/>
    <col min="14857" max="14857" width="11.140625" style="12" customWidth="1"/>
    <col min="14858" max="14858" width="2.85546875" style="12" customWidth="1"/>
    <col min="14859" max="14859" width="3.5703125" style="12" customWidth="1"/>
    <col min="14860" max="15104" width="9.140625" style="12"/>
    <col min="15105" max="15105" width="8.7109375" style="12" customWidth="1"/>
    <col min="15106" max="15106" width="9.85546875" style="12" customWidth="1"/>
    <col min="15107" max="15107" width="14.42578125" style="12" customWidth="1"/>
    <col min="15108" max="15108" width="7.28515625" style="12" customWidth="1"/>
    <col min="15109" max="15109" width="5.5703125" style="12" customWidth="1"/>
    <col min="15110" max="15110" width="9" style="12" customWidth="1"/>
    <col min="15111" max="15112" width="9.85546875" style="12" customWidth="1"/>
    <col min="15113" max="15113" width="11.140625" style="12" customWidth="1"/>
    <col min="15114" max="15114" width="2.85546875" style="12" customWidth="1"/>
    <col min="15115" max="15115" width="3.5703125" style="12" customWidth="1"/>
    <col min="15116" max="15360" width="9.140625" style="12"/>
    <col min="15361" max="15361" width="8.7109375" style="12" customWidth="1"/>
    <col min="15362" max="15362" width="9.85546875" style="12" customWidth="1"/>
    <col min="15363" max="15363" width="14.42578125" style="12" customWidth="1"/>
    <col min="15364" max="15364" width="7.28515625" style="12" customWidth="1"/>
    <col min="15365" max="15365" width="5.5703125" style="12" customWidth="1"/>
    <col min="15366" max="15366" width="9" style="12" customWidth="1"/>
    <col min="15367" max="15368" width="9.85546875" style="12" customWidth="1"/>
    <col min="15369" max="15369" width="11.140625" style="12" customWidth="1"/>
    <col min="15370" max="15370" width="2.85546875" style="12" customWidth="1"/>
    <col min="15371" max="15371" width="3.5703125" style="12" customWidth="1"/>
    <col min="15372" max="15616" width="9.140625" style="12"/>
    <col min="15617" max="15617" width="8.7109375" style="12" customWidth="1"/>
    <col min="15618" max="15618" width="9.85546875" style="12" customWidth="1"/>
    <col min="15619" max="15619" width="14.42578125" style="12" customWidth="1"/>
    <col min="15620" max="15620" width="7.28515625" style="12" customWidth="1"/>
    <col min="15621" max="15621" width="5.5703125" style="12" customWidth="1"/>
    <col min="15622" max="15622" width="9" style="12" customWidth="1"/>
    <col min="15623" max="15624" width="9.85546875" style="12" customWidth="1"/>
    <col min="15625" max="15625" width="11.140625" style="12" customWidth="1"/>
    <col min="15626" max="15626" width="2.85546875" style="12" customWidth="1"/>
    <col min="15627" max="15627" width="3.5703125" style="12" customWidth="1"/>
    <col min="15628" max="15872" width="9.140625" style="12"/>
    <col min="15873" max="15873" width="8.7109375" style="12" customWidth="1"/>
    <col min="15874" max="15874" width="9.85546875" style="12" customWidth="1"/>
    <col min="15875" max="15875" width="14.42578125" style="12" customWidth="1"/>
    <col min="15876" max="15876" width="7.28515625" style="12" customWidth="1"/>
    <col min="15877" max="15877" width="5.5703125" style="12" customWidth="1"/>
    <col min="15878" max="15878" width="9" style="12" customWidth="1"/>
    <col min="15879" max="15880" width="9.85546875" style="12" customWidth="1"/>
    <col min="15881" max="15881" width="11.140625" style="12" customWidth="1"/>
    <col min="15882" max="15882" width="2.85546875" style="12" customWidth="1"/>
    <col min="15883" max="15883" width="3.5703125" style="12" customWidth="1"/>
    <col min="15884" max="16128" width="9.140625" style="12"/>
    <col min="16129" max="16129" width="8.7109375" style="12" customWidth="1"/>
    <col min="16130" max="16130" width="9.85546875" style="12" customWidth="1"/>
    <col min="16131" max="16131" width="14.42578125" style="12" customWidth="1"/>
    <col min="16132" max="16132" width="7.28515625" style="12" customWidth="1"/>
    <col min="16133" max="16133" width="5.5703125" style="12" customWidth="1"/>
    <col min="16134" max="16134" width="9" style="12" customWidth="1"/>
    <col min="16135" max="16136" width="9.85546875" style="12" customWidth="1"/>
    <col min="16137" max="16137" width="11.140625" style="12" customWidth="1"/>
    <col min="16138" max="16138" width="2.85546875" style="12" customWidth="1"/>
    <col min="16139" max="16139" width="3.5703125" style="12" customWidth="1"/>
    <col min="16140" max="16384" width="9.140625" style="12"/>
  </cols>
  <sheetData>
    <row r="1" spans="1:10" ht="46.5" customHeight="1" x14ac:dyDescent="0.25">
      <c r="A1" s="135" t="s">
        <v>265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ht="16.5" customHeight="1" x14ac:dyDescent="0.25">
      <c r="A2" s="138" t="s">
        <v>0</v>
      </c>
      <c r="B2" s="139"/>
      <c r="C2" s="139"/>
      <c r="D2" s="139"/>
      <c r="E2" s="139"/>
      <c r="F2" s="139"/>
      <c r="G2" s="139"/>
      <c r="H2" s="139"/>
      <c r="I2" s="139"/>
      <c r="J2" s="140"/>
    </row>
    <row r="3" spans="1:10" x14ac:dyDescent="0.25">
      <c r="A3" s="141" t="s">
        <v>1</v>
      </c>
      <c r="B3" s="142"/>
      <c r="C3" s="142"/>
      <c r="D3" s="142"/>
      <c r="E3" s="143"/>
      <c r="F3" s="144" t="str">
        <f ca="1">TEXT(TODAY(),"DD/MM/YYYY")</f>
        <v>13/09/2025</v>
      </c>
      <c r="G3" s="145"/>
      <c r="H3" s="145"/>
      <c r="I3" s="145"/>
      <c r="J3" s="146"/>
    </row>
    <row r="4" spans="1:10" ht="15" customHeight="1" x14ac:dyDescent="0.25">
      <c r="A4" s="141" t="s">
        <v>2</v>
      </c>
      <c r="B4" s="142"/>
      <c r="C4" s="142"/>
      <c r="D4" s="142"/>
      <c r="E4" s="143"/>
      <c r="F4" s="151" t="s">
        <v>182</v>
      </c>
      <c r="G4" s="152"/>
      <c r="H4" s="152"/>
      <c r="I4" s="152"/>
      <c r="J4" s="153"/>
    </row>
    <row r="5" spans="1:10" x14ac:dyDescent="0.25">
      <c r="A5" s="141" t="s">
        <v>3</v>
      </c>
      <c r="B5" s="142"/>
      <c r="C5" s="142"/>
      <c r="D5" s="142"/>
      <c r="E5" s="143"/>
      <c r="F5" s="157">
        <v>45913</v>
      </c>
      <c r="G5" s="158"/>
      <c r="H5" s="158"/>
      <c r="I5" s="158"/>
      <c r="J5" s="159"/>
    </row>
    <row r="6" spans="1:10" ht="16.5" customHeight="1" x14ac:dyDescent="0.25">
      <c r="A6" s="141" t="s">
        <v>4</v>
      </c>
      <c r="B6" s="142"/>
      <c r="C6" s="142"/>
      <c r="D6" s="142"/>
      <c r="E6" s="143"/>
      <c r="F6" s="150" t="s">
        <v>183</v>
      </c>
      <c r="G6" s="160"/>
      <c r="H6" s="160"/>
      <c r="I6" s="160"/>
      <c r="J6" s="161"/>
    </row>
    <row r="7" spans="1:10" ht="15" customHeight="1" x14ac:dyDescent="0.25">
      <c r="A7" s="141" t="s">
        <v>5</v>
      </c>
      <c r="B7" s="142"/>
      <c r="C7" s="142"/>
      <c r="D7" s="142"/>
      <c r="E7" s="143"/>
      <c r="F7" s="150" t="str">
        <f>F6</f>
        <v>M/s.Shree Tulsi Developes</v>
      </c>
      <c r="G7" s="160"/>
      <c r="H7" s="160"/>
      <c r="I7" s="160"/>
      <c r="J7" s="161"/>
    </row>
    <row r="8" spans="1:10" x14ac:dyDescent="0.25">
      <c r="A8" s="141" t="s">
        <v>6</v>
      </c>
      <c r="B8" s="142"/>
      <c r="C8" s="142"/>
      <c r="D8" s="142"/>
      <c r="E8" s="143"/>
      <c r="F8" s="147" t="s">
        <v>184</v>
      </c>
      <c r="G8" s="148"/>
      <c r="H8" s="148"/>
      <c r="I8" s="148"/>
      <c r="J8" s="149"/>
    </row>
    <row r="9" spans="1:10" x14ac:dyDescent="0.25">
      <c r="A9" s="141" t="s">
        <v>292</v>
      </c>
      <c r="B9" s="142"/>
      <c r="C9" s="142"/>
      <c r="D9" s="142"/>
      <c r="E9" s="143"/>
      <c r="F9" s="150" t="s">
        <v>185</v>
      </c>
      <c r="G9" s="142"/>
      <c r="H9" s="142"/>
      <c r="I9" s="142"/>
      <c r="J9" s="143"/>
    </row>
    <row r="10" spans="1:10" ht="80.25" customHeight="1" x14ac:dyDescent="0.25">
      <c r="A10" s="141" t="s">
        <v>7</v>
      </c>
      <c r="B10" s="142"/>
      <c r="C10" s="142"/>
      <c r="D10" s="142"/>
      <c r="E10" s="143"/>
      <c r="F10" s="154" t="s">
        <v>266</v>
      </c>
      <c r="G10" s="155"/>
      <c r="H10" s="155"/>
      <c r="I10" s="155"/>
      <c r="J10" s="156"/>
    </row>
    <row r="11" spans="1:10" x14ac:dyDescent="0.25">
      <c r="A11" s="141" t="s">
        <v>8</v>
      </c>
      <c r="B11" s="142"/>
      <c r="C11" s="142"/>
      <c r="D11" s="142"/>
      <c r="E11" s="143"/>
      <c r="F11" s="154" t="s">
        <v>287</v>
      </c>
      <c r="G11" s="162"/>
      <c r="H11" s="162"/>
      <c r="I11" s="162"/>
      <c r="J11" s="163"/>
    </row>
    <row r="12" spans="1:10" x14ac:dyDescent="0.25">
      <c r="A12" s="141" t="s">
        <v>9</v>
      </c>
      <c r="B12" s="142"/>
      <c r="C12" s="142"/>
      <c r="D12" s="142"/>
      <c r="E12" s="143"/>
      <c r="F12" s="150" t="s">
        <v>291</v>
      </c>
      <c r="G12" s="142"/>
      <c r="H12" s="142"/>
      <c r="I12" s="142"/>
      <c r="J12" s="143"/>
    </row>
    <row r="13" spans="1:10" ht="31.5" customHeight="1" x14ac:dyDescent="0.25">
      <c r="A13" s="164" t="s">
        <v>10</v>
      </c>
      <c r="B13" s="164"/>
      <c r="C13" s="150" t="str">
        <f>CONCATENATE((IF(OR(F8="",F8="NA"),"",F8)),", ",(IF(OR(A14="",A14="NA"),"",A14)),".",(IF(OR(C14="",C14="NA"),"",C14)),", ",(IF(OR(F14="",F14="NA"),"",F14)),".",(IF(OR(H14="",H14="NA"),"",H14)),", ",(IF(OR(C15="",C15="NA"),"",C15)),", ",(IF(OR(H15="",H15="NA"),"",H15)),", ",(IF(OR(C16="",C16="NA"),"",C16)),", ",(IF(OR(H16="",H16="NA"),"",H16)),".")</f>
        <v>Sagar Sargam Residency, Survey No.6, Hissa No.5, Karjat Neral Road, Haliwali, Karjat, Raigad.</v>
      </c>
      <c r="D13" s="160"/>
      <c r="E13" s="160"/>
      <c r="F13" s="160"/>
      <c r="G13" s="160"/>
      <c r="H13" s="160"/>
      <c r="I13" s="160"/>
      <c r="J13" s="161"/>
    </row>
    <row r="14" spans="1:10" ht="15.75" customHeight="1" x14ac:dyDescent="0.25">
      <c r="A14" s="118" t="s">
        <v>186</v>
      </c>
      <c r="B14" s="120"/>
      <c r="C14" s="118">
        <v>6</v>
      </c>
      <c r="D14" s="119"/>
      <c r="E14" s="119"/>
      <c r="F14" s="130" t="s">
        <v>218</v>
      </c>
      <c r="G14" s="131"/>
      <c r="H14" s="118">
        <v>5</v>
      </c>
      <c r="I14" s="119"/>
      <c r="J14" s="120"/>
    </row>
    <row r="15" spans="1:10" ht="15.75" customHeight="1" x14ac:dyDescent="0.25">
      <c r="A15" s="118" t="s">
        <v>11</v>
      </c>
      <c r="B15" s="120"/>
      <c r="C15" s="129" t="s">
        <v>192</v>
      </c>
      <c r="D15" s="129"/>
      <c r="E15" s="129"/>
      <c r="F15" s="130" t="s">
        <v>143</v>
      </c>
      <c r="G15" s="131"/>
      <c r="H15" s="118" t="s">
        <v>187</v>
      </c>
      <c r="I15" s="119"/>
      <c r="J15" s="120"/>
    </row>
    <row r="16" spans="1:10" x14ac:dyDescent="0.25">
      <c r="A16" s="129" t="s">
        <v>13</v>
      </c>
      <c r="B16" s="129"/>
      <c r="C16" s="129" t="s">
        <v>188</v>
      </c>
      <c r="D16" s="129"/>
      <c r="E16" s="129"/>
      <c r="F16" s="130" t="s">
        <v>12</v>
      </c>
      <c r="G16" s="131"/>
      <c r="H16" s="132" t="s">
        <v>189</v>
      </c>
      <c r="I16" s="132"/>
      <c r="J16" s="132"/>
    </row>
    <row r="17" spans="1:10" x14ac:dyDescent="0.25">
      <c r="A17" s="129" t="s">
        <v>144</v>
      </c>
      <c r="B17" s="129"/>
      <c r="C17" s="118" t="s">
        <v>188</v>
      </c>
      <c r="D17" s="119"/>
      <c r="E17" s="120"/>
      <c r="F17" s="130" t="s">
        <v>14</v>
      </c>
      <c r="G17" s="131"/>
      <c r="H17" s="118">
        <v>410201</v>
      </c>
      <c r="I17" s="119"/>
      <c r="J17" s="120"/>
    </row>
    <row r="18" spans="1:10" ht="32.25" customHeight="1" x14ac:dyDescent="0.25">
      <c r="A18" s="129" t="s">
        <v>15</v>
      </c>
      <c r="B18" s="129"/>
      <c r="C18" s="165" t="s">
        <v>191</v>
      </c>
      <c r="D18" s="165"/>
      <c r="E18" s="165"/>
      <c r="F18" s="166" t="s">
        <v>16</v>
      </c>
      <c r="G18" s="166"/>
      <c r="H18" s="167" t="s">
        <v>190</v>
      </c>
      <c r="I18" s="167"/>
      <c r="J18" s="168"/>
    </row>
    <row r="19" spans="1:10" ht="15" customHeight="1" x14ac:dyDescent="0.25">
      <c r="A19" s="130" t="s">
        <v>158</v>
      </c>
      <c r="B19" s="169"/>
      <c r="C19" s="169"/>
      <c r="D19" s="169"/>
      <c r="E19" s="131"/>
      <c r="F19" s="171" t="s">
        <v>17</v>
      </c>
      <c r="G19" s="172"/>
      <c r="H19" s="172"/>
      <c r="I19" s="172"/>
      <c r="J19" s="173"/>
    </row>
    <row r="20" spans="1:10" ht="18.75" customHeight="1" x14ac:dyDescent="0.25">
      <c r="A20" s="127"/>
      <c r="B20" s="128"/>
      <c r="C20" s="128"/>
      <c r="D20" s="128"/>
      <c r="E20" s="170"/>
      <c r="F20" s="174"/>
      <c r="G20" s="175"/>
      <c r="H20" s="175"/>
      <c r="I20" s="175"/>
      <c r="J20" s="176"/>
    </row>
    <row r="21" spans="1:10" ht="15" customHeight="1" x14ac:dyDescent="0.25">
      <c r="A21" s="130" t="s">
        <v>18</v>
      </c>
      <c r="B21" s="169"/>
      <c r="C21" s="169"/>
      <c r="D21" s="169"/>
      <c r="E21" s="131"/>
      <c r="F21" s="130" t="s">
        <v>19</v>
      </c>
      <c r="G21" s="169"/>
      <c r="H21" s="169"/>
      <c r="I21" s="169"/>
      <c r="J21" s="131"/>
    </row>
    <row r="22" spans="1:10" x14ac:dyDescent="0.25">
      <c r="A22" s="127"/>
      <c r="B22" s="128"/>
      <c r="C22" s="128"/>
      <c r="D22" s="128"/>
      <c r="E22" s="170"/>
      <c r="F22" s="127"/>
      <c r="G22" s="128"/>
      <c r="H22" s="128"/>
      <c r="I22" s="128"/>
      <c r="J22" s="170"/>
    </row>
    <row r="23" spans="1:10" ht="15" customHeight="1" x14ac:dyDescent="0.25">
      <c r="A23" s="112" t="s">
        <v>20</v>
      </c>
      <c r="B23" s="113"/>
      <c r="C23" s="113"/>
      <c r="D23" s="113"/>
      <c r="E23" s="114"/>
      <c r="F23" s="151" t="s">
        <v>21</v>
      </c>
      <c r="G23" s="152"/>
      <c r="H23" s="152"/>
      <c r="I23" s="152"/>
      <c r="J23" s="153"/>
    </row>
    <row r="24" spans="1:10" x14ac:dyDescent="0.25">
      <c r="A24" s="112" t="s">
        <v>22</v>
      </c>
      <c r="B24" s="113"/>
      <c r="C24" s="113"/>
      <c r="D24" s="113"/>
      <c r="E24" s="114"/>
      <c r="F24" s="151" t="s">
        <v>23</v>
      </c>
      <c r="G24" s="152"/>
      <c r="H24" s="152"/>
      <c r="I24" s="152"/>
      <c r="J24" s="153"/>
    </row>
    <row r="25" spans="1:10" ht="15" customHeight="1" x14ac:dyDescent="0.25">
      <c r="A25" s="112" t="s">
        <v>24</v>
      </c>
      <c r="B25" s="113"/>
      <c r="C25" s="113"/>
      <c r="D25" s="113"/>
      <c r="E25" s="114"/>
      <c r="F25" s="151" t="s">
        <v>25</v>
      </c>
      <c r="G25" s="152"/>
      <c r="H25" s="152"/>
      <c r="I25" s="152"/>
      <c r="J25" s="153"/>
    </row>
    <row r="26" spans="1:10" x14ac:dyDescent="0.25">
      <c r="A26" s="112" t="s">
        <v>26</v>
      </c>
      <c r="B26" s="113"/>
      <c r="C26" s="113"/>
      <c r="D26" s="113"/>
      <c r="E26" s="114"/>
      <c r="F26" s="151" t="s">
        <v>27</v>
      </c>
      <c r="G26" s="152"/>
      <c r="H26" s="152"/>
      <c r="I26" s="152"/>
      <c r="J26" s="153"/>
    </row>
    <row r="27" spans="1:10" x14ac:dyDescent="0.25">
      <c r="A27" s="133" t="s">
        <v>28</v>
      </c>
      <c r="B27" s="134"/>
      <c r="C27" s="133" t="s">
        <v>29</v>
      </c>
      <c r="D27" s="134"/>
      <c r="E27" s="133" t="s">
        <v>30</v>
      </c>
      <c r="F27" s="134"/>
      <c r="G27" s="133" t="s">
        <v>32</v>
      </c>
      <c r="H27" s="134"/>
      <c r="I27" s="133" t="s">
        <v>31</v>
      </c>
      <c r="J27" s="134"/>
    </row>
    <row r="28" spans="1:10" x14ac:dyDescent="0.25">
      <c r="A28" s="110" t="s">
        <v>33</v>
      </c>
      <c r="B28" s="111"/>
      <c r="C28" s="110" t="s">
        <v>34</v>
      </c>
      <c r="D28" s="111"/>
      <c r="E28" s="110" t="s">
        <v>34</v>
      </c>
      <c r="F28" s="111"/>
      <c r="G28" s="110" t="s">
        <v>34</v>
      </c>
      <c r="H28" s="111"/>
      <c r="I28" s="110" t="s">
        <v>34</v>
      </c>
      <c r="J28" s="111"/>
    </row>
    <row r="29" spans="1:10" x14ac:dyDescent="0.25">
      <c r="A29" s="110" t="s">
        <v>35</v>
      </c>
      <c r="B29" s="111"/>
      <c r="C29" s="110" t="s">
        <v>194</v>
      </c>
      <c r="D29" s="111"/>
      <c r="E29" s="110" t="s">
        <v>193</v>
      </c>
      <c r="F29" s="111"/>
      <c r="G29" s="110" t="s">
        <v>193</v>
      </c>
      <c r="H29" s="111"/>
      <c r="I29" s="110" t="s">
        <v>11</v>
      </c>
      <c r="J29" s="111"/>
    </row>
    <row r="30" spans="1:10" x14ac:dyDescent="0.25">
      <c r="A30" s="112" t="s">
        <v>36</v>
      </c>
      <c r="B30" s="113"/>
      <c r="C30" s="113"/>
      <c r="D30" s="113"/>
      <c r="E30" s="113"/>
      <c r="F30" s="113"/>
      <c r="G30" s="113"/>
      <c r="H30" s="113"/>
      <c r="I30" s="113"/>
      <c r="J30" s="114"/>
    </row>
    <row r="31" spans="1:10" x14ac:dyDescent="0.25">
      <c r="A31" s="112" t="s">
        <v>37</v>
      </c>
      <c r="B31" s="113"/>
      <c r="C31" s="113"/>
      <c r="D31" s="113"/>
      <c r="E31" s="113"/>
      <c r="F31" s="113"/>
      <c r="G31" s="113"/>
      <c r="H31" s="113"/>
      <c r="I31" s="113"/>
      <c r="J31" s="114"/>
    </row>
    <row r="32" spans="1:10" x14ac:dyDescent="0.25">
      <c r="A32" s="112" t="s">
        <v>38</v>
      </c>
      <c r="B32" s="114"/>
      <c r="C32" s="110" t="s">
        <v>39</v>
      </c>
      <c r="D32" s="111"/>
      <c r="E32" s="110">
        <v>18.923699800000001</v>
      </c>
      <c r="F32" s="111"/>
      <c r="G32" s="110" t="s">
        <v>40</v>
      </c>
      <c r="H32" s="111"/>
      <c r="I32" s="110">
        <v>73.317708100000004</v>
      </c>
      <c r="J32" s="111"/>
    </row>
    <row r="33" spans="1:10" x14ac:dyDescent="0.25">
      <c r="A33" s="112" t="s">
        <v>263</v>
      </c>
      <c r="B33" s="114"/>
      <c r="C33" s="287" t="s">
        <v>264</v>
      </c>
      <c r="D33" s="288"/>
      <c r="E33" s="288"/>
      <c r="F33" s="288"/>
      <c r="G33" s="288"/>
      <c r="H33" s="288"/>
      <c r="I33" s="288"/>
      <c r="J33" s="111"/>
    </row>
    <row r="34" spans="1:10" x14ac:dyDescent="0.25">
      <c r="A34" s="124" t="s">
        <v>41</v>
      </c>
      <c r="B34" s="125"/>
      <c r="C34" s="125"/>
      <c r="D34" s="125"/>
      <c r="E34" s="125"/>
      <c r="F34" s="125"/>
      <c r="G34" s="125"/>
      <c r="H34" s="125"/>
      <c r="I34" s="125"/>
      <c r="J34" s="126"/>
    </row>
    <row r="35" spans="1:10" ht="15" customHeight="1" x14ac:dyDescent="0.25">
      <c r="A35" s="118" t="s">
        <v>42</v>
      </c>
      <c r="B35" s="119"/>
      <c r="C35" s="119"/>
      <c r="D35" s="119"/>
      <c r="E35" s="120"/>
      <c r="F35" s="121" t="s">
        <v>197</v>
      </c>
      <c r="G35" s="122"/>
      <c r="H35" s="122"/>
      <c r="I35" s="122"/>
      <c r="J35" s="123"/>
    </row>
    <row r="36" spans="1:10" ht="15" customHeight="1" x14ac:dyDescent="0.25">
      <c r="A36" s="127" t="s">
        <v>43</v>
      </c>
      <c r="B36" s="128"/>
      <c r="C36" s="128"/>
      <c r="D36" s="128"/>
      <c r="E36" s="128"/>
      <c r="F36" s="118" t="s">
        <v>44</v>
      </c>
      <c r="G36" s="119"/>
      <c r="H36" s="119"/>
      <c r="I36" s="119"/>
      <c r="J36" s="120"/>
    </row>
    <row r="37" spans="1:10" x14ac:dyDescent="0.25">
      <c r="A37" s="124" t="s">
        <v>45</v>
      </c>
      <c r="B37" s="125"/>
      <c r="C37" s="125"/>
      <c r="D37" s="125"/>
      <c r="E37" s="125"/>
      <c r="F37" s="125"/>
      <c r="G37" s="125"/>
      <c r="H37" s="125"/>
      <c r="I37" s="125"/>
      <c r="J37" s="126"/>
    </row>
    <row r="38" spans="1:10" x14ac:dyDescent="0.25">
      <c r="A38" s="112" t="s">
        <v>46</v>
      </c>
      <c r="B38" s="113"/>
      <c r="C38" s="113"/>
      <c r="D38" s="113"/>
      <c r="E38" s="114"/>
      <c r="F38" s="192">
        <v>4155.4399999999996</v>
      </c>
      <c r="G38" s="193"/>
      <c r="H38" s="193"/>
      <c r="I38" s="193"/>
      <c r="J38" s="194"/>
    </row>
    <row r="39" spans="1:10" x14ac:dyDescent="0.25">
      <c r="A39" s="112" t="s">
        <v>47</v>
      </c>
      <c r="B39" s="113"/>
      <c r="C39" s="113"/>
      <c r="D39" s="113"/>
      <c r="E39" s="114"/>
      <c r="F39" s="115">
        <f>4570.98/F38</f>
        <v>1.0999990374063877</v>
      </c>
      <c r="G39" s="116"/>
      <c r="H39" s="116"/>
      <c r="I39" s="116"/>
      <c r="J39" s="117"/>
    </row>
    <row r="40" spans="1:10" x14ac:dyDescent="0.25">
      <c r="A40" s="112" t="s">
        <v>48</v>
      </c>
      <c r="B40" s="113"/>
      <c r="C40" s="113"/>
      <c r="D40" s="113"/>
      <c r="E40" s="114"/>
      <c r="F40" s="115">
        <v>0</v>
      </c>
      <c r="G40" s="116"/>
      <c r="H40" s="116"/>
      <c r="I40" s="116"/>
      <c r="J40" s="117"/>
    </row>
    <row r="41" spans="1:10" x14ac:dyDescent="0.25">
      <c r="A41" s="112" t="s">
        <v>49</v>
      </c>
      <c r="B41" s="113"/>
      <c r="C41" s="113"/>
      <c r="D41" s="113"/>
      <c r="E41" s="114"/>
      <c r="F41" s="115">
        <f>F39+F40</f>
        <v>1.0999990374063877</v>
      </c>
      <c r="G41" s="116"/>
      <c r="H41" s="116"/>
      <c r="I41" s="116"/>
      <c r="J41" s="117"/>
    </row>
    <row r="42" spans="1:10" x14ac:dyDescent="0.25">
      <c r="A42" s="112" t="s">
        <v>50</v>
      </c>
      <c r="B42" s="113"/>
      <c r="C42" s="113"/>
      <c r="D42" s="113"/>
      <c r="E42" s="114"/>
      <c r="F42" s="289">
        <v>4941.04</v>
      </c>
      <c r="G42" s="290"/>
      <c r="H42" s="290"/>
      <c r="I42" s="290"/>
      <c r="J42" s="291"/>
    </row>
    <row r="43" spans="1:10" x14ac:dyDescent="0.25">
      <c r="A43" s="112" t="s">
        <v>51</v>
      </c>
      <c r="B43" s="113"/>
      <c r="C43" s="113"/>
      <c r="D43" s="113"/>
      <c r="E43" s="114"/>
      <c r="F43" s="180" t="s">
        <v>273</v>
      </c>
      <c r="G43" s="181"/>
      <c r="H43" s="181"/>
      <c r="I43" s="181"/>
      <c r="J43" s="182"/>
    </row>
    <row r="44" spans="1:10" x14ac:dyDescent="0.25">
      <c r="A44" s="124" t="s">
        <v>52</v>
      </c>
      <c r="B44" s="125"/>
      <c r="C44" s="125"/>
      <c r="D44" s="125"/>
      <c r="E44" s="125"/>
      <c r="F44" s="125"/>
      <c r="G44" s="125"/>
      <c r="H44" s="125"/>
      <c r="I44" s="125"/>
      <c r="J44" s="126"/>
    </row>
    <row r="45" spans="1:10" x14ac:dyDescent="0.25">
      <c r="A45" s="118" t="s">
        <v>53</v>
      </c>
      <c r="B45" s="120"/>
      <c r="C45" s="186" t="s">
        <v>267</v>
      </c>
      <c r="D45" s="196"/>
      <c r="E45" s="196"/>
      <c r="F45" s="197"/>
      <c r="G45" s="20" t="s">
        <v>54</v>
      </c>
      <c r="H45" s="195">
        <v>45055</v>
      </c>
      <c r="I45" s="119"/>
      <c r="J45" s="120"/>
    </row>
    <row r="46" spans="1:10" ht="30.75" customHeight="1" x14ac:dyDescent="0.25">
      <c r="A46" s="118" t="s">
        <v>268</v>
      </c>
      <c r="B46" s="120"/>
      <c r="C46" s="186" t="str">
        <f>C45</f>
        <v>MS/LNA-1/P.K.53/2021</v>
      </c>
      <c r="D46" s="196"/>
      <c r="E46" s="196"/>
      <c r="F46" s="197"/>
      <c r="G46" s="79" t="s">
        <v>54</v>
      </c>
      <c r="H46" s="195">
        <f>H45</f>
        <v>45055</v>
      </c>
      <c r="I46" s="119"/>
      <c r="J46" s="120"/>
    </row>
    <row r="47" spans="1:10" ht="32.25" customHeight="1" x14ac:dyDescent="0.25">
      <c r="A47" s="118" t="s">
        <v>269</v>
      </c>
      <c r="B47" s="120"/>
      <c r="C47" s="186" t="s">
        <v>195</v>
      </c>
      <c r="D47" s="196"/>
      <c r="E47" s="196"/>
      <c r="F47" s="197"/>
      <c r="G47" s="20" t="s">
        <v>54</v>
      </c>
      <c r="H47" s="118" t="s">
        <v>196</v>
      </c>
      <c r="I47" s="119"/>
      <c r="J47" s="120"/>
    </row>
    <row r="48" spans="1:10" ht="101.25" customHeight="1" x14ac:dyDescent="0.25">
      <c r="A48" s="118" t="s">
        <v>270</v>
      </c>
      <c r="B48" s="120"/>
      <c r="C48" s="186" t="s">
        <v>288</v>
      </c>
      <c r="D48" s="187"/>
      <c r="E48" s="187"/>
      <c r="F48" s="188"/>
      <c r="G48" s="13" t="s">
        <v>54</v>
      </c>
      <c r="H48" s="286">
        <v>45055</v>
      </c>
      <c r="I48" s="187"/>
      <c r="J48" s="188"/>
    </row>
    <row r="49" spans="1:12" ht="12" hidden="1" customHeight="1" x14ac:dyDescent="0.25">
      <c r="A49" s="118" t="s">
        <v>272</v>
      </c>
      <c r="B49" s="120"/>
      <c r="C49" s="186" t="s">
        <v>271</v>
      </c>
      <c r="D49" s="187"/>
      <c r="E49" s="187"/>
      <c r="F49" s="188"/>
      <c r="G49" s="13" t="s">
        <v>54</v>
      </c>
      <c r="H49" s="269" t="s">
        <v>196</v>
      </c>
      <c r="I49" s="187"/>
      <c r="J49" s="188"/>
    </row>
    <row r="50" spans="1:12" ht="15" customHeight="1" x14ac:dyDescent="0.25">
      <c r="A50" s="118" t="s">
        <v>55</v>
      </c>
      <c r="B50" s="120"/>
      <c r="C50" s="186" t="s">
        <v>153</v>
      </c>
      <c r="D50" s="187"/>
      <c r="E50" s="187"/>
      <c r="F50" s="188" t="s">
        <v>56</v>
      </c>
      <c r="G50" s="20" t="s">
        <v>54</v>
      </c>
      <c r="H50" s="118" t="s">
        <v>34</v>
      </c>
      <c r="I50" s="119" t="s">
        <v>34</v>
      </c>
      <c r="J50" s="120"/>
    </row>
    <row r="51" spans="1:12" x14ac:dyDescent="0.25">
      <c r="A51" s="129" t="s">
        <v>57</v>
      </c>
      <c r="B51" s="129"/>
      <c r="C51" s="129"/>
      <c r="D51" s="189" t="str">
        <f>H49</f>
        <v>31/03/2017.</v>
      </c>
      <c r="E51" s="189"/>
      <c r="F51" s="112" t="s">
        <v>58</v>
      </c>
      <c r="G51" s="190"/>
      <c r="H51" s="191">
        <v>46477</v>
      </c>
      <c r="I51" s="181"/>
      <c r="J51" s="182"/>
    </row>
    <row r="52" spans="1:12" x14ac:dyDescent="0.25">
      <c r="A52" s="177" t="s">
        <v>59</v>
      </c>
      <c r="B52" s="178"/>
      <c r="C52" s="178"/>
      <c r="D52" s="178"/>
      <c r="E52" s="178"/>
      <c r="F52" s="178"/>
      <c r="G52" s="178"/>
      <c r="H52" s="178"/>
      <c r="I52" s="178"/>
      <c r="J52" s="179"/>
    </row>
    <row r="53" spans="1:12" s="41" customFormat="1" ht="30.75" customHeight="1" x14ac:dyDescent="0.25">
      <c r="A53" s="180" t="s">
        <v>60</v>
      </c>
      <c r="B53" s="181"/>
      <c r="C53" s="182"/>
      <c r="D53" s="183">
        <f>F42</f>
        <v>4941.04</v>
      </c>
      <c r="E53" s="184"/>
      <c r="F53" s="185" t="s">
        <v>61</v>
      </c>
      <c r="G53" s="168"/>
      <c r="H53" s="185" t="s">
        <v>285</v>
      </c>
      <c r="I53" s="167"/>
      <c r="J53" s="168"/>
    </row>
    <row r="54" spans="1:12" ht="80.25" customHeight="1" x14ac:dyDescent="0.25">
      <c r="A54" s="180" t="s">
        <v>62</v>
      </c>
      <c r="B54" s="181"/>
      <c r="C54" s="185" t="s">
        <v>290</v>
      </c>
      <c r="D54" s="167"/>
      <c r="E54" s="168"/>
      <c r="F54" s="112" t="s">
        <v>63</v>
      </c>
      <c r="G54" s="113"/>
      <c r="H54" s="113"/>
      <c r="I54" s="113"/>
      <c r="J54" s="114"/>
    </row>
    <row r="55" spans="1:12" ht="15.75" customHeight="1" x14ac:dyDescent="0.25">
      <c r="A55" s="112" t="s">
        <v>64</v>
      </c>
      <c r="B55" s="113"/>
      <c r="C55" s="113"/>
      <c r="D55" s="118" t="s">
        <v>65</v>
      </c>
      <c r="E55" s="119"/>
      <c r="F55" s="119"/>
      <c r="G55" s="119"/>
      <c r="H55" s="119"/>
      <c r="I55" s="119"/>
      <c r="J55" s="120"/>
    </row>
    <row r="56" spans="1:12" s="41" customFormat="1" ht="16.5" thickBot="1" x14ac:dyDescent="0.3">
      <c r="A56" s="203" t="s">
        <v>216</v>
      </c>
      <c r="B56" s="204"/>
      <c r="C56" s="204"/>
      <c r="D56" s="204"/>
      <c r="E56" s="204"/>
      <c r="F56" s="204"/>
      <c r="G56" s="204"/>
      <c r="H56" s="204"/>
      <c r="I56" s="204"/>
      <c r="J56" s="205"/>
    </row>
    <row r="57" spans="1:12" ht="15" customHeight="1" x14ac:dyDescent="0.25">
      <c r="A57" s="98" t="s">
        <v>239</v>
      </c>
      <c r="B57" s="99"/>
      <c r="C57" s="100" t="s">
        <v>275</v>
      </c>
      <c r="D57" s="100"/>
      <c r="E57" s="100"/>
      <c r="F57" s="100"/>
      <c r="G57" s="100"/>
      <c r="H57" s="100"/>
      <c r="I57" s="100"/>
      <c r="J57" s="101"/>
      <c r="K57" s="57" t="str">
        <f ca="1">(IF(F61&gt;99%,"All work completed. Please provide OC.",IF(F61&gt;89.8%,"Plinth, RCC, Brick, Plaster, Flooring, Painting work Completed. Finishing work is in process.",IF(F61&lt;94%,(IF(C61=0,"Work not yet Started.",IF(D61=25%,"Piling work in process",IF(D61=50%,"Excavation work in process",IF(D61=100%,"Excavation work Completed. ","0")))&amp;(IF(C62=0%,"",IF(C62=L63,"Footing work is process",IF(C62=L64,"Footing work Completed",IF(C62=L65,"1st Basement Completed",IF(C62=L66,"1st &amp; 2nd Basement Completed",IF(C62=L67,"1st to 3rd Basement Completed",IF(C62=L68,"1st to 4th Basement Completed",IF(C62=L69,"Plinth work is process",IF(C62=L70,"Plinth work completed","0")))))))))))&amp;(IF(C63=(D58+G58+I58),", RCC Slab",IF(C63&gt;0,", RCC upto "&amp;C63&amp;" Slab",""))&amp;(IF(C64=I58,", Brickwork",IF(C64&gt;0,", Brickwork upto "&amp;C64&amp;" Floor",""))&amp;(IF(C65=I58,", Internal Plaster",IF(C65&gt;0,", Internal Plaster upto "&amp;C65&amp;" Floor",""))&amp;(IF(C66=I58,", External Plaster",IF(C66&gt;0,", External Plaster upto "&amp;C66&amp;" Floor",""))&amp;(IF(C67=I58,", Flooring",IF(C67&gt;0,", Flooring upto "&amp;C67&amp;" Floor",""))&amp;(IF(C68=I58,", Painting",IF(C68&gt;0,", Painting upto "&amp;C68&amp;" Floor",""))&amp;(IF(C69&gt;0,", Finishing upto "&amp;C69&amp;" Floor","")&amp;(IF(C63&gt;0.5," Completed",""))))))))))))))</f>
        <v>Excavation work Completed. Plinth work completed, RCC upto 7 Slab, Brickwork upto 2 Floor Completed</v>
      </c>
      <c r="L57" s="58"/>
    </row>
    <row r="58" spans="1:12" s="41" customFormat="1" ht="16.5" customHeight="1" x14ac:dyDescent="0.25">
      <c r="A58" s="72" t="s">
        <v>139</v>
      </c>
      <c r="B58" s="73">
        <v>0</v>
      </c>
      <c r="C58" s="73" t="s">
        <v>141</v>
      </c>
      <c r="D58" s="73">
        <v>1</v>
      </c>
      <c r="E58" s="95" t="s">
        <v>140</v>
      </c>
      <c r="F58" s="95"/>
      <c r="G58" s="73">
        <v>0</v>
      </c>
      <c r="H58" s="73" t="s">
        <v>240</v>
      </c>
      <c r="I58" s="95">
        <f ca="1">--TRIM(RIGHT(SUBSTITUTE(LEFT(C57,_xlfn.AGGREGATE(16,6,FIND({0,1,2,3,4,5,6,7,8,9},C57,ROW(INDIRECT("1:"&amp;LEN(C57)))),1))," ",REPT(" ",LEN(C57))),LEN(C57)))</f>
        <v>7</v>
      </c>
      <c r="J58" s="102"/>
      <c r="K58" s="59"/>
      <c r="L58" s="60"/>
    </row>
    <row r="59" spans="1:12" ht="34.5" customHeight="1" x14ac:dyDescent="0.25">
      <c r="A59" s="103" t="s">
        <v>241</v>
      </c>
      <c r="B59" s="104"/>
      <c r="C59" s="105" t="str">
        <f ca="1">K57</f>
        <v>Excavation work Completed. Plinth work completed, RCC upto 7 Slab, Brickwork upto 2 Floor Completed</v>
      </c>
      <c r="D59" s="105"/>
      <c r="E59" s="105"/>
      <c r="F59" s="105"/>
      <c r="G59" s="105"/>
      <c r="H59" s="105"/>
      <c r="I59" s="105"/>
      <c r="J59" s="106"/>
      <c r="K59" s="59" t="s">
        <v>242</v>
      </c>
      <c r="L59" s="60"/>
    </row>
    <row r="60" spans="1:12" x14ac:dyDescent="0.25">
      <c r="A60" s="107" t="s">
        <v>66</v>
      </c>
      <c r="B60" s="108"/>
      <c r="C60" s="71" t="s">
        <v>243</v>
      </c>
      <c r="D60" s="108" t="s">
        <v>244</v>
      </c>
      <c r="E60" s="108"/>
      <c r="F60" s="108" t="s">
        <v>245</v>
      </c>
      <c r="G60" s="108"/>
      <c r="H60" s="108" t="s">
        <v>246</v>
      </c>
      <c r="I60" s="108"/>
      <c r="J60" s="109"/>
      <c r="K60" s="61" t="s">
        <v>247</v>
      </c>
      <c r="L60" s="62">
        <f ca="1">I58*25%</f>
        <v>1.75</v>
      </c>
    </row>
    <row r="61" spans="1:12" x14ac:dyDescent="0.25">
      <c r="A61" s="88" t="s">
        <v>248</v>
      </c>
      <c r="B61" s="89"/>
      <c r="C61" s="68">
        <f ca="1">L62</f>
        <v>7</v>
      </c>
      <c r="D61" s="90">
        <f ca="1">((100/I58)*C61)/100</f>
        <v>1</v>
      </c>
      <c r="E61" s="90"/>
      <c r="F61" s="90">
        <f ca="1">(((C62/I58*10)+(40/(D58+G58+I58)*C63)+(7.5/(I58)*C64)+(7.5/(I58)*C65)+(10/I58*C66)+(10/I58*C67)+(5/I58*C68)+(5/I58*C69)+(5/I58*C70))/100)</f>
        <v>0.47142857142857147</v>
      </c>
      <c r="G61" s="90"/>
      <c r="H61" s="90">
        <f ca="1">((((C61/I58)*20)+((C62/I58)*25)+(30/(I58+G58+D58)*C63)+(5/I58*C64)+(5/I58*C65)+(5/I58*C66)+(5/I58*C67)+(0/I58*C68)+(0/I58*C69)+(5/I58*C70))/100)</f>
        <v>0.72678571428571426</v>
      </c>
      <c r="I61" s="90"/>
      <c r="J61" s="92"/>
      <c r="K61" s="61" t="s">
        <v>147</v>
      </c>
      <c r="L61" s="63">
        <f ca="1">I58*50%</f>
        <v>3.5</v>
      </c>
    </row>
    <row r="62" spans="1:12" x14ac:dyDescent="0.25">
      <c r="A62" s="88" t="s">
        <v>67</v>
      </c>
      <c r="B62" s="89"/>
      <c r="C62" s="69">
        <f ca="1">L70</f>
        <v>7</v>
      </c>
      <c r="D62" s="90">
        <f ca="1">((100/I58)*C62)/100</f>
        <v>1</v>
      </c>
      <c r="E62" s="90"/>
      <c r="F62" s="90"/>
      <c r="G62" s="90"/>
      <c r="H62" s="90"/>
      <c r="I62" s="90"/>
      <c r="J62" s="92"/>
      <c r="K62" s="61" t="s">
        <v>148</v>
      </c>
      <c r="L62" s="63">
        <f ca="1">I58</f>
        <v>7</v>
      </c>
    </row>
    <row r="63" spans="1:12" x14ac:dyDescent="0.25">
      <c r="A63" s="94" t="s">
        <v>249</v>
      </c>
      <c r="B63" s="95"/>
      <c r="C63" s="69">
        <v>7</v>
      </c>
      <c r="D63" s="90">
        <f ca="1">((100/(D58+G58+I58))*C63)/100</f>
        <v>0.875</v>
      </c>
      <c r="E63" s="90"/>
      <c r="F63" s="90"/>
      <c r="G63" s="90"/>
      <c r="H63" s="90"/>
      <c r="I63" s="90"/>
      <c r="J63" s="92"/>
      <c r="K63" s="61" t="s">
        <v>149</v>
      </c>
      <c r="L63" s="64">
        <f ca="1">(IF(B58&gt;1,(I58/(B58+2)),I58/4))</f>
        <v>1.75</v>
      </c>
    </row>
    <row r="64" spans="1:12" x14ac:dyDescent="0.25">
      <c r="A64" s="88" t="s">
        <v>250</v>
      </c>
      <c r="B64" s="89" t="s">
        <v>251</v>
      </c>
      <c r="C64" s="68">
        <v>2</v>
      </c>
      <c r="D64" s="90">
        <f ca="1">((100/I58)*C64)/100</f>
        <v>0.28571428571428575</v>
      </c>
      <c r="E64" s="90"/>
      <c r="F64" s="90"/>
      <c r="G64" s="90"/>
      <c r="H64" s="90"/>
      <c r="I64" s="90"/>
      <c r="J64" s="92"/>
      <c r="K64" s="61" t="s">
        <v>150</v>
      </c>
      <c r="L64" s="64">
        <f ca="1">(IF(B58&gt;1,(I58/(B58+2)+L63),I58/4+L63))</f>
        <v>3.5</v>
      </c>
    </row>
    <row r="65" spans="1:12" x14ac:dyDescent="0.25">
      <c r="A65" s="88" t="s">
        <v>252</v>
      </c>
      <c r="B65" s="89" t="s">
        <v>251</v>
      </c>
      <c r="C65" s="68">
        <v>0</v>
      </c>
      <c r="D65" s="90">
        <f ca="1">((100/I58)*C65)/100</f>
        <v>0</v>
      </c>
      <c r="E65" s="90"/>
      <c r="F65" s="90"/>
      <c r="G65" s="90"/>
      <c r="H65" s="90"/>
      <c r="I65" s="90"/>
      <c r="J65" s="92"/>
      <c r="K65" s="61" t="s">
        <v>253</v>
      </c>
      <c r="L65" s="64">
        <f>(IF(B58&gt;1,(I58/(B58+2)+L64),0))</f>
        <v>0</v>
      </c>
    </row>
    <row r="66" spans="1:12" x14ac:dyDescent="0.25">
      <c r="A66" s="88" t="s">
        <v>254</v>
      </c>
      <c r="B66" s="89" t="s">
        <v>255</v>
      </c>
      <c r="C66" s="68">
        <v>0</v>
      </c>
      <c r="D66" s="90">
        <f ca="1">((100/(I58))*C66)/100</f>
        <v>0</v>
      </c>
      <c r="E66" s="90"/>
      <c r="F66" s="90"/>
      <c r="G66" s="90"/>
      <c r="H66" s="90"/>
      <c r="I66" s="90"/>
      <c r="J66" s="92"/>
      <c r="K66" s="61" t="s">
        <v>256</v>
      </c>
      <c r="L66" s="64">
        <f>(IF(B58&gt;2,(I58/(B58+2)+L65),0))</f>
        <v>0</v>
      </c>
    </row>
    <row r="67" spans="1:12" x14ac:dyDescent="0.25">
      <c r="A67" s="88" t="s">
        <v>257</v>
      </c>
      <c r="B67" s="89" t="s">
        <v>257</v>
      </c>
      <c r="C67" s="68">
        <v>0</v>
      </c>
      <c r="D67" s="90">
        <f ca="1">((100/I58)*C67)/100</f>
        <v>0</v>
      </c>
      <c r="E67" s="90"/>
      <c r="F67" s="90"/>
      <c r="G67" s="90"/>
      <c r="H67" s="90"/>
      <c r="I67" s="90"/>
      <c r="J67" s="92"/>
      <c r="K67" s="61" t="s">
        <v>258</v>
      </c>
      <c r="L67" s="65">
        <f>(IF(B58&gt;3,(I58/(B58+2)+L66),0))</f>
        <v>0</v>
      </c>
    </row>
    <row r="68" spans="1:12" ht="15" customHeight="1" x14ac:dyDescent="0.25">
      <c r="A68" s="88" t="s">
        <v>259</v>
      </c>
      <c r="B68" s="89"/>
      <c r="C68" s="68">
        <v>0</v>
      </c>
      <c r="D68" s="90">
        <f ca="1">((100/I58)*C68)/100</f>
        <v>0</v>
      </c>
      <c r="E68" s="90"/>
      <c r="F68" s="90"/>
      <c r="G68" s="90"/>
      <c r="H68" s="90"/>
      <c r="I68" s="90"/>
      <c r="J68" s="92"/>
      <c r="K68" s="61" t="s">
        <v>260</v>
      </c>
      <c r="L68" s="64">
        <f>(IF(B58&gt;4,(I58/(B58+2)+L67),0))</f>
        <v>0</v>
      </c>
    </row>
    <row r="69" spans="1:12" x14ac:dyDescent="0.25">
      <c r="A69" s="88" t="s">
        <v>261</v>
      </c>
      <c r="B69" s="89" t="s">
        <v>261</v>
      </c>
      <c r="C69" s="68">
        <v>0</v>
      </c>
      <c r="D69" s="90">
        <f ca="1">((100/(I58))*C69)/100</f>
        <v>0</v>
      </c>
      <c r="E69" s="90"/>
      <c r="F69" s="90"/>
      <c r="G69" s="90"/>
      <c r="H69" s="90"/>
      <c r="I69" s="90"/>
      <c r="J69" s="92"/>
      <c r="K69" s="61" t="s">
        <v>151</v>
      </c>
      <c r="L69" s="64">
        <f ca="1">(IF(B58=1,(I58/(B58+3)+L64),IF(B58=0,(I58/4+L64),IF(B58&gt;1,0))))</f>
        <v>5.25</v>
      </c>
    </row>
    <row r="70" spans="1:12" ht="16.5" thickBot="1" x14ac:dyDescent="0.3">
      <c r="A70" s="96" t="s">
        <v>262</v>
      </c>
      <c r="B70" s="97"/>
      <c r="C70" s="70">
        <v>0</v>
      </c>
      <c r="D70" s="91">
        <f ca="1">((100/(I58))*C70)/100</f>
        <v>0</v>
      </c>
      <c r="E70" s="91"/>
      <c r="F70" s="91"/>
      <c r="G70" s="91"/>
      <c r="H70" s="91"/>
      <c r="I70" s="91"/>
      <c r="J70" s="93"/>
      <c r="K70" s="66" t="s">
        <v>152</v>
      </c>
      <c r="L70" s="67">
        <f ca="1">(IF(B58&gt;1.5,(I58/(B58+2)+L64+MAX(0,L65-L64)+MAX(0,L66-L65)+MAX(0,L67-L66)+MAX(0,L68-L67)+MAX(0,L69-L68)),IF(B58=1,(I58/(B58+3)+L69),IF(B58=0,I58/4+L69))))</f>
        <v>7</v>
      </c>
    </row>
    <row r="71" spans="1:12" ht="35.25" customHeight="1" x14ac:dyDescent="0.25">
      <c r="A71" s="98" t="s">
        <v>239</v>
      </c>
      <c r="B71" s="99"/>
      <c r="C71" s="100" t="s">
        <v>276</v>
      </c>
      <c r="D71" s="100"/>
      <c r="E71" s="100"/>
      <c r="F71" s="100"/>
      <c r="G71" s="100"/>
      <c r="H71" s="100"/>
      <c r="I71" s="100"/>
      <c r="J71" s="101"/>
      <c r="K71" s="57" t="str">
        <f ca="1">(IF(F77&gt;99%,"All work completed. Please provide OC.",IF(F77&gt;89.8%,"Plinth, RCC, Brick, Plaster, Flooring, Painting work Completed. Finishing work is in process.",IF(F77&lt;94%,(IF(C77=0,"Work not yet Started.",IF(D77=25%,"Piling work in process",IF(D77=50%,"Excavation work in process",IF(D77=100%,"Excavation work Completed. ","0")))&amp;(IF(C78=0%,"",IF(C78=L79,"Footing work is process",IF(C78=L80,"Footing work Completed",IF(C78=L81,"1st Basement Completed",IF(C78=L82,"1st &amp; 2nd Basement Completed",IF(C78=L83,"1st to 3rd Basement Completed",IF(C78=L84,"1st to 4th Basement Completed",IF(C78=L85,"Plinth work is process",IF(C78=L86,"Plinth work completed","0")))))))))))&amp;(IF(C79=(D72+G72+I72),", RCC Slab",IF(C79&gt;0,", RCC upto "&amp;C79&amp;" Slab",""))&amp;(IF(C80=I72,", Brickwork",IF(C80&gt;0,", Brickwork upto "&amp;C80&amp;" Floor",""))&amp;(IF(C81=I72,", Internal Plaster",IF(C81&gt;0,", Internal Plaster upto "&amp;C81&amp;" Floor",""))&amp;(IF(C82=I72,", External Plaster",IF(C82&gt;0,", External Plaster upto "&amp;C82&amp;" Floor",""))&amp;(IF(C83=I72,", Flooring",IF(C83&gt;0,", Flooring upto "&amp;C83&amp;" Floor",""))&amp;(IF(C84=I72,", Painting",IF(C84&gt;0,", Painting upto "&amp;C84&amp;" Floor",""))&amp;(IF(C85&gt;0,", Finishing upto "&amp;C85&amp;" Floor","")&amp;(IF(C79&gt;0.5," Completed",""))))))))))))))</f>
        <v>All work completed. Please provide OC.</v>
      </c>
      <c r="L71" s="58"/>
    </row>
    <row r="72" spans="1:12" s="41" customFormat="1" ht="16.5" customHeight="1" x14ac:dyDescent="0.25">
      <c r="A72" s="72" t="s">
        <v>139</v>
      </c>
      <c r="B72" s="73">
        <v>0</v>
      </c>
      <c r="C72" s="73" t="s">
        <v>141</v>
      </c>
      <c r="D72" s="73">
        <v>1</v>
      </c>
      <c r="E72" s="95" t="s">
        <v>140</v>
      </c>
      <c r="F72" s="95"/>
      <c r="G72" s="73">
        <v>0</v>
      </c>
      <c r="H72" s="73" t="s">
        <v>240</v>
      </c>
      <c r="I72" s="95">
        <f ca="1">--TRIM(RIGHT(SUBSTITUTE(LEFT(C71,_xlfn.AGGREGATE(16,6,FIND({0,1,2,3,4,5,6,7,8,9},C71,ROW(INDIRECT("1:"&amp;LEN(C71)))),1))," ",REPT(" ",LEN(C71))),LEN(C71)))</f>
        <v>4</v>
      </c>
      <c r="J72" s="102"/>
      <c r="K72" s="59"/>
      <c r="L72" s="60"/>
    </row>
    <row r="73" spans="1:12" x14ac:dyDescent="0.25">
      <c r="A73" s="103" t="s">
        <v>241</v>
      </c>
      <c r="B73" s="104"/>
      <c r="C73" s="105" t="str">
        <f ca="1">K71</f>
        <v>All work completed. Please provide OC.</v>
      </c>
      <c r="D73" s="105"/>
      <c r="E73" s="105"/>
      <c r="F73" s="105"/>
      <c r="G73" s="105"/>
      <c r="H73" s="105"/>
      <c r="I73" s="105"/>
      <c r="J73" s="106"/>
      <c r="K73" s="59" t="s">
        <v>242</v>
      </c>
      <c r="L73" s="60"/>
    </row>
    <row r="74" spans="1:12" x14ac:dyDescent="0.25">
      <c r="A74" s="279" t="s">
        <v>245</v>
      </c>
      <c r="B74" s="280"/>
      <c r="C74" s="273">
        <v>1</v>
      </c>
      <c r="D74" s="283"/>
      <c r="E74" s="285" t="s">
        <v>246</v>
      </c>
      <c r="F74" s="274"/>
      <c r="G74" s="283"/>
      <c r="H74" s="273">
        <v>1</v>
      </c>
      <c r="I74" s="274"/>
      <c r="J74" s="275"/>
      <c r="K74" s="59"/>
      <c r="L74" s="60"/>
    </row>
    <row r="75" spans="1:12" ht="16.5" thickBot="1" x14ac:dyDescent="0.3">
      <c r="A75" s="281"/>
      <c r="B75" s="282"/>
      <c r="C75" s="276"/>
      <c r="D75" s="284"/>
      <c r="E75" s="276"/>
      <c r="F75" s="277"/>
      <c r="G75" s="284"/>
      <c r="H75" s="276"/>
      <c r="I75" s="277"/>
      <c r="J75" s="278"/>
      <c r="K75" s="59"/>
      <c r="L75" s="60"/>
    </row>
    <row r="76" spans="1:12" hidden="1" x14ac:dyDescent="0.25">
      <c r="A76" s="270" t="s">
        <v>66</v>
      </c>
      <c r="B76" s="271"/>
      <c r="C76" s="75" t="s">
        <v>243</v>
      </c>
      <c r="D76" s="271" t="s">
        <v>244</v>
      </c>
      <c r="E76" s="271"/>
      <c r="F76" s="271" t="s">
        <v>245</v>
      </c>
      <c r="G76" s="271"/>
      <c r="H76" s="271" t="s">
        <v>246</v>
      </c>
      <c r="I76" s="271"/>
      <c r="J76" s="272"/>
      <c r="K76" s="61" t="s">
        <v>247</v>
      </c>
      <c r="L76" s="62">
        <f ca="1">I72*25%</f>
        <v>1</v>
      </c>
    </row>
    <row r="77" spans="1:12" hidden="1" x14ac:dyDescent="0.25">
      <c r="A77" s="88" t="s">
        <v>248</v>
      </c>
      <c r="B77" s="89"/>
      <c r="C77" s="68">
        <f ca="1">L78</f>
        <v>4</v>
      </c>
      <c r="D77" s="90">
        <f ca="1">((100/I72)*C77)/100</f>
        <v>1</v>
      </c>
      <c r="E77" s="90"/>
      <c r="F77" s="90">
        <f ca="1">(((C78/I72*10)+(40/(D72+G72+I72)*C79)+(7.5/(I72)*C80)+(7.5/(I72)*C81)+(10/I72*C82)+(10/I72*C83)+(5/I72*C84)+(5/I72*C85)+(5/I72*C86))/100)</f>
        <v>1</v>
      </c>
      <c r="G77" s="90"/>
      <c r="H77" s="90">
        <f ca="1">((((C77/I72)*20)+((C78/I72)*25)+(30/(I72+G72+D72)*C79)+(5/I72*C80)+(5/I72*C81)+(5/I72*C82)+(5/I72*C83)+(0/I72*C84)+(0/I72*C85)+(5/I72*C86))/100)</f>
        <v>1</v>
      </c>
      <c r="I77" s="90"/>
      <c r="J77" s="92"/>
      <c r="K77" s="61" t="s">
        <v>147</v>
      </c>
      <c r="L77" s="63">
        <f ca="1">I72*50%</f>
        <v>2</v>
      </c>
    </row>
    <row r="78" spans="1:12" hidden="1" x14ac:dyDescent="0.25">
      <c r="A78" s="88" t="s">
        <v>67</v>
      </c>
      <c r="B78" s="89"/>
      <c r="C78" s="69">
        <f ca="1">L86</f>
        <v>4</v>
      </c>
      <c r="D78" s="90">
        <f ca="1">((100/I72)*C78)/100</f>
        <v>1</v>
      </c>
      <c r="E78" s="90"/>
      <c r="F78" s="90"/>
      <c r="G78" s="90"/>
      <c r="H78" s="90"/>
      <c r="I78" s="90"/>
      <c r="J78" s="92"/>
      <c r="K78" s="61" t="s">
        <v>148</v>
      </c>
      <c r="L78" s="63">
        <f ca="1">I72</f>
        <v>4</v>
      </c>
    </row>
    <row r="79" spans="1:12" hidden="1" x14ac:dyDescent="0.25">
      <c r="A79" s="94" t="s">
        <v>249</v>
      </c>
      <c r="B79" s="95"/>
      <c r="C79" s="69">
        <f ca="1">D72+I72</f>
        <v>5</v>
      </c>
      <c r="D79" s="90">
        <f ca="1">((100/(D72+G72+I72))*C79)/100</f>
        <v>1</v>
      </c>
      <c r="E79" s="90"/>
      <c r="F79" s="90"/>
      <c r="G79" s="90"/>
      <c r="H79" s="90"/>
      <c r="I79" s="90"/>
      <c r="J79" s="92"/>
      <c r="K79" s="61" t="s">
        <v>149</v>
      </c>
      <c r="L79" s="64">
        <f ca="1">(IF(B72&gt;1,(I72/(B72+2)),I72/4))</f>
        <v>1</v>
      </c>
    </row>
    <row r="80" spans="1:12" hidden="1" x14ac:dyDescent="0.25">
      <c r="A80" s="88" t="s">
        <v>250</v>
      </c>
      <c r="B80" s="89" t="s">
        <v>251</v>
      </c>
      <c r="C80" s="68">
        <v>4</v>
      </c>
      <c r="D80" s="90">
        <f ca="1">((100/I72)*C80)/100</f>
        <v>1</v>
      </c>
      <c r="E80" s="90"/>
      <c r="F80" s="90"/>
      <c r="G80" s="90"/>
      <c r="H80" s="90"/>
      <c r="I80" s="90"/>
      <c r="J80" s="92"/>
      <c r="K80" s="61" t="s">
        <v>150</v>
      </c>
      <c r="L80" s="64">
        <f ca="1">(IF(B72&gt;1,(I72/(B72+2)+L79),I72/4+L79))</f>
        <v>2</v>
      </c>
    </row>
    <row r="81" spans="1:12" hidden="1" x14ac:dyDescent="0.25">
      <c r="A81" s="88" t="s">
        <v>252</v>
      </c>
      <c r="B81" s="89" t="s">
        <v>251</v>
      </c>
      <c r="C81" s="68">
        <v>4</v>
      </c>
      <c r="D81" s="90">
        <f ca="1">((100/I72)*C81)/100</f>
        <v>1</v>
      </c>
      <c r="E81" s="90"/>
      <c r="F81" s="90"/>
      <c r="G81" s="90"/>
      <c r="H81" s="90"/>
      <c r="I81" s="90"/>
      <c r="J81" s="92"/>
      <c r="K81" s="61" t="s">
        <v>253</v>
      </c>
      <c r="L81" s="64">
        <f>(IF(B72&gt;1,(I72/(B72+2)+L80),0))</f>
        <v>0</v>
      </c>
    </row>
    <row r="82" spans="1:12" hidden="1" x14ac:dyDescent="0.25">
      <c r="A82" s="88" t="s">
        <v>254</v>
      </c>
      <c r="B82" s="89" t="s">
        <v>255</v>
      </c>
      <c r="C82" s="68">
        <v>4</v>
      </c>
      <c r="D82" s="90">
        <f ca="1">((100/(I72))*C82)/100</f>
        <v>1</v>
      </c>
      <c r="E82" s="90"/>
      <c r="F82" s="90"/>
      <c r="G82" s="90"/>
      <c r="H82" s="90"/>
      <c r="I82" s="90"/>
      <c r="J82" s="92"/>
      <c r="K82" s="61" t="s">
        <v>256</v>
      </c>
      <c r="L82" s="64">
        <f>(IF(B72&gt;2,(I72/(B72+2)+L81),0))</f>
        <v>0</v>
      </c>
    </row>
    <row r="83" spans="1:12" hidden="1" x14ac:dyDescent="0.25">
      <c r="A83" s="88" t="s">
        <v>257</v>
      </c>
      <c r="B83" s="89" t="s">
        <v>257</v>
      </c>
      <c r="C83" s="68">
        <v>4</v>
      </c>
      <c r="D83" s="90">
        <f ca="1">((100/I72)*C83)/100</f>
        <v>1</v>
      </c>
      <c r="E83" s="90"/>
      <c r="F83" s="90"/>
      <c r="G83" s="90"/>
      <c r="H83" s="90"/>
      <c r="I83" s="90"/>
      <c r="J83" s="92"/>
      <c r="K83" s="61" t="s">
        <v>258</v>
      </c>
      <c r="L83" s="65">
        <f>(IF(B72&gt;3,(I72/(B72+2)+L82),0))</f>
        <v>0</v>
      </c>
    </row>
    <row r="84" spans="1:12" ht="15" hidden="1" customHeight="1" x14ac:dyDescent="0.25">
      <c r="A84" s="88" t="s">
        <v>259</v>
      </c>
      <c r="B84" s="89"/>
      <c r="C84" s="68">
        <v>4</v>
      </c>
      <c r="D84" s="90">
        <f ca="1">((100/I72)*C84)/100</f>
        <v>1</v>
      </c>
      <c r="E84" s="90"/>
      <c r="F84" s="90"/>
      <c r="G84" s="90"/>
      <c r="H84" s="90"/>
      <c r="I84" s="90"/>
      <c r="J84" s="92"/>
      <c r="K84" s="61" t="s">
        <v>260</v>
      </c>
      <c r="L84" s="64">
        <f>(IF(B72&gt;4,(I72/(B72+2)+L83),0))</f>
        <v>0</v>
      </c>
    </row>
    <row r="85" spans="1:12" hidden="1" x14ac:dyDescent="0.25">
      <c r="A85" s="88" t="s">
        <v>261</v>
      </c>
      <c r="B85" s="89" t="s">
        <v>261</v>
      </c>
      <c r="C85" s="68">
        <v>4</v>
      </c>
      <c r="D85" s="90">
        <f ca="1">((100/(I72))*C85)/100</f>
        <v>1</v>
      </c>
      <c r="E85" s="90"/>
      <c r="F85" s="90"/>
      <c r="G85" s="90"/>
      <c r="H85" s="90"/>
      <c r="I85" s="90"/>
      <c r="J85" s="92"/>
      <c r="K85" s="61" t="s">
        <v>151</v>
      </c>
      <c r="L85" s="64">
        <f ca="1">(IF(B72=1,(I72/(B72+3)+L80),IF(B72=0,(I72/4+L80),IF(B72&gt;1,0))))</f>
        <v>3</v>
      </c>
    </row>
    <row r="86" spans="1:12" ht="16.5" hidden="1" thickBot="1" x14ac:dyDescent="0.3">
      <c r="A86" s="96" t="s">
        <v>262</v>
      </c>
      <c r="B86" s="97"/>
      <c r="C86" s="70">
        <v>4</v>
      </c>
      <c r="D86" s="91">
        <f ca="1">((100/(I72))*C86)/100</f>
        <v>1</v>
      </c>
      <c r="E86" s="91"/>
      <c r="F86" s="91"/>
      <c r="G86" s="91"/>
      <c r="H86" s="91"/>
      <c r="I86" s="91"/>
      <c r="J86" s="93"/>
      <c r="K86" s="66" t="s">
        <v>152</v>
      </c>
      <c r="L86" s="67">
        <f ca="1">(IF(B72&gt;1.5,(I72/(B72+2)+L80+MAX(0,L81-L80)+MAX(0,L82-L81)+MAX(0,L83-L82)+MAX(0,L84-L83)+MAX(0,L85-L84)),IF(B72=1,(I72/(B72+3)+L85),IF(B72=0,I72/4+L85))))</f>
        <v>4</v>
      </c>
    </row>
    <row r="87" spans="1:12" ht="17.25" customHeight="1" x14ac:dyDescent="0.25">
      <c r="A87" s="98" t="s">
        <v>239</v>
      </c>
      <c r="B87" s="99"/>
      <c r="C87" s="100" t="s">
        <v>286</v>
      </c>
      <c r="D87" s="100"/>
      <c r="E87" s="100"/>
      <c r="F87" s="100"/>
      <c r="G87" s="100"/>
      <c r="H87" s="100"/>
      <c r="I87" s="100"/>
      <c r="J87" s="101"/>
      <c r="K87" s="57" t="str">
        <f ca="1">(IF(F91&gt;99%,"All work completed. Please provide OC.",IF(F91&gt;89.8%,"Plinth, RCC, Brick, Plaster, Flooring, Painting work Completed. Finishing work is in process.",IF(F91&lt;94%,(IF(C91=0,"Work not yet Started.",IF(D91=25%,"Piling work in process",IF(D91=50%,"Excavation work in process",IF(D91=100%,"Excavation work Completed. ","0")))&amp;(IF(C92=0%,"",IF(C92=L93,"Footing work is process",IF(C92=L94,"Footing work Completed",IF(C92=L95,"1st Basement Completed",IF(C92=L96,"1st &amp; 2nd Basement Completed",IF(C92=L97,"1st to 3rd Basement Completed",IF(C92=L98,"1st to 4th Basement Completed",IF(C92=L99,"Plinth work is process",IF(C92=L100,"Plinth work completed","0")))))))))))&amp;(IF(C93=(D88+G88+I88),", RCC Slab",IF(C93&gt;0,", RCC upto "&amp;C93&amp;" Slab",""))&amp;(IF(C94=I88,", Brickwork",IF(C94&gt;0,", Brickwork upto "&amp;C94&amp;" Floor",""))&amp;(IF(C95=I88,", Internal Plaster",IF(C95&gt;0,", Internal Plaster upto "&amp;C95&amp;" Floor",""))&amp;(IF(C96=I88,", External Plaster",IF(C96&gt;0,", External Plaster upto "&amp;C96&amp;" Floor",""))&amp;(IF(C97=I88,", Flooring",IF(C97&gt;0,", Flooring upto "&amp;C97&amp;" Floor",""))&amp;(IF(C98=I88,", Painting",IF(C98&gt;0,", Painting upto "&amp;C98&amp;" Floor",""))&amp;(IF(C99&gt;0,", Finishing upto "&amp;C99&amp;" Floor","")&amp;(IF(C93&gt;0.5," Completed",""))))))))))))))</f>
        <v>Plinth, RCC, Brick, Plaster, Flooring, Painting work Completed. Finishing work is in process.</v>
      </c>
      <c r="L87" s="58"/>
    </row>
    <row r="88" spans="1:12" s="41" customFormat="1" ht="16.5" customHeight="1" x14ac:dyDescent="0.25">
      <c r="A88" s="81" t="s">
        <v>139</v>
      </c>
      <c r="B88" s="82">
        <v>0</v>
      </c>
      <c r="C88" s="82" t="s">
        <v>141</v>
      </c>
      <c r="D88" s="82">
        <v>1</v>
      </c>
      <c r="E88" s="95" t="s">
        <v>140</v>
      </c>
      <c r="F88" s="95"/>
      <c r="G88" s="82">
        <v>0</v>
      </c>
      <c r="H88" s="82" t="s">
        <v>240</v>
      </c>
      <c r="I88" s="95">
        <f ca="1">--TRIM(RIGHT(SUBSTITUTE(LEFT(C87,_xlfn.AGGREGATE(16,6,FIND({0,1,2,3,4,5,6,7,8,9},C87,ROW(INDIRECT("1:"&amp;LEN(C87)))),1))," ",REPT(" ",LEN(C87))),LEN(C87)))</f>
        <v>1</v>
      </c>
      <c r="J88" s="102"/>
      <c r="K88" s="59"/>
      <c r="L88" s="60"/>
    </row>
    <row r="89" spans="1:12" ht="33.75" customHeight="1" x14ac:dyDescent="0.25">
      <c r="A89" s="103" t="s">
        <v>241</v>
      </c>
      <c r="B89" s="104"/>
      <c r="C89" s="105" t="str">
        <f ca="1">K87</f>
        <v>Plinth, RCC, Brick, Plaster, Flooring, Painting work Completed. Finishing work is in process.</v>
      </c>
      <c r="D89" s="105"/>
      <c r="E89" s="105"/>
      <c r="F89" s="105"/>
      <c r="G89" s="105"/>
      <c r="H89" s="105"/>
      <c r="I89" s="105"/>
      <c r="J89" s="106"/>
      <c r="K89" s="59" t="s">
        <v>242</v>
      </c>
      <c r="L89" s="60"/>
    </row>
    <row r="90" spans="1:12" x14ac:dyDescent="0.25">
      <c r="A90" s="107" t="s">
        <v>66</v>
      </c>
      <c r="B90" s="108"/>
      <c r="C90" s="80" t="s">
        <v>243</v>
      </c>
      <c r="D90" s="108" t="s">
        <v>244</v>
      </c>
      <c r="E90" s="108"/>
      <c r="F90" s="108" t="s">
        <v>245</v>
      </c>
      <c r="G90" s="108"/>
      <c r="H90" s="108" t="s">
        <v>246</v>
      </c>
      <c r="I90" s="108"/>
      <c r="J90" s="109"/>
      <c r="K90" s="61" t="s">
        <v>247</v>
      </c>
      <c r="L90" s="62">
        <f ca="1">I88*25%</f>
        <v>0.25</v>
      </c>
    </row>
    <row r="91" spans="1:12" x14ac:dyDescent="0.25">
      <c r="A91" s="88" t="s">
        <v>248</v>
      </c>
      <c r="B91" s="89"/>
      <c r="C91" s="68">
        <f ca="1">L92</f>
        <v>1</v>
      </c>
      <c r="D91" s="90">
        <f ca="1">((100/I88)*C91)/100</f>
        <v>1</v>
      </c>
      <c r="E91" s="90"/>
      <c r="F91" s="90">
        <f ca="1">(((C92/I88*10)+(40/(D88+G88+I88)*C93)+(7.5/(I88)*C94)+(7.5/(I88)*C95)+(10/I88*C96)+(10/I88*C97)+(5/I88*C98)+(5/I88*C99)+(5/I88*C100))/100)</f>
        <v>0.92500000000000004</v>
      </c>
      <c r="G91" s="90"/>
      <c r="H91" s="90">
        <f ca="1">((((C91/I88)*20)+((C92/I88)*25)+(30/(I88+G88+D88)*C93)+(5/I88*C94)+(5/I88*C95)+(5/I88*C96)+(5/I88*C97)+(0/I88*C98)+(0/I88*C99)+(5/I88*C100))/100)</f>
        <v>0.95</v>
      </c>
      <c r="I91" s="90"/>
      <c r="J91" s="92"/>
      <c r="K91" s="61" t="s">
        <v>147</v>
      </c>
      <c r="L91" s="63">
        <f ca="1">I88*50%</f>
        <v>0.5</v>
      </c>
    </row>
    <row r="92" spans="1:12" x14ac:dyDescent="0.25">
      <c r="A92" s="88" t="s">
        <v>67</v>
      </c>
      <c r="B92" s="89"/>
      <c r="C92" s="69">
        <f ca="1">L100</f>
        <v>1</v>
      </c>
      <c r="D92" s="90">
        <f ca="1">((100/I88)*C92)/100</f>
        <v>1</v>
      </c>
      <c r="E92" s="90"/>
      <c r="F92" s="90"/>
      <c r="G92" s="90"/>
      <c r="H92" s="90"/>
      <c r="I92" s="90"/>
      <c r="J92" s="92"/>
      <c r="K92" s="61" t="s">
        <v>148</v>
      </c>
      <c r="L92" s="63">
        <f ca="1">I88</f>
        <v>1</v>
      </c>
    </row>
    <row r="93" spans="1:12" x14ac:dyDescent="0.25">
      <c r="A93" s="94" t="s">
        <v>249</v>
      </c>
      <c r="B93" s="95"/>
      <c r="C93" s="69">
        <v>2</v>
      </c>
      <c r="D93" s="90">
        <f ca="1">((100/(D88+G88+I88))*C93)/100</f>
        <v>1</v>
      </c>
      <c r="E93" s="90"/>
      <c r="F93" s="90"/>
      <c r="G93" s="90"/>
      <c r="H93" s="90"/>
      <c r="I93" s="90"/>
      <c r="J93" s="92"/>
      <c r="K93" s="61" t="s">
        <v>149</v>
      </c>
      <c r="L93" s="64">
        <f ca="1">(IF(B88&gt;1,(I88/(B88+2)),I88/4))</f>
        <v>0.25</v>
      </c>
    </row>
    <row r="94" spans="1:12" x14ac:dyDescent="0.25">
      <c r="A94" s="88" t="s">
        <v>250</v>
      </c>
      <c r="B94" s="89" t="s">
        <v>251</v>
      </c>
      <c r="C94" s="68">
        <v>1</v>
      </c>
      <c r="D94" s="90">
        <f ca="1">((100/I88)*C94)/100</f>
        <v>1</v>
      </c>
      <c r="E94" s="90"/>
      <c r="F94" s="90"/>
      <c r="G94" s="90"/>
      <c r="H94" s="90"/>
      <c r="I94" s="90"/>
      <c r="J94" s="92"/>
      <c r="K94" s="61" t="s">
        <v>150</v>
      </c>
      <c r="L94" s="64">
        <f ca="1">(IF(B88&gt;1,(I88/(B88+2)+L93),I88/4+L93))</f>
        <v>0.5</v>
      </c>
    </row>
    <row r="95" spans="1:12" x14ac:dyDescent="0.25">
      <c r="A95" s="88" t="s">
        <v>252</v>
      </c>
      <c r="B95" s="89" t="s">
        <v>251</v>
      </c>
      <c r="C95" s="68">
        <v>1</v>
      </c>
      <c r="D95" s="90">
        <f ca="1">((100/I88)*C95)/100</f>
        <v>1</v>
      </c>
      <c r="E95" s="90"/>
      <c r="F95" s="90"/>
      <c r="G95" s="90"/>
      <c r="H95" s="90"/>
      <c r="I95" s="90"/>
      <c r="J95" s="92"/>
      <c r="K95" s="61" t="s">
        <v>253</v>
      </c>
      <c r="L95" s="64">
        <f>(IF(B88&gt;1,(I88/(B88+2)+L94),0))</f>
        <v>0</v>
      </c>
    </row>
    <row r="96" spans="1:12" x14ac:dyDescent="0.25">
      <c r="A96" s="88" t="s">
        <v>254</v>
      </c>
      <c r="B96" s="89" t="s">
        <v>255</v>
      </c>
      <c r="C96" s="68">
        <v>1</v>
      </c>
      <c r="D96" s="90">
        <f ca="1">((100/(I88))*C96)/100</f>
        <v>1</v>
      </c>
      <c r="E96" s="90"/>
      <c r="F96" s="90"/>
      <c r="G96" s="90"/>
      <c r="H96" s="90"/>
      <c r="I96" s="90"/>
      <c r="J96" s="92"/>
      <c r="K96" s="61" t="s">
        <v>256</v>
      </c>
      <c r="L96" s="64">
        <f>(IF(B88&gt;2,(I88/(B88+2)+L95),0))</f>
        <v>0</v>
      </c>
    </row>
    <row r="97" spans="1:12" x14ac:dyDescent="0.25">
      <c r="A97" s="88" t="s">
        <v>257</v>
      </c>
      <c r="B97" s="89" t="s">
        <v>257</v>
      </c>
      <c r="C97" s="68">
        <v>1</v>
      </c>
      <c r="D97" s="90">
        <f ca="1">((100/I88)*C97)/100</f>
        <v>1</v>
      </c>
      <c r="E97" s="90"/>
      <c r="F97" s="90"/>
      <c r="G97" s="90"/>
      <c r="H97" s="90"/>
      <c r="I97" s="90"/>
      <c r="J97" s="92"/>
      <c r="K97" s="61" t="s">
        <v>258</v>
      </c>
      <c r="L97" s="65">
        <f>(IF(B88&gt;3,(I88/(B88+2)+L96),0))</f>
        <v>0</v>
      </c>
    </row>
    <row r="98" spans="1:12" ht="15" customHeight="1" x14ac:dyDescent="0.25">
      <c r="A98" s="88" t="s">
        <v>259</v>
      </c>
      <c r="B98" s="89"/>
      <c r="C98" s="68">
        <v>1</v>
      </c>
      <c r="D98" s="90">
        <f ca="1">((100/I88)*C98)/100</f>
        <v>1</v>
      </c>
      <c r="E98" s="90"/>
      <c r="F98" s="90"/>
      <c r="G98" s="90"/>
      <c r="H98" s="90"/>
      <c r="I98" s="90"/>
      <c r="J98" s="92"/>
      <c r="K98" s="61" t="s">
        <v>260</v>
      </c>
      <c r="L98" s="64">
        <f>(IF(B88&gt;4,(I88/(B88+2)+L97),0))</f>
        <v>0</v>
      </c>
    </row>
    <row r="99" spans="1:12" x14ac:dyDescent="0.25">
      <c r="A99" s="88" t="s">
        <v>261</v>
      </c>
      <c r="B99" s="89" t="s">
        <v>261</v>
      </c>
      <c r="C99" s="87">
        <v>0.5</v>
      </c>
      <c r="D99" s="90">
        <f ca="1">((100/(I88))*C99)/100</f>
        <v>0.5</v>
      </c>
      <c r="E99" s="90"/>
      <c r="F99" s="90"/>
      <c r="G99" s="90"/>
      <c r="H99" s="90"/>
      <c r="I99" s="90"/>
      <c r="J99" s="92"/>
      <c r="K99" s="61" t="s">
        <v>151</v>
      </c>
      <c r="L99" s="64">
        <f ca="1">(IF(B88=1,(I88/(B88+3)+L94),IF(B88=0,(I88/4+L94),IF(B88&gt;1,0))))</f>
        <v>0.75</v>
      </c>
    </row>
    <row r="100" spans="1:12" ht="16.5" thickBot="1" x14ac:dyDescent="0.3">
      <c r="A100" s="96" t="s">
        <v>262</v>
      </c>
      <c r="B100" s="97"/>
      <c r="C100" s="70">
        <v>0</v>
      </c>
      <c r="D100" s="91">
        <f ca="1">((100/(I88))*C100)/100</f>
        <v>0</v>
      </c>
      <c r="E100" s="91"/>
      <c r="F100" s="91"/>
      <c r="G100" s="91"/>
      <c r="H100" s="91"/>
      <c r="I100" s="91"/>
      <c r="J100" s="93"/>
      <c r="K100" s="66" t="s">
        <v>152</v>
      </c>
      <c r="L100" s="67">
        <f ca="1">(IF(B88&gt;1.5,(I88/(B88+2)+L94+MAX(0,L95-L94)+MAX(0,L96-L95)+MAX(0,L97-L96)+MAX(0,L98-L97)+MAX(0,L99-L98)),IF(B88=1,(I88/(B88+3)+L99),IF(B88=0,I88/4+L99))))</f>
        <v>1</v>
      </c>
    </row>
    <row r="101" spans="1:12" s="41" customFormat="1" x14ac:dyDescent="0.25">
      <c r="A101" s="209" t="s">
        <v>217</v>
      </c>
      <c r="B101" s="210"/>
      <c r="C101" s="210"/>
      <c r="D101" s="210"/>
      <c r="E101" s="210"/>
      <c r="F101" s="210"/>
      <c r="G101" s="210"/>
      <c r="H101" s="210"/>
      <c r="I101" s="210"/>
      <c r="J101" s="211"/>
    </row>
    <row r="102" spans="1:12" x14ac:dyDescent="0.25">
      <c r="A102" s="112" t="s">
        <v>72</v>
      </c>
      <c r="B102" s="113"/>
      <c r="C102" s="113"/>
      <c r="D102" s="113"/>
      <c r="E102" s="113"/>
      <c r="F102" s="113"/>
      <c r="G102" s="113"/>
      <c r="H102" s="113"/>
      <c r="I102" s="113"/>
      <c r="J102" s="114"/>
    </row>
    <row r="103" spans="1:12" ht="15" customHeight="1" x14ac:dyDescent="0.25">
      <c r="A103" s="198" t="s">
        <v>145</v>
      </c>
      <c r="B103" s="199"/>
      <c r="C103" s="200" t="s">
        <v>146</v>
      </c>
      <c r="D103" s="201"/>
      <c r="E103" s="201"/>
      <c r="F103" s="201"/>
      <c r="G103" s="201"/>
      <c r="H103" s="201"/>
      <c r="I103" s="201"/>
      <c r="J103" s="202"/>
    </row>
    <row r="104" spans="1:12" x14ac:dyDescent="0.25">
      <c r="A104" s="208" t="s">
        <v>73</v>
      </c>
      <c r="B104" s="208"/>
      <c r="C104" s="208"/>
      <c r="D104" s="208"/>
      <c r="E104" s="208"/>
      <c r="F104" s="208"/>
      <c r="G104" s="208"/>
      <c r="H104" s="208"/>
      <c r="I104" s="208"/>
      <c r="J104" s="208"/>
    </row>
    <row r="105" spans="1:12" x14ac:dyDescent="0.25">
      <c r="A105" s="206" t="s">
        <v>154</v>
      </c>
      <c r="B105" s="206"/>
      <c r="C105" s="206"/>
      <c r="D105" s="206"/>
      <c r="E105" s="206"/>
      <c r="F105" s="206"/>
      <c r="G105" s="207">
        <v>3800</v>
      </c>
      <c r="H105" s="207"/>
      <c r="I105" s="207"/>
      <c r="J105" s="207"/>
      <c r="L105" s="55"/>
    </row>
    <row r="106" spans="1:12" x14ac:dyDescent="0.25">
      <c r="A106" s="206" t="s">
        <v>155</v>
      </c>
      <c r="B106" s="206"/>
      <c r="C106" s="206"/>
      <c r="D106" s="206"/>
      <c r="E106" s="206"/>
      <c r="F106" s="206"/>
      <c r="G106" s="207">
        <v>6000</v>
      </c>
      <c r="H106" s="207"/>
      <c r="I106" s="207"/>
      <c r="J106" s="207"/>
    </row>
    <row r="107" spans="1:12" ht="15.75" customHeight="1" x14ac:dyDescent="0.25">
      <c r="A107" s="166" t="s">
        <v>233</v>
      </c>
      <c r="B107" s="166"/>
      <c r="C107" s="166"/>
      <c r="D107" s="166"/>
      <c r="E107" s="166"/>
      <c r="F107" s="166"/>
      <c r="G107" s="212">
        <v>59000</v>
      </c>
      <c r="H107" s="212"/>
      <c r="I107" s="212"/>
      <c r="J107" s="212"/>
    </row>
    <row r="108" spans="1:12" x14ac:dyDescent="0.25">
      <c r="A108" s="129" t="s">
        <v>235</v>
      </c>
      <c r="B108" s="129"/>
      <c r="C108" s="129"/>
      <c r="D108" s="129"/>
      <c r="E108" s="129"/>
      <c r="F108" s="129"/>
      <c r="G108" s="212" t="s">
        <v>234</v>
      </c>
      <c r="H108" s="212"/>
      <c r="I108" s="212"/>
      <c r="J108" s="212"/>
    </row>
    <row r="109" spans="1:12" x14ac:dyDescent="0.25">
      <c r="A109" s="129" t="s">
        <v>74</v>
      </c>
      <c r="B109" s="129"/>
      <c r="C109" s="129"/>
      <c r="D109" s="129"/>
      <c r="E109" s="129"/>
      <c r="F109" s="129"/>
      <c r="G109" s="212" t="s">
        <v>163</v>
      </c>
      <c r="H109" s="212"/>
      <c r="I109" s="212"/>
      <c r="J109" s="212"/>
    </row>
    <row r="110" spans="1:12" hidden="1" x14ac:dyDescent="0.25">
      <c r="A110" s="129" t="s">
        <v>75</v>
      </c>
      <c r="B110" s="129"/>
      <c r="C110" s="129"/>
      <c r="D110" s="129"/>
      <c r="E110" s="129"/>
      <c r="F110" s="129"/>
      <c r="G110" s="212" t="s">
        <v>34</v>
      </c>
      <c r="H110" s="212"/>
      <c r="I110" s="212"/>
      <c r="J110" s="212"/>
    </row>
    <row r="111" spans="1:12" s="14" customFormat="1" ht="14.45" customHeight="1" x14ac:dyDescent="0.25">
      <c r="A111" s="208" t="s">
        <v>76</v>
      </c>
      <c r="B111" s="208"/>
      <c r="C111" s="208"/>
      <c r="D111" s="208"/>
      <c r="E111" s="208"/>
      <c r="F111" s="208"/>
      <c r="G111" s="165">
        <f>G105*0.8</f>
        <v>3040</v>
      </c>
      <c r="H111" s="165"/>
      <c r="I111" s="165"/>
      <c r="J111" s="165"/>
    </row>
    <row r="112" spans="1:12" s="1" customFormat="1" ht="15.75" customHeight="1" x14ac:dyDescent="0.25">
      <c r="A112" s="218" t="s">
        <v>156</v>
      </c>
      <c r="B112" s="218"/>
      <c r="C112" s="218"/>
      <c r="D112" s="218"/>
      <c r="E112" s="218"/>
      <c r="F112" s="218"/>
      <c r="G112" s="218"/>
      <c r="H112" s="218"/>
      <c r="I112" s="218"/>
      <c r="J112" s="218"/>
    </row>
    <row r="113" spans="1:13" s="1" customFormat="1" ht="15.75" customHeight="1" x14ac:dyDescent="0.25">
      <c r="A113" s="213" t="s">
        <v>77</v>
      </c>
      <c r="B113" s="213"/>
      <c r="C113" s="10" t="s">
        <v>213</v>
      </c>
      <c r="D113" s="214" t="s">
        <v>78</v>
      </c>
      <c r="E113" s="214"/>
      <c r="F113" s="214"/>
      <c r="G113" s="213" t="s">
        <v>79</v>
      </c>
      <c r="H113" s="213"/>
      <c r="I113" s="213"/>
      <c r="J113" s="213"/>
    </row>
    <row r="114" spans="1:13" s="1" customFormat="1" x14ac:dyDescent="0.25">
      <c r="A114" s="215" t="s">
        <v>212</v>
      </c>
      <c r="B114" s="215"/>
      <c r="C114" s="11">
        <f>COUNT(D128:E131)</f>
        <v>4</v>
      </c>
      <c r="D114" s="216">
        <f>SUM(D128:E131)</f>
        <v>510.85943999999995</v>
      </c>
      <c r="E114" s="216"/>
      <c r="F114" s="216"/>
      <c r="G114" s="217">
        <f>SUM(G128:G131)</f>
        <v>766.28915999999992</v>
      </c>
      <c r="H114" s="217"/>
      <c r="I114" s="217"/>
      <c r="J114" s="217"/>
    </row>
    <row r="115" spans="1:13" s="1" customFormat="1" x14ac:dyDescent="0.25">
      <c r="A115" s="218" t="s">
        <v>136</v>
      </c>
      <c r="B115" s="218"/>
      <c r="C115" s="218"/>
      <c r="D115" s="218"/>
      <c r="E115" s="218"/>
      <c r="F115" s="218"/>
      <c r="G115" s="218"/>
      <c r="H115" s="218"/>
      <c r="I115" s="218"/>
      <c r="J115" s="218"/>
    </row>
    <row r="116" spans="1:13" s="1" customFormat="1" x14ac:dyDescent="0.25">
      <c r="A116" s="213" t="s">
        <v>77</v>
      </c>
      <c r="B116" s="213"/>
      <c r="C116" s="10" t="s">
        <v>137</v>
      </c>
      <c r="D116" s="214" t="s">
        <v>78</v>
      </c>
      <c r="E116" s="214"/>
      <c r="F116" s="214"/>
      <c r="G116" s="213" t="s">
        <v>79</v>
      </c>
      <c r="H116" s="213"/>
      <c r="I116" s="213"/>
      <c r="J116" s="213"/>
      <c r="L116" s="78">
        <f>SUM(G114,G122)</f>
        <v>68162.335721999989</v>
      </c>
      <c r="M116" s="78">
        <f>SUM(D114,D122)</f>
        <v>46580.133600000001</v>
      </c>
    </row>
    <row r="117" spans="1:13" s="1" customFormat="1" x14ac:dyDescent="0.25">
      <c r="A117" s="219" t="s">
        <v>212</v>
      </c>
      <c r="B117" s="220"/>
      <c r="C117" s="85">
        <f>COUNT(D133:E139)*7</f>
        <v>49</v>
      </c>
      <c r="D117" s="221">
        <f>SUM(D133:E139)*7</f>
        <v>20329.643879999996</v>
      </c>
      <c r="E117" s="222"/>
      <c r="F117" s="223"/>
      <c r="G117" s="224">
        <f>SUM(G133:G139)*7</f>
        <v>29477.983626000001</v>
      </c>
      <c r="H117" s="225"/>
      <c r="I117" s="225"/>
      <c r="J117" s="226"/>
    </row>
    <row r="118" spans="1:13" s="1" customFormat="1" x14ac:dyDescent="0.25">
      <c r="A118" s="219" t="s">
        <v>274</v>
      </c>
      <c r="B118" s="220"/>
      <c r="C118" s="11">
        <f>COUNT(D142:E145)+COUNT(D147:E152)*2+COUNT(D154:E159)*2</f>
        <v>28</v>
      </c>
      <c r="D118" s="221">
        <f>SUM(D142:E145)+SUM(D147:E152)*2+SUM(D154:E159)*2</f>
        <v>6937.8285599999999</v>
      </c>
      <c r="E118" s="222"/>
      <c r="F118" s="223"/>
      <c r="G118" s="224">
        <f>SUM(G142:G145)+SUM(G147:G152)*2+SUM(G154:G159)*2</f>
        <v>10493.855892</v>
      </c>
      <c r="H118" s="225"/>
      <c r="I118" s="225"/>
      <c r="J118" s="226"/>
    </row>
    <row r="119" spans="1:13" s="1" customFormat="1" x14ac:dyDescent="0.25">
      <c r="A119" s="219" t="s">
        <v>214</v>
      </c>
      <c r="B119" s="220"/>
      <c r="C119" s="11">
        <f>COUNT(D162:E163)+COUNT(D165:E168)*4</f>
        <v>18</v>
      </c>
      <c r="D119" s="221">
        <f>SUM(D162:E163)+SUM(D165:E168)*4</f>
        <v>6971.1969599999993</v>
      </c>
      <c r="E119" s="222"/>
      <c r="F119" s="223"/>
      <c r="G119" s="224">
        <f>SUM(G162:G163)+SUM(G165:G168)*4</f>
        <v>10108.235591999999</v>
      </c>
      <c r="H119" s="225"/>
      <c r="I119" s="225"/>
      <c r="J119" s="226"/>
    </row>
    <row r="120" spans="1:13" s="1" customFormat="1" x14ac:dyDescent="0.25">
      <c r="A120" s="219" t="s">
        <v>215</v>
      </c>
      <c r="B120" s="220"/>
      <c r="C120" s="11">
        <f>COUNT(D171:E172)+COUNT(D174:E179)*4</f>
        <v>26</v>
      </c>
      <c r="D120" s="221">
        <f>SUM(D171:E172)+SUM(D174:E179)*4</f>
        <v>10914.534539999999</v>
      </c>
      <c r="E120" s="222"/>
      <c r="F120" s="223"/>
      <c r="G120" s="224">
        <f>SUM(G171:G172)+SUM(G174:G179)*4</f>
        <v>15826.075082999996</v>
      </c>
      <c r="H120" s="225"/>
      <c r="I120" s="225"/>
      <c r="J120" s="226"/>
    </row>
    <row r="121" spans="1:13" s="1" customFormat="1" x14ac:dyDescent="0.25">
      <c r="A121" s="219" t="s">
        <v>289</v>
      </c>
      <c r="B121" s="220"/>
      <c r="C121" s="85">
        <v>1</v>
      </c>
      <c r="D121" s="221">
        <f>D182</f>
        <v>916.07021999999995</v>
      </c>
      <c r="E121" s="222"/>
      <c r="F121" s="223"/>
      <c r="G121" s="224">
        <f>G182</f>
        <v>1489.8963689999998</v>
      </c>
      <c r="H121" s="225"/>
      <c r="I121" s="225"/>
      <c r="J121" s="226"/>
    </row>
    <row r="122" spans="1:13" s="1" customFormat="1" x14ac:dyDescent="0.25">
      <c r="A122" s="218" t="s">
        <v>81</v>
      </c>
      <c r="B122" s="218"/>
      <c r="C122" s="86">
        <f>SUM(C117:C121)</f>
        <v>122</v>
      </c>
      <c r="D122" s="264">
        <f>SUM(D117:F121)</f>
        <v>46069.274160000001</v>
      </c>
      <c r="E122" s="264"/>
      <c r="F122" s="264"/>
      <c r="G122" s="213">
        <f>SUM(G117:J121)</f>
        <v>67396.046561999989</v>
      </c>
      <c r="H122" s="213"/>
      <c r="I122" s="213"/>
      <c r="J122" s="213"/>
    </row>
    <row r="123" spans="1:13" s="14" customFormat="1" x14ac:dyDescent="0.25">
      <c r="A123" s="265" t="s">
        <v>82</v>
      </c>
      <c r="B123" s="265"/>
      <c r="C123" s="265"/>
      <c r="D123" s="265"/>
      <c r="E123" s="265"/>
      <c r="F123" s="265"/>
      <c r="G123" s="265"/>
      <c r="H123" s="265"/>
      <c r="I123" s="265"/>
      <c r="J123" s="265"/>
    </row>
    <row r="124" spans="1:13" x14ac:dyDescent="0.25">
      <c r="A124" s="266" t="s">
        <v>83</v>
      </c>
      <c r="B124" s="267"/>
      <c r="C124" s="267"/>
      <c r="D124" s="267"/>
      <c r="E124" s="267"/>
      <c r="F124" s="267"/>
      <c r="G124" s="267"/>
      <c r="H124" s="267"/>
      <c r="I124" s="267"/>
      <c r="J124" s="268"/>
    </row>
    <row r="125" spans="1:13" ht="49.5" customHeight="1" x14ac:dyDescent="0.25">
      <c r="A125" s="229" t="s">
        <v>157</v>
      </c>
      <c r="B125" s="230"/>
      <c r="C125" s="2" t="s">
        <v>84</v>
      </c>
      <c r="D125" s="229" t="s">
        <v>85</v>
      </c>
      <c r="E125" s="230"/>
      <c r="F125" s="15" t="s">
        <v>86</v>
      </c>
      <c r="G125" s="2" t="s">
        <v>87</v>
      </c>
      <c r="H125" s="2" t="s">
        <v>88</v>
      </c>
      <c r="I125" s="229" t="s">
        <v>89</v>
      </c>
      <c r="J125" s="230"/>
    </row>
    <row r="126" spans="1:13" s="3" customFormat="1" ht="16.149999999999999" customHeight="1" x14ac:dyDescent="0.25">
      <c r="A126" s="231" t="s">
        <v>198</v>
      </c>
      <c r="B126" s="232"/>
      <c r="C126" s="232"/>
      <c r="D126" s="232"/>
      <c r="E126" s="232"/>
      <c r="F126" s="232"/>
      <c r="G126" s="232"/>
      <c r="H126" s="232"/>
      <c r="I126" s="232"/>
      <c r="J126" s="233"/>
    </row>
    <row r="127" spans="1:13" s="3" customFormat="1" ht="16.149999999999999" customHeight="1" x14ac:dyDescent="0.25">
      <c r="A127" s="231" t="s">
        <v>277</v>
      </c>
      <c r="B127" s="232"/>
      <c r="C127" s="232"/>
      <c r="D127" s="232"/>
      <c r="E127" s="232"/>
      <c r="F127" s="232"/>
      <c r="G127" s="232"/>
      <c r="H127" s="232"/>
      <c r="I127" s="232"/>
      <c r="J127" s="233"/>
    </row>
    <row r="128" spans="1:13" s="3" customFormat="1" ht="16.149999999999999" customHeight="1" x14ac:dyDescent="0.25">
      <c r="A128" s="227">
        <v>1</v>
      </c>
      <c r="B128" s="228"/>
      <c r="C128" s="4" t="s">
        <v>199</v>
      </c>
      <c r="D128" s="227">
        <f>(10.94)*10.764</f>
        <v>117.75815999999999</v>
      </c>
      <c r="E128" s="228"/>
      <c r="F128" s="4">
        <v>0</v>
      </c>
      <c r="G128" s="4">
        <f>D128*1.5+F128</f>
        <v>176.63723999999999</v>
      </c>
      <c r="H128" s="4" t="s">
        <v>90</v>
      </c>
      <c r="I128" s="234" t="s">
        <v>201</v>
      </c>
      <c r="J128" s="235"/>
    </row>
    <row r="129" spans="1:13" s="3" customFormat="1" ht="16.149999999999999" customHeight="1" x14ac:dyDescent="0.25">
      <c r="A129" s="227">
        <v>2</v>
      </c>
      <c r="B129" s="228"/>
      <c r="C129" s="4" t="s">
        <v>199</v>
      </c>
      <c r="D129" s="227">
        <f>(9.02)*10.764</f>
        <v>97.091279999999983</v>
      </c>
      <c r="E129" s="228"/>
      <c r="F129" s="4">
        <v>0</v>
      </c>
      <c r="G129" s="4">
        <f t="shared" ref="G129:G131" si="0">D129*1.5+F129</f>
        <v>145.63691999999998</v>
      </c>
      <c r="H129" s="4" t="s">
        <v>90</v>
      </c>
      <c r="I129" s="236"/>
      <c r="J129" s="237"/>
    </row>
    <row r="130" spans="1:13" s="3" customFormat="1" ht="16.149999999999999" customHeight="1" x14ac:dyDescent="0.25">
      <c r="A130" s="227">
        <v>3</v>
      </c>
      <c r="B130" s="228"/>
      <c r="C130" s="4" t="s">
        <v>199</v>
      </c>
      <c r="D130" s="227">
        <f>(13.42)*10.764</f>
        <v>144.45287999999999</v>
      </c>
      <c r="E130" s="228"/>
      <c r="F130" s="4">
        <v>0</v>
      </c>
      <c r="G130" s="4">
        <f t="shared" si="0"/>
        <v>216.67931999999999</v>
      </c>
      <c r="H130" s="4" t="s">
        <v>90</v>
      </c>
      <c r="I130" s="236"/>
      <c r="J130" s="237"/>
    </row>
    <row r="131" spans="1:13" s="3" customFormat="1" ht="16.149999999999999" customHeight="1" x14ac:dyDescent="0.25">
      <c r="A131" s="227">
        <v>4</v>
      </c>
      <c r="B131" s="228"/>
      <c r="C131" s="4" t="s">
        <v>199</v>
      </c>
      <c r="D131" s="227">
        <f>(14.08)*10.764</f>
        <v>151.55712</v>
      </c>
      <c r="E131" s="228"/>
      <c r="F131" s="4">
        <v>0</v>
      </c>
      <c r="G131" s="4">
        <f t="shared" si="0"/>
        <v>227.33568</v>
      </c>
      <c r="H131" s="4" t="s">
        <v>90</v>
      </c>
      <c r="I131" s="236"/>
      <c r="J131" s="237"/>
      <c r="K131" s="3">
        <f>4.4*3.2</f>
        <v>14.080000000000002</v>
      </c>
    </row>
    <row r="132" spans="1:13" s="3" customFormat="1" ht="16.149999999999999" customHeight="1" x14ac:dyDescent="0.25">
      <c r="A132" s="231" t="s">
        <v>278</v>
      </c>
      <c r="B132" s="232"/>
      <c r="C132" s="232"/>
      <c r="D132" s="232"/>
      <c r="E132" s="232"/>
      <c r="F132" s="232"/>
      <c r="G132" s="232"/>
      <c r="H132" s="232"/>
      <c r="I132" s="232"/>
      <c r="J132" s="233"/>
    </row>
    <row r="133" spans="1:13" s="3" customFormat="1" ht="16.149999999999999" customHeight="1" x14ac:dyDescent="0.25">
      <c r="A133" s="227">
        <v>1</v>
      </c>
      <c r="B133" s="228"/>
      <c r="C133" s="4" t="s">
        <v>200</v>
      </c>
      <c r="D133" s="227">
        <f>(29.79+4.28+2.29)*10.764</f>
        <v>391.37903999999997</v>
      </c>
      <c r="E133" s="228"/>
      <c r="F133" s="4">
        <v>0</v>
      </c>
      <c r="G133" s="4">
        <f>D133*1.45+F133</f>
        <v>567.49960799999997</v>
      </c>
      <c r="H133" s="4" t="s">
        <v>90</v>
      </c>
      <c r="I133" s="234" t="str">
        <f>A132</f>
        <v>1st to 7th Floor For Residential</v>
      </c>
      <c r="J133" s="235"/>
    </row>
    <row r="134" spans="1:13" s="3" customFormat="1" ht="16.149999999999999" customHeight="1" x14ac:dyDescent="0.25">
      <c r="A134" s="227">
        <v>2</v>
      </c>
      <c r="B134" s="228"/>
      <c r="C134" s="4" t="s">
        <v>208</v>
      </c>
      <c r="D134" s="227">
        <f>(49.77+6.35+1.17)*10.764</f>
        <v>616.66956000000005</v>
      </c>
      <c r="E134" s="228"/>
      <c r="F134" s="83">
        <v>0</v>
      </c>
      <c r="G134" s="4">
        <f>D134*1.45+F134/2</f>
        <v>894.17086200000006</v>
      </c>
      <c r="H134" s="4" t="s">
        <v>90</v>
      </c>
      <c r="I134" s="236"/>
      <c r="J134" s="237"/>
      <c r="K134" s="76">
        <f>(4.25*3.05+2.6*2.05+2.95*3.15+2.95*3.2+1.2*1.95+1.2*2.15+1.3*1.1+1*3+0.9*1.15)</f>
        <v>47.409999999999989</v>
      </c>
      <c r="L134" s="76"/>
    </row>
    <row r="135" spans="1:13" s="3" customFormat="1" ht="16.149999999999999" customHeight="1" x14ac:dyDescent="0.25">
      <c r="A135" s="227">
        <v>3</v>
      </c>
      <c r="B135" s="228"/>
      <c r="C135" s="4" t="s">
        <v>200</v>
      </c>
      <c r="D135" s="227">
        <f>(31.14+3.05+3.03)*10.764</f>
        <v>400.63607999999994</v>
      </c>
      <c r="E135" s="228"/>
      <c r="F135" s="83">
        <v>0</v>
      </c>
      <c r="G135" s="4">
        <f t="shared" ref="G135:G139" si="1">D135*1.45+F135</f>
        <v>580.92231599999991</v>
      </c>
      <c r="H135" s="4" t="s">
        <v>90</v>
      </c>
      <c r="I135" s="236"/>
      <c r="J135" s="237"/>
      <c r="L135" s="76"/>
    </row>
    <row r="136" spans="1:13" s="3" customFormat="1" ht="16.149999999999999" customHeight="1" x14ac:dyDescent="0.25">
      <c r="A136" s="227">
        <v>4</v>
      </c>
      <c r="B136" s="228"/>
      <c r="C136" s="4" t="s">
        <v>200</v>
      </c>
      <c r="D136" s="227">
        <f>(31.14+3+3.06)*10.764</f>
        <v>400.42079999999999</v>
      </c>
      <c r="E136" s="228"/>
      <c r="F136" s="4">
        <v>0</v>
      </c>
      <c r="G136" s="4">
        <f t="shared" si="1"/>
        <v>580.61015999999995</v>
      </c>
      <c r="H136" s="4" t="s">
        <v>90</v>
      </c>
      <c r="I136" s="236"/>
      <c r="J136" s="237"/>
    </row>
    <row r="137" spans="1:13" s="3" customFormat="1" ht="16.149999999999999" customHeight="1" x14ac:dyDescent="0.25">
      <c r="A137" s="227">
        <v>5</v>
      </c>
      <c r="B137" s="228"/>
      <c r="C137" s="4" t="s">
        <v>200</v>
      </c>
      <c r="D137" s="227">
        <f>(37.23+3)*10.764</f>
        <v>433.03571999999991</v>
      </c>
      <c r="E137" s="228"/>
      <c r="F137" s="4">
        <v>0</v>
      </c>
      <c r="G137" s="4">
        <f t="shared" si="1"/>
        <v>627.90179399999988</v>
      </c>
      <c r="H137" s="4" t="s">
        <v>90</v>
      </c>
      <c r="I137" s="236"/>
      <c r="J137" s="237"/>
      <c r="K137" s="76">
        <f>(3.05*4.25+3.22*1.85+3.22*2.82+2.1*1.2*2+1*2.6)</f>
        <v>35.639900000000004</v>
      </c>
      <c r="L137" s="76">
        <f>3.05*0.95</f>
        <v>2.8974999999999995</v>
      </c>
      <c r="M137" s="76">
        <f>K137+L137</f>
        <v>38.537400000000005</v>
      </c>
    </row>
    <row r="138" spans="1:13" s="3" customFormat="1" ht="16.149999999999999" customHeight="1" x14ac:dyDescent="0.25">
      <c r="A138" s="227">
        <v>6</v>
      </c>
      <c r="B138" s="228"/>
      <c r="C138" s="4" t="s">
        <v>279</v>
      </c>
      <c r="D138" s="227">
        <f>(21.43+3.43)*10.764</f>
        <v>267.59303999999997</v>
      </c>
      <c r="E138" s="228"/>
      <c r="F138" s="4">
        <v>0</v>
      </c>
      <c r="G138" s="4">
        <f t="shared" si="1"/>
        <v>388.00990799999994</v>
      </c>
      <c r="H138" s="4" t="s">
        <v>90</v>
      </c>
      <c r="I138" s="236"/>
      <c r="J138" s="237"/>
    </row>
    <row r="139" spans="1:13" s="3" customFormat="1" ht="16.149999999999999" customHeight="1" x14ac:dyDescent="0.25">
      <c r="A139" s="234">
        <v>7</v>
      </c>
      <c r="B139" s="235"/>
      <c r="C139" s="77" t="s">
        <v>200</v>
      </c>
      <c r="D139" s="234">
        <f>(31.15+4.15+1.35)*10.764</f>
        <v>394.50059999999996</v>
      </c>
      <c r="E139" s="235"/>
      <c r="F139" s="77">
        <v>0</v>
      </c>
      <c r="G139" s="77">
        <f t="shared" si="1"/>
        <v>572.02586999999994</v>
      </c>
      <c r="H139" s="77" t="s">
        <v>90</v>
      </c>
      <c r="I139" s="236"/>
      <c r="J139" s="237"/>
    </row>
    <row r="140" spans="1:13" s="84" customFormat="1" ht="16.149999999999999" customHeight="1" x14ac:dyDescent="0.25">
      <c r="A140" s="238" t="s">
        <v>204</v>
      </c>
      <c r="B140" s="238"/>
      <c r="C140" s="238"/>
      <c r="D140" s="238"/>
      <c r="E140" s="238"/>
      <c r="F140" s="238"/>
      <c r="G140" s="238"/>
      <c r="H140" s="238"/>
      <c r="I140" s="238"/>
      <c r="J140" s="238"/>
    </row>
    <row r="141" spans="1:13" s="3" customFormat="1" ht="16.149999999999999" customHeight="1" x14ac:dyDescent="0.25">
      <c r="A141" s="239" t="s">
        <v>205</v>
      </c>
      <c r="B141" s="240"/>
      <c r="C141" s="240"/>
      <c r="D141" s="240"/>
      <c r="E141" s="240"/>
      <c r="F141" s="240"/>
      <c r="G141" s="240"/>
      <c r="H141" s="240"/>
      <c r="I141" s="240"/>
      <c r="J141" s="241"/>
    </row>
    <row r="142" spans="1:13" s="3" customFormat="1" ht="16.149999999999999" customHeight="1" x14ac:dyDescent="0.25">
      <c r="A142" s="227">
        <v>1</v>
      </c>
      <c r="B142" s="228"/>
      <c r="C142" s="4" t="s">
        <v>200</v>
      </c>
      <c r="D142" s="227">
        <f>(2.75*3.3+2.4*1.15+2.4*1.15+0.45*2+1.2*2.3+1.6*1.5+0.75*2.25+1*1.4)*10.764</f>
        <v>255.56426999999999</v>
      </c>
      <c r="E142" s="228"/>
      <c r="F142" s="4">
        <v>0</v>
      </c>
      <c r="G142" s="4">
        <f>D142*1.45+F142</f>
        <v>370.56819149999995</v>
      </c>
      <c r="H142" s="4" t="s">
        <v>90</v>
      </c>
      <c r="I142" s="234" t="s">
        <v>206</v>
      </c>
      <c r="J142" s="235"/>
    </row>
    <row r="143" spans="1:13" s="3" customFormat="1" ht="16.149999999999999" customHeight="1" x14ac:dyDescent="0.25">
      <c r="A143" s="227">
        <v>2</v>
      </c>
      <c r="B143" s="228"/>
      <c r="C143" s="4" t="s">
        <v>200</v>
      </c>
      <c r="D143" s="227">
        <f t="shared" ref="D143:D145" si="2">(2.75*3.3+2.4*1.15+2.4*1.15+0.45*2+1.2*2.3+1.6*1.5+0.75*2.25+1*1.4)*10.764</f>
        <v>255.56426999999999</v>
      </c>
      <c r="E143" s="228"/>
      <c r="F143" s="4">
        <v>0</v>
      </c>
      <c r="G143" s="4">
        <f t="shared" ref="G143:G145" si="3">D143*1.45+F143</f>
        <v>370.56819149999995</v>
      </c>
      <c r="H143" s="4" t="s">
        <v>90</v>
      </c>
      <c r="I143" s="236"/>
      <c r="J143" s="237"/>
    </row>
    <row r="144" spans="1:13" s="3" customFormat="1" ht="16.149999999999999" customHeight="1" x14ac:dyDescent="0.25">
      <c r="A144" s="227">
        <v>3</v>
      </c>
      <c r="B144" s="228"/>
      <c r="C144" s="4" t="s">
        <v>200</v>
      </c>
      <c r="D144" s="227">
        <f t="shared" si="2"/>
        <v>255.56426999999999</v>
      </c>
      <c r="E144" s="228"/>
      <c r="F144" s="4">
        <v>0</v>
      </c>
      <c r="G144" s="4">
        <f t="shared" si="3"/>
        <v>370.56819149999995</v>
      </c>
      <c r="H144" s="4" t="s">
        <v>90</v>
      </c>
      <c r="I144" s="236"/>
      <c r="J144" s="237"/>
    </row>
    <row r="145" spans="1:12" s="3" customFormat="1" ht="16.149999999999999" customHeight="1" x14ac:dyDescent="0.25">
      <c r="A145" s="227">
        <v>4</v>
      </c>
      <c r="B145" s="228"/>
      <c r="C145" s="4" t="s">
        <v>200</v>
      </c>
      <c r="D145" s="227">
        <f t="shared" si="2"/>
        <v>255.56426999999999</v>
      </c>
      <c r="E145" s="228"/>
      <c r="F145" s="4">
        <v>0</v>
      </c>
      <c r="G145" s="4">
        <f t="shared" si="3"/>
        <v>370.56819149999995</v>
      </c>
      <c r="H145" s="4" t="s">
        <v>90</v>
      </c>
      <c r="I145" s="242"/>
      <c r="J145" s="243"/>
    </row>
    <row r="146" spans="1:12" s="3" customFormat="1" ht="16.149999999999999" customHeight="1" x14ac:dyDescent="0.25">
      <c r="A146" s="231" t="s">
        <v>202</v>
      </c>
      <c r="B146" s="232"/>
      <c r="C146" s="232"/>
      <c r="D146" s="232"/>
      <c r="E146" s="232"/>
      <c r="F146" s="232"/>
      <c r="G146" s="232"/>
      <c r="H146" s="232"/>
      <c r="I146" s="232"/>
      <c r="J146" s="233"/>
    </row>
    <row r="147" spans="1:12" s="3" customFormat="1" ht="16.149999999999999" customHeight="1" x14ac:dyDescent="0.25">
      <c r="A147" s="227">
        <v>1</v>
      </c>
      <c r="B147" s="228"/>
      <c r="C147" s="4" t="s">
        <v>200</v>
      </c>
      <c r="D147" s="227">
        <f>(2.75*3.3+2.4*1.15+2.4*1.15+0.45*2+1.2*2.3+1.6*1.5+0.75*2.25+1*1.4)*10.764</f>
        <v>255.56426999999999</v>
      </c>
      <c r="E147" s="228"/>
      <c r="F147" s="4">
        <v>0</v>
      </c>
      <c r="G147" s="4">
        <f>D147*1.45+F147</f>
        <v>370.56819149999995</v>
      </c>
      <c r="H147" s="4" t="s">
        <v>90</v>
      </c>
      <c r="I147" s="234" t="str">
        <f>A146</f>
        <v>1st &amp; 3rd Floor</v>
      </c>
      <c r="J147" s="235"/>
    </row>
    <row r="148" spans="1:12" s="3" customFormat="1" ht="16.149999999999999" customHeight="1" x14ac:dyDescent="0.25">
      <c r="A148" s="227">
        <v>2</v>
      </c>
      <c r="B148" s="228"/>
      <c r="C148" s="4" t="s">
        <v>200</v>
      </c>
      <c r="D148" s="227">
        <f t="shared" ref="D148:D152" si="4">(2.75*3.3+2.4*1.15+2.4*1.15+0.45*2+1.2*2.3+1.6*1.5+0.75*2.25+1*1.4)*10.764</f>
        <v>255.56426999999999</v>
      </c>
      <c r="E148" s="228"/>
      <c r="F148" s="4">
        <v>0</v>
      </c>
      <c r="G148" s="4">
        <f t="shared" ref="G148:G152" si="5">D148*1.45+F148</f>
        <v>370.56819149999995</v>
      </c>
      <c r="H148" s="4" t="s">
        <v>90</v>
      </c>
      <c r="I148" s="236"/>
      <c r="J148" s="237"/>
    </row>
    <row r="149" spans="1:12" s="3" customFormat="1" ht="16.149999999999999" customHeight="1" x14ac:dyDescent="0.25">
      <c r="A149" s="227">
        <v>3</v>
      </c>
      <c r="B149" s="228"/>
      <c r="C149" s="4" t="s">
        <v>200</v>
      </c>
      <c r="D149" s="227">
        <f t="shared" si="4"/>
        <v>255.56426999999999</v>
      </c>
      <c r="E149" s="228"/>
      <c r="F149" s="4">
        <v>0</v>
      </c>
      <c r="G149" s="4">
        <f t="shared" si="5"/>
        <v>370.56819149999995</v>
      </c>
      <c r="H149" s="4" t="s">
        <v>90</v>
      </c>
      <c r="I149" s="236"/>
      <c r="J149" s="237"/>
    </row>
    <row r="150" spans="1:12" s="3" customFormat="1" ht="16.149999999999999" customHeight="1" x14ac:dyDescent="0.25">
      <c r="A150" s="227">
        <v>4</v>
      </c>
      <c r="B150" s="228"/>
      <c r="C150" s="4" t="s">
        <v>200</v>
      </c>
      <c r="D150" s="227">
        <f t="shared" si="4"/>
        <v>255.56426999999999</v>
      </c>
      <c r="E150" s="228"/>
      <c r="F150" s="4">
        <v>0</v>
      </c>
      <c r="G150" s="4">
        <f t="shared" si="5"/>
        <v>370.56819149999995</v>
      </c>
      <c r="H150" s="4" t="s">
        <v>90</v>
      </c>
      <c r="I150" s="236"/>
      <c r="J150" s="237"/>
    </row>
    <row r="151" spans="1:12" s="3" customFormat="1" ht="16.149999999999999" customHeight="1" x14ac:dyDescent="0.25">
      <c r="A151" s="227">
        <v>5</v>
      </c>
      <c r="B151" s="228"/>
      <c r="C151" s="4" t="s">
        <v>200</v>
      </c>
      <c r="D151" s="227">
        <f t="shared" si="4"/>
        <v>255.56426999999999</v>
      </c>
      <c r="E151" s="228"/>
      <c r="F151" s="4">
        <v>0</v>
      </c>
      <c r="G151" s="4">
        <f t="shared" si="5"/>
        <v>370.56819149999995</v>
      </c>
      <c r="H151" s="4" t="s">
        <v>90</v>
      </c>
      <c r="I151" s="236"/>
      <c r="J151" s="237"/>
    </row>
    <row r="152" spans="1:12" s="3" customFormat="1" ht="16.149999999999999" customHeight="1" x14ac:dyDescent="0.25">
      <c r="A152" s="227">
        <v>6</v>
      </c>
      <c r="B152" s="228"/>
      <c r="C152" s="4" t="s">
        <v>200</v>
      </c>
      <c r="D152" s="227">
        <f t="shared" si="4"/>
        <v>255.56426999999999</v>
      </c>
      <c r="E152" s="228"/>
      <c r="F152" s="4">
        <v>0</v>
      </c>
      <c r="G152" s="4">
        <f t="shared" si="5"/>
        <v>370.56819149999995</v>
      </c>
      <c r="H152" s="4" t="s">
        <v>90</v>
      </c>
      <c r="I152" s="242"/>
      <c r="J152" s="243"/>
    </row>
    <row r="153" spans="1:12" s="3" customFormat="1" ht="16.149999999999999" customHeight="1" x14ac:dyDescent="0.25">
      <c r="A153" s="231" t="s">
        <v>203</v>
      </c>
      <c r="B153" s="232"/>
      <c r="C153" s="232"/>
      <c r="D153" s="232"/>
      <c r="E153" s="232"/>
      <c r="F153" s="232"/>
      <c r="G153" s="232"/>
      <c r="H153" s="232"/>
      <c r="I153" s="232"/>
      <c r="J153" s="233"/>
    </row>
    <row r="154" spans="1:12" s="3" customFormat="1" ht="16.149999999999999" customHeight="1" x14ac:dyDescent="0.25">
      <c r="A154" s="227">
        <v>1</v>
      </c>
      <c r="B154" s="228"/>
      <c r="C154" s="4" t="s">
        <v>200</v>
      </c>
      <c r="D154" s="227">
        <f>(2.75*3.3+2.4*1.15+2.4*1.15+0.45*2+1.2*2.3+1.6*1.5+1*1.4)*10.764</f>
        <v>237.40001999999998</v>
      </c>
      <c r="E154" s="228"/>
      <c r="F154" s="4">
        <f>(2.1*1.6)*10.764</f>
        <v>36.16704</v>
      </c>
      <c r="G154" s="4">
        <f>D154*1.45+F154</f>
        <v>380.39706899999993</v>
      </c>
      <c r="H154" s="4" t="s">
        <v>90</v>
      </c>
      <c r="I154" s="234" t="str">
        <f>A153</f>
        <v>2nd &amp; 4th Floor</v>
      </c>
      <c r="J154" s="235"/>
    </row>
    <row r="155" spans="1:12" s="3" customFormat="1" ht="16.149999999999999" customHeight="1" x14ac:dyDescent="0.25">
      <c r="A155" s="227">
        <v>2</v>
      </c>
      <c r="B155" s="228"/>
      <c r="C155" s="4" t="s">
        <v>200</v>
      </c>
      <c r="D155" s="227">
        <f t="shared" ref="D155:D159" si="6">(2.75*3.3+2.4*1.15+2.4*1.15+0.45*2+1.2*2.3+1.6*1.5+1*1.4)*10.764</f>
        <v>237.40001999999998</v>
      </c>
      <c r="E155" s="228"/>
      <c r="F155" s="4">
        <f t="shared" ref="F155:F159" si="7">(2.1*1.6)*10.764</f>
        <v>36.16704</v>
      </c>
      <c r="G155" s="4">
        <f t="shared" ref="G155:G159" si="8">D155*1.45+F155</f>
        <v>380.39706899999993</v>
      </c>
      <c r="H155" s="4" t="s">
        <v>90</v>
      </c>
      <c r="I155" s="236"/>
      <c r="J155" s="237"/>
    </row>
    <row r="156" spans="1:12" s="3" customFormat="1" ht="16.149999999999999" customHeight="1" x14ac:dyDescent="0.25">
      <c r="A156" s="227">
        <v>3</v>
      </c>
      <c r="B156" s="228"/>
      <c r="C156" s="4" t="s">
        <v>200</v>
      </c>
      <c r="D156" s="227">
        <f t="shared" si="6"/>
        <v>237.40001999999998</v>
      </c>
      <c r="E156" s="228"/>
      <c r="F156" s="4">
        <f t="shared" si="7"/>
        <v>36.16704</v>
      </c>
      <c r="G156" s="4">
        <f t="shared" si="8"/>
        <v>380.39706899999993</v>
      </c>
      <c r="H156" s="4" t="s">
        <v>90</v>
      </c>
      <c r="I156" s="236"/>
      <c r="J156" s="237"/>
    </row>
    <row r="157" spans="1:12" s="3" customFormat="1" ht="16.149999999999999" customHeight="1" x14ac:dyDescent="0.25">
      <c r="A157" s="227">
        <v>4</v>
      </c>
      <c r="B157" s="228"/>
      <c r="C157" s="4" t="s">
        <v>200</v>
      </c>
      <c r="D157" s="227">
        <f t="shared" si="6"/>
        <v>237.40001999999998</v>
      </c>
      <c r="E157" s="228"/>
      <c r="F157" s="4">
        <f t="shared" si="7"/>
        <v>36.16704</v>
      </c>
      <c r="G157" s="4">
        <f t="shared" si="8"/>
        <v>380.39706899999993</v>
      </c>
      <c r="H157" s="4" t="s">
        <v>90</v>
      </c>
      <c r="I157" s="236"/>
      <c r="J157" s="237"/>
    </row>
    <row r="158" spans="1:12" s="3" customFormat="1" ht="16.149999999999999" customHeight="1" x14ac:dyDescent="0.25">
      <c r="A158" s="227">
        <v>5</v>
      </c>
      <c r="B158" s="228"/>
      <c r="C158" s="4" t="s">
        <v>200</v>
      </c>
      <c r="D158" s="227">
        <f t="shared" si="6"/>
        <v>237.40001999999998</v>
      </c>
      <c r="E158" s="228"/>
      <c r="F158" s="4">
        <f t="shared" si="7"/>
        <v>36.16704</v>
      </c>
      <c r="G158" s="4">
        <f t="shared" si="8"/>
        <v>380.39706899999993</v>
      </c>
      <c r="H158" s="4" t="s">
        <v>90</v>
      </c>
      <c r="I158" s="236"/>
      <c r="J158" s="237"/>
    </row>
    <row r="159" spans="1:12" s="3" customFormat="1" ht="16.149999999999999" customHeight="1" x14ac:dyDescent="0.25">
      <c r="A159" s="227">
        <v>6</v>
      </c>
      <c r="B159" s="228"/>
      <c r="C159" s="4" t="s">
        <v>200</v>
      </c>
      <c r="D159" s="227">
        <f t="shared" si="6"/>
        <v>237.40001999999998</v>
      </c>
      <c r="E159" s="228"/>
      <c r="F159" s="4">
        <f t="shared" si="7"/>
        <v>36.16704</v>
      </c>
      <c r="G159" s="4">
        <f t="shared" si="8"/>
        <v>380.39706899999993</v>
      </c>
      <c r="H159" s="4" t="s">
        <v>90</v>
      </c>
      <c r="I159" s="242"/>
      <c r="J159" s="243"/>
      <c r="L159" s="3">
        <f>1402000/G159</f>
        <v>3685.6225093574531</v>
      </c>
    </row>
    <row r="160" spans="1:12" s="3" customFormat="1" ht="16.149999999999999" customHeight="1" x14ac:dyDescent="0.25">
      <c r="A160" s="231" t="s">
        <v>207</v>
      </c>
      <c r="B160" s="232"/>
      <c r="C160" s="232"/>
      <c r="D160" s="232"/>
      <c r="E160" s="232"/>
      <c r="F160" s="232"/>
      <c r="G160" s="232"/>
      <c r="H160" s="232"/>
      <c r="I160" s="232"/>
      <c r="J160" s="233"/>
    </row>
    <row r="161" spans="1:14" s="3" customFormat="1" ht="16.149999999999999" customHeight="1" x14ac:dyDescent="0.25">
      <c r="A161" s="231" t="s">
        <v>205</v>
      </c>
      <c r="B161" s="232"/>
      <c r="C161" s="232"/>
      <c r="D161" s="232"/>
      <c r="E161" s="232"/>
      <c r="F161" s="232"/>
      <c r="G161" s="232"/>
      <c r="H161" s="232"/>
      <c r="I161" s="232"/>
      <c r="J161" s="233"/>
    </row>
    <row r="162" spans="1:14" s="3" customFormat="1" ht="16.149999999999999" customHeight="1" x14ac:dyDescent="0.25">
      <c r="A162" s="227">
        <v>1</v>
      </c>
      <c r="B162" s="228"/>
      <c r="C162" s="4" t="s">
        <v>200</v>
      </c>
      <c r="D162" s="227">
        <f>(2.75*3.5+1*2.75+2.2*2.3+0.75*2.2+2.1*1.6+1*2.1+0.45*2+1.2*1+0.9*1+1*0.9+0.9*2.2)*10.764</f>
        <v>327.49469999999991</v>
      </c>
      <c r="E162" s="228"/>
      <c r="F162" s="4">
        <v>0</v>
      </c>
      <c r="G162" s="4">
        <f>D162*1.45+F162</f>
        <v>474.86731499999985</v>
      </c>
      <c r="H162" s="4" t="s">
        <v>90</v>
      </c>
      <c r="I162" s="244" t="s">
        <v>206</v>
      </c>
      <c r="J162" s="244"/>
    </row>
    <row r="163" spans="1:14" s="3" customFormat="1" ht="16.149999999999999" customHeight="1" x14ac:dyDescent="0.25">
      <c r="A163" s="227">
        <v>2</v>
      </c>
      <c r="B163" s="228"/>
      <c r="C163" s="4" t="s">
        <v>208</v>
      </c>
      <c r="D163" s="227">
        <f>(2.75*3.5+1*2.75+2.25*2.4+1*2.25+2.7*1.5+0.75*2.7+2.45*3+1*2+0.9*1+1*(0.75+2.25)+0.8*1.7+0.75*1.1)*10.764</f>
        <v>447.08274</v>
      </c>
      <c r="E163" s="228"/>
      <c r="F163" s="4">
        <v>0</v>
      </c>
      <c r="G163" s="4">
        <f>D163*1.45+F163</f>
        <v>648.26997299999994</v>
      </c>
      <c r="H163" s="4" t="s">
        <v>90</v>
      </c>
      <c r="I163" s="244" t="s">
        <v>206</v>
      </c>
      <c r="J163" s="244"/>
    </row>
    <row r="164" spans="1:14" s="3" customFormat="1" ht="16.149999999999999" customHeight="1" x14ac:dyDescent="0.25">
      <c r="A164" s="231" t="s">
        <v>209</v>
      </c>
      <c r="B164" s="232"/>
      <c r="C164" s="232"/>
      <c r="D164" s="232"/>
      <c r="E164" s="232"/>
      <c r="F164" s="232"/>
      <c r="G164" s="232"/>
      <c r="H164" s="232"/>
      <c r="I164" s="232"/>
      <c r="J164" s="233"/>
    </row>
    <row r="165" spans="1:14" s="3" customFormat="1" ht="16.149999999999999" customHeight="1" x14ac:dyDescent="0.25">
      <c r="A165" s="227">
        <v>1</v>
      </c>
      <c r="B165" s="228"/>
      <c r="C165" s="4" t="s">
        <v>200</v>
      </c>
      <c r="D165" s="227">
        <f t="shared" ref="D165:D166" si="9">(2.75*3.5+1*2.75+2.2*2.3+0.75*2.2+2.1*1.6+1*2.1+0.45*2+1.2*1+0.9*1+1*0.9+0.9*2.2)*10.764</f>
        <v>327.49469999999991</v>
      </c>
      <c r="E165" s="228"/>
      <c r="F165" s="4">
        <v>0</v>
      </c>
      <c r="G165" s="4">
        <f t="shared" ref="G165:G168" si="10">D165*1.45+F165</f>
        <v>474.86731499999985</v>
      </c>
      <c r="H165" s="4" t="s">
        <v>90</v>
      </c>
      <c r="I165" s="234" t="str">
        <f>A164</f>
        <v>1st To 4th Floor</v>
      </c>
      <c r="J165" s="235"/>
    </row>
    <row r="166" spans="1:14" s="3" customFormat="1" ht="16.149999999999999" customHeight="1" x14ac:dyDescent="0.25">
      <c r="A166" s="227">
        <v>2</v>
      </c>
      <c r="B166" s="228"/>
      <c r="C166" s="4" t="s">
        <v>200</v>
      </c>
      <c r="D166" s="227">
        <f t="shared" si="9"/>
        <v>327.49469999999991</v>
      </c>
      <c r="E166" s="228"/>
      <c r="F166" s="4">
        <v>0</v>
      </c>
      <c r="G166" s="4">
        <f t="shared" si="10"/>
        <v>474.86731499999985</v>
      </c>
      <c r="H166" s="4" t="s">
        <v>90</v>
      </c>
      <c r="I166" s="236"/>
      <c r="J166" s="237"/>
      <c r="L166" s="3">
        <f>2200000/G166</f>
        <v>4632.8730795043257</v>
      </c>
      <c r="N166" s="3">
        <f>3.45*10.764*10</f>
        <v>371.35799999999995</v>
      </c>
    </row>
    <row r="167" spans="1:14" s="3" customFormat="1" ht="16.149999999999999" customHeight="1" x14ac:dyDescent="0.25">
      <c r="A167" s="227">
        <v>3</v>
      </c>
      <c r="B167" s="228"/>
      <c r="C167" s="4" t="s">
        <v>208</v>
      </c>
      <c r="D167" s="227">
        <f t="shared" ref="D167:D168" si="11">(2.75*3.5+1*2.75+2.25*2.4+1*2.25+2.7*1.5+0.75*2.7+2.45*3+1*2+0.9*1+1*(0.75+2.25)+0.8*1.7+0.75*1.1)*10.764</f>
        <v>447.08274</v>
      </c>
      <c r="E167" s="228"/>
      <c r="F167" s="4">
        <v>0</v>
      </c>
      <c r="G167" s="4">
        <f t="shared" si="10"/>
        <v>648.26997299999994</v>
      </c>
      <c r="H167" s="4" t="s">
        <v>90</v>
      </c>
      <c r="I167" s="236"/>
      <c r="J167" s="237"/>
      <c r="L167" s="3">
        <f>2200000/G167</f>
        <v>3393.6478498596143</v>
      </c>
    </row>
    <row r="168" spans="1:14" s="3" customFormat="1" ht="16.149999999999999" customHeight="1" x14ac:dyDescent="0.25">
      <c r="A168" s="227">
        <v>4</v>
      </c>
      <c r="B168" s="228"/>
      <c r="C168" s="4" t="s">
        <v>208</v>
      </c>
      <c r="D168" s="227">
        <f t="shared" si="11"/>
        <v>447.08274</v>
      </c>
      <c r="E168" s="228"/>
      <c r="F168" s="4">
        <v>0</v>
      </c>
      <c r="G168" s="4">
        <f t="shared" si="10"/>
        <v>648.26997299999994</v>
      </c>
      <c r="H168" s="4" t="s">
        <v>90</v>
      </c>
      <c r="I168" s="242"/>
      <c r="J168" s="243"/>
    </row>
    <row r="169" spans="1:14" s="3" customFormat="1" ht="16.149999999999999" customHeight="1" x14ac:dyDescent="0.25">
      <c r="A169" s="231" t="s">
        <v>210</v>
      </c>
      <c r="B169" s="232"/>
      <c r="C169" s="232"/>
      <c r="D169" s="232"/>
      <c r="E169" s="232"/>
      <c r="F169" s="232"/>
      <c r="G169" s="232"/>
      <c r="H169" s="232"/>
      <c r="I169" s="232"/>
      <c r="J169" s="233"/>
    </row>
    <row r="170" spans="1:14" s="3" customFormat="1" ht="16.149999999999999" customHeight="1" x14ac:dyDescent="0.25">
      <c r="A170" s="231" t="s">
        <v>205</v>
      </c>
      <c r="B170" s="232"/>
      <c r="C170" s="232"/>
      <c r="D170" s="232"/>
      <c r="E170" s="232"/>
      <c r="F170" s="232"/>
      <c r="G170" s="232"/>
      <c r="H170" s="232"/>
      <c r="I170" s="232"/>
      <c r="J170" s="233"/>
    </row>
    <row r="171" spans="1:14" s="3" customFormat="1" ht="16.149999999999999" customHeight="1" x14ac:dyDescent="0.25">
      <c r="A171" s="227">
        <v>1</v>
      </c>
      <c r="B171" s="228"/>
      <c r="C171" s="4" t="s">
        <v>208</v>
      </c>
      <c r="D171" s="227">
        <f>(2.75*3.5+1*2.75+2*1+2.25*2.5+2.7*1.5+3*2.45+2*1+1*1.7+0.75*2.25+0.75*2.7+1*(1+1.9+1))*10.764</f>
        <v>459.75735000000003</v>
      </c>
      <c r="E171" s="228"/>
      <c r="F171" s="4">
        <v>0</v>
      </c>
      <c r="G171" s="4">
        <f>D171*1.45+F171</f>
        <v>666.64815750000002</v>
      </c>
      <c r="H171" s="4" t="s">
        <v>90</v>
      </c>
      <c r="I171" s="234" t="s">
        <v>206</v>
      </c>
      <c r="J171" s="235"/>
    </row>
    <row r="172" spans="1:14" s="3" customFormat="1" ht="16.149999999999999" customHeight="1" x14ac:dyDescent="0.25">
      <c r="A172" s="227">
        <v>2</v>
      </c>
      <c r="B172" s="228"/>
      <c r="C172" s="4" t="s">
        <v>208</v>
      </c>
      <c r="D172" s="227">
        <f>(2.75*3.5+1*2.75+2*1+2.25*2.5+2.7*1.5+3*2.45+2*1+1*1.7+0.75*2.25+0.75*2.7+1*(1+1.9+1))*10.764</f>
        <v>459.75735000000003</v>
      </c>
      <c r="E172" s="228"/>
      <c r="F172" s="4">
        <v>0</v>
      </c>
      <c r="G172" s="4">
        <f>D172*1.45+F172</f>
        <v>666.64815750000002</v>
      </c>
      <c r="H172" s="4" t="s">
        <v>90</v>
      </c>
      <c r="I172" s="242"/>
      <c r="J172" s="243"/>
    </row>
    <row r="173" spans="1:14" s="3" customFormat="1" ht="16.149999999999999" customHeight="1" x14ac:dyDescent="0.25">
      <c r="A173" s="231" t="s">
        <v>209</v>
      </c>
      <c r="B173" s="232"/>
      <c r="C173" s="232"/>
      <c r="D173" s="232"/>
      <c r="E173" s="232"/>
      <c r="F173" s="232"/>
      <c r="G173" s="232"/>
      <c r="H173" s="232"/>
      <c r="I173" s="232"/>
      <c r="J173" s="233"/>
    </row>
    <row r="174" spans="1:14" s="3" customFormat="1" ht="16.149999999999999" customHeight="1" x14ac:dyDescent="0.25">
      <c r="A174" s="227">
        <v>1</v>
      </c>
      <c r="B174" s="228"/>
      <c r="C174" s="74" t="s">
        <v>208</v>
      </c>
      <c r="D174" s="227">
        <f t="shared" ref="D174:D175" si="12">(2.75*3.5+1*2.75+2*1+2.25*2.5+2.7*1.5+3*2.45+2*1+1*1.7+0.75*2.25+0.75*2.7+1*(1+1.9+1))*10.764</f>
        <v>459.75735000000003</v>
      </c>
      <c r="E174" s="228"/>
      <c r="F174" s="74">
        <v>0</v>
      </c>
      <c r="G174" s="74">
        <f t="shared" ref="G174:G179" si="13">D174*1.45+F174</f>
        <v>666.64815750000002</v>
      </c>
      <c r="H174" s="74" t="s">
        <v>90</v>
      </c>
      <c r="I174" s="234" t="str">
        <f>A173</f>
        <v>1st To 4th Floor</v>
      </c>
      <c r="J174" s="235"/>
    </row>
    <row r="175" spans="1:14" s="3" customFormat="1" ht="16.149999999999999" customHeight="1" x14ac:dyDescent="0.25">
      <c r="A175" s="227">
        <v>2</v>
      </c>
      <c r="B175" s="228"/>
      <c r="C175" s="74" t="s">
        <v>208</v>
      </c>
      <c r="D175" s="227">
        <f t="shared" si="12"/>
        <v>459.75735000000003</v>
      </c>
      <c r="E175" s="228"/>
      <c r="F175" s="74">
        <v>0</v>
      </c>
      <c r="G175" s="74">
        <f t="shared" si="13"/>
        <v>666.64815750000002</v>
      </c>
      <c r="H175" s="74" t="s">
        <v>90</v>
      </c>
      <c r="I175" s="236"/>
      <c r="J175" s="237"/>
    </row>
    <row r="176" spans="1:14" s="3" customFormat="1" ht="16.149999999999999" customHeight="1" x14ac:dyDescent="0.25">
      <c r="A176" s="227">
        <v>3</v>
      </c>
      <c r="B176" s="228"/>
      <c r="C176" s="74" t="s">
        <v>200</v>
      </c>
      <c r="D176" s="227">
        <f>(2.75*3.5+1*2.75+2.2*2.3+0.75*2.2+2.1*1.6+1*2.1+0.45*2+1.2*1+0.9*1+0.9*1+1*2.2)*10.764</f>
        <v>329.86277999999987</v>
      </c>
      <c r="E176" s="228"/>
      <c r="F176" s="74">
        <v>0</v>
      </c>
      <c r="G176" s="74">
        <f t="shared" si="13"/>
        <v>478.3010309999998</v>
      </c>
      <c r="H176" s="74" t="s">
        <v>90</v>
      </c>
      <c r="I176" s="236"/>
      <c r="J176" s="237"/>
    </row>
    <row r="177" spans="1:10" s="3" customFormat="1" ht="16.149999999999999" customHeight="1" x14ac:dyDescent="0.25">
      <c r="A177" s="227">
        <v>4</v>
      </c>
      <c r="B177" s="228"/>
      <c r="C177" s="74" t="s">
        <v>200</v>
      </c>
      <c r="D177" s="227">
        <f>(2.75*3.5+1*2.75+2.2*2.3+0.75*2.2+2.1*1.6+1*2.1+0.45*2+1.2*1+0.9*1+0.9*1+1*2.2)*10.764</f>
        <v>329.86277999999987</v>
      </c>
      <c r="E177" s="228"/>
      <c r="F177" s="74">
        <v>0</v>
      </c>
      <c r="G177" s="74">
        <f t="shared" si="13"/>
        <v>478.3010309999998</v>
      </c>
      <c r="H177" s="74" t="s">
        <v>90</v>
      </c>
      <c r="I177" s="236"/>
      <c r="J177" s="237"/>
    </row>
    <row r="178" spans="1:10" s="3" customFormat="1" ht="16.149999999999999" customHeight="1" x14ac:dyDescent="0.25">
      <c r="A178" s="227">
        <v>5</v>
      </c>
      <c r="B178" s="228"/>
      <c r="C178" s="74" t="s">
        <v>208</v>
      </c>
      <c r="D178" s="227">
        <f t="shared" ref="D178:D179" si="14">(2.75*3.5+1*2.75+2*1+2.25*2.5+2.7*1.5+3*2.45+2*1+1*1.7+0.75*2.25+0.75*2.7+1*(1+1.9+1))*10.764</f>
        <v>459.75735000000003</v>
      </c>
      <c r="E178" s="228"/>
      <c r="F178" s="74">
        <v>0</v>
      </c>
      <c r="G178" s="74">
        <f t="shared" si="13"/>
        <v>666.64815750000002</v>
      </c>
      <c r="H178" s="74" t="s">
        <v>90</v>
      </c>
      <c r="I178" s="236"/>
      <c r="J178" s="237"/>
    </row>
    <row r="179" spans="1:10" s="3" customFormat="1" ht="16.149999999999999" customHeight="1" x14ac:dyDescent="0.25">
      <c r="A179" s="227">
        <v>6</v>
      </c>
      <c r="B179" s="228"/>
      <c r="C179" s="74" t="s">
        <v>208</v>
      </c>
      <c r="D179" s="227">
        <f t="shared" si="14"/>
        <v>459.75735000000003</v>
      </c>
      <c r="E179" s="228"/>
      <c r="F179" s="74">
        <v>0</v>
      </c>
      <c r="G179" s="74">
        <f t="shared" si="13"/>
        <v>666.64815750000002</v>
      </c>
      <c r="H179" s="74" t="s">
        <v>90</v>
      </c>
      <c r="I179" s="242"/>
      <c r="J179" s="243"/>
    </row>
    <row r="180" spans="1:10" s="3" customFormat="1" ht="16.149999999999999" customHeight="1" x14ac:dyDescent="0.25">
      <c r="A180" s="231" t="s">
        <v>280</v>
      </c>
      <c r="B180" s="232"/>
      <c r="C180" s="232"/>
      <c r="D180" s="232"/>
      <c r="E180" s="232"/>
      <c r="F180" s="232"/>
      <c r="G180" s="232"/>
      <c r="H180" s="232"/>
      <c r="I180" s="232"/>
      <c r="J180" s="233"/>
    </row>
    <row r="181" spans="1:10" s="3" customFormat="1" ht="16.149999999999999" customHeight="1" x14ac:dyDescent="0.25">
      <c r="A181" s="231" t="s">
        <v>281</v>
      </c>
      <c r="B181" s="232"/>
      <c r="C181" s="232"/>
      <c r="D181" s="232"/>
      <c r="E181" s="232"/>
      <c r="F181" s="232"/>
      <c r="G181" s="232"/>
      <c r="H181" s="232"/>
      <c r="I181" s="232"/>
      <c r="J181" s="233"/>
    </row>
    <row r="182" spans="1:10" s="3" customFormat="1" ht="31.5" x14ac:dyDescent="0.25">
      <c r="A182" s="227">
        <v>1</v>
      </c>
      <c r="B182" s="228"/>
      <c r="C182" s="83" t="s">
        <v>282</v>
      </c>
      <c r="D182" s="227">
        <f>(7.6*7.15+7.6*3.65+2.75*1.1)*10.764</f>
        <v>916.07021999999995</v>
      </c>
      <c r="E182" s="228"/>
      <c r="F182" s="83">
        <f>(5.35*2.15+2.6*1.35)*10.764</f>
        <v>161.59454999999997</v>
      </c>
      <c r="G182" s="83">
        <f>D182*1.45+F182</f>
        <v>1489.8963689999998</v>
      </c>
      <c r="H182" s="83" t="s">
        <v>90</v>
      </c>
      <c r="I182" s="227" t="str">
        <f>A181</f>
        <v>Ground Floor For Residential</v>
      </c>
      <c r="J182" s="228"/>
    </row>
    <row r="183" spans="1:10" s="16" customFormat="1" x14ac:dyDescent="0.25">
      <c r="A183" s="259" t="s">
        <v>283</v>
      </c>
      <c r="B183" s="259"/>
      <c r="C183" s="259"/>
      <c r="D183" s="259"/>
      <c r="E183" s="259"/>
      <c r="F183" s="259"/>
      <c r="G183" s="259"/>
      <c r="H183" s="259"/>
      <c r="I183" s="259"/>
      <c r="J183" s="259"/>
    </row>
    <row r="184" spans="1:10" s="16" customFormat="1" x14ac:dyDescent="0.25">
      <c r="A184" s="263" t="s">
        <v>101</v>
      </c>
      <c r="B184" s="263"/>
      <c r="C184" s="263"/>
      <c r="D184" s="263"/>
      <c r="E184" s="263"/>
      <c r="F184" s="263"/>
      <c r="G184" s="263"/>
      <c r="H184" s="263"/>
      <c r="I184" s="263"/>
      <c r="J184" s="263"/>
    </row>
    <row r="185" spans="1:10" s="16" customFormat="1" ht="201.75" customHeight="1" x14ac:dyDescent="0.25">
      <c r="A185" s="260" t="s">
        <v>293</v>
      </c>
      <c r="B185" s="261"/>
      <c r="C185" s="261"/>
      <c r="D185" s="261"/>
      <c r="E185" s="261"/>
      <c r="F185" s="261"/>
      <c r="G185" s="261"/>
      <c r="H185" s="261"/>
      <c r="I185" s="261"/>
      <c r="J185" s="262"/>
    </row>
    <row r="186" spans="1:10" s="16" customFormat="1" x14ac:dyDescent="0.25">
      <c r="A186" s="245" t="s">
        <v>91</v>
      </c>
      <c r="B186" s="246"/>
      <c r="C186" s="246"/>
      <c r="D186" s="246"/>
      <c r="E186" s="246"/>
      <c r="F186" s="246"/>
      <c r="G186" s="246"/>
      <c r="H186" s="246"/>
      <c r="I186" s="246"/>
      <c r="J186" s="247"/>
    </row>
    <row r="187" spans="1:10" s="16" customFormat="1" x14ac:dyDescent="0.25">
      <c r="A187" s="245" t="s">
        <v>92</v>
      </c>
      <c r="B187" s="246"/>
      <c r="C187" s="246"/>
      <c r="D187" s="246"/>
      <c r="E187" s="246"/>
      <c r="F187" s="246"/>
      <c r="G187" s="246"/>
      <c r="H187" s="246"/>
      <c r="I187" s="246"/>
      <c r="J187" s="247"/>
    </row>
    <row r="188" spans="1:10" s="16" customFormat="1" x14ac:dyDescent="0.25">
      <c r="A188" s="245" t="s">
        <v>93</v>
      </c>
      <c r="B188" s="246"/>
      <c r="C188" s="246"/>
      <c r="D188" s="246"/>
      <c r="E188" s="246"/>
      <c r="F188" s="246"/>
      <c r="G188" s="246"/>
      <c r="H188" s="246"/>
      <c r="I188" s="246"/>
      <c r="J188" s="247"/>
    </row>
    <row r="189" spans="1:10" s="16" customFormat="1" x14ac:dyDescent="0.25">
      <c r="A189" s="245" t="s">
        <v>94</v>
      </c>
      <c r="B189" s="246"/>
      <c r="C189" s="246"/>
      <c r="D189" s="246"/>
      <c r="E189" s="246"/>
      <c r="F189" s="246"/>
      <c r="G189" s="246"/>
      <c r="H189" s="246"/>
      <c r="I189" s="246"/>
      <c r="J189" s="247"/>
    </row>
    <row r="190" spans="1:10" s="16" customFormat="1" x14ac:dyDescent="0.25">
      <c r="A190" s="245" t="s">
        <v>95</v>
      </c>
      <c r="B190" s="246"/>
      <c r="C190" s="246"/>
      <c r="D190" s="246"/>
      <c r="E190" s="246"/>
      <c r="F190" s="246"/>
      <c r="G190" s="246"/>
      <c r="H190" s="246"/>
      <c r="I190" s="246"/>
      <c r="J190" s="247"/>
    </row>
    <row r="191" spans="1:10" s="16" customFormat="1" x14ac:dyDescent="0.25">
      <c r="A191" s="245" t="s">
        <v>96</v>
      </c>
      <c r="B191" s="246"/>
      <c r="C191" s="246"/>
      <c r="D191" s="246"/>
      <c r="E191" s="246"/>
      <c r="F191" s="246"/>
      <c r="G191" s="246"/>
      <c r="H191" s="246"/>
      <c r="I191" s="246"/>
      <c r="J191" s="247"/>
    </row>
    <row r="192" spans="1:10" s="16" customFormat="1" ht="32.25" customHeight="1" x14ac:dyDescent="0.25">
      <c r="A192" s="245" t="s">
        <v>97</v>
      </c>
      <c r="B192" s="246"/>
      <c r="C192" s="246"/>
      <c r="D192" s="246"/>
      <c r="E192" s="246"/>
      <c r="F192" s="246"/>
      <c r="G192" s="246"/>
      <c r="H192" s="246"/>
      <c r="I192" s="246"/>
      <c r="J192" s="247"/>
    </row>
    <row r="193" spans="1:10" ht="75.75" hidden="1" customHeight="1" x14ac:dyDescent="0.25">
      <c r="A193" s="258" t="s">
        <v>180</v>
      </c>
      <c r="B193" s="258"/>
      <c r="C193" s="248" t="s">
        <v>179</v>
      </c>
      <c r="D193" s="248"/>
      <c r="E193" s="258" t="s">
        <v>181</v>
      </c>
      <c r="F193" s="258"/>
      <c r="G193" s="258"/>
      <c r="H193" s="258" t="s">
        <v>211</v>
      </c>
      <c r="I193" s="258"/>
      <c r="J193" s="258"/>
    </row>
    <row r="194" spans="1:10" x14ac:dyDescent="0.25">
      <c r="A194" s="249" t="s">
        <v>98</v>
      </c>
      <c r="B194" s="250"/>
      <c r="C194" s="250"/>
      <c r="D194" s="250"/>
      <c r="E194" s="250"/>
      <c r="F194" s="250"/>
      <c r="G194" s="250"/>
      <c r="H194" s="250"/>
      <c r="I194" s="250"/>
      <c r="J194" s="251"/>
    </row>
    <row r="195" spans="1:10" x14ac:dyDescent="0.25">
      <c r="A195" s="252"/>
      <c r="B195" s="253"/>
      <c r="C195" s="253"/>
      <c r="D195" s="253"/>
      <c r="E195" s="253"/>
      <c r="F195" s="253"/>
      <c r="G195" s="253"/>
      <c r="H195" s="253"/>
      <c r="I195" s="253"/>
      <c r="J195" s="254"/>
    </row>
    <row r="196" spans="1:10" x14ac:dyDescent="0.25">
      <c r="A196" s="252"/>
      <c r="B196" s="253"/>
      <c r="C196" s="253"/>
      <c r="D196" s="253"/>
      <c r="E196" s="253"/>
      <c r="F196" s="253"/>
      <c r="G196" s="253"/>
      <c r="H196" s="253"/>
      <c r="I196" s="253"/>
      <c r="J196" s="254"/>
    </row>
    <row r="197" spans="1:10" ht="7.5" customHeight="1" x14ac:dyDescent="0.25">
      <c r="A197" s="255"/>
      <c r="B197" s="256"/>
      <c r="C197" s="256"/>
      <c r="D197" s="256"/>
      <c r="E197" s="256"/>
      <c r="F197" s="256"/>
      <c r="G197" s="256"/>
      <c r="H197" s="256"/>
      <c r="I197" s="256"/>
      <c r="J197" s="257"/>
    </row>
    <row r="198" spans="1:10" x14ac:dyDescent="0.25">
      <c r="A198" s="17" t="s">
        <v>99</v>
      </c>
      <c r="B198" s="18"/>
      <c r="C198" s="18"/>
      <c r="D198" s="17" t="str">
        <f>F8</f>
        <v>Sagar Sargam Residency</v>
      </c>
      <c r="E198" s="18"/>
      <c r="G198" s="18"/>
      <c r="H198" s="56"/>
      <c r="I198" s="56"/>
      <c r="J198" s="56"/>
    </row>
    <row r="199" spans="1:10" s="38" customFormat="1" x14ac:dyDescent="0.25">
      <c r="A199" s="18"/>
      <c r="B199" s="18"/>
      <c r="C199" s="18"/>
      <c r="D199" s="12"/>
      <c r="E199" s="12"/>
      <c r="F199" s="12"/>
      <c r="G199" s="12"/>
      <c r="H199" s="39"/>
      <c r="I199" s="39"/>
      <c r="J199" s="39"/>
    </row>
    <row r="200" spans="1:10" s="38" customFormat="1" x14ac:dyDescent="0.25">
      <c r="H200" s="39"/>
      <c r="I200" s="39"/>
      <c r="J200" s="39"/>
    </row>
    <row r="201" spans="1:10" s="38" customFormat="1" x14ac:dyDescent="0.25">
      <c r="H201" s="39"/>
      <c r="I201" s="39"/>
      <c r="J201" s="39"/>
    </row>
    <row r="202" spans="1:10" s="38" customFormat="1" x14ac:dyDescent="0.25">
      <c r="A202" s="39"/>
      <c r="B202" s="39"/>
      <c r="C202" s="40"/>
      <c r="D202" s="40"/>
      <c r="E202" s="40"/>
      <c r="F202" s="40"/>
      <c r="G202" s="40"/>
      <c r="H202" s="39"/>
      <c r="I202" s="39"/>
      <c r="J202" s="39"/>
    </row>
    <row r="203" spans="1:10" s="38" customFormat="1" x14ac:dyDescent="0.25">
      <c r="A203" s="39"/>
      <c r="B203" s="39"/>
      <c r="C203" s="40"/>
      <c r="D203" s="40"/>
      <c r="E203" s="40"/>
      <c r="F203" s="40"/>
      <c r="G203" s="40"/>
      <c r="H203" s="39"/>
      <c r="I203" s="39"/>
      <c r="J203" s="39"/>
    </row>
    <row r="204" spans="1:10" x14ac:dyDescent="0.25">
      <c r="H204" s="18"/>
      <c r="I204" s="18"/>
      <c r="J204" s="18"/>
    </row>
    <row r="205" spans="1:10" x14ac:dyDescent="0.25">
      <c r="H205" s="18"/>
      <c r="I205" s="18"/>
      <c r="J205" s="18"/>
    </row>
    <row r="206" spans="1:10" x14ac:dyDescent="0.25">
      <c r="A206" s="18"/>
      <c r="B206" s="18"/>
      <c r="C206" s="18"/>
      <c r="H206" s="18"/>
      <c r="I206" s="18"/>
      <c r="J206" s="18"/>
    </row>
    <row r="207" spans="1:10" ht="15" customHeight="1" x14ac:dyDescent="0.25"/>
    <row r="239" hidden="1" x14ac:dyDescent="0.25"/>
    <row r="240" hidden="1" x14ac:dyDescent="0.25"/>
    <row r="241" spans="1:1" hidden="1" x14ac:dyDescent="0.25"/>
    <row r="242" spans="1:1" hidden="1" x14ac:dyDescent="0.25"/>
    <row r="243" spans="1:1" x14ac:dyDescent="0.25">
      <c r="A243" s="19" t="s">
        <v>284</v>
      </c>
    </row>
    <row r="280" spans="1:1" x14ac:dyDescent="0.25">
      <c r="A280" s="19" t="s">
        <v>100</v>
      </c>
    </row>
  </sheetData>
  <mergeCells count="410">
    <mergeCell ref="A46:B46"/>
    <mergeCell ref="C46:F46"/>
    <mergeCell ref="H46:J46"/>
    <mergeCell ref="A48:B48"/>
    <mergeCell ref="C48:F48"/>
    <mergeCell ref="H48:J48"/>
    <mergeCell ref="A44:J44"/>
    <mergeCell ref="A33:B33"/>
    <mergeCell ref="C33:J33"/>
    <mergeCell ref="F40:J40"/>
    <mergeCell ref="A41:E41"/>
    <mergeCell ref="F41:J41"/>
    <mergeCell ref="A42:E42"/>
    <mergeCell ref="F42:J42"/>
    <mergeCell ref="A43:E43"/>
    <mergeCell ref="F43:J43"/>
    <mergeCell ref="H49:J49"/>
    <mergeCell ref="A73:B73"/>
    <mergeCell ref="C73:J73"/>
    <mergeCell ref="A76:B76"/>
    <mergeCell ref="D76:E76"/>
    <mergeCell ref="F76:G76"/>
    <mergeCell ref="H76:J76"/>
    <mergeCell ref="H74:J75"/>
    <mergeCell ref="A74:B75"/>
    <mergeCell ref="C74:D75"/>
    <mergeCell ref="E74:G75"/>
    <mergeCell ref="A71:B71"/>
    <mergeCell ref="C71:J71"/>
    <mergeCell ref="E72:F72"/>
    <mergeCell ref="I72:J72"/>
    <mergeCell ref="A54:B54"/>
    <mergeCell ref="C54:E54"/>
    <mergeCell ref="F54:J54"/>
    <mergeCell ref="A55:C55"/>
    <mergeCell ref="D55:J55"/>
    <mergeCell ref="C59:J59"/>
    <mergeCell ref="A60:B60"/>
    <mergeCell ref="D60:E60"/>
    <mergeCell ref="H60:J60"/>
    <mergeCell ref="H77:J86"/>
    <mergeCell ref="A78:B78"/>
    <mergeCell ref="D78:E78"/>
    <mergeCell ref="A79:B79"/>
    <mergeCell ref="D79:E79"/>
    <mergeCell ref="A80:B80"/>
    <mergeCell ref="A83:B83"/>
    <mergeCell ref="D83:E83"/>
    <mergeCell ref="A84:B84"/>
    <mergeCell ref="D84:E84"/>
    <mergeCell ref="A85:B85"/>
    <mergeCell ref="D85:E85"/>
    <mergeCell ref="A86:B86"/>
    <mergeCell ref="D86:E86"/>
    <mergeCell ref="D80:E80"/>
    <mergeCell ref="A81:B81"/>
    <mergeCell ref="D81:E81"/>
    <mergeCell ref="D82:E82"/>
    <mergeCell ref="A137:B137"/>
    <mergeCell ref="D139:E139"/>
    <mergeCell ref="D138:E138"/>
    <mergeCell ref="A139:B139"/>
    <mergeCell ref="D137:E137"/>
    <mergeCell ref="A138:B138"/>
    <mergeCell ref="A77:B77"/>
    <mergeCell ref="D77:E77"/>
    <mergeCell ref="F77:G86"/>
    <mergeCell ref="A122:B122"/>
    <mergeCell ref="D122:F122"/>
    <mergeCell ref="G122:J122"/>
    <mergeCell ref="A123:J123"/>
    <mergeCell ref="A124:J124"/>
    <mergeCell ref="A120:B120"/>
    <mergeCell ref="D120:F120"/>
    <mergeCell ref="G120:J120"/>
    <mergeCell ref="A129:B129"/>
    <mergeCell ref="D129:E129"/>
    <mergeCell ref="A121:B121"/>
    <mergeCell ref="D121:F121"/>
    <mergeCell ref="G121:J121"/>
    <mergeCell ref="A130:B130"/>
    <mergeCell ref="D130:E130"/>
    <mergeCell ref="D64:E64"/>
    <mergeCell ref="A65:B65"/>
    <mergeCell ref="D65:E65"/>
    <mergeCell ref="A66:B66"/>
    <mergeCell ref="D66:E66"/>
    <mergeCell ref="A67:B67"/>
    <mergeCell ref="D67:E67"/>
    <mergeCell ref="A68:B68"/>
    <mergeCell ref="D68:E68"/>
    <mergeCell ref="A69:B69"/>
    <mergeCell ref="D69:E69"/>
    <mergeCell ref="A70:B70"/>
    <mergeCell ref="A82:B82"/>
    <mergeCell ref="A169:J169"/>
    <mergeCell ref="A170:J170"/>
    <mergeCell ref="I171:J172"/>
    <mergeCell ref="A185:J185"/>
    <mergeCell ref="A179:B179"/>
    <mergeCell ref="A177:B177"/>
    <mergeCell ref="D178:E178"/>
    <mergeCell ref="A178:B178"/>
    <mergeCell ref="D179:E179"/>
    <mergeCell ref="I174:J179"/>
    <mergeCell ref="A175:B175"/>
    <mergeCell ref="D176:E176"/>
    <mergeCell ref="A176:B176"/>
    <mergeCell ref="D177:E177"/>
    <mergeCell ref="D174:E174"/>
    <mergeCell ref="A174:B174"/>
    <mergeCell ref="D175:E175"/>
    <mergeCell ref="A184:J184"/>
    <mergeCell ref="A173:J173"/>
    <mergeCell ref="A171:B171"/>
    <mergeCell ref="A192:J192"/>
    <mergeCell ref="C193:D193"/>
    <mergeCell ref="A194:J197"/>
    <mergeCell ref="A193:B193"/>
    <mergeCell ref="E193:G193"/>
    <mergeCell ref="H193:J193"/>
    <mergeCell ref="A167:B167"/>
    <mergeCell ref="D168:E168"/>
    <mergeCell ref="A168:B168"/>
    <mergeCell ref="A180:J180"/>
    <mergeCell ref="A181:J181"/>
    <mergeCell ref="A182:B182"/>
    <mergeCell ref="D182:E182"/>
    <mergeCell ref="I182:J182"/>
    <mergeCell ref="A183:J183"/>
    <mergeCell ref="D172:E172"/>
    <mergeCell ref="A172:B172"/>
    <mergeCell ref="D171:E171"/>
    <mergeCell ref="A186:J186"/>
    <mergeCell ref="A187:J187"/>
    <mergeCell ref="A188:J188"/>
    <mergeCell ref="A189:J189"/>
    <mergeCell ref="A190:J190"/>
    <mergeCell ref="A191:J191"/>
    <mergeCell ref="A165:B165"/>
    <mergeCell ref="D166:E166"/>
    <mergeCell ref="A166:B166"/>
    <mergeCell ref="D167:E167"/>
    <mergeCell ref="I165:J168"/>
    <mergeCell ref="A163:B163"/>
    <mergeCell ref="D165:E165"/>
    <mergeCell ref="D162:E162"/>
    <mergeCell ref="A162:B162"/>
    <mergeCell ref="D163:E163"/>
    <mergeCell ref="I162:J162"/>
    <mergeCell ref="I163:J163"/>
    <mergeCell ref="A161:J161"/>
    <mergeCell ref="A164:J164"/>
    <mergeCell ref="A159:B159"/>
    <mergeCell ref="A157:B157"/>
    <mergeCell ref="D158:E158"/>
    <mergeCell ref="A158:B158"/>
    <mergeCell ref="D159:E159"/>
    <mergeCell ref="I154:J159"/>
    <mergeCell ref="A160:J160"/>
    <mergeCell ref="A155:B155"/>
    <mergeCell ref="D156:E156"/>
    <mergeCell ref="A156:B156"/>
    <mergeCell ref="D157:E157"/>
    <mergeCell ref="D154:E154"/>
    <mergeCell ref="A154:B154"/>
    <mergeCell ref="D155:E155"/>
    <mergeCell ref="A153:J153"/>
    <mergeCell ref="A151:B151"/>
    <mergeCell ref="D152:E152"/>
    <mergeCell ref="A152:B152"/>
    <mergeCell ref="A150:B150"/>
    <mergeCell ref="D151:E151"/>
    <mergeCell ref="I147:J152"/>
    <mergeCell ref="A148:B148"/>
    <mergeCell ref="D149:E149"/>
    <mergeCell ref="A149:B149"/>
    <mergeCell ref="D150:E150"/>
    <mergeCell ref="D147:E147"/>
    <mergeCell ref="A147:B147"/>
    <mergeCell ref="D148:E148"/>
    <mergeCell ref="A140:J140"/>
    <mergeCell ref="A131:B131"/>
    <mergeCell ref="D131:E131"/>
    <mergeCell ref="A141:J141"/>
    <mergeCell ref="A146:J146"/>
    <mergeCell ref="A144:B144"/>
    <mergeCell ref="D145:E145"/>
    <mergeCell ref="A145:B145"/>
    <mergeCell ref="A142:B142"/>
    <mergeCell ref="D143:E143"/>
    <mergeCell ref="A143:B143"/>
    <mergeCell ref="D144:E144"/>
    <mergeCell ref="I142:J145"/>
    <mergeCell ref="D142:E142"/>
    <mergeCell ref="A132:J132"/>
    <mergeCell ref="A133:B133"/>
    <mergeCell ref="D133:E133"/>
    <mergeCell ref="I133:J139"/>
    <mergeCell ref="A134:B134"/>
    <mergeCell ref="D134:E134"/>
    <mergeCell ref="A135:B135"/>
    <mergeCell ref="D135:E135"/>
    <mergeCell ref="A136:B136"/>
    <mergeCell ref="D136:E136"/>
    <mergeCell ref="A128:B128"/>
    <mergeCell ref="D128:E128"/>
    <mergeCell ref="A125:B125"/>
    <mergeCell ref="D125:E125"/>
    <mergeCell ref="I125:J125"/>
    <mergeCell ref="A126:J126"/>
    <mergeCell ref="A127:J127"/>
    <mergeCell ref="I128:J131"/>
    <mergeCell ref="A119:B119"/>
    <mergeCell ref="D119:F119"/>
    <mergeCell ref="G119:J119"/>
    <mergeCell ref="A115:J115"/>
    <mergeCell ref="A117:B117"/>
    <mergeCell ref="A116:B116"/>
    <mergeCell ref="D116:F116"/>
    <mergeCell ref="G116:J116"/>
    <mergeCell ref="D117:F117"/>
    <mergeCell ref="G117:J117"/>
    <mergeCell ref="A118:B118"/>
    <mergeCell ref="D118:F118"/>
    <mergeCell ref="G118:J118"/>
    <mergeCell ref="A113:B113"/>
    <mergeCell ref="D113:F113"/>
    <mergeCell ref="G113:J113"/>
    <mergeCell ref="A114:B114"/>
    <mergeCell ref="D114:F114"/>
    <mergeCell ref="G114:J114"/>
    <mergeCell ref="A112:J112"/>
    <mergeCell ref="A110:F110"/>
    <mergeCell ref="G110:J110"/>
    <mergeCell ref="A107:F107"/>
    <mergeCell ref="G107:J107"/>
    <mergeCell ref="A108:F108"/>
    <mergeCell ref="G108:J108"/>
    <mergeCell ref="A109:F109"/>
    <mergeCell ref="G109:J109"/>
    <mergeCell ref="A111:F111"/>
    <mergeCell ref="G111:J111"/>
    <mergeCell ref="A106:F106"/>
    <mergeCell ref="G106:J106"/>
    <mergeCell ref="A102:J102"/>
    <mergeCell ref="A103:B103"/>
    <mergeCell ref="C103:J103"/>
    <mergeCell ref="A56:J56"/>
    <mergeCell ref="F60:G60"/>
    <mergeCell ref="A105:F105"/>
    <mergeCell ref="G105:J105"/>
    <mergeCell ref="A104:J104"/>
    <mergeCell ref="A101:J101"/>
    <mergeCell ref="D70:E70"/>
    <mergeCell ref="A61:B61"/>
    <mergeCell ref="D61:E61"/>
    <mergeCell ref="F61:G70"/>
    <mergeCell ref="H61:J70"/>
    <mergeCell ref="A62:B62"/>
    <mergeCell ref="D62:E62"/>
    <mergeCell ref="A63:B63"/>
    <mergeCell ref="D63:E63"/>
    <mergeCell ref="A64:B64"/>
    <mergeCell ref="A57:B57"/>
    <mergeCell ref="C57:J57"/>
    <mergeCell ref="E58:F58"/>
    <mergeCell ref="I58:J58"/>
    <mergeCell ref="A59:B59"/>
    <mergeCell ref="A52:J52"/>
    <mergeCell ref="A53:C53"/>
    <mergeCell ref="D53:E53"/>
    <mergeCell ref="F53:G53"/>
    <mergeCell ref="H53:J53"/>
    <mergeCell ref="A37:J37"/>
    <mergeCell ref="H50:J50"/>
    <mergeCell ref="A50:B50"/>
    <mergeCell ref="C50:F50"/>
    <mergeCell ref="A51:C51"/>
    <mergeCell ref="D51:E51"/>
    <mergeCell ref="F51:G51"/>
    <mergeCell ref="H51:J51"/>
    <mergeCell ref="A38:E38"/>
    <mergeCell ref="F38:J38"/>
    <mergeCell ref="H45:J45"/>
    <mergeCell ref="H47:J47"/>
    <mergeCell ref="A47:B47"/>
    <mergeCell ref="C47:F47"/>
    <mergeCell ref="A49:B49"/>
    <mergeCell ref="C49:F49"/>
    <mergeCell ref="A45:B45"/>
    <mergeCell ref="C45:F45"/>
    <mergeCell ref="A40:E40"/>
    <mergeCell ref="A15:B15"/>
    <mergeCell ref="C15:E15"/>
    <mergeCell ref="F15:G15"/>
    <mergeCell ref="H15:J15"/>
    <mergeCell ref="A24:E24"/>
    <mergeCell ref="A25:E25"/>
    <mergeCell ref="F25:J25"/>
    <mergeCell ref="F24:J24"/>
    <mergeCell ref="A26:E26"/>
    <mergeCell ref="F26:J26"/>
    <mergeCell ref="A23:E23"/>
    <mergeCell ref="F23:J23"/>
    <mergeCell ref="A17:B17"/>
    <mergeCell ref="C17:E17"/>
    <mergeCell ref="F17:G17"/>
    <mergeCell ref="H17:J17"/>
    <mergeCell ref="A18:B18"/>
    <mergeCell ref="C18:E18"/>
    <mergeCell ref="F18:G18"/>
    <mergeCell ref="H18:J18"/>
    <mergeCell ref="A19:E20"/>
    <mergeCell ref="F19:J20"/>
    <mergeCell ref="A21:E22"/>
    <mergeCell ref="F21:J22"/>
    <mergeCell ref="A10:E10"/>
    <mergeCell ref="F10:J10"/>
    <mergeCell ref="A5:E5"/>
    <mergeCell ref="F5:J5"/>
    <mergeCell ref="A6:E6"/>
    <mergeCell ref="F6:J6"/>
    <mergeCell ref="A7:E7"/>
    <mergeCell ref="F7:J7"/>
    <mergeCell ref="A14:B14"/>
    <mergeCell ref="C14:E14"/>
    <mergeCell ref="A11:E11"/>
    <mergeCell ref="F11:J11"/>
    <mergeCell ref="A12:E12"/>
    <mergeCell ref="F12:J12"/>
    <mergeCell ref="A13:B13"/>
    <mergeCell ref="C13:J13"/>
    <mergeCell ref="F14:G14"/>
    <mergeCell ref="H14:J14"/>
    <mergeCell ref="A1:J1"/>
    <mergeCell ref="A2:J2"/>
    <mergeCell ref="A3:E3"/>
    <mergeCell ref="F3:J3"/>
    <mergeCell ref="A4:E4"/>
    <mergeCell ref="A8:E8"/>
    <mergeCell ref="F8:J8"/>
    <mergeCell ref="A9:E9"/>
    <mergeCell ref="F9:J9"/>
    <mergeCell ref="F4:J4"/>
    <mergeCell ref="A16:B16"/>
    <mergeCell ref="C16:E16"/>
    <mergeCell ref="F16:G16"/>
    <mergeCell ref="H16:J1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39:E39"/>
    <mergeCell ref="F39:J39"/>
    <mergeCell ref="A35:E35"/>
    <mergeCell ref="F35:J35"/>
    <mergeCell ref="A30:J30"/>
    <mergeCell ref="A29:B29"/>
    <mergeCell ref="C29:D29"/>
    <mergeCell ref="E29:F29"/>
    <mergeCell ref="G29:H29"/>
    <mergeCell ref="I29:J29"/>
    <mergeCell ref="A31:J31"/>
    <mergeCell ref="A32:B32"/>
    <mergeCell ref="C32:D32"/>
    <mergeCell ref="E32:F32"/>
    <mergeCell ref="G32:H32"/>
    <mergeCell ref="I32:J32"/>
    <mergeCell ref="A34:J34"/>
    <mergeCell ref="A36:E36"/>
    <mergeCell ref="F36:J36"/>
    <mergeCell ref="A87:B87"/>
    <mergeCell ref="C87:J87"/>
    <mergeCell ref="E88:F88"/>
    <mergeCell ref="I88:J88"/>
    <mergeCell ref="A89:B89"/>
    <mergeCell ref="C89:J89"/>
    <mergeCell ref="A90:B90"/>
    <mergeCell ref="D90:E90"/>
    <mergeCell ref="F90:G90"/>
    <mergeCell ref="H90:J90"/>
    <mergeCell ref="A91:B91"/>
    <mergeCell ref="D91:E91"/>
    <mergeCell ref="F91:G100"/>
    <mergeCell ref="H91:J100"/>
    <mergeCell ref="A92:B92"/>
    <mergeCell ref="D92:E92"/>
    <mergeCell ref="A93:B93"/>
    <mergeCell ref="D93:E93"/>
    <mergeCell ref="A94:B94"/>
    <mergeCell ref="D94:E94"/>
    <mergeCell ref="A95:B95"/>
    <mergeCell ref="D95:E95"/>
    <mergeCell ref="A96:B96"/>
    <mergeCell ref="D96:E96"/>
    <mergeCell ref="A97:B97"/>
    <mergeCell ref="D97:E97"/>
    <mergeCell ref="A98:B98"/>
    <mergeCell ref="D98:E98"/>
    <mergeCell ref="A99:B99"/>
    <mergeCell ref="D99:E99"/>
    <mergeCell ref="A100:B100"/>
    <mergeCell ref="D100:E100"/>
  </mergeCells>
  <hyperlinks>
    <hyperlink ref="C33" r:id="rId1"/>
  </hyperlinks>
  <printOptions horizontalCentered="1"/>
  <pageMargins left="0.23622047244094491" right="0.23622047244094491" top="0.78740157480314965" bottom="0.74803149606299213" header="0.31496062992125984" footer="0.31496062992125984"/>
  <pageSetup paperSize="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56" max="9" man="1"/>
    <brk id="197" max="16383" man="1"/>
    <brk id="238" max="9" man="1"/>
    <brk id="27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workbookViewId="0">
      <selection activeCell="C8" sqref="C8"/>
    </sheetView>
  </sheetViews>
  <sheetFormatPr defaultRowHeight="15" x14ac:dyDescent="0.25"/>
  <cols>
    <col min="1" max="1" width="26.5703125" style="21" customWidth="1"/>
    <col min="2" max="2" width="11.7109375" style="21" customWidth="1"/>
    <col min="3" max="4" width="9.140625" style="21"/>
    <col min="5" max="5" width="10.140625" style="21" customWidth="1"/>
    <col min="6" max="6" width="10.7109375" style="21" customWidth="1"/>
    <col min="7" max="7" width="9.140625" style="21"/>
    <col min="8" max="8" width="10.42578125" style="21" customWidth="1"/>
    <col min="9" max="9" width="15.42578125" style="21" customWidth="1"/>
    <col min="10" max="258" width="9.140625" style="21"/>
    <col min="259" max="259" width="11.7109375" style="21" customWidth="1"/>
    <col min="260" max="260" width="9.140625" style="21"/>
    <col min="261" max="261" width="14.7109375" style="21" customWidth="1"/>
    <col min="262" max="262" width="10.7109375" style="21" customWidth="1"/>
    <col min="263" max="514" width="9.140625" style="21"/>
    <col min="515" max="515" width="11.7109375" style="21" customWidth="1"/>
    <col min="516" max="516" width="9.140625" style="21"/>
    <col min="517" max="517" width="14.7109375" style="21" customWidth="1"/>
    <col min="518" max="518" width="10.7109375" style="21" customWidth="1"/>
    <col min="519" max="770" width="9.140625" style="21"/>
    <col min="771" max="771" width="11.7109375" style="21" customWidth="1"/>
    <col min="772" max="772" width="9.140625" style="21"/>
    <col min="773" max="773" width="14.7109375" style="21" customWidth="1"/>
    <col min="774" max="774" width="10.7109375" style="21" customWidth="1"/>
    <col min="775" max="1026" width="9.140625" style="21"/>
    <col min="1027" max="1027" width="11.7109375" style="21" customWidth="1"/>
    <col min="1028" max="1028" width="9.140625" style="21"/>
    <col min="1029" max="1029" width="14.7109375" style="21" customWidth="1"/>
    <col min="1030" max="1030" width="10.7109375" style="21" customWidth="1"/>
    <col min="1031" max="1282" width="9.140625" style="21"/>
    <col min="1283" max="1283" width="11.7109375" style="21" customWidth="1"/>
    <col min="1284" max="1284" width="9.140625" style="21"/>
    <col min="1285" max="1285" width="14.7109375" style="21" customWidth="1"/>
    <col min="1286" max="1286" width="10.7109375" style="21" customWidth="1"/>
    <col min="1287" max="1538" width="9.140625" style="21"/>
    <col min="1539" max="1539" width="11.7109375" style="21" customWidth="1"/>
    <col min="1540" max="1540" width="9.140625" style="21"/>
    <col min="1541" max="1541" width="14.7109375" style="21" customWidth="1"/>
    <col min="1542" max="1542" width="10.7109375" style="21" customWidth="1"/>
    <col min="1543" max="1794" width="9.140625" style="21"/>
    <col min="1795" max="1795" width="11.7109375" style="21" customWidth="1"/>
    <col min="1796" max="1796" width="9.140625" style="21"/>
    <col min="1797" max="1797" width="14.7109375" style="21" customWidth="1"/>
    <col min="1798" max="1798" width="10.7109375" style="21" customWidth="1"/>
    <col min="1799" max="2050" width="9.140625" style="21"/>
    <col min="2051" max="2051" width="11.7109375" style="21" customWidth="1"/>
    <col min="2052" max="2052" width="9.140625" style="21"/>
    <col min="2053" max="2053" width="14.7109375" style="21" customWidth="1"/>
    <col min="2054" max="2054" width="10.7109375" style="21" customWidth="1"/>
    <col min="2055" max="2306" width="9.140625" style="21"/>
    <col min="2307" max="2307" width="11.7109375" style="21" customWidth="1"/>
    <col min="2308" max="2308" width="9.140625" style="21"/>
    <col min="2309" max="2309" width="14.7109375" style="21" customWidth="1"/>
    <col min="2310" max="2310" width="10.7109375" style="21" customWidth="1"/>
    <col min="2311" max="2562" width="9.140625" style="21"/>
    <col min="2563" max="2563" width="11.7109375" style="21" customWidth="1"/>
    <col min="2564" max="2564" width="9.140625" style="21"/>
    <col min="2565" max="2565" width="14.7109375" style="21" customWidth="1"/>
    <col min="2566" max="2566" width="10.7109375" style="21" customWidth="1"/>
    <col min="2567" max="2818" width="9.140625" style="21"/>
    <col min="2819" max="2819" width="11.7109375" style="21" customWidth="1"/>
    <col min="2820" max="2820" width="9.140625" style="21"/>
    <col min="2821" max="2821" width="14.7109375" style="21" customWidth="1"/>
    <col min="2822" max="2822" width="10.7109375" style="21" customWidth="1"/>
    <col min="2823" max="3074" width="9.140625" style="21"/>
    <col min="3075" max="3075" width="11.7109375" style="21" customWidth="1"/>
    <col min="3076" max="3076" width="9.140625" style="21"/>
    <col min="3077" max="3077" width="14.7109375" style="21" customWidth="1"/>
    <col min="3078" max="3078" width="10.7109375" style="21" customWidth="1"/>
    <col min="3079" max="3330" width="9.140625" style="21"/>
    <col min="3331" max="3331" width="11.7109375" style="21" customWidth="1"/>
    <col min="3332" max="3332" width="9.140625" style="21"/>
    <col min="3333" max="3333" width="14.7109375" style="21" customWidth="1"/>
    <col min="3334" max="3334" width="10.7109375" style="21" customWidth="1"/>
    <col min="3335" max="3586" width="9.140625" style="21"/>
    <col min="3587" max="3587" width="11.7109375" style="21" customWidth="1"/>
    <col min="3588" max="3588" width="9.140625" style="21"/>
    <col min="3589" max="3589" width="14.7109375" style="21" customWidth="1"/>
    <col min="3590" max="3590" width="10.7109375" style="21" customWidth="1"/>
    <col min="3591" max="3842" width="9.140625" style="21"/>
    <col min="3843" max="3843" width="11.7109375" style="21" customWidth="1"/>
    <col min="3844" max="3844" width="9.140625" style="21"/>
    <col min="3845" max="3845" width="14.7109375" style="21" customWidth="1"/>
    <col min="3846" max="3846" width="10.7109375" style="21" customWidth="1"/>
    <col min="3847" max="4098" width="9.140625" style="21"/>
    <col min="4099" max="4099" width="11.7109375" style="21" customWidth="1"/>
    <col min="4100" max="4100" width="9.140625" style="21"/>
    <col min="4101" max="4101" width="14.7109375" style="21" customWidth="1"/>
    <col min="4102" max="4102" width="10.7109375" style="21" customWidth="1"/>
    <col min="4103" max="4354" width="9.140625" style="21"/>
    <col min="4355" max="4355" width="11.7109375" style="21" customWidth="1"/>
    <col min="4356" max="4356" width="9.140625" style="21"/>
    <col min="4357" max="4357" width="14.7109375" style="21" customWidth="1"/>
    <col min="4358" max="4358" width="10.7109375" style="21" customWidth="1"/>
    <col min="4359" max="4610" width="9.140625" style="21"/>
    <col min="4611" max="4611" width="11.7109375" style="21" customWidth="1"/>
    <col min="4612" max="4612" width="9.140625" style="21"/>
    <col min="4613" max="4613" width="14.7109375" style="21" customWidth="1"/>
    <col min="4614" max="4614" width="10.7109375" style="21" customWidth="1"/>
    <col min="4615" max="4866" width="9.140625" style="21"/>
    <col min="4867" max="4867" width="11.7109375" style="21" customWidth="1"/>
    <col min="4868" max="4868" width="9.140625" style="21"/>
    <col min="4869" max="4869" width="14.7109375" style="21" customWidth="1"/>
    <col min="4870" max="4870" width="10.7109375" style="21" customWidth="1"/>
    <col min="4871" max="5122" width="9.140625" style="21"/>
    <col min="5123" max="5123" width="11.7109375" style="21" customWidth="1"/>
    <col min="5124" max="5124" width="9.140625" style="21"/>
    <col min="5125" max="5125" width="14.7109375" style="21" customWidth="1"/>
    <col min="5126" max="5126" width="10.7109375" style="21" customWidth="1"/>
    <col min="5127" max="5378" width="9.140625" style="21"/>
    <col min="5379" max="5379" width="11.7109375" style="21" customWidth="1"/>
    <col min="5380" max="5380" width="9.140625" style="21"/>
    <col min="5381" max="5381" width="14.7109375" style="21" customWidth="1"/>
    <col min="5382" max="5382" width="10.7109375" style="21" customWidth="1"/>
    <col min="5383" max="5634" width="9.140625" style="21"/>
    <col min="5635" max="5635" width="11.7109375" style="21" customWidth="1"/>
    <col min="5636" max="5636" width="9.140625" style="21"/>
    <col min="5637" max="5637" width="14.7109375" style="21" customWidth="1"/>
    <col min="5638" max="5638" width="10.7109375" style="21" customWidth="1"/>
    <col min="5639" max="5890" width="9.140625" style="21"/>
    <col min="5891" max="5891" width="11.7109375" style="21" customWidth="1"/>
    <col min="5892" max="5892" width="9.140625" style="21"/>
    <col min="5893" max="5893" width="14.7109375" style="21" customWidth="1"/>
    <col min="5894" max="5894" width="10.7109375" style="21" customWidth="1"/>
    <col min="5895" max="6146" width="9.140625" style="21"/>
    <col min="6147" max="6147" width="11.7109375" style="21" customWidth="1"/>
    <col min="6148" max="6148" width="9.140625" style="21"/>
    <col min="6149" max="6149" width="14.7109375" style="21" customWidth="1"/>
    <col min="6150" max="6150" width="10.7109375" style="21" customWidth="1"/>
    <col min="6151" max="6402" width="9.140625" style="21"/>
    <col min="6403" max="6403" width="11.7109375" style="21" customWidth="1"/>
    <col min="6404" max="6404" width="9.140625" style="21"/>
    <col min="6405" max="6405" width="14.7109375" style="21" customWidth="1"/>
    <col min="6406" max="6406" width="10.7109375" style="21" customWidth="1"/>
    <col min="6407" max="6658" width="9.140625" style="21"/>
    <col min="6659" max="6659" width="11.7109375" style="21" customWidth="1"/>
    <col min="6660" max="6660" width="9.140625" style="21"/>
    <col min="6661" max="6661" width="14.7109375" style="21" customWidth="1"/>
    <col min="6662" max="6662" width="10.7109375" style="21" customWidth="1"/>
    <col min="6663" max="6914" width="9.140625" style="21"/>
    <col min="6915" max="6915" width="11.7109375" style="21" customWidth="1"/>
    <col min="6916" max="6916" width="9.140625" style="21"/>
    <col min="6917" max="6917" width="14.7109375" style="21" customWidth="1"/>
    <col min="6918" max="6918" width="10.7109375" style="21" customWidth="1"/>
    <col min="6919" max="7170" width="9.140625" style="21"/>
    <col min="7171" max="7171" width="11.7109375" style="21" customWidth="1"/>
    <col min="7172" max="7172" width="9.140625" style="21"/>
    <col min="7173" max="7173" width="14.7109375" style="21" customWidth="1"/>
    <col min="7174" max="7174" width="10.7109375" style="21" customWidth="1"/>
    <col min="7175" max="7426" width="9.140625" style="21"/>
    <col min="7427" max="7427" width="11.7109375" style="21" customWidth="1"/>
    <col min="7428" max="7428" width="9.140625" style="21"/>
    <col min="7429" max="7429" width="14.7109375" style="21" customWidth="1"/>
    <col min="7430" max="7430" width="10.7109375" style="21" customWidth="1"/>
    <col min="7431" max="7682" width="9.140625" style="21"/>
    <col min="7683" max="7683" width="11.7109375" style="21" customWidth="1"/>
    <col min="7684" max="7684" width="9.140625" style="21"/>
    <col min="7685" max="7685" width="14.7109375" style="21" customWidth="1"/>
    <col min="7686" max="7686" width="10.7109375" style="21" customWidth="1"/>
    <col min="7687" max="7938" width="9.140625" style="21"/>
    <col min="7939" max="7939" width="11.7109375" style="21" customWidth="1"/>
    <col min="7940" max="7940" width="9.140625" style="21"/>
    <col min="7941" max="7941" width="14.7109375" style="21" customWidth="1"/>
    <col min="7942" max="7942" width="10.7109375" style="21" customWidth="1"/>
    <col min="7943" max="8194" width="9.140625" style="21"/>
    <col min="8195" max="8195" width="11.7109375" style="21" customWidth="1"/>
    <col min="8196" max="8196" width="9.140625" style="21"/>
    <col min="8197" max="8197" width="14.7109375" style="21" customWidth="1"/>
    <col min="8198" max="8198" width="10.7109375" style="21" customWidth="1"/>
    <col min="8199" max="8450" width="9.140625" style="21"/>
    <col min="8451" max="8451" width="11.7109375" style="21" customWidth="1"/>
    <col min="8452" max="8452" width="9.140625" style="21"/>
    <col min="8453" max="8453" width="14.7109375" style="21" customWidth="1"/>
    <col min="8454" max="8454" width="10.7109375" style="21" customWidth="1"/>
    <col min="8455" max="8706" width="9.140625" style="21"/>
    <col min="8707" max="8707" width="11.7109375" style="21" customWidth="1"/>
    <col min="8708" max="8708" width="9.140625" style="21"/>
    <col min="8709" max="8709" width="14.7109375" style="21" customWidth="1"/>
    <col min="8710" max="8710" width="10.7109375" style="21" customWidth="1"/>
    <col min="8711" max="8962" width="9.140625" style="21"/>
    <col min="8963" max="8963" width="11.7109375" style="21" customWidth="1"/>
    <col min="8964" max="8964" width="9.140625" style="21"/>
    <col min="8965" max="8965" width="14.7109375" style="21" customWidth="1"/>
    <col min="8966" max="8966" width="10.7109375" style="21" customWidth="1"/>
    <col min="8967" max="9218" width="9.140625" style="21"/>
    <col min="9219" max="9219" width="11.7109375" style="21" customWidth="1"/>
    <col min="9220" max="9220" width="9.140625" style="21"/>
    <col min="9221" max="9221" width="14.7109375" style="21" customWidth="1"/>
    <col min="9222" max="9222" width="10.7109375" style="21" customWidth="1"/>
    <col min="9223" max="9474" width="9.140625" style="21"/>
    <col min="9475" max="9475" width="11.7109375" style="21" customWidth="1"/>
    <col min="9476" max="9476" width="9.140625" style="21"/>
    <col min="9477" max="9477" width="14.7109375" style="21" customWidth="1"/>
    <col min="9478" max="9478" width="10.7109375" style="21" customWidth="1"/>
    <col min="9479" max="9730" width="9.140625" style="21"/>
    <col min="9731" max="9731" width="11.7109375" style="21" customWidth="1"/>
    <col min="9732" max="9732" width="9.140625" style="21"/>
    <col min="9733" max="9733" width="14.7109375" style="21" customWidth="1"/>
    <col min="9734" max="9734" width="10.7109375" style="21" customWidth="1"/>
    <col min="9735" max="9986" width="9.140625" style="21"/>
    <col min="9987" max="9987" width="11.7109375" style="21" customWidth="1"/>
    <col min="9988" max="9988" width="9.140625" style="21"/>
    <col min="9989" max="9989" width="14.7109375" style="21" customWidth="1"/>
    <col min="9990" max="9990" width="10.7109375" style="21" customWidth="1"/>
    <col min="9991" max="10242" width="9.140625" style="21"/>
    <col min="10243" max="10243" width="11.7109375" style="21" customWidth="1"/>
    <col min="10244" max="10244" width="9.140625" style="21"/>
    <col min="10245" max="10245" width="14.7109375" style="21" customWidth="1"/>
    <col min="10246" max="10246" width="10.7109375" style="21" customWidth="1"/>
    <col min="10247" max="10498" width="9.140625" style="21"/>
    <col min="10499" max="10499" width="11.7109375" style="21" customWidth="1"/>
    <col min="10500" max="10500" width="9.140625" style="21"/>
    <col min="10501" max="10501" width="14.7109375" style="21" customWidth="1"/>
    <col min="10502" max="10502" width="10.7109375" style="21" customWidth="1"/>
    <col min="10503" max="10754" width="9.140625" style="21"/>
    <col min="10755" max="10755" width="11.7109375" style="21" customWidth="1"/>
    <col min="10756" max="10756" width="9.140625" style="21"/>
    <col min="10757" max="10757" width="14.7109375" style="21" customWidth="1"/>
    <col min="10758" max="10758" width="10.7109375" style="21" customWidth="1"/>
    <col min="10759" max="11010" width="9.140625" style="21"/>
    <col min="11011" max="11011" width="11.7109375" style="21" customWidth="1"/>
    <col min="11012" max="11012" width="9.140625" style="21"/>
    <col min="11013" max="11013" width="14.7109375" style="21" customWidth="1"/>
    <col min="11014" max="11014" width="10.7109375" style="21" customWidth="1"/>
    <col min="11015" max="11266" width="9.140625" style="21"/>
    <col min="11267" max="11267" width="11.7109375" style="21" customWidth="1"/>
    <col min="11268" max="11268" width="9.140625" style="21"/>
    <col min="11269" max="11269" width="14.7109375" style="21" customWidth="1"/>
    <col min="11270" max="11270" width="10.7109375" style="21" customWidth="1"/>
    <col min="11271" max="11522" width="9.140625" style="21"/>
    <col min="11523" max="11523" width="11.7109375" style="21" customWidth="1"/>
    <col min="11524" max="11524" width="9.140625" style="21"/>
    <col min="11525" max="11525" width="14.7109375" style="21" customWidth="1"/>
    <col min="11526" max="11526" width="10.7109375" style="21" customWidth="1"/>
    <col min="11527" max="11778" width="9.140625" style="21"/>
    <col min="11779" max="11779" width="11.7109375" style="21" customWidth="1"/>
    <col min="11780" max="11780" width="9.140625" style="21"/>
    <col min="11781" max="11781" width="14.7109375" style="21" customWidth="1"/>
    <col min="11782" max="11782" width="10.7109375" style="21" customWidth="1"/>
    <col min="11783" max="12034" width="9.140625" style="21"/>
    <col min="12035" max="12035" width="11.7109375" style="21" customWidth="1"/>
    <col min="12036" max="12036" width="9.140625" style="21"/>
    <col min="12037" max="12037" width="14.7109375" style="21" customWidth="1"/>
    <col min="12038" max="12038" width="10.7109375" style="21" customWidth="1"/>
    <col min="12039" max="12290" width="9.140625" style="21"/>
    <col min="12291" max="12291" width="11.7109375" style="21" customWidth="1"/>
    <col min="12292" max="12292" width="9.140625" style="21"/>
    <col min="12293" max="12293" width="14.7109375" style="21" customWidth="1"/>
    <col min="12294" max="12294" width="10.7109375" style="21" customWidth="1"/>
    <col min="12295" max="12546" width="9.140625" style="21"/>
    <col min="12547" max="12547" width="11.7109375" style="21" customWidth="1"/>
    <col min="12548" max="12548" width="9.140625" style="21"/>
    <col min="12549" max="12549" width="14.7109375" style="21" customWidth="1"/>
    <col min="12550" max="12550" width="10.7109375" style="21" customWidth="1"/>
    <col min="12551" max="12802" width="9.140625" style="21"/>
    <col min="12803" max="12803" width="11.7109375" style="21" customWidth="1"/>
    <col min="12804" max="12804" width="9.140625" style="21"/>
    <col min="12805" max="12805" width="14.7109375" style="21" customWidth="1"/>
    <col min="12806" max="12806" width="10.7109375" style="21" customWidth="1"/>
    <col min="12807" max="13058" width="9.140625" style="21"/>
    <col min="13059" max="13059" width="11.7109375" style="21" customWidth="1"/>
    <col min="13060" max="13060" width="9.140625" style="21"/>
    <col min="13061" max="13061" width="14.7109375" style="21" customWidth="1"/>
    <col min="13062" max="13062" width="10.7109375" style="21" customWidth="1"/>
    <col min="13063" max="13314" width="9.140625" style="21"/>
    <col min="13315" max="13315" width="11.7109375" style="21" customWidth="1"/>
    <col min="13316" max="13316" width="9.140625" style="21"/>
    <col min="13317" max="13317" width="14.7109375" style="21" customWidth="1"/>
    <col min="13318" max="13318" width="10.7109375" style="21" customWidth="1"/>
    <col min="13319" max="13570" width="9.140625" style="21"/>
    <col min="13571" max="13571" width="11.7109375" style="21" customWidth="1"/>
    <col min="13572" max="13572" width="9.140625" style="21"/>
    <col min="13573" max="13573" width="14.7109375" style="21" customWidth="1"/>
    <col min="13574" max="13574" width="10.7109375" style="21" customWidth="1"/>
    <col min="13575" max="13826" width="9.140625" style="21"/>
    <col min="13827" max="13827" width="11.7109375" style="21" customWidth="1"/>
    <col min="13828" max="13828" width="9.140625" style="21"/>
    <col min="13829" max="13829" width="14.7109375" style="21" customWidth="1"/>
    <col min="13830" max="13830" width="10.7109375" style="21" customWidth="1"/>
    <col min="13831" max="14082" width="9.140625" style="21"/>
    <col min="14083" max="14083" width="11.7109375" style="21" customWidth="1"/>
    <col min="14084" max="14084" width="9.140625" style="21"/>
    <col min="14085" max="14085" width="14.7109375" style="21" customWidth="1"/>
    <col min="14086" max="14086" width="10.7109375" style="21" customWidth="1"/>
    <col min="14087" max="14338" width="9.140625" style="21"/>
    <col min="14339" max="14339" width="11.7109375" style="21" customWidth="1"/>
    <col min="14340" max="14340" width="9.140625" style="21"/>
    <col min="14341" max="14341" width="14.7109375" style="21" customWidth="1"/>
    <col min="14342" max="14342" width="10.7109375" style="21" customWidth="1"/>
    <col min="14343" max="14594" width="9.140625" style="21"/>
    <col min="14595" max="14595" width="11.7109375" style="21" customWidth="1"/>
    <col min="14596" max="14596" width="9.140625" style="21"/>
    <col min="14597" max="14597" width="14.7109375" style="21" customWidth="1"/>
    <col min="14598" max="14598" width="10.7109375" style="21" customWidth="1"/>
    <col min="14599" max="14850" width="9.140625" style="21"/>
    <col min="14851" max="14851" width="11.7109375" style="21" customWidth="1"/>
    <col min="14852" max="14852" width="9.140625" style="21"/>
    <col min="14853" max="14853" width="14.7109375" style="21" customWidth="1"/>
    <col min="14854" max="14854" width="10.7109375" style="21" customWidth="1"/>
    <col min="14855" max="15106" width="9.140625" style="21"/>
    <col min="15107" max="15107" width="11.7109375" style="21" customWidth="1"/>
    <col min="15108" max="15108" width="9.140625" style="21"/>
    <col min="15109" max="15109" width="14.7109375" style="21" customWidth="1"/>
    <col min="15110" max="15110" width="10.7109375" style="21" customWidth="1"/>
    <col min="15111" max="15362" width="9.140625" style="21"/>
    <col min="15363" max="15363" width="11.7109375" style="21" customWidth="1"/>
    <col min="15364" max="15364" width="9.140625" style="21"/>
    <col min="15365" max="15365" width="14.7109375" style="21" customWidth="1"/>
    <col min="15366" max="15366" width="10.7109375" style="21" customWidth="1"/>
    <col min="15367" max="15618" width="9.140625" style="21"/>
    <col min="15619" max="15619" width="11.7109375" style="21" customWidth="1"/>
    <col min="15620" max="15620" width="9.140625" style="21"/>
    <col min="15621" max="15621" width="14.7109375" style="21" customWidth="1"/>
    <col min="15622" max="15622" width="10.7109375" style="21" customWidth="1"/>
    <col min="15623" max="15874" width="9.140625" style="21"/>
    <col min="15875" max="15875" width="11.7109375" style="21" customWidth="1"/>
    <col min="15876" max="15876" width="9.140625" style="21"/>
    <col min="15877" max="15877" width="14.7109375" style="21" customWidth="1"/>
    <col min="15878" max="15878" width="10.7109375" style="21" customWidth="1"/>
    <col min="15879" max="16130" width="9.140625" style="21"/>
    <col min="16131" max="16131" width="11.7109375" style="21" customWidth="1"/>
    <col min="16132" max="16132" width="9.140625" style="21"/>
    <col min="16133" max="16133" width="14.7109375" style="21" customWidth="1"/>
    <col min="16134" max="16134" width="10.7109375" style="21" customWidth="1"/>
    <col min="16135" max="16384" width="9.140625" style="21"/>
  </cols>
  <sheetData>
    <row r="2" spans="1:13" x14ac:dyDescent="0.25">
      <c r="E2" s="22" t="s">
        <v>138</v>
      </c>
      <c r="F2" s="23" t="s">
        <v>139</v>
      </c>
      <c r="G2" s="23" t="s">
        <v>140</v>
      </c>
      <c r="H2" s="23" t="s">
        <v>141</v>
      </c>
      <c r="I2" s="23" t="s">
        <v>142</v>
      </c>
    </row>
    <row r="3" spans="1:13" x14ac:dyDescent="0.25">
      <c r="A3" s="21" t="s">
        <v>102</v>
      </c>
      <c r="B3" s="24" t="s">
        <v>159</v>
      </c>
      <c r="C3" s="24">
        <f>I3</f>
        <v>4</v>
      </c>
      <c r="D3" s="25"/>
      <c r="E3" s="23">
        <f>F3+G3+H3+I3</f>
        <v>5</v>
      </c>
      <c r="F3" s="26">
        <v>0</v>
      </c>
      <c r="G3" s="26">
        <v>0</v>
      </c>
      <c r="H3" s="26">
        <v>1</v>
      </c>
      <c r="I3" s="26">
        <v>4</v>
      </c>
    </row>
    <row r="4" spans="1:13" x14ac:dyDescent="0.25">
      <c r="A4" s="21" t="s">
        <v>103</v>
      </c>
      <c r="B4" s="27">
        <v>10</v>
      </c>
      <c r="C4" s="28">
        <v>10</v>
      </c>
      <c r="D4" s="29">
        <f>((100/B4)*C4)/100</f>
        <v>1</v>
      </c>
      <c r="E4" s="30"/>
    </row>
    <row r="5" spans="1:13" x14ac:dyDescent="0.25">
      <c r="A5" s="21" t="s">
        <v>104</v>
      </c>
      <c r="B5" s="27">
        <f>E3</f>
        <v>5</v>
      </c>
      <c r="C5" s="28">
        <v>5</v>
      </c>
      <c r="D5" s="29">
        <f t="shared" ref="D5:D10" si="0">((100/B5)*C5)/100</f>
        <v>1</v>
      </c>
      <c r="F5" s="294" t="s">
        <v>160</v>
      </c>
      <c r="G5" s="294"/>
      <c r="H5" s="31" t="s">
        <v>161</v>
      </c>
    </row>
    <row r="6" spans="1:13" x14ac:dyDescent="0.25">
      <c r="A6" s="21" t="s">
        <v>109</v>
      </c>
      <c r="B6" s="27">
        <f>C3</f>
        <v>4</v>
      </c>
      <c r="C6" s="28">
        <v>4</v>
      </c>
      <c r="D6" s="29">
        <f t="shared" si="0"/>
        <v>1</v>
      </c>
      <c r="E6" s="30"/>
      <c r="F6" s="293" t="s">
        <v>162</v>
      </c>
      <c r="G6" s="293"/>
      <c r="H6" s="27" t="s">
        <v>163</v>
      </c>
    </row>
    <row r="7" spans="1:13" x14ac:dyDescent="0.25">
      <c r="A7" s="21" t="s">
        <v>111</v>
      </c>
      <c r="B7" s="27">
        <f>C3</f>
        <v>4</v>
      </c>
      <c r="C7" s="28">
        <v>2</v>
      </c>
      <c r="D7" s="29">
        <f t="shared" si="0"/>
        <v>0.5</v>
      </c>
      <c r="E7" s="30"/>
      <c r="F7" s="293" t="s">
        <v>164</v>
      </c>
      <c r="G7" s="293"/>
      <c r="H7" s="27" t="s">
        <v>165</v>
      </c>
    </row>
    <row r="8" spans="1:13" x14ac:dyDescent="0.25">
      <c r="A8" s="21" t="s">
        <v>70</v>
      </c>
      <c r="B8" s="27">
        <f>C3</f>
        <v>4</v>
      </c>
      <c r="C8" s="28">
        <v>0</v>
      </c>
      <c r="D8" s="29">
        <f t="shared" si="0"/>
        <v>0</v>
      </c>
      <c r="E8" s="30"/>
      <c r="F8" s="293" t="s">
        <v>166</v>
      </c>
      <c r="G8" s="293"/>
      <c r="H8" s="27" t="s">
        <v>167</v>
      </c>
    </row>
    <row r="9" spans="1:13" x14ac:dyDescent="0.25">
      <c r="A9" s="32" t="s">
        <v>107</v>
      </c>
      <c r="B9" s="27">
        <f>C3</f>
        <v>4</v>
      </c>
      <c r="C9" s="28">
        <v>0</v>
      </c>
      <c r="D9" s="29">
        <f t="shared" si="0"/>
        <v>0</v>
      </c>
      <c r="E9" s="30"/>
      <c r="F9" s="293" t="s">
        <v>168</v>
      </c>
      <c r="G9" s="293"/>
      <c r="H9" s="27" t="s">
        <v>169</v>
      </c>
    </row>
    <row r="10" spans="1:13" x14ac:dyDescent="0.25">
      <c r="A10" s="21" t="s">
        <v>71</v>
      </c>
      <c r="B10" s="27">
        <f>C3</f>
        <v>4</v>
      </c>
      <c r="C10" s="28">
        <v>0</v>
      </c>
      <c r="D10" s="29">
        <f t="shared" si="0"/>
        <v>0</v>
      </c>
      <c r="E10" s="30"/>
      <c r="F10" s="293" t="s">
        <v>170</v>
      </c>
      <c r="G10" s="293"/>
      <c r="H10" s="27" t="s">
        <v>171</v>
      </c>
    </row>
    <row r="11" spans="1:13" x14ac:dyDescent="0.25">
      <c r="F11" s="293" t="s">
        <v>172</v>
      </c>
      <c r="G11" s="293"/>
      <c r="H11" s="27" t="s">
        <v>173</v>
      </c>
    </row>
    <row r="12" spans="1:13" hidden="1" x14ac:dyDescent="0.25">
      <c r="A12" s="23"/>
      <c r="B12" s="23" t="s">
        <v>108</v>
      </c>
      <c r="C12" s="23" t="s">
        <v>112</v>
      </c>
      <c r="G12" s="23" t="s">
        <v>103</v>
      </c>
      <c r="H12" s="23" t="s">
        <v>105</v>
      </c>
      <c r="I12" s="23" t="s">
        <v>106</v>
      </c>
      <c r="J12" s="23" t="s">
        <v>69</v>
      </c>
      <c r="K12" s="23" t="s">
        <v>70</v>
      </c>
      <c r="L12" s="23" t="s">
        <v>107</v>
      </c>
      <c r="M12" s="23" t="s">
        <v>71</v>
      </c>
    </row>
    <row r="13" spans="1:13" hidden="1" x14ac:dyDescent="0.25">
      <c r="A13" s="23" t="s">
        <v>67</v>
      </c>
      <c r="B13" s="23">
        <f>G13</f>
        <v>10</v>
      </c>
      <c r="C13" s="23">
        <f>G14</f>
        <v>30</v>
      </c>
      <c r="E13" s="292" t="s">
        <v>108</v>
      </c>
      <c r="F13" s="292"/>
      <c r="G13" s="33">
        <f>C4</f>
        <v>10</v>
      </c>
      <c r="H13" s="33">
        <f>40/B5*C5</f>
        <v>40</v>
      </c>
      <c r="I13" s="33">
        <f>15/B6*C6</f>
        <v>15</v>
      </c>
      <c r="J13" s="33">
        <f>10/B7*C7</f>
        <v>5</v>
      </c>
      <c r="K13" s="33">
        <f>10/B8*C8</f>
        <v>0</v>
      </c>
      <c r="L13" s="33">
        <f>5/B9*C9</f>
        <v>0</v>
      </c>
      <c r="M13" s="33">
        <f>5/B10*C10</f>
        <v>0</v>
      </c>
    </row>
    <row r="14" spans="1:13" hidden="1" x14ac:dyDescent="0.25">
      <c r="A14" s="23" t="s">
        <v>68</v>
      </c>
      <c r="B14" s="23">
        <f>H13</f>
        <v>40</v>
      </c>
      <c r="C14" s="23">
        <f>H14</f>
        <v>30</v>
      </c>
      <c r="E14" s="292" t="s">
        <v>110</v>
      </c>
      <c r="F14" s="292"/>
      <c r="G14" s="23">
        <f>G13+20</f>
        <v>30</v>
      </c>
      <c r="H14" s="23">
        <f>30/B5*C5</f>
        <v>30</v>
      </c>
      <c r="I14" s="23">
        <f>15/B6*C6</f>
        <v>15</v>
      </c>
      <c r="J14" s="23">
        <f>10/B7*C7</f>
        <v>5</v>
      </c>
      <c r="K14" s="23">
        <f>5/B8*C8</f>
        <v>0</v>
      </c>
      <c r="L14" s="23">
        <f>5/B9*C9</f>
        <v>0</v>
      </c>
      <c r="M14" s="23">
        <f>5/B10*C10</f>
        <v>0</v>
      </c>
    </row>
    <row r="15" spans="1:13" hidden="1" x14ac:dyDescent="0.25">
      <c r="A15" s="23" t="s">
        <v>106</v>
      </c>
      <c r="B15" s="23">
        <f>I13</f>
        <v>15</v>
      </c>
      <c r="C15" s="23">
        <f>I14</f>
        <v>15</v>
      </c>
      <c r="M15" s="30"/>
    </row>
    <row r="16" spans="1:13" hidden="1" x14ac:dyDescent="0.25">
      <c r="A16" s="23" t="s">
        <v>69</v>
      </c>
      <c r="B16" s="23">
        <f>J13</f>
        <v>5</v>
      </c>
      <c r="C16" s="23">
        <f>J14</f>
        <v>5</v>
      </c>
      <c r="M16" s="30"/>
    </row>
    <row r="17" spans="1:13" hidden="1" x14ac:dyDescent="0.25">
      <c r="A17" s="23" t="s">
        <v>70</v>
      </c>
      <c r="B17" s="23">
        <f>K13</f>
        <v>0</v>
      </c>
      <c r="C17" s="23">
        <f>K14</f>
        <v>0</v>
      </c>
      <c r="M17" s="30"/>
    </row>
    <row r="18" spans="1:13" hidden="1" x14ac:dyDescent="0.25">
      <c r="A18" s="34" t="s">
        <v>107</v>
      </c>
      <c r="B18" s="23">
        <f>L13</f>
        <v>0</v>
      </c>
      <c r="C18" s="23">
        <f>L14</f>
        <v>0</v>
      </c>
      <c r="M18" s="30"/>
    </row>
    <row r="19" spans="1:13" hidden="1" x14ac:dyDescent="0.25">
      <c r="A19" s="23" t="s">
        <v>71</v>
      </c>
      <c r="B19" s="23">
        <f>M13</f>
        <v>0</v>
      </c>
      <c r="C19" s="23">
        <f>M14</f>
        <v>0</v>
      </c>
      <c r="M19" s="30"/>
    </row>
    <row r="20" spans="1:13" x14ac:dyDescent="0.25">
      <c r="A20" s="23" t="s">
        <v>113</v>
      </c>
      <c r="B20" s="35">
        <f>(B13+B14+B15+B16+B17+B18+B19)/100</f>
        <v>0.7</v>
      </c>
      <c r="C20" s="35">
        <f>(C13+C14+C15+C16+C17+C18+C19)/100</f>
        <v>0.8</v>
      </c>
      <c r="F20" s="293" t="s">
        <v>174</v>
      </c>
      <c r="G20" s="293"/>
      <c r="H20" s="27" t="s">
        <v>165</v>
      </c>
      <c r="M20" s="30"/>
    </row>
    <row r="21" spans="1:13" x14ac:dyDescent="0.25">
      <c r="F21" s="293" t="s">
        <v>175</v>
      </c>
      <c r="G21" s="293"/>
      <c r="H21" s="27" t="s">
        <v>176</v>
      </c>
    </row>
    <row r="22" spans="1:13" x14ac:dyDescent="0.25">
      <c r="A22" s="36" t="s">
        <v>147</v>
      </c>
      <c r="B22" s="37">
        <v>0.01</v>
      </c>
      <c r="C22" s="37">
        <v>0.02</v>
      </c>
      <c r="F22" s="293" t="s">
        <v>177</v>
      </c>
      <c r="G22" s="293"/>
      <c r="H22" s="27" t="s">
        <v>178</v>
      </c>
    </row>
    <row r="23" spans="1:13" x14ac:dyDescent="0.25">
      <c r="A23" s="36" t="s">
        <v>148</v>
      </c>
      <c r="B23" s="37">
        <v>0.01</v>
      </c>
      <c r="C23" s="37">
        <v>0.03</v>
      </c>
    </row>
    <row r="24" spans="1:13" x14ac:dyDescent="0.25">
      <c r="A24" s="36" t="s">
        <v>149</v>
      </c>
      <c r="B24" s="37">
        <v>0.03</v>
      </c>
      <c r="C24" s="37">
        <v>0.08</v>
      </c>
    </row>
    <row r="25" spans="1:13" x14ac:dyDescent="0.25">
      <c r="A25" s="36" t="s">
        <v>150</v>
      </c>
      <c r="B25" s="37">
        <v>0.05</v>
      </c>
      <c r="C25" s="37">
        <v>0.15</v>
      </c>
    </row>
    <row r="26" spans="1:13" x14ac:dyDescent="0.25">
      <c r="A26" s="36" t="s">
        <v>151</v>
      </c>
      <c r="B26" s="37">
        <v>7.0000000000000007E-2</v>
      </c>
      <c r="C26" s="37">
        <v>0.2</v>
      </c>
    </row>
    <row r="27" spans="1:13" x14ac:dyDescent="0.25">
      <c r="A27" s="36" t="s">
        <v>152</v>
      </c>
      <c r="B27" s="37">
        <v>0.1</v>
      </c>
      <c r="C27" s="37">
        <v>0.3</v>
      </c>
    </row>
  </sheetData>
  <mergeCells count="12">
    <mergeCell ref="F10:G10"/>
    <mergeCell ref="F11:G11"/>
    <mergeCell ref="F5:G5"/>
    <mergeCell ref="F6:G6"/>
    <mergeCell ref="F7:G7"/>
    <mergeCell ref="F8:G8"/>
    <mergeCell ref="F9:G9"/>
    <mergeCell ref="E14:F14"/>
    <mergeCell ref="F20:G20"/>
    <mergeCell ref="F21:G21"/>
    <mergeCell ref="F22:G22"/>
    <mergeCell ref="E13:F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6"/>
  <sheetViews>
    <sheetView topLeftCell="A15" zoomScale="85" zoomScaleNormal="85" workbookViewId="0">
      <selection activeCell="C47" sqref="C47"/>
    </sheetView>
  </sheetViews>
  <sheetFormatPr defaultRowHeight="15" x14ac:dyDescent="0.25"/>
  <cols>
    <col min="1" max="1" width="10.28515625" bestFit="1" customWidth="1"/>
  </cols>
  <sheetData>
    <row r="2" spans="1:2" x14ac:dyDescent="0.25">
      <c r="A2" s="42">
        <v>44214</v>
      </c>
      <c r="B2" s="43" t="s">
        <v>219</v>
      </c>
    </row>
    <row r="23" spans="1:2" x14ac:dyDescent="0.25">
      <c r="A23" s="54">
        <v>44214</v>
      </c>
      <c r="B23" t="s">
        <v>231</v>
      </c>
    </row>
    <row r="24" spans="1:2" x14ac:dyDescent="0.25">
      <c r="A24" t="s">
        <v>232</v>
      </c>
    </row>
    <row r="46" spans="1:3" x14ac:dyDescent="0.25">
      <c r="A46" t="s">
        <v>236</v>
      </c>
      <c r="B46" t="s">
        <v>237</v>
      </c>
      <c r="C46" t="s">
        <v>238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F6" sqref="F6"/>
    </sheetView>
  </sheetViews>
  <sheetFormatPr defaultColWidth="8.7109375" defaultRowHeight="15" x14ac:dyDescent="0.25"/>
  <cols>
    <col min="1" max="1" width="10.5703125" style="43" bestFit="1" customWidth="1"/>
    <col min="2" max="2" width="22.140625" style="43" customWidth="1"/>
    <col min="3" max="3" width="37" style="43" customWidth="1"/>
    <col min="4" max="5" width="11.42578125" style="43" customWidth="1"/>
    <col min="6" max="6" width="14" style="43" customWidth="1"/>
    <col min="7" max="7" width="20" style="43" customWidth="1"/>
    <col min="8" max="8" width="16.42578125" style="43" customWidth="1"/>
    <col min="9" max="16384" width="8.7109375" style="43"/>
  </cols>
  <sheetData>
    <row r="1" spans="1:9" ht="15" customHeight="1" x14ac:dyDescent="0.25">
      <c r="A1" s="42">
        <v>44214</v>
      </c>
      <c r="B1" s="43" t="s">
        <v>219</v>
      </c>
    </row>
    <row r="2" spans="1:9" ht="15" customHeight="1" x14ac:dyDescent="0.25">
      <c r="A2" s="44"/>
      <c r="B2" s="44"/>
      <c r="C2" s="44"/>
      <c r="D2" s="44"/>
      <c r="E2" s="44"/>
      <c r="F2" s="44"/>
      <c r="G2" s="44"/>
      <c r="H2" s="44"/>
    </row>
    <row r="3" spans="1:9" ht="15.75" customHeight="1" x14ac:dyDescent="0.25">
      <c r="A3" s="44"/>
      <c r="B3" s="295" t="s">
        <v>220</v>
      </c>
      <c r="C3" s="295"/>
      <c r="D3" s="295"/>
      <c r="E3" s="295"/>
      <c r="F3" s="295"/>
      <c r="G3" s="295"/>
      <c r="H3" s="295"/>
    </row>
    <row r="4" spans="1:9" x14ac:dyDescent="0.25">
      <c r="A4" s="44"/>
      <c r="B4" s="45" t="s">
        <v>221</v>
      </c>
      <c r="C4" s="45" t="s">
        <v>222</v>
      </c>
      <c r="D4" s="45" t="s">
        <v>115</v>
      </c>
      <c r="E4" s="45" t="s">
        <v>223</v>
      </c>
      <c r="F4" s="45" t="s">
        <v>224</v>
      </c>
      <c r="G4" s="45" t="s">
        <v>225</v>
      </c>
      <c r="H4" s="45" t="s">
        <v>226</v>
      </c>
    </row>
    <row r="5" spans="1:9" ht="15" customHeight="1" x14ac:dyDescent="0.25">
      <c r="A5" s="44"/>
      <c r="B5" s="46" t="s">
        <v>227</v>
      </c>
      <c r="C5" s="47" t="s">
        <v>184</v>
      </c>
      <c r="D5" s="46" t="s">
        <v>200</v>
      </c>
      <c r="E5" s="46">
        <v>215</v>
      </c>
      <c r="F5" s="48">
        <v>475</v>
      </c>
      <c r="G5" s="48">
        <f>H5/F5</f>
        <v>3080</v>
      </c>
      <c r="H5" s="49">
        <v>1463000</v>
      </c>
    </row>
    <row r="6" spans="1:9" x14ac:dyDescent="0.25">
      <c r="A6" s="44"/>
      <c r="B6" s="46" t="s">
        <v>227</v>
      </c>
      <c r="C6" s="47" t="s">
        <v>184</v>
      </c>
      <c r="D6" s="46" t="s">
        <v>208</v>
      </c>
      <c r="E6" s="46">
        <v>370</v>
      </c>
      <c r="F6" s="48">
        <v>648</v>
      </c>
      <c r="G6" s="48">
        <f t="shared" ref="G6:G8" si="0">H6/F6</f>
        <v>3703.7037037037039</v>
      </c>
      <c r="H6" s="49">
        <v>2400000</v>
      </c>
    </row>
    <row r="7" spans="1:9" ht="15" customHeight="1" x14ac:dyDescent="0.25">
      <c r="A7" s="44"/>
      <c r="B7" s="46" t="s">
        <v>230</v>
      </c>
      <c r="C7" s="47" t="s">
        <v>184</v>
      </c>
      <c r="D7" s="46" t="s">
        <v>200</v>
      </c>
      <c r="E7" s="46">
        <v>365</v>
      </c>
      <c r="F7" s="48">
        <f t="shared" ref="F7:F8" si="1">E7*1.45</f>
        <v>529.25</v>
      </c>
      <c r="G7" s="48">
        <f t="shared" si="0"/>
        <v>3251.7713745866795</v>
      </c>
      <c r="H7" s="49">
        <v>1721000</v>
      </c>
    </row>
    <row r="8" spans="1:9" x14ac:dyDescent="0.25">
      <c r="A8" s="44"/>
      <c r="B8" s="46" t="s">
        <v>230</v>
      </c>
      <c r="C8" s="47" t="s">
        <v>184</v>
      </c>
      <c r="D8" s="46" t="s">
        <v>208</v>
      </c>
      <c r="E8" s="46">
        <v>530</v>
      </c>
      <c r="F8" s="48">
        <f t="shared" si="1"/>
        <v>768.5</v>
      </c>
      <c r="G8" s="48">
        <f t="shared" si="0"/>
        <v>3253.0904359141182</v>
      </c>
      <c r="H8" s="49">
        <v>2500000</v>
      </c>
    </row>
    <row r="9" spans="1:9" ht="15" customHeight="1" x14ac:dyDescent="0.25">
      <c r="A9" s="44"/>
      <c r="B9" s="50" t="s">
        <v>228</v>
      </c>
      <c r="C9" s="46"/>
      <c r="D9" s="46"/>
      <c r="E9" s="46"/>
      <c r="F9" s="46"/>
      <c r="G9" s="51">
        <f>AVERAGE(G5:G8)</f>
        <v>3322.1413785511254</v>
      </c>
      <c r="H9" s="46"/>
    </row>
    <row r="10" spans="1:9" ht="15" customHeight="1" x14ac:dyDescent="0.25">
      <c r="B10" s="50" t="s">
        <v>229</v>
      </c>
      <c r="C10" s="46"/>
      <c r="D10" s="46"/>
      <c r="E10" s="46"/>
      <c r="F10" s="52"/>
      <c r="G10" s="50">
        <v>4000</v>
      </c>
      <c r="H10" s="50"/>
      <c r="I10" s="53"/>
    </row>
    <row r="11" spans="1:9" ht="15" customHeight="1" x14ac:dyDescent="0.25"/>
    <row r="12" spans="1:9" ht="15" customHeight="1" x14ac:dyDescent="0.25"/>
    <row r="13" spans="1:9" ht="15" customHeight="1" x14ac:dyDescent="0.25"/>
  </sheetData>
  <mergeCells count="1">
    <mergeCell ref="B3:H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opLeftCell="A16" workbookViewId="0">
      <selection activeCell="C16" sqref="C16"/>
    </sheetView>
  </sheetViews>
  <sheetFormatPr defaultRowHeight="15" x14ac:dyDescent="0.25"/>
  <cols>
    <col min="2" max="2" width="12.28515625" customWidth="1"/>
  </cols>
  <sheetData>
    <row r="2" spans="1:12" x14ac:dyDescent="0.25">
      <c r="B2" s="5" t="s">
        <v>114</v>
      </c>
      <c r="C2" s="296"/>
      <c r="D2" s="296"/>
    </row>
    <row r="3" spans="1:12" x14ac:dyDescent="0.25">
      <c r="D3" s="6"/>
      <c r="E3" s="6"/>
      <c r="F3" s="6"/>
      <c r="G3" s="6"/>
      <c r="H3" s="6"/>
      <c r="I3" s="6"/>
    </row>
    <row r="4" spans="1:12" x14ac:dyDescent="0.25">
      <c r="A4" s="5" t="s">
        <v>115</v>
      </c>
      <c r="B4" s="7" t="s">
        <v>116</v>
      </c>
      <c r="C4" s="297" t="s">
        <v>117</v>
      </c>
      <c r="D4" s="297"/>
      <c r="E4" s="297"/>
      <c r="F4" s="8"/>
      <c r="G4" s="297" t="s">
        <v>118</v>
      </c>
      <c r="H4" s="297"/>
      <c r="I4" s="297"/>
      <c r="J4" s="297" t="s">
        <v>119</v>
      </c>
      <c r="K4" s="297"/>
      <c r="L4" s="297"/>
    </row>
    <row r="5" spans="1:12" x14ac:dyDescent="0.25">
      <c r="A5" s="5">
        <v>1</v>
      </c>
      <c r="B5" s="7"/>
      <c r="C5" s="7" t="s">
        <v>120</v>
      </c>
      <c r="D5" s="7" t="s">
        <v>121</v>
      </c>
      <c r="E5" s="7" t="s">
        <v>80</v>
      </c>
      <c r="F5" s="7"/>
      <c r="G5" s="7" t="s">
        <v>120</v>
      </c>
      <c r="H5" s="7" t="s">
        <v>121</v>
      </c>
      <c r="I5" s="7" t="s">
        <v>80</v>
      </c>
      <c r="J5" s="7" t="s">
        <v>120</v>
      </c>
      <c r="K5" s="7" t="s">
        <v>121</v>
      </c>
      <c r="L5" s="7" t="s">
        <v>80</v>
      </c>
    </row>
    <row r="6" spans="1:12" x14ac:dyDescent="0.25">
      <c r="B6" s="9" t="s">
        <v>122</v>
      </c>
      <c r="C6" s="9"/>
      <c r="D6" s="9"/>
      <c r="E6" s="9">
        <f>C6*D6</f>
        <v>0</v>
      </c>
      <c r="F6" s="9" t="s">
        <v>123</v>
      </c>
      <c r="G6" s="9"/>
      <c r="H6" s="9"/>
      <c r="I6" s="9">
        <f>G6*H6</f>
        <v>0</v>
      </c>
      <c r="J6" s="9"/>
      <c r="K6" s="9"/>
      <c r="L6" s="9">
        <f>J6*K6</f>
        <v>0</v>
      </c>
    </row>
    <row r="7" spans="1:12" x14ac:dyDescent="0.25">
      <c r="B7" s="9"/>
      <c r="C7" s="9"/>
      <c r="D7" s="9"/>
      <c r="E7" s="9">
        <f t="shared" ref="E7:E33" si="0">C7*D7</f>
        <v>0</v>
      </c>
      <c r="F7" s="9" t="s">
        <v>124</v>
      </c>
      <c r="G7" s="9"/>
      <c r="H7" s="9"/>
      <c r="I7" s="9">
        <f t="shared" ref="I7:I29" si="1">G7*H7</f>
        <v>0</v>
      </c>
      <c r="J7" s="9"/>
      <c r="K7" s="9"/>
      <c r="L7" s="9">
        <f t="shared" ref="L7:L29" si="2">J7*K7</f>
        <v>0</v>
      </c>
    </row>
    <row r="8" spans="1:12" x14ac:dyDescent="0.25">
      <c r="B8" s="9"/>
      <c r="C8" s="9"/>
      <c r="D8" s="9"/>
      <c r="E8" s="9">
        <f t="shared" si="0"/>
        <v>0</v>
      </c>
      <c r="F8" s="9"/>
      <c r="G8" s="9"/>
      <c r="H8" s="9"/>
      <c r="I8" s="9">
        <f t="shared" si="1"/>
        <v>0</v>
      </c>
      <c r="J8" s="9"/>
      <c r="K8" s="9"/>
      <c r="L8" s="9">
        <f t="shared" si="2"/>
        <v>0</v>
      </c>
    </row>
    <row r="9" spans="1:12" x14ac:dyDescent="0.25">
      <c r="B9" s="9" t="s">
        <v>125</v>
      </c>
      <c r="C9" s="9"/>
      <c r="D9" s="9"/>
      <c r="E9" s="9">
        <f t="shared" si="0"/>
        <v>0</v>
      </c>
      <c r="F9" s="9" t="s">
        <v>123</v>
      </c>
      <c r="G9" s="9"/>
      <c r="H9" s="9"/>
      <c r="I9" s="9">
        <f t="shared" si="1"/>
        <v>0</v>
      </c>
      <c r="J9" s="9"/>
      <c r="K9" s="9"/>
      <c r="L9" s="9">
        <f t="shared" si="2"/>
        <v>0</v>
      </c>
    </row>
    <row r="10" spans="1:12" x14ac:dyDescent="0.25">
      <c r="B10" s="9"/>
      <c r="C10" s="9"/>
      <c r="D10" s="9"/>
      <c r="E10" s="9">
        <f t="shared" si="0"/>
        <v>0</v>
      </c>
      <c r="F10" s="9" t="s">
        <v>124</v>
      </c>
      <c r="G10" s="9"/>
      <c r="H10" s="9"/>
      <c r="I10" s="9">
        <f t="shared" si="1"/>
        <v>0</v>
      </c>
      <c r="J10" s="9"/>
      <c r="K10" s="9"/>
      <c r="L10" s="9">
        <f t="shared" si="2"/>
        <v>0</v>
      </c>
    </row>
    <row r="11" spans="1:12" x14ac:dyDescent="0.25">
      <c r="B11" s="9"/>
      <c r="C11" s="9"/>
      <c r="D11" s="9"/>
      <c r="E11" s="9">
        <f t="shared" si="0"/>
        <v>0</v>
      </c>
      <c r="F11" s="9"/>
      <c r="G11" s="9"/>
      <c r="H11" s="9"/>
      <c r="I11" s="9">
        <f t="shared" si="1"/>
        <v>0</v>
      </c>
      <c r="J11" s="9"/>
      <c r="K11" s="9"/>
      <c r="L11" s="9">
        <f t="shared" si="2"/>
        <v>0</v>
      </c>
    </row>
    <row r="12" spans="1:12" x14ac:dyDescent="0.25">
      <c r="B12" s="9"/>
      <c r="C12" s="9"/>
      <c r="D12" s="9"/>
      <c r="E12" s="9">
        <f t="shared" si="0"/>
        <v>0</v>
      </c>
      <c r="F12" s="9"/>
      <c r="G12" s="9"/>
      <c r="H12" s="9"/>
      <c r="I12" s="9">
        <f t="shared" si="1"/>
        <v>0</v>
      </c>
      <c r="J12" s="9"/>
      <c r="K12" s="9"/>
      <c r="L12" s="9">
        <f t="shared" si="2"/>
        <v>0</v>
      </c>
    </row>
    <row r="13" spans="1:12" x14ac:dyDescent="0.25">
      <c r="B13" s="9" t="s">
        <v>126</v>
      </c>
      <c r="C13" s="9"/>
      <c r="D13" s="9"/>
      <c r="E13" s="9">
        <f t="shared" si="0"/>
        <v>0</v>
      </c>
      <c r="F13" s="9" t="s">
        <v>123</v>
      </c>
      <c r="G13" s="9"/>
      <c r="H13" s="9"/>
      <c r="I13" s="9">
        <f t="shared" si="1"/>
        <v>0</v>
      </c>
      <c r="J13" s="9"/>
      <c r="K13" s="9"/>
      <c r="L13" s="9">
        <f t="shared" si="2"/>
        <v>0</v>
      </c>
    </row>
    <row r="14" spans="1:12" x14ac:dyDescent="0.25">
      <c r="B14" s="9"/>
      <c r="C14" s="9"/>
      <c r="D14" s="9"/>
      <c r="E14" s="9">
        <f t="shared" si="0"/>
        <v>0</v>
      </c>
      <c r="F14" s="9" t="s">
        <v>124</v>
      </c>
      <c r="G14" s="9"/>
      <c r="H14" s="9"/>
      <c r="I14" s="9">
        <f t="shared" si="1"/>
        <v>0</v>
      </c>
      <c r="J14" s="9"/>
      <c r="K14" s="9"/>
      <c r="L14" s="9">
        <f t="shared" si="2"/>
        <v>0</v>
      </c>
    </row>
    <row r="15" spans="1:12" x14ac:dyDescent="0.25">
      <c r="B15" s="9"/>
      <c r="C15" s="9"/>
      <c r="D15" s="9"/>
      <c r="E15" s="9">
        <f t="shared" si="0"/>
        <v>0</v>
      </c>
      <c r="F15" s="9"/>
      <c r="G15" s="9"/>
      <c r="H15" s="9"/>
      <c r="I15" s="9">
        <f t="shared" si="1"/>
        <v>0</v>
      </c>
      <c r="J15" s="9"/>
      <c r="K15" s="9"/>
      <c r="L15" s="9">
        <f t="shared" si="2"/>
        <v>0</v>
      </c>
    </row>
    <row r="16" spans="1:12" x14ac:dyDescent="0.25">
      <c r="B16" s="9"/>
      <c r="C16" s="9"/>
      <c r="D16" s="9"/>
      <c r="E16" s="9">
        <f t="shared" si="0"/>
        <v>0</v>
      </c>
      <c r="F16" s="9"/>
      <c r="G16" s="9"/>
      <c r="H16" s="9"/>
      <c r="I16" s="9">
        <f t="shared" si="1"/>
        <v>0</v>
      </c>
      <c r="J16" s="9"/>
      <c r="K16" s="9"/>
      <c r="L16" s="9">
        <f t="shared" si="2"/>
        <v>0</v>
      </c>
    </row>
    <row r="17" spans="2:12" x14ac:dyDescent="0.25">
      <c r="B17" s="9" t="s">
        <v>127</v>
      </c>
      <c r="C17" s="9"/>
      <c r="D17" s="9"/>
      <c r="E17" s="9">
        <f t="shared" si="0"/>
        <v>0</v>
      </c>
      <c r="F17" s="9" t="s">
        <v>123</v>
      </c>
      <c r="G17" s="9"/>
      <c r="H17" s="9"/>
      <c r="I17" s="9">
        <f t="shared" si="1"/>
        <v>0</v>
      </c>
      <c r="J17" s="9"/>
      <c r="K17" s="9"/>
      <c r="L17" s="9">
        <f t="shared" si="2"/>
        <v>0</v>
      </c>
    </row>
    <row r="18" spans="2:12" x14ac:dyDescent="0.25">
      <c r="B18" s="9"/>
      <c r="C18" s="9"/>
      <c r="D18" s="9"/>
      <c r="E18" s="9">
        <f t="shared" si="0"/>
        <v>0</v>
      </c>
      <c r="F18" s="9" t="s">
        <v>124</v>
      </c>
      <c r="G18" s="9"/>
      <c r="H18" s="9"/>
      <c r="I18" s="9">
        <f t="shared" si="1"/>
        <v>0</v>
      </c>
      <c r="J18" s="9"/>
      <c r="K18" s="9"/>
      <c r="L18" s="9">
        <f t="shared" si="2"/>
        <v>0</v>
      </c>
    </row>
    <row r="19" spans="2:12" x14ac:dyDescent="0.25">
      <c r="B19" s="9"/>
      <c r="C19" s="9"/>
      <c r="D19" s="9"/>
      <c r="E19" s="9">
        <f t="shared" si="0"/>
        <v>0</v>
      </c>
      <c r="F19" s="9"/>
      <c r="G19" s="9"/>
      <c r="H19" s="9"/>
      <c r="I19" s="9">
        <f t="shared" si="1"/>
        <v>0</v>
      </c>
      <c r="J19" s="9"/>
      <c r="K19" s="9"/>
      <c r="L19" s="9">
        <f t="shared" si="2"/>
        <v>0</v>
      </c>
    </row>
    <row r="20" spans="2:12" x14ac:dyDescent="0.25">
      <c r="B20" s="9" t="s">
        <v>127</v>
      </c>
      <c r="C20" s="9"/>
      <c r="D20" s="9"/>
      <c r="E20" s="9">
        <f t="shared" si="0"/>
        <v>0</v>
      </c>
      <c r="F20" s="9" t="s">
        <v>123</v>
      </c>
      <c r="G20" s="9"/>
      <c r="H20" s="9"/>
      <c r="I20" s="9">
        <f t="shared" si="1"/>
        <v>0</v>
      </c>
      <c r="J20" s="9"/>
      <c r="K20" s="9"/>
      <c r="L20" s="9">
        <f t="shared" si="2"/>
        <v>0</v>
      </c>
    </row>
    <row r="21" spans="2:12" x14ac:dyDescent="0.25">
      <c r="B21" s="9"/>
      <c r="C21" s="9"/>
      <c r="D21" s="9"/>
      <c r="E21" s="9">
        <f t="shared" si="0"/>
        <v>0</v>
      </c>
      <c r="F21" s="9" t="s">
        <v>124</v>
      </c>
      <c r="G21" s="9"/>
      <c r="H21" s="9"/>
      <c r="I21" s="9">
        <f t="shared" si="1"/>
        <v>0</v>
      </c>
      <c r="J21" s="9"/>
      <c r="K21" s="9"/>
      <c r="L21" s="9">
        <f t="shared" si="2"/>
        <v>0</v>
      </c>
    </row>
    <row r="22" spans="2:12" x14ac:dyDescent="0.25">
      <c r="B22" s="9"/>
      <c r="C22" s="9"/>
      <c r="D22" s="9"/>
      <c r="E22" s="9">
        <f t="shared" si="0"/>
        <v>0</v>
      </c>
      <c r="F22" s="9"/>
      <c r="G22" s="9"/>
      <c r="H22" s="9"/>
      <c r="I22" s="9">
        <f t="shared" si="1"/>
        <v>0</v>
      </c>
      <c r="J22" s="9"/>
      <c r="K22" s="9"/>
      <c r="L22" s="9">
        <f t="shared" si="2"/>
        <v>0</v>
      </c>
    </row>
    <row r="23" spans="2:12" x14ac:dyDescent="0.25">
      <c r="B23" s="9" t="s">
        <v>128</v>
      </c>
      <c r="C23" s="9"/>
      <c r="D23" s="9"/>
      <c r="E23" s="9">
        <f t="shared" si="0"/>
        <v>0</v>
      </c>
      <c r="F23" s="9" t="s">
        <v>129</v>
      </c>
      <c r="G23" s="9"/>
      <c r="H23" s="9"/>
      <c r="I23" s="9">
        <f t="shared" si="1"/>
        <v>0</v>
      </c>
      <c r="J23" s="9"/>
      <c r="K23" s="9"/>
      <c r="L23" s="9">
        <f t="shared" si="2"/>
        <v>0</v>
      </c>
    </row>
    <row r="24" spans="2:12" x14ac:dyDescent="0.25">
      <c r="B24" s="9" t="s">
        <v>130</v>
      </c>
      <c r="C24" s="9"/>
      <c r="D24" s="9"/>
      <c r="E24" s="9">
        <f t="shared" si="0"/>
        <v>0</v>
      </c>
      <c r="F24" s="9" t="s">
        <v>129</v>
      </c>
      <c r="G24" s="9"/>
      <c r="H24" s="9"/>
      <c r="I24" s="9">
        <f t="shared" si="1"/>
        <v>0</v>
      </c>
      <c r="J24" s="9"/>
      <c r="K24" s="9"/>
      <c r="L24" s="9">
        <f t="shared" si="2"/>
        <v>0</v>
      </c>
    </row>
    <row r="25" spans="2:12" x14ac:dyDescent="0.25">
      <c r="B25" s="9" t="s">
        <v>131</v>
      </c>
      <c r="C25" s="9"/>
      <c r="D25" s="9"/>
      <c r="E25" s="9">
        <f t="shared" si="0"/>
        <v>0</v>
      </c>
      <c r="F25" s="9" t="s">
        <v>129</v>
      </c>
      <c r="G25" s="9"/>
      <c r="H25" s="9"/>
      <c r="I25" s="9">
        <f t="shared" si="1"/>
        <v>0</v>
      </c>
      <c r="J25" s="9"/>
      <c r="K25" s="9"/>
      <c r="L25" s="9">
        <f t="shared" si="2"/>
        <v>0</v>
      </c>
    </row>
    <row r="26" spans="2:12" x14ac:dyDescent="0.25">
      <c r="B26" s="9"/>
      <c r="C26" s="9"/>
      <c r="D26" s="9"/>
      <c r="E26" s="9">
        <f t="shared" si="0"/>
        <v>0</v>
      </c>
      <c r="F26" s="9"/>
      <c r="G26" s="9"/>
      <c r="H26" s="9"/>
      <c r="I26" s="9">
        <f t="shared" si="1"/>
        <v>0</v>
      </c>
      <c r="J26" s="9"/>
      <c r="K26" s="9"/>
      <c r="L26" s="9">
        <f t="shared" si="2"/>
        <v>0</v>
      </c>
    </row>
    <row r="27" spans="2:12" x14ac:dyDescent="0.25">
      <c r="B27" s="9" t="s">
        <v>132</v>
      </c>
      <c r="C27" s="9"/>
      <c r="D27" s="9"/>
      <c r="E27" s="9">
        <f t="shared" si="0"/>
        <v>0</v>
      </c>
      <c r="F27" s="9"/>
      <c r="G27" s="9"/>
      <c r="H27" s="9"/>
      <c r="I27" s="9">
        <f t="shared" si="1"/>
        <v>0</v>
      </c>
      <c r="J27" s="9"/>
      <c r="K27" s="9"/>
      <c r="L27" s="9">
        <f t="shared" si="2"/>
        <v>0</v>
      </c>
    </row>
    <row r="28" spans="2:12" x14ac:dyDescent="0.25">
      <c r="B28" s="9" t="s">
        <v>133</v>
      </c>
      <c r="C28" s="9"/>
      <c r="D28" s="9"/>
      <c r="E28" s="9">
        <f t="shared" si="0"/>
        <v>0</v>
      </c>
      <c r="F28" s="9"/>
      <c r="G28" s="9"/>
      <c r="H28" s="9"/>
      <c r="I28" s="9">
        <f t="shared" si="1"/>
        <v>0</v>
      </c>
      <c r="J28" s="9"/>
      <c r="K28" s="9"/>
      <c r="L28" s="9">
        <f t="shared" si="2"/>
        <v>0</v>
      </c>
    </row>
    <row r="29" spans="2:12" x14ac:dyDescent="0.25">
      <c r="B29" s="9" t="s">
        <v>134</v>
      </c>
      <c r="C29" s="9"/>
      <c r="D29" s="9"/>
      <c r="E29" s="9">
        <f t="shared" si="0"/>
        <v>0</v>
      </c>
      <c r="F29" s="9"/>
      <c r="G29" s="9"/>
      <c r="H29" s="9"/>
      <c r="I29" s="9">
        <f t="shared" si="1"/>
        <v>0</v>
      </c>
      <c r="J29" s="9"/>
      <c r="K29" s="9"/>
      <c r="L29" s="9">
        <f t="shared" si="2"/>
        <v>0</v>
      </c>
    </row>
    <row r="30" spans="2:12" x14ac:dyDescent="0.25">
      <c r="B30" s="9" t="s">
        <v>135</v>
      </c>
      <c r="C30" s="9"/>
      <c r="D30" s="9"/>
      <c r="E30" s="9">
        <f t="shared" si="0"/>
        <v>0</v>
      </c>
      <c r="F30" s="9"/>
      <c r="G30" s="9"/>
      <c r="H30" s="9"/>
      <c r="I30" s="9">
        <f>G30*H30</f>
        <v>0</v>
      </c>
      <c r="J30" s="9"/>
      <c r="K30" s="9"/>
      <c r="L30" s="9">
        <f>J30*K30</f>
        <v>0</v>
      </c>
    </row>
    <row r="31" spans="2:12" x14ac:dyDescent="0.25">
      <c r="B31" s="9"/>
      <c r="C31" s="9"/>
      <c r="D31" s="9"/>
      <c r="E31" s="9">
        <f t="shared" si="0"/>
        <v>0</v>
      </c>
      <c r="F31" s="9"/>
      <c r="G31" s="9"/>
      <c r="H31" s="9"/>
      <c r="I31" s="9">
        <f>G31*H31</f>
        <v>0</v>
      </c>
      <c r="J31" s="9"/>
      <c r="K31" s="9"/>
      <c r="L31" s="9">
        <f>J31*K31</f>
        <v>0</v>
      </c>
    </row>
    <row r="32" spans="2:12" x14ac:dyDescent="0.25">
      <c r="B32" s="9"/>
      <c r="C32" s="9"/>
      <c r="D32" s="9"/>
      <c r="E32" s="9">
        <f t="shared" si="0"/>
        <v>0</v>
      </c>
      <c r="F32" s="9"/>
      <c r="G32" s="9"/>
      <c r="H32" s="9"/>
      <c r="I32" s="9">
        <f>G32*H32</f>
        <v>0</v>
      </c>
      <c r="J32" s="9"/>
      <c r="K32" s="9"/>
      <c r="L32" s="9">
        <f>J32*K32</f>
        <v>0</v>
      </c>
    </row>
    <row r="33" spans="2:12" x14ac:dyDescent="0.25">
      <c r="B33" s="9"/>
      <c r="C33" s="9"/>
      <c r="D33" s="9"/>
      <c r="E33" s="9">
        <f t="shared" si="0"/>
        <v>0</v>
      </c>
      <c r="F33" s="9"/>
      <c r="G33" s="9"/>
      <c r="H33" s="9"/>
      <c r="I33" s="9">
        <f>G33*H33</f>
        <v>0</v>
      </c>
      <c r="J33" s="9"/>
      <c r="K33" s="9"/>
      <c r="L33" s="9">
        <f>J33*K33</f>
        <v>0</v>
      </c>
    </row>
    <row r="34" spans="2:12" x14ac:dyDescent="0.25">
      <c r="B34" s="9" t="s">
        <v>81</v>
      </c>
      <c r="C34" s="9"/>
      <c r="D34" s="9">
        <f>E34*10.764</f>
        <v>0</v>
      </c>
      <c r="E34" s="9">
        <f>SUM(E6:E33)</f>
        <v>0</v>
      </c>
      <c r="F34" s="9"/>
      <c r="G34" s="9"/>
      <c r="H34" s="9">
        <f>I34*10.764</f>
        <v>0</v>
      </c>
      <c r="I34" s="9">
        <f>SUM(I6:I33)</f>
        <v>0</v>
      </c>
      <c r="J34" s="9"/>
      <c r="K34" s="9">
        <f>L34*10.764</f>
        <v>0</v>
      </c>
      <c r="L34" s="9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 (2)</vt:lpstr>
      <vt:lpstr>C%</vt:lpstr>
      <vt:lpstr>Note</vt:lpstr>
      <vt:lpstr>Valuation</vt:lpstr>
      <vt:lpstr>Flat detail</vt:lpstr>
      <vt:lpstr>'Report (2)'!Print_Area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2025-09-13T18:00:57Z</cp:lastPrinted>
  <dcterms:created xsi:type="dcterms:W3CDTF">2019-07-16T09:29:46Z</dcterms:created>
  <dcterms:modified xsi:type="dcterms:W3CDTF">2025-09-13T18:01:02Z</dcterms:modified>
</cp:coreProperties>
</file>