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0" yWindow="0" windowWidth="19200" windowHeight="6645" tabRatio="725"/>
  </bookViews>
  <sheets>
    <sheet name="Report" sheetId="1" r:id="rId1"/>
    <sheet name="valuation" sheetId="5" r:id="rId2"/>
    <sheet name="Research" sheetId="4" r:id="rId3"/>
  </sheets>
  <definedNames>
    <definedName name="_xlnm.Print_Area" localSheetId="0">Report!$A$1:$H$398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9" i="1" l="1"/>
  <c r="C81" i="1" s="1"/>
  <c r="C80" i="1" l="1"/>
  <c r="D59" i="1"/>
  <c r="D238" i="1"/>
  <c r="F238" i="1" s="1"/>
  <c r="H238" i="1" s="1"/>
  <c r="D237" i="1"/>
  <c r="F237" i="1" s="1"/>
  <c r="H237" i="1" s="1"/>
  <c r="D236" i="1"/>
  <c r="F236" i="1" s="1"/>
  <c r="H236" i="1" s="1"/>
  <c r="D234" i="1"/>
  <c r="D244" i="1"/>
  <c r="F244" i="1" s="1"/>
  <c r="H244" i="1" s="1"/>
  <c r="D243" i="1"/>
  <c r="F243" i="1" s="1"/>
  <c r="H243" i="1" s="1"/>
  <c r="D242" i="1"/>
  <c r="F242" i="1" s="1"/>
  <c r="H242" i="1" s="1"/>
  <c r="D240" i="1"/>
  <c r="D232" i="1"/>
  <c r="D231" i="1"/>
  <c r="D230" i="1"/>
  <c r="D229" i="1"/>
  <c r="D228" i="1"/>
  <c r="D226" i="1"/>
  <c r="F226" i="1" s="1"/>
  <c r="H226" i="1" s="1"/>
  <c r="D225" i="1"/>
  <c r="F225" i="1" s="1"/>
  <c r="H225" i="1" s="1"/>
  <c r="D224" i="1"/>
  <c r="F224" i="1" s="1"/>
  <c r="H224" i="1" s="1"/>
  <c r="D223" i="1"/>
  <c r="D218" i="1"/>
  <c r="F218" i="1" s="1"/>
  <c r="H218" i="1" s="1"/>
  <c r="D217" i="1"/>
  <c r="D216" i="1"/>
  <c r="F216" i="1" s="1"/>
  <c r="H216" i="1" s="1"/>
  <c r="D212" i="1"/>
  <c r="F212" i="1" s="1"/>
  <c r="H212" i="1" s="1"/>
  <c r="D211" i="1"/>
  <c r="F211" i="1" s="1"/>
  <c r="H211" i="1" s="1"/>
  <c r="D210" i="1"/>
  <c r="F210" i="1" s="1"/>
  <c r="H210" i="1" s="1"/>
  <c r="D206" i="1"/>
  <c r="F206" i="1" s="1"/>
  <c r="H206" i="1" s="1"/>
  <c r="D205" i="1"/>
  <c r="D204" i="1"/>
  <c r="F204" i="1" s="1"/>
  <c r="H204" i="1" s="1"/>
  <c r="D203" i="1"/>
  <c r="F203" i="1" s="1"/>
  <c r="H203" i="1" s="1"/>
  <c r="D202" i="1"/>
  <c r="F202" i="1" s="1"/>
  <c r="H202" i="1" s="1"/>
  <c r="D199" i="1"/>
  <c r="D198" i="1"/>
  <c r="F198" i="1" s="1"/>
  <c r="H198" i="1" s="1"/>
  <c r="D197" i="1"/>
  <c r="F197" i="1" s="1"/>
  <c r="H197" i="1" s="1"/>
  <c r="D196" i="1"/>
  <c r="F196" i="1" s="1"/>
  <c r="H196" i="1" s="1"/>
  <c r="E240" i="1"/>
  <c r="A240" i="1"/>
  <c r="A241" i="1" s="1"/>
  <c r="A242" i="1" s="1"/>
  <c r="A243" i="1" s="1"/>
  <c r="A244" i="1" s="1"/>
  <c r="F217" i="1"/>
  <c r="H217" i="1" s="1"/>
  <c r="A214" i="1"/>
  <c r="A215" i="1" s="1"/>
  <c r="A216" i="1" s="1"/>
  <c r="A217" i="1" s="1"/>
  <c r="A218" i="1" s="1"/>
  <c r="E186" i="1"/>
  <c r="D186" i="1"/>
  <c r="E184" i="1"/>
  <c r="D184" i="1"/>
  <c r="J183" i="1"/>
  <c r="E183" i="1"/>
  <c r="D183" i="1"/>
  <c r="E182" i="1"/>
  <c r="D182" i="1"/>
  <c r="A182" i="1"/>
  <c r="A183" i="1" s="1"/>
  <c r="A184" i="1" s="1"/>
  <c r="A185" i="1" s="1"/>
  <c r="A186" i="1" s="1"/>
  <c r="E234" i="1"/>
  <c r="A234" i="1"/>
  <c r="A235" i="1" s="1"/>
  <c r="A236" i="1" s="1"/>
  <c r="A237" i="1" s="1"/>
  <c r="A238" i="1" s="1"/>
  <c r="A208" i="1"/>
  <c r="A209" i="1" s="1"/>
  <c r="A210" i="1" s="1"/>
  <c r="A211" i="1" s="1"/>
  <c r="A212" i="1" s="1"/>
  <c r="E176" i="1"/>
  <c r="D176" i="1"/>
  <c r="E180" i="1"/>
  <c r="D180" i="1"/>
  <c r="E178" i="1"/>
  <c r="D178" i="1"/>
  <c r="J177" i="1"/>
  <c r="E177" i="1"/>
  <c r="D177" i="1"/>
  <c r="A176" i="1"/>
  <c r="A177" i="1" s="1"/>
  <c r="A178" i="1" s="1"/>
  <c r="A179" i="1" s="1"/>
  <c r="A180" i="1" s="1"/>
  <c r="E232" i="1"/>
  <c r="E231" i="1"/>
  <c r="E229" i="1"/>
  <c r="E228" i="1"/>
  <c r="E230" i="1"/>
  <c r="F205" i="1"/>
  <c r="H205" i="1" s="1"/>
  <c r="E174" i="1"/>
  <c r="D174" i="1"/>
  <c r="E170" i="1"/>
  <c r="D170" i="1"/>
  <c r="E173" i="1"/>
  <c r="D173" i="1"/>
  <c r="E172" i="1"/>
  <c r="D172" i="1"/>
  <c r="E171" i="1"/>
  <c r="D171" i="1"/>
  <c r="E161" i="1"/>
  <c r="E160" i="1"/>
  <c r="E159" i="1"/>
  <c r="D159" i="1"/>
  <c r="D161" i="1"/>
  <c r="D160" i="1"/>
  <c r="J159" i="1"/>
  <c r="F223" i="1"/>
  <c r="H223" i="1" s="1"/>
  <c r="A222" i="1"/>
  <c r="A223" i="1" s="1"/>
  <c r="A224" i="1" s="1"/>
  <c r="A225" i="1" s="1"/>
  <c r="A226" i="1" s="1"/>
  <c r="F199" i="1"/>
  <c r="H199" i="1" s="1"/>
  <c r="A196" i="1"/>
  <c r="A197" i="1" s="1"/>
  <c r="A198" i="1" s="1"/>
  <c r="A199" i="1" s="1"/>
  <c r="A200" i="1" s="1"/>
  <c r="B247" i="1"/>
  <c r="B248" i="1"/>
  <c r="A202" i="1"/>
  <c r="A228" i="1"/>
  <c r="F230" i="1" l="1"/>
  <c r="H230" i="1" s="1"/>
  <c r="F228" i="1"/>
  <c r="H228" i="1" s="1"/>
  <c r="F182" i="1"/>
  <c r="H182" i="1" s="1"/>
  <c r="F177" i="1"/>
  <c r="H177" i="1" s="1"/>
  <c r="C134" i="1"/>
  <c r="C135" i="1"/>
  <c r="G135" i="1"/>
  <c r="E135" i="1"/>
  <c r="F180" i="1"/>
  <c r="H180" i="1" s="1"/>
  <c r="F176" i="1"/>
  <c r="H176" i="1" s="1"/>
  <c r="F183" i="1"/>
  <c r="H183" i="1" s="1"/>
  <c r="F240" i="1"/>
  <c r="H240" i="1" s="1"/>
  <c r="F184" i="1"/>
  <c r="H184" i="1" s="1"/>
  <c r="C136" i="1"/>
  <c r="F186" i="1"/>
  <c r="H186" i="1" s="1"/>
  <c r="F178" i="1"/>
  <c r="H178" i="1" s="1"/>
  <c r="F232" i="1"/>
  <c r="H232" i="1" s="1"/>
  <c r="F234" i="1"/>
  <c r="H234" i="1" s="1"/>
  <c r="F229" i="1"/>
  <c r="H229" i="1" s="1"/>
  <c r="F231" i="1"/>
  <c r="H231" i="1" s="1"/>
  <c r="E43" i="1"/>
  <c r="E44" i="1" s="1"/>
  <c r="A203" i="1"/>
  <c r="A229" i="1"/>
  <c r="G136" i="1" l="1"/>
  <c r="C137" i="1"/>
  <c r="E136" i="1"/>
  <c r="I30" i="1"/>
  <c r="I59" i="1"/>
  <c r="I44" i="1"/>
  <c r="I43" i="1"/>
  <c r="K42" i="1"/>
  <c r="A204" i="1"/>
  <c r="A230" i="1"/>
  <c r="H144" i="1" l="1"/>
  <c r="F145" i="1"/>
  <c r="F146" i="1"/>
  <c r="F147" i="1"/>
  <c r="F144" i="1"/>
  <c r="H145" i="1"/>
  <c r="H146" i="1"/>
  <c r="H147" i="1"/>
  <c r="F192" i="1"/>
  <c r="H192" i="1" s="1"/>
  <c r="F191" i="1"/>
  <c r="H191" i="1" s="1"/>
  <c r="F190" i="1"/>
  <c r="H190" i="1" s="1"/>
  <c r="F189" i="1"/>
  <c r="H189" i="1" s="1"/>
  <c r="F188" i="1"/>
  <c r="H188" i="1" s="1"/>
  <c r="F174" i="1"/>
  <c r="H174" i="1" s="1"/>
  <c r="F173" i="1"/>
  <c r="H173" i="1" s="1"/>
  <c r="F172" i="1"/>
  <c r="H172" i="1" s="1"/>
  <c r="F171" i="1"/>
  <c r="H171" i="1" s="1"/>
  <c r="F170" i="1"/>
  <c r="H170" i="1" s="1"/>
  <c r="F168" i="1"/>
  <c r="H168" i="1" s="1"/>
  <c r="F167" i="1"/>
  <c r="H167" i="1" s="1"/>
  <c r="F166" i="1"/>
  <c r="H166" i="1" s="1"/>
  <c r="F165" i="1"/>
  <c r="H165" i="1" s="1"/>
  <c r="F164" i="1"/>
  <c r="H164" i="1" s="1"/>
  <c r="F161" i="1"/>
  <c r="H161" i="1" s="1"/>
  <c r="F160" i="1"/>
  <c r="H160" i="1" s="1"/>
  <c r="F159" i="1"/>
  <c r="F154" i="1"/>
  <c r="F155" i="1"/>
  <c r="F156" i="1"/>
  <c r="F153" i="1"/>
  <c r="H153" i="1" s="1"/>
  <c r="A205" i="1"/>
  <c r="A231" i="1"/>
  <c r="H159" i="1" l="1"/>
  <c r="G134" i="1" s="1"/>
  <c r="G137" i="1" s="1"/>
  <c r="E134" i="1"/>
  <c r="E137" i="1" s="1"/>
  <c r="C15" i="1"/>
  <c r="A232" i="1"/>
  <c r="A206" i="1"/>
  <c r="Z12" i="1" l="1"/>
  <c r="I14" i="1"/>
  <c r="G138" i="1" l="1"/>
  <c r="E138" i="1"/>
  <c r="C138" i="1"/>
  <c r="H154" i="1" l="1"/>
  <c r="H155" i="1"/>
  <c r="H156" i="1"/>
  <c r="A154" i="1"/>
  <c r="A155" i="1" s="1"/>
  <c r="A156" i="1" s="1"/>
  <c r="F126" i="1" l="1"/>
  <c r="A164" i="1"/>
  <c r="A170" i="1"/>
  <c r="A188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72" i="1"/>
  <c r="A158" i="1"/>
  <c r="A159" i="1" s="1"/>
  <c r="A160" i="1" s="1"/>
  <c r="A161" i="1" s="1"/>
  <c r="A162" i="1" s="1"/>
  <c r="A145" i="1"/>
  <c r="A146" i="1" s="1"/>
  <c r="A147" i="1" s="1"/>
  <c r="C100" i="1"/>
  <c r="B101" i="1" s="1"/>
  <c r="C86" i="1"/>
  <c r="B87" i="1" s="1"/>
  <c r="C72" i="1"/>
  <c r="B73" i="1" s="1"/>
  <c r="G50" i="1"/>
  <c r="C50" i="1"/>
  <c r="E27" i="1"/>
  <c r="E25" i="1"/>
  <c r="E7" i="1"/>
  <c r="E3" i="1"/>
  <c r="A165" i="1"/>
  <c r="A189" i="1"/>
  <c r="A171" i="1"/>
  <c r="D66" i="1" l="1"/>
  <c r="H101" i="1"/>
  <c r="H87" i="1"/>
  <c r="A166" i="1"/>
  <c r="H73" i="1"/>
  <c r="A190" i="1"/>
  <c r="A172" i="1"/>
  <c r="J103" i="1" l="1"/>
  <c r="C106" i="1"/>
  <c r="J100" i="1" s="1"/>
  <c r="J102" i="1" s="1"/>
  <c r="J106" i="1"/>
  <c r="J107" i="1" s="1"/>
  <c r="J112" i="1" s="1"/>
  <c r="J104" i="1"/>
  <c r="D112" i="1"/>
  <c r="D113" i="1"/>
  <c r="D110" i="1"/>
  <c r="D111" i="1"/>
  <c r="D108" i="1"/>
  <c r="D109" i="1"/>
  <c r="D107" i="1"/>
  <c r="J105" i="1"/>
  <c r="C104" i="1" s="1"/>
  <c r="D104" i="1" s="1"/>
  <c r="J91" i="1"/>
  <c r="C90" i="1" s="1"/>
  <c r="D90" i="1" s="1"/>
  <c r="J89" i="1"/>
  <c r="J92" i="1"/>
  <c r="J93" i="1" s="1"/>
  <c r="J98" i="1" s="1"/>
  <c r="J86" i="1"/>
  <c r="J88" i="1" s="1"/>
  <c r="D94" i="1"/>
  <c r="D96" i="1"/>
  <c r="D99" i="1"/>
  <c r="D93" i="1"/>
  <c r="D97" i="1"/>
  <c r="D98" i="1"/>
  <c r="D95" i="1"/>
  <c r="J90" i="1"/>
  <c r="D85" i="1"/>
  <c r="D83" i="1"/>
  <c r="D82" i="1"/>
  <c r="D79" i="1"/>
  <c r="D81" i="1"/>
  <c r="J78" i="1"/>
  <c r="J79" i="1" s="1"/>
  <c r="D84" i="1"/>
  <c r="J72" i="1"/>
  <c r="J74" i="1" s="1"/>
  <c r="D80" i="1"/>
  <c r="J76" i="1"/>
  <c r="J77" i="1"/>
  <c r="C76" i="1" s="1"/>
  <c r="D76" i="1" s="1"/>
  <c r="J75" i="1"/>
  <c r="J108" i="1"/>
  <c r="J109" i="1" s="1"/>
  <c r="J110" i="1" s="1"/>
  <c r="J111" i="1" s="1"/>
  <c r="J94" i="1"/>
  <c r="J95" i="1" s="1"/>
  <c r="J96" i="1" s="1"/>
  <c r="J97" i="1" s="1"/>
  <c r="J80" i="1"/>
  <c r="J81" i="1" s="1"/>
  <c r="J82" i="1" s="1"/>
  <c r="J83" i="1" s="1"/>
  <c r="D92" i="1"/>
  <c r="D78" i="1"/>
  <c r="A191" i="1"/>
  <c r="A167" i="1"/>
  <c r="A173" i="1"/>
  <c r="D106" i="1" l="1"/>
  <c r="J113" i="1"/>
  <c r="C105" i="1" s="1"/>
  <c r="G104" i="1" s="1"/>
  <c r="J84" i="1"/>
  <c r="J85" i="1" s="1"/>
  <c r="C77" i="1" s="1"/>
  <c r="J99" i="1"/>
  <c r="J87" i="1" s="1"/>
  <c r="A192" i="1"/>
  <c r="A168" i="1"/>
  <c r="A174" i="1"/>
  <c r="E104" i="1" l="1"/>
  <c r="J101" i="1"/>
  <c r="D105" i="1"/>
  <c r="I101" i="1" s="1"/>
  <c r="I102" i="1" s="1"/>
  <c r="G76" i="1"/>
  <c r="D70" i="1" s="1"/>
  <c r="D71" i="1" s="1"/>
  <c r="J73" i="1"/>
  <c r="D77" i="1"/>
  <c r="I73" i="1" s="1"/>
  <c r="I74" i="1" s="1"/>
  <c r="E76" i="1"/>
  <c r="E90" i="1"/>
  <c r="G90" i="1"/>
  <c r="D91" i="1"/>
  <c r="I87" i="1" s="1"/>
  <c r="I88" i="1" s="1"/>
  <c r="I100" i="1" l="1"/>
  <c r="C102" i="1" s="1"/>
  <c r="F71" i="1"/>
  <c r="I72" i="1"/>
  <c r="C74" i="1" s="1"/>
  <c r="I86" i="1"/>
  <c r="C88" i="1" s="1"/>
</calcChain>
</file>

<file path=xl/comments1.xml><?xml version="1.0" encoding="utf-8"?>
<comments xmlns="http://schemas.openxmlformats.org/spreadsheetml/2006/main">
  <authors>
    <author>Sachin</author>
  </authors>
  <commentList>
    <comment ref="E11" author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2" author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9" author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<sst xmlns="http://schemas.openxmlformats.org/spreadsheetml/2006/main" count="555" uniqueCount="310">
  <si>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</si>
  <si>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</si>
  <si>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</si>
  <si>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</si>
  <si>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</si>
  <si>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</si>
  <si>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</si>
  <si>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</si>
  <si>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</si>
  <si>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</si>
  <si>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</si>
  <si>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</si>
  <si>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</si>
  <si>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</si>
  <si>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</si>
  <si>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</si>
  <si>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</si>
  <si>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</si>
  <si>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</si>
  <si>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</si>
  <si>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</si>
  <si>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</si>
  <si>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</si>
  <si>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</si>
  <si>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</si>
  <si>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</si>
  <si>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</si>
  <si>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</si>
  <si>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</si>
  <si>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</si>
  <si>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</si>
  <si>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</si>
  <si>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</si>
  <si>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</si>
  <si>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</si>
  <si>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</si>
  <si>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</si>
  <si>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</si>
  <si>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</si>
  <si>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</si>
  <si>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</si>
  <si>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</si>
  <si>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</si>
  <si>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</si>
  <si>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</si>
  <si>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</si>
  <si>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</si>
  <si>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</si>
  <si>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</si>
  <si>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</si>
  <si>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</si>
  <si>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</si>
  <si>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</si>
  <si>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</si>
  <si>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</si>
  <si>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</si>
  <si>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</si>
  <si>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</si>
  <si>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</si>
  <si>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</si>
  <si>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</si>
  <si>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</si>
  <si>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</si>
  <si>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</si>
  <si>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</si>
  <si>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</si>
  <si>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</si>
  <si>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</si>
  <si>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</si>
  <si>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</si>
  <si>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</si>
  <si>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</si>
  <si>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</si>
  <si>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</si>
  <si>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</si>
  <si>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</si>
  <si>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</si>
  <si>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</si>
  <si>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</si>
  <si>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</si>
  <si>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</si>
  <si>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</si>
  <si>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</si>
  <si>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</si>
  <si>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</si>
  <si>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</si>
  <si>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</si>
  <si>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</si>
  <si>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</si>
  <si>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</si>
  <si>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</si>
  <si>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</si>
  <si>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</si>
  <si>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</si>
  <si>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</si>
  <si>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</si>
  <si>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</si>
  <si>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</si>
  <si>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</si>
  <si>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</si>
  <si>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</si>
  <si>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</si>
  <si>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</si>
  <si>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</si>
  <si>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</si>
  <si>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</si>
  <si>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</si>
  <si>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</si>
  <si>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</si>
  <si>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</si>
  <si>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</si>
  <si>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</si>
  <si>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</si>
  <si>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</si>
  <si>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</si>
  <si>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</si>
  <si>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</si>
  <si>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</si>
  <si>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</si>
  <si>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</si>
  <si>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</si>
  <si>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</si>
  <si>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</si>
  <si>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</si>
  <si>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</si>
  <si>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</si>
  <si>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</si>
  <si>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</si>
  <si>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</si>
  <si>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</si>
  <si>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</si>
  <si>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</si>
  <si>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</si>
  <si>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</si>
  <si>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</si>
  <si>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</si>
  <si>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</si>
  <si>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</si>
  <si>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</si>
  <si>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</si>
  <si>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</si>
  <si>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</si>
  <si>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</si>
  <si>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</si>
  <si>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</si>
  <si>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</si>
  <si>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</si>
  <si>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&amp; 5th Floor</t>
  </si>
  <si>
    <t>Basement 1</t>
  </si>
  <si>
    <t>Plinth in process</t>
  </si>
  <si>
    <t xml:space="preserve">Violations Observed if any : </t>
  </si>
  <si>
    <t>Saleable area Loading :</t>
  </si>
  <si>
    <t>Flats -, Shops -, Offices -</t>
  </si>
  <si>
    <t>3rd, 5th, 7th, 9th, 11th, 13th, 15th Floor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</si>
  <si>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</si>
  <si>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</si>
  <si>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</si>
  <si>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</si>
  <si>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</si>
  <si>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</si>
  <si>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</si>
  <si>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</si>
  <si>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</si>
  <si>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</si>
  <si>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</si>
  <si>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</si>
  <si>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</si>
  <si>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</si>
  <si>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</si>
  <si>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</si>
  <si>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</si>
  <si>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</si>
  <si>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B Wing = 1B + G + 1st to 20th Floor</t>
  </si>
  <si>
    <t>Provided Contact Details (Name &amp; Contact No.)</t>
  </si>
  <si>
    <t>Site Person - Contact Details (Name &amp; Contact No.)</t>
  </si>
  <si>
    <t>C Wing = 1B + G + 1st to 20th Floor</t>
  </si>
  <si>
    <t>Approved Plans, CC, Sale Plans, Builder Saleable Area, Cost Sheet, Airport Noc, Railway Noc, OC</t>
  </si>
  <si>
    <t>Name / No of the Existing Building</t>
  </si>
  <si>
    <t>Mumbai</t>
  </si>
  <si>
    <t>As per Layout</t>
  </si>
  <si>
    <t>Floor Rise Rate from    Floor</t>
  </si>
  <si>
    <t>CTS No</t>
  </si>
  <si>
    <t>Shop No. (Sale Plan)</t>
  </si>
  <si>
    <t>Flat No. (Sale Plan)</t>
  </si>
  <si>
    <t xml:space="preserve">As the project is redevelopement project but rehab statement or rehab flats is not mentioned approved layout plan &amp; floor plan.
</t>
  </si>
  <si>
    <t xml:space="preserve">Thane </t>
  </si>
  <si>
    <t>Thane</t>
  </si>
  <si>
    <t>Shahpur</t>
  </si>
  <si>
    <t>Kalyan</t>
  </si>
  <si>
    <t>Bhiwandi</t>
  </si>
  <si>
    <t>Ulhasnagar</t>
  </si>
  <si>
    <t>Ambernath</t>
  </si>
  <si>
    <t>Murbad</t>
  </si>
  <si>
    <t>Mokhada</t>
  </si>
  <si>
    <t>Talasari</t>
  </si>
  <si>
    <t>Palghar</t>
  </si>
  <si>
    <t>Vasai</t>
  </si>
  <si>
    <t>Vikramgad</t>
  </si>
  <si>
    <t>Dahanu</t>
  </si>
  <si>
    <t>Wada</t>
  </si>
  <si>
    <t>Raigad</t>
  </si>
  <si>
    <t>Alibag</t>
  </si>
  <si>
    <t>Panvel</t>
  </si>
  <si>
    <t>Uran</t>
  </si>
  <si>
    <t>Karjat</t>
  </si>
  <si>
    <t>Khalapur</t>
  </si>
  <si>
    <t>Pen</t>
  </si>
  <si>
    <t>Sudhagad</t>
  </si>
  <si>
    <t>Mahad</t>
  </si>
  <si>
    <t>Roha</t>
  </si>
  <si>
    <t>Mangaon</t>
  </si>
  <si>
    <t>Poladpur</t>
  </si>
  <si>
    <t>Mahasala</t>
  </si>
  <si>
    <t>Shriwardhan</t>
  </si>
  <si>
    <t>Murud</t>
  </si>
  <si>
    <t>Andheri</t>
  </si>
  <si>
    <t>Borivali</t>
  </si>
  <si>
    <t>Kurla</t>
  </si>
  <si>
    <t>Pune</t>
  </si>
  <si>
    <t>Pune City</t>
  </si>
  <si>
    <t>Khed</t>
  </si>
  <si>
    <t>Baramati</t>
  </si>
  <si>
    <t>Junnar</t>
  </si>
  <si>
    <t>Shirur</t>
  </si>
  <si>
    <t>Indapur</t>
  </si>
  <si>
    <t>Daund</t>
  </si>
  <si>
    <t>Mawal</t>
  </si>
  <si>
    <t>Ambegaon</t>
  </si>
  <si>
    <t>Purandhar</t>
  </si>
  <si>
    <t>Bhor</t>
  </si>
  <si>
    <t>Mulshi</t>
  </si>
  <si>
    <t>Velhe</t>
  </si>
  <si>
    <t>Haveli</t>
  </si>
  <si>
    <t>Approved Plans, CC</t>
  </si>
  <si>
    <t>Approved Plans, CC, Sale Plans</t>
  </si>
  <si>
    <t>Approved Plans, CC, Sale Plans, Builder Saleable Area</t>
  </si>
  <si>
    <t>Approved Plans, CC, Sale Plans, Builder Saleable Area, Cost Sheet,</t>
  </si>
  <si>
    <t>Approved Plans, CC, Builder Saleable Area,</t>
  </si>
  <si>
    <t>Carpet area</t>
  </si>
  <si>
    <t>Axis Thane</t>
  </si>
  <si>
    <t>P51800050356</t>
  </si>
  <si>
    <t>Shraddha Landmark Private Limited</t>
  </si>
  <si>
    <t>Shraddha Presidency</t>
  </si>
  <si>
    <t>Mr. Nilesh 9833733555</t>
  </si>
  <si>
    <t>Wing A, B &amp; C</t>
  </si>
  <si>
    <t>Building No 26, 27, 28 &amp; 29 Known as Kannamwar Nagar Janhavi CHS Ltd.</t>
  </si>
  <si>
    <t>Kannamwar Nagar Janhavi CHS Ltd.</t>
  </si>
  <si>
    <t>Kannamwar Nagar Saket CHS Ltd.</t>
  </si>
  <si>
    <t>Kannamwar Nagar Prerna CHS Ltd.</t>
  </si>
  <si>
    <t>Kannamwar Nagar Kalpavruksh CHS Ltd.</t>
  </si>
  <si>
    <t xml:space="preserve">AS per Legel title </t>
  </si>
  <si>
    <t>356(pt.), S. No. 113(Pt.), Redevlopement of "Building No 26, 27, 28 &amp; 29 Known as Kannamwar Nagar Janhavi CHS Ltd."</t>
  </si>
  <si>
    <t>Hariyali</t>
  </si>
  <si>
    <t>19.112747,72.934752</t>
  </si>
  <si>
    <t>https://maps.app.goo.gl/T3hQJEJybn9S3Nbs8</t>
  </si>
  <si>
    <t>Vrindavan CHS, Building 24</t>
  </si>
  <si>
    <t>Aatmaram Surve Marg</t>
  </si>
  <si>
    <t>Road Number 1</t>
  </si>
  <si>
    <t>Kannamwar Nagar</t>
  </si>
  <si>
    <t>Vikhroli East</t>
  </si>
  <si>
    <t>Shushrusha Hospital</t>
  </si>
  <si>
    <t>18.30 M. Wide Road</t>
  </si>
  <si>
    <t>03 Wings</t>
  </si>
  <si>
    <t>zero FSI Approval in C.C</t>
  </si>
  <si>
    <t>Maharashtra Housing and Area Development Authority (MHADA)</t>
  </si>
  <si>
    <t>Building No 24 &amp; 25</t>
  </si>
  <si>
    <t>12.20 M. Wide Road</t>
  </si>
  <si>
    <t>Residential</t>
  </si>
  <si>
    <t>Wing A, B, &amp; C = Gr + 1st to 21st Floor</t>
  </si>
  <si>
    <t>As per RERA - 31/12/2026</t>
  </si>
  <si>
    <t>https://www.shraddhalandmark.com/shraddha-presidency.php</t>
  </si>
  <si>
    <t>Jogging Track, Childrens Play Area, Indoor Games, Podium Garden, Gymnasium, Decorative Entrance, etc.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</si>
  <si>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Times New Roman"/>
        <family val="1"/>
      </rPr>
      <t xml:space="preserve">                                               </t>
    </r>
  </si>
  <si>
    <t xml:space="preserve">Details of Residential in Building   </t>
  </si>
  <si>
    <t>Plan &amp; C.C From Rera</t>
  </si>
  <si>
    <t xml:space="preserve">Approved Plan </t>
  </si>
  <si>
    <t>1.00KM from Vikhroli Railway Station</t>
  </si>
  <si>
    <t>Mhada-9/1242/2024</t>
  </si>
  <si>
    <t>Wing A</t>
  </si>
  <si>
    <t>Ground Floor for Parking &amp; Entrance Lobby</t>
  </si>
  <si>
    <t>Wing B</t>
  </si>
  <si>
    <t>Wing C</t>
  </si>
  <si>
    <t>Fitness Center</t>
  </si>
  <si>
    <t>2BHK</t>
  </si>
  <si>
    <t>1BHK</t>
  </si>
  <si>
    <t>Dry Yard Area</t>
  </si>
  <si>
    <t>1st Floor for Residential, Fitness Center &amp; Recreational Area</t>
  </si>
  <si>
    <t>Society Office</t>
  </si>
  <si>
    <t>1st Floor for Residential, Society Office &amp; Recreational Area</t>
  </si>
  <si>
    <t>2nd to 6th, 8th to 13th, 15th to 21st Floor</t>
  </si>
  <si>
    <t>7th Floor (Part Refuge Area)</t>
  </si>
  <si>
    <t>Refuge Area</t>
  </si>
  <si>
    <t>1RK</t>
  </si>
  <si>
    <t>14th Floor (Part Refuge Area)</t>
  </si>
  <si>
    <t>Flats - 303</t>
  </si>
  <si>
    <t>We considered Gross carpet area = Net carpet + Dry Yard Area.</t>
  </si>
  <si>
    <t>We have Refered Approved C.C. &amp; Layout Plan from Mhada Site (on 29/03/2024)</t>
  </si>
  <si>
    <t>We have updated Approved Plans from Mhada Site (on 29/03/2024)</t>
  </si>
  <si>
    <t>MH/EE/(BP)/GM/MHADA-9/1242/2024/FCC/1/New</t>
  </si>
  <si>
    <t>This C.C. is further extended upto top of 7th floor of Wing A, B &amp; C (i.e. Stilt (pt) for parking &amp; 1st Part floor for Residential use + 2nd to 7th upper residential floors) as per approved amended plans dtd. 18.01.2024.</t>
  </si>
  <si>
    <t xml:space="preserve">MH/EE/(BP)/GM/MHADA-9/1242/2024/FCC/1/Amend
</t>
  </si>
  <si>
    <t>This C.C. is further extended upto top of 11th floor of Wing A, B &amp; C (i.e. Stilt (pt) for parking + 1st Part floor for Residential use + 2nd to 11th upper residential floors) as per approved amended plans dtd. 18.01.2024.</t>
  </si>
  <si>
    <t>We have updated latest CC from Mhada site (On 12/06/2024 &amp; 19/03/2025).</t>
  </si>
  <si>
    <t>Mr. Vighnesh</t>
  </si>
  <si>
    <t>MH/EE/(BP)/GM/MHADA-9/1242/2025/FCC/2/Amend</t>
  </si>
  <si>
    <t>This C.C. is further extended upto top of 19th floor of Wing A &amp; B &amp; upto top of 18th floor of Wing C as per approved amended plans dtd. 18.01.2024.</t>
  </si>
  <si>
    <t>We have updated latest CC from Mhada site (On 06/06/2025).</t>
  </si>
  <si>
    <t>Shruti Tathare</t>
  </si>
  <si>
    <t>Sagar Naresh Katale</t>
  </si>
  <si>
    <t>Construction work is in process at the time of Visit. Internal Visit was not allowed. (Slow Speed)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</si>
</sst>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3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rgb="FFC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01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17" fillId="0" borderId="0" xfId="0" applyFont="1" applyProtection="1">
      <protection hidden="1"/>
    </xf>
    <xf numFmtId="0" fontId="15" fillId="0" borderId="1" xfId="1" applyFont="1" applyBorder="1" applyAlignment="1" applyProtection="1">
      <alignment horizontal="center" vertical="top"/>
      <protection locked="0"/>
    </xf>
    <xf numFmtId="0" fontId="17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4" fillId="2" borderId="30" xfId="0" applyFont="1" applyFill="1" applyBorder="1"/>
    <xf numFmtId="0" fontId="25" fillId="0" borderId="31" xfId="0" applyFont="1" applyBorder="1"/>
    <xf numFmtId="0" fontId="25" fillId="0" borderId="1" xfId="0" applyFont="1" applyBorder="1"/>
    <xf numFmtId="0" fontId="25" fillId="0" borderId="5" xfId="0" applyFont="1" applyBorder="1"/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9" fillId="0" borderId="0" xfId="1" applyFont="1"/>
    <xf numFmtId="164" fontId="7" fillId="0" borderId="0" xfId="1" applyNumberFormat="1" applyFont="1"/>
    <xf numFmtId="2" fontId="7" fillId="0" borderId="0" xfId="1" applyNumberFormat="1" applyFont="1"/>
    <xf numFmtId="0" fontId="26" fillId="0" borderId="0" xfId="10"/>
    <xf numFmtId="1" fontId="7" fillId="0" borderId="1" xfId="1" applyNumberFormat="1" applyFont="1" applyBorder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 wrapText="1"/>
    </xf>
    <xf numFmtId="1" fontId="12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9" fontId="8" fillId="0" borderId="1" xfId="8" applyFont="1" applyFill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4" fontId="6" fillId="0" borderId="1" xfId="1" applyNumberFormat="1" applyFont="1" applyBorder="1" applyAlignment="1" applyProtection="1">
      <alignment horizontal="left"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0" fontId="15" fillId="0" borderId="23" xfId="1" applyFont="1" applyBorder="1" applyAlignment="1">
      <alignment horizontal="center" vertical="center"/>
    </xf>
    <xf numFmtId="0" fontId="15" fillId="0" borderId="32" xfId="1" applyFont="1" applyBorder="1" applyAlignment="1">
      <alignment horizontal="center" vertical="center"/>
    </xf>
    <xf numFmtId="0" fontId="15" fillId="0" borderId="33" xfId="1" applyFont="1" applyBorder="1" applyAlignment="1">
      <alignment horizontal="center" vertical="center"/>
    </xf>
    <xf numFmtId="0" fontId="15" fillId="0" borderId="9" xfId="1" applyFont="1" applyBorder="1" applyAlignment="1">
      <alignment horizontal="left"/>
    </xf>
    <xf numFmtId="0" fontId="15" fillId="0" borderId="1" xfId="1" applyFont="1" applyBorder="1" applyAlignment="1">
      <alignment horizontal="left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0" fontId="7" fillId="0" borderId="0" xfId="1" applyFont="1" applyAlignment="1">
      <alignment horizontal="center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64" fontId="12" fillId="0" borderId="1" xfId="1" applyNumberFormat="1" applyFont="1" applyBorder="1" applyAlignment="1" applyProtection="1">
      <alignment horizontal="left" vertical="top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23" xfId="1" applyFont="1" applyBorder="1" applyAlignment="1" applyProtection="1">
      <alignment horizontal="left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14" fontId="6" fillId="0" borderId="9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5" fillId="0" borderId="19" xfId="1" applyFont="1" applyBorder="1" applyAlignment="1" applyProtection="1">
      <alignment horizontal="left" vertical="top"/>
      <protection locked="0"/>
    </xf>
    <xf numFmtId="0" fontId="15" fillId="0" borderId="2" xfId="1" applyFont="1" applyBorder="1" applyAlignment="1" applyProtection="1">
      <alignment horizontal="left" vertical="top"/>
      <protection locked="0"/>
    </xf>
    <xf numFmtId="0" fontId="15" fillId="0" borderId="20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25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5" fillId="0" borderId="25" xfId="1" applyFont="1" applyBorder="1" applyAlignment="1" applyProtection="1">
      <alignment horizontal="left" vertical="top"/>
      <protection locked="0"/>
    </xf>
    <xf numFmtId="0" fontId="15" fillId="0" borderId="0" xfId="1" applyFont="1" applyAlignment="1" applyProtection="1">
      <alignment horizontal="left" vertical="top"/>
      <protection locked="0"/>
    </xf>
    <xf numFmtId="0" fontId="15" fillId="0" borderId="26" xfId="1" applyFont="1" applyBorder="1" applyAlignment="1" applyProtection="1">
      <alignment horizontal="left" vertical="top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0" fontId="10" fillId="0" borderId="35" xfId="0" applyFont="1" applyBorder="1" applyAlignment="1" applyProtection="1">
      <alignment horizontal="center" vertical="center" wrapText="1"/>
      <protection locked="0"/>
    </xf>
    <xf numFmtId="1" fontId="10" fillId="0" borderId="35" xfId="0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10" fillId="0" borderId="3" xfId="0" applyNumberFormat="1" applyFont="1" applyBorder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1" fontId="8" fillId="0" borderId="34" xfId="0" applyNumberFormat="1" applyFont="1" applyBorder="1" applyAlignment="1" applyProtection="1">
      <alignment horizontal="center" vertical="center" wrapText="1"/>
      <protection locked="0"/>
    </xf>
    <xf numFmtId="1" fontId="8" fillId="0" borderId="35" xfId="0" applyNumberFormat="1" applyFont="1" applyBorder="1" applyAlignment="1" applyProtection="1">
      <alignment horizontal="center" vertical="center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29" xfId="8" applyFont="1" applyFill="1" applyBorder="1" applyAlignment="1" applyProtection="1">
      <alignment horizontal="center" vertical="center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9" fontId="7" fillId="0" borderId="12" xfId="8" applyFont="1" applyFill="1" applyBorder="1" applyAlignment="1" applyProtection="1">
      <alignment horizontal="center" vertical="center" wrapText="1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8" fillId="0" borderId="35" xfId="0" applyNumberFormat="1" applyFont="1" applyBorder="1" applyAlignment="1" applyProtection="1">
      <alignment horizontal="center" vertical="top" wrapText="1"/>
      <protection locked="0"/>
    </xf>
    <xf numFmtId="1" fontId="8" fillId="0" borderId="36" xfId="0" applyNumberFormat="1" applyFont="1" applyBorder="1" applyAlignment="1" applyProtection="1">
      <alignment horizontal="center" vertical="top" wrapText="1"/>
      <protection locked="0"/>
    </xf>
    <xf numFmtId="0" fontId="10" fillId="0" borderId="8" xfId="1" applyFont="1" applyBorder="1" applyAlignment="1" applyProtection="1">
      <alignment horizontal="left" vertical="top"/>
      <protection locked="0"/>
    </xf>
    <xf numFmtId="0" fontId="10" fillId="0" borderId="21" xfId="1" applyFont="1" applyBorder="1" applyAlignment="1" applyProtection="1">
      <alignment horizontal="left" vertical="top"/>
      <protection locked="0"/>
    </xf>
    <xf numFmtId="0" fontId="10" fillId="0" borderId="9" xfId="1" applyFont="1" applyBorder="1" applyAlignment="1" applyProtection="1">
      <alignment horizontal="left" vertical="top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1" fontId="8" fillId="0" borderId="3" xfId="0" applyNumberFormat="1" applyFont="1" applyBorder="1" applyAlignment="1" applyProtection="1">
      <alignment horizontal="center" vertical="center" wrapText="1"/>
      <protection locked="0"/>
    </xf>
    <xf numFmtId="1" fontId="10" fillId="0" borderId="3" xfId="0" applyNumberFormat="1" applyFont="1" applyBorder="1" applyAlignment="1" applyProtection="1">
      <alignment horizontal="center" vertical="top" wrapText="1"/>
      <protection locked="0"/>
    </xf>
    <xf numFmtId="0" fontId="10" fillId="0" borderId="3" xfId="0" applyFont="1" applyBorder="1" applyAlignment="1" applyProtection="1">
      <alignment horizontal="center" vertical="top" wrapText="1"/>
      <protection locked="0"/>
    </xf>
    <xf numFmtId="1" fontId="8" fillId="0" borderId="3" xfId="0" applyNumberFormat="1" applyFont="1" applyBorder="1" applyAlignment="1" applyProtection="1">
      <alignment horizontal="center" vertical="top" wrapText="1"/>
      <protection locked="0"/>
    </xf>
    <xf numFmtId="0" fontId="9" fillId="0" borderId="1" xfId="5" applyFont="1" applyBorder="1" applyAlignment="1">
      <alignment horizontal="left"/>
    </xf>
    <xf numFmtId="0" fontId="6" fillId="0" borderId="25" xfId="1" applyFont="1" applyBorder="1" applyAlignment="1" applyProtection="1">
      <alignment horizontal="left" vertical="top" wrapText="1"/>
      <protection locked="0"/>
    </xf>
    <xf numFmtId="0" fontId="6" fillId="0" borderId="26" xfId="1" applyFont="1" applyBorder="1" applyAlignment="1" applyProtection="1">
      <alignment horizontal="left" vertical="top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emf"/><Relationship Id="rId10" Type="http://schemas.openxmlformats.org/officeDocument/2006/relationships/image" Target="../media/image10.jpeg"/><Relationship Id="rId4" Type="http://schemas.openxmlformats.org/officeDocument/2006/relationships/image" Target="../media/image4.emf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600809</xdr:colOff>
      <xdr:row>0</xdr:row>
      <xdr:rowOff>146539</xdr:rowOff>
    </xdr:from>
    <xdr:to>
      <xdr:col>15</xdr:col>
      <xdr:colOff>4715</xdr:colOff>
      <xdr:row>7</xdr:row>
      <xdr:rowOff>151443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46732" y="146539"/>
          <a:ext cx="5395131" cy="180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8</xdr:col>
      <xdr:colOff>1112227</xdr:colOff>
      <xdr:row>274</xdr:row>
      <xdr:rowOff>81328</xdr:rowOff>
    </xdr:from>
    <xdr:ext cx="607089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 txBox="1"/>
      </xdr:nvSpPr>
      <xdr:spPr>
        <a:xfrm>
          <a:off x="8055952" y="44201128"/>
          <a:ext cx="607089" cy="2645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 b="1">
              <a:solidFill>
                <a:sysClr val="windowText" lastClr="000000"/>
              </a:solidFill>
            </a:rPr>
            <a:t>Wing A</a:t>
          </a:r>
        </a:p>
      </xdr:txBody>
    </xdr:sp>
    <xdr:clientData/>
  </xdr:oneCellAnchor>
  <xdr:oneCellAnchor>
    <xdr:from>
      <xdr:col>9</xdr:col>
      <xdr:colOff>813288</xdr:colOff>
      <xdr:row>276</xdr:row>
      <xdr:rowOff>52755</xdr:rowOff>
    </xdr:from>
    <xdr:ext cx="600677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 txBox="1"/>
      </xdr:nvSpPr>
      <xdr:spPr>
        <a:xfrm>
          <a:off x="9004788" y="44563080"/>
          <a:ext cx="600677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 b="1">
              <a:solidFill>
                <a:sysClr val="windowText" lastClr="000000"/>
              </a:solidFill>
            </a:rPr>
            <a:t>Wing B</a:t>
          </a:r>
        </a:p>
      </xdr:txBody>
    </xdr:sp>
    <xdr:clientData/>
  </xdr:oneCellAnchor>
  <xdr:twoCellAnchor editAs="oneCell">
    <xdr:from>
      <xdr:col>0</xdr:col>
      <xdr:colOff>312741</xdr:colOff>
      <xdr:row>357</xdr:row>
      <xdr:rowOff>109528</xdr:rowOff>
    </xdr:from>
    <xdr:to>
      <xdr:col>7</xdr:col>
      <xdr:colOff>581681</xdr:colOff>
      <xdr:row>376</xdr:row>
      <xdr:rowOff>162761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2741" y="61441003"/>
          <a:ext cx="5955365" cy="385370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680714</xdr:colOff>
      <xdr:row>377</xdr:row>
      <xdr:rowOff>55651</xdr:rowOff>
    </xdr:from>
    <xdr:to>
      <xdr:col>7</xdr:col>
      <xdr:colOff>28575</xdr:colOff>
      <xdr:row>395</xdr:row>
      <xdr:rowOff>152400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GrpSpPr/>
      </xdr:nvGrpSpPr>
      <xdr:grpSpPr>
        <a:xfrm>
          <a:off x="680714" y="68454676"/>
          <a:ext cx="5034286" cy="3697199"/>
          <a:chOff x="731042" y="4195481"/>
          <a:chExt cx="5476594" cy="3960000"/>
        </a:xfrm>
      </xdr:grpSpPr>
      <xdr:pic>
        <xdr:nvPicPr>
          <xdr:cNvPr id="32" name="Picture 31">
            <a:extLst>
              <a:ext uri="{FF2B5EF4-FFF2-40B4-BE49-F238E27FC236}">
                <a16:creationId xmlns:a16="http://schemas.microsoft.com/office/drawing/2014/main" xmlns="" id="{00000000-0008-0000-0000-00002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31042" y="4195481"/>
            <a:ext cx="5476594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33" name="Rectangle 32">
            <a:extLst>
              <a:ext uri="{FF2B5EF4-FFF2-40B4-BE49-F238E27FC236}">
                <a16:creationId xmlns:a16="http://schemas.microsoft.com/office/drawing/2014/main" xmlns="" id="{00000000-0008-0000-0000-000021000000}"/>
              </a:ext>
            </a:extLst>
          </xdr:cNvPr>
          <xdr:cNvSpPr/>
        </xdr:nvSpPr>
        <xdr:spPr>
          <a:xfrm rot="1369015">
            <a:off x="2976282" y="5109882"/>
            <a:ext cx="1380565" cy="1434353"/>
          </a:xfrm>
          <a:prstGeom prst="rect">
            <a:avLst/>
          </a:prstGeom>
          <a:noFill/>
          <a:ln w="57150"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IN"/>
          </a:p>
        </xdr:txBody>
      </xdr:sp>
    </xdr:grpSp>
    <xdr:clientData/>
  </xdr:twoCellAnchor>
  <xdr:twoCellAnchor editAs="oneCell">
    <xdr:from>
      <xdr:col>8</xdr:col>
      <xdr:colOff>381000</xdr:colOff>
      <xdr:row>39</xdr:row>
      <xdr:rowOff>57150</xdr:rowOff>
    </xdr:from>
    <xdr:to>
      <xdr:col>11</xdr:col>
      <xdr:colOff>561975</xdr:colOff>
      <xdr:row>46</xdr:row>
      <xdr:rowOff>180975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4725" y="9582150"/>
          <a:ext cx="30003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6712</xdr:colOff>
      <xdr:row>314</xdr:row>
      <xdr:rowOff>133352</xdr:rowOff>
    </xdr:from>
    <xdr:to>
      <xdr:col>6</xdr:col>
      <xdr:colOff>7893</xdr:colOff>
      <xdr:row>352</xdr:row>
      <xdr:rowOff>34613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GrpSpPr/>
      </xdr:nvGrpSpPr>
      <xdr:grpSpPr>
        <a:xfrm>
          <a:off x="1568812" y="56130827"/>
          <a:ext cx="3363506" cy="7502211"/>
          <a:chOff x="2368912" y="52749452"/>
          <a:chExt cx="3601631" cy="7499036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xmlns="" id="{00000000-0008-0000-0000-000004000000}"/>
              </a:ext>
            </a:extLst>
          </xdr:cNvPr>
          <xdr:cNvGrpSpPr/>
        </xdr:nvGrpSpPr>
        <xdr:grpSpPr>
          <a:xfrm>
            <a:off x="2368912" y="52749452"/>
            <a:ext cx="3600000" cy="3573808"/>
            <a:chOff x="2368912" y="52749452"/>
            <a:chExt cx="3600000" cy="3573808"/>
          </a:xfrm>
        </xdr:grpSpPr>
        <xdr:pic>
          <xdr:nvPicPr>
            <xdr:cNvPr id="35" name="Picture 34">
              <a:extLst>
                <a:ext uri="{FF2B5EF4-FFF2-40B4-BE49-F238E27FC236}">
                  <a16:creationId xmlns:a16="http://schemas.microsoft.com/office/drawing/2014/main" xmlns="" id="{00000000-0008-0000-0000-00002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b="48325"/>
            <a:stretch/>
          </xdr:blipFill>
          <xdr:spPr>
            <a:xfrm rot="5400000">
              <a:off x="2382008" y="52736356"/>
              <a:ext cx="3573808" cy="36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xmlns="" id="{00000000-0008-0000-0000-000003000000}"/>
                </a:ext>
              </a:extLst>
            </xdr:cNvPr>
            <xdr:cNvSpPr txBox="1"/>
          </xdr:nvSpPr>
          <xdr:spPr>
            <a:xfrm rot="5400000">
              <a:off x="4566006" y="53672364"/>
              <a:ext cx="799065" cy="3427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IN" sz="1600" b="1">
                  <a:solidFill>
                    <a:srgbClr val="FFFF00"/>
                  </a:solidFill>
                </a:rPr>
                <a:t>Wing</a:t>
              </a:r>
              <a:r>
                <a:rPr lang="en-IN" sz="1600" b="1" baseline="0">
                  <a:solidFill>
                    <a:srgbClr val="FFFF00"/>
                  </a:solidFill>
                </a:rPr>
                <a:t> A</a:t>
              </a:r>
              <a:endParaRPr lang="en-IN" sz="1600" b="1">
                <a:solidFill>
                  <a:srgbClr val="FFFF00"/>
                </a:solidFill>
              </a:endParaRPr>
            </a:p>
          </xdr:txBody>
        </xdr:sp>
        <xdr:sp macro="" textlink="">
          <xdr:nvSpPr>
            <xdr:cNvPr id="37" name="TextBox 36">
              <a:extLst>
                <a:ext uri="{FF2B5EF4-FFF2-40B4-BE49-F238E27FC236}">
                  <a16:creationId xmlns:a16="http://schemas.microsoft.com/office/drawing/2014/main" xmlns="" id="{00000000-0008-0000-0000-000025000000}"/>
                </a:ext>
              </a:extLst>
            </xdr:cNvPr>
            <xdr:cNvSpPr txBox="1"/>
          </xdr:nvSpPr>
          <xdr:spPr>
            <a:xfrm>
              <a:off x="3178997" y="54958793"/>
              <a:ext cx="799065" cy="3427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IN" sz="1600" b="1">
                  <a:solidFill>
                    <a:srgbClr val="FFFF00"/>
                  </a:solidFill>
                </a:rPr>
                <a:t>Wing</a:t>
              </a:r>
              <a:r>
                <a:rPr lang="en-IN" sz="1600" b="1" baseline="0">
                  <a:solidFill>
                    <a:srgbClr val="FFFF00"/>
                  </a:solidFill>
                </a:rPr>
                <a:t> C</a:t>
              </a:r>
              <a:endParaRPr lang="en-IN" sz="1600" b="1">
                <a:solidFill>
                  <a:srgbClr val="FFFF00"/>
                </a:solidFill>
              </a:endParaRPr>
            </a:p>
          </xdr:txBody>
        </xdr:sp>
        <xdr:sp macro="" textlink="">
          <xdr:nvSpPr>
            <xdr:cNvPr id="38" name="TextBox 37">
              <a:extLst>
                <a:ext uri="{FF2B5EF4-FFF2-40B4-BE49-F238E27FC236}">
                  <a16:creationId xmlns:a16="http://schemas.microsoft.com/office/drawing/2014/main" xmlns="" id="{00000000-0008-0000-0000-000026000000}"/>
                </a:ext>
              </a:extLst>
            </xdr:cNvPr>
            <xdr:cNvSpPr txBox="1"/>
          </xdr:nvSpPr>
          <xdr:spPr>
            <a:xfrm rot="19541419">
              <a:off x="4307595" y="54806393"/>
              <a:ext cx="789768" cy="3427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IN" sz="1600" b="1">
                  <a:solidFill>
                    <a:srgbClr val="FFFF00"/>
                  </a:solidFill>
                </a:rPr>
                <a:t>Wing</a:t>
              </a:r>
              <a:r>
                <a:rPr lang="en-IN" sz="1600" b="1" baseline="0">
                  <a:solidFill>
                    <a:srgbClr val="FFFF00"/>
                  </a:solidFill>
                </a:rPr>
                <a:t> B</a:t>
              </a:r>
              <a:endParaRPr lang="en-IN" sz="1600" b="1">
                <a:solidFill>
                  <a:srgbClr val="FFFF00"/>
                </a:solidFill>
              </a:endParaRPr>
            </a:p>
          </xdr:txBody>
        </xdr:sp>
      </xdr:grpSp>
      <xdr:grpSp>
        <xdr:nvGrpSpPr>
          <xdr:cNvPr id="6" name="Group 5">
            <a:extLst>
              <a:ext uri="{FF2B5EF4-FFF2-40B4-BE49-F238E27FC236}">
                <a16:creationId xmlns:a16="http://schemas.microsoft.com/office/drawing/2014/main" xmlns="" id="{00000000-0008-0000-0000-000006000000}"/>
              </a:ext>
            </a:extLst>
          </xdr:cNvPr>
          <xdr:cNvGrpSpPr/>
        </xdr:nvGrpSpPr>
        <xdr:grpSpPr>
          <a:xfrm>
            <a:off x="2370543" y="56462572"/>
            <a:ext cx="3600000" cy="3785916"/>
            <a:chOff x="2370543" y="56462572"/>
            <a:chExt cx="3600000" cy="3785916"/>
          </a:xfrm>
        </xdr:grpSpPr>
        <xdr:pic>
          <xdr:nvPicPr>
            <xdr:cNvPr id="36" name="Picture 35">
              <a:extLst>
                <a:ext uri="{FF2B5EF4-FFF2-40B4-BE49-F238E27FC236}">
                  <a16:creationId xmlns:a16="http://schemas.microsoft.com/office/drawing/2014/main" xmlns="" id="{00000000-0008-0000-0000-00002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t="51220"/>
            <a:stretch/>
          </xdr:blipFill>
          <xdr:spPr>
            <a:xfrm rot="5400000">
              <a:off x="2277585" y="56555530"/>
              <a:ext cx="3785916" cy="36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xmlns="" id="{00000000-0008-0000-0000-000005000000}"/>
                </a:ext>
              </a:extLst>
            </xdr:cNvPr>
            <xdr:cNvSpPr txBox="1"/>
          </xdr:nvSpPr>
          <xdr:spPr>
            <a:xfrm>
              <a:off x="4343400" y="59064525"/>
              <a:ext cx="628650" cy="704850"/>
            </a:xfrm>
            <a:prstGeom prst="rect">
              <a:avLst/>
            </a:prstGeom>
            <a:noFill/>
            <a:ln w="38100" cmpd="sng">
              <a:solidFill>
                <a:srgbClr val="FF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endParaRPr lang="en-IN" sz="1100"/>
            </a:p>
          </xdr:txBody>
        </xdr:sp>
      </xdr:grpSp>
    </xdr:grpSp>
    <xdr:clientData/>
  </xdr:twoCellAnchor>
  <xdr:twoCellAnchor editAs="oneCell">
    <xdr:from>
      <xdr:col>3</xdr:col>
      <xdr:colOff>590550</xdr:colOff>
      <xdr:row>303</xdr:row>
      <xdr:rowOff>53029</xdr:rowOff>
    </xdr:from>
    <xdr:to>
      <xdr:col>5</xdr:col>
      <xdr:colOff>257175</xdr:colOff>
      <xdr:row>312</xdr:row>
      <xdr:rowOff>121650</xdr:rowOff>
    </xdr:to>
    <xdr:pic>
      <xdr:nvPicPr>
        <xdr:cNvPr id="47" name="Picture 46" descr="https://vsjcllp.vsjadon.com/upload/insp-247624-1525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00375" y="53840704"/>
          <a:ext cx="1400175" cy="1868846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291</xdr:row>
      <xdr:rowOff>85724</xdr:rowOff>
    </xdr:from>
    <xdr:to>
      <xdr:col>2</xdr:col>
      <xdr:colOff>714978</xdr:colOff>
      <xdr:row>302</xdr:row>
      <xdr:rowOff>161924</xdr:rowOff>
    </xdr:to>
    <xdr:pic>
      <xdr:nvPicPr>
        <xdr:cNvPr id="50" name="Picture 49" descr="https://vsjcllp.vsjadon.com/upload/insp-247624-843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51473099"/>
          <a:ext cx="1705578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866775</xdr:colOff>
      <xdr:row>272</xdr:row>
      <xdr:rowOff>57149</xdr:rowOff>
    </xdr:from>
    <xdr:to>
      <xdr:col>7</xdr:col>
      <xdr:colOff>373337</xdr:colOff>
      <xdr:row>290</xdr:row>
      <xdr:rowOff>180975</xdr:rowOff>
    </xdr:to>
    <xdr:pic>
      <xdr:nvPicPr>
        <xdr:cNvPr id="51" name="Picture 50" descr="https://vsjcllp.vsjadon.com/upload/insp-247624-847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0" y="47653574"/>
          <a:ext cx="2783162" cy="3714751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809625</xdr:colOff>
      <xdr:row>291</xdr:row>
      <xdr:rowOff>95249</xdr:rowOff>
    </xdr:from>
    <xdr:to>
      <xdr:col>4</xdr:col>
      <xdr:colOff>714978</xdr:colOff>
      <xdr:row>302</xdr:row>
      <xdr:rowOff>171449</xdr:rowOff>
    </xdr:to>
    <xdr:pic>
      <xdr:nvPicPr>
        <xdr:cNvPr id="52" name="Picture 51" descr="https://vsjcllp.vsjadon.com/upload/insp-247624-861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1725" y="51482624"/>
          <a:ext cx="1705578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</xdr:colOff>
      <xdr:row>291</xdr:row>
      <xdr:rowOff>95249</xdr:rowOff>
    </xdr:from>
    <xdr:to>
      <xdr:col>7</xdr:col>
      <xdr:colOff>191103</xdr:colOff>
      <xdr:row>302</xdr:row>
      <xdr:rowOff>171449</xdr:rowOff>
    </xdr:to>
    <xdr:pic>
      <xdr:nvPicPr>
        <xdr:cNvPr id="53" name="Picture 52" descr="https://vsjcllp.vsjadon.com/upload/insp-247624-874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1950" y="51482624"/>
          <a:ext cx="1705578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272</xdr:row>
      <xdr:rowOff>66674</xdr:rowOff>
    </xdr:from>
    <xdr:to>
      <xdr:col>3</xdr:col>
      <xdr:colOff>773387</xdr:colOff>
      <xdr:row>290</xdr:row>
      <xdr:rowOff>190500</xdr:rowOff>
    </xdr:to>
    <xdr:pic>
      <xdr:nvPicPr>
        <xdr:cNvPr id="54" name="Picture 53" descr="https://vsjcllp.vsjadon.com/upload/insp-247624-883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47663099"/>
          <a:ext cx="2783162" cy="3714751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752475</xdr:colOff>
      <xdr:row>303</xdr:row>
      <xdr:rowOff>43504</xdr:rowOff>
    </xdr:from>
    <xdr:to>
      <xdr:col>3</xdr:col>
      <xdr:colOff>504825</xdr:colOff>
      <xdr:row>312</xdr:row>
      <xdr:rowOff>112125</xdr:rowOff>
    </xdr:to>
    <xdr:pic>
      <xdr:nvPicPr>
        <xdr:cNvPr id="55" name="Picture 54" descr="https://vsjcllp.vsjadon.com/upload/insp-247624-931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4475" y="53831179"/>
          <a:ext cx="1400175" cy="1868846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493058</xdr:colOff>
      <xdr:row>1</xdr:row>
      <xdr:rowOff>168088</xdr:rowOff>
    </xdr:from>
    <xdr:to>
      <xdr:col>14</xdr:col>
      <xdr:colOff>253521</xdr:colOff>
      <xdr:row>24</xdr:row>
      <xdr:rowOff>95382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269"/>
        <a:stretch/>
      </xdr:blipFill>
      <xdr:spPr>
        <a:xfrm>
          <a:off x="9905999" y="358588"/>
          <a:ext cx="3256698" cy="43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comments" Target="../comments1.xml"/><Relationship Id="rId2" Type="http://schemas.openxmlformats.org/officeDocument/2006/relationships/hyperlink" Target="https://www.shraddhalandmark.com/shraddha-presidency.php" TargetMode="External"/><Relationship Id="rId1" Type="http://schemas.openxmlformats.org/officeDocument/2006/relationships/hyperlink" Target="https://maps.app.goo.gl/T3hQJEJybn9S3Nbs8" TargetMode="External"/><Relationship Id="rId6" Type="http://schemas.openxmlformats.org/officeDocument/2006/relationships/vmlDrawing" Target="../drawings/vmlDrawing2.v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Z357"/>
  <sheetViews>
    <sheetView tabSelected="1" view="pageBreakPreview" zoomScaleNormal="100" zoomScaleSheetLayoutView="100" workbookViewId="0">
      <selection activeCell="I15" sqref="I15"/>
    </sheetView>
  </sheetViews>
  <sheetFormatPr defaultColWidth="9.28515625" defaultRowHeight="15.75" x14ac:dyDescent="0.25"/>
  <cols>
    <col min="1" max="1" width="11.42578125" style="40" customWidth="1"/>
    <col min="2" max="2" width="12" style="40" customWidth="1"/>
    <col min="3" max="3" width="12.7109375" style="40" customWidth="1"/>
    <col min="4" max="4" width="14.28515625" style="40" customWidth="1"/>
    <col min="5" max="6" width="11.7109375" style="40" customWidth="1"/>
    <col min="7" max="7" width="11.42578125" style="40" customWidth="1"/>
    <col min="8" max="8" width="11.7109375" style="40" customWidth="1"/>
    <col min="9" max="9" width="17.42578125" style="21" customWidth="1"/>
    <col min="10" max="10" width="11.42578125" style="21" customWidth="1"/>
    <col min="11" max="11" width="10.5703125" style="21" bestFit="1" customWidth="1"/>
    <col min="12" max="12" width="10.5703125" style="21" customWidth="1"/>
    <col min="13" max="13" width="11.7109375" style="21" customWidth="1"/>
    <col min="14" max="14" width="12.5703125" style="21" customWidth="1"/>
    <col min="15" max="15" width="9.7109375" style="21" customWidth="1"/>
    <col min="16" max="16" width="11.7109375" style="21" customWidth="1"/>
    <col min="17" max="247" width="9.28515625" style="21"/>
    <col min="248" max="248" width="8.7109375" style="21" customWidth="1"/>
    <col min="249" max="249" width="9.7109375" style="21" customWidth="1"/>
    <col min="250" max="250" width="14.42578125" style="21" customWidth="1"/>
    <col min="251" max="251" width="7.28515625" style="21" customWidth="1"/>
    <col min="252" max="252" width="5.5703125" style="21" customWidth="1"/>
    <col min="253" max="253" width="9" style="21" customWidth="1"/>
    <col min="254" max="255" width="9.7109375" style="21" customWidth="1"/>
    <col min="256" max="256" width="11.28515625" style="21" customWidth="1"/>
    <col min="257" max="257" width="2.7109375" style="21" customWidth="1"/>
    <col min="258" max="258" width="3.5703125" style="21" customWidth="1"/>
    <col min="259" max="503" width="9.28515625" style="21"/>
    <col min="504" max="504" width="8.7109375" style="21" customWidth="1"/>
    <col min="505" max="505" width="9.7109375" style="21" customWidth="1"/>
    <col min="506" max="506" width="14.42578125" style="21" customWidth="1"/>
    <col min="507" max="507" width="7.28515625" style="21" customWidth="1"/>
    <col min="508" max="508" width="5.5703125" style="21" customWidth="1"/>
    <col min="509" max="509" width="9" style="21" customWidth="1"/>
    <col min="510" max="511" width="9.7109375" style="21" customWidth="1"/>
    <col min="512" max="512" width="11.28515625" style="21" customWidth="1"/>
    <col min="513" max="513" width="2.7109375" style="21" customWidth="1"/>
    <col min="514" max="514" width="3.5703125" style="21" customWidth="1"/>
    <col min="515" max="759" width="9.28515625" style="21"/>
    <col min="760" max="760" width="8.7109375" style="21" customWidth="1"/>
    <col min="761" max="761" width="9.7109375" style="21" customWidth="1"/>
    <col min="762" max="762" width="14.42578125" style="21" customWidth="1"/>
    <col min="763" max="763" width="7.28515625" style="21" customWidth="1"/>
    <col min="764" max="764" width="5.5703125" style="21" customWidth="1"/>
    <col min="765" max="765" width="9" style="21" customWidth="1"/>
    <col min="766" max="767" width="9.7109375" style="21" customWidth="1"/>
    <col min="768" max="768" width="11.28515625" style="21" customWidth="1"/>
    <col min="769" max="769" width="2.7109375" style="21" customWidth="1"/>
    <col min="770" max="770" width="3.5703125" style="21" customWidth="1"/>
    <col min="771" max="1015" width="9.28515625" style="21"/>
    <col min="1016" max="1016" width="8.7109375" style="21" customWidth="1"/>
    <col min="1017" max="1017" width="9.7109375" style="21" customWidth="1"/>
    <col min="1018" max="1018" width="14.42578125" style="21" customWidth="1"/>
    <col min="1019" max="1019" width="7.28515625" style="21" customWidth="1"/>
    <col min="1020" max="1020" width="5.5703125" style="21" customWidth="1"/>
    <col min="1021" max="1021" width="9" style="21" customWidth="1"/>
    <col min="1022" max="1023" width="9.7109375" style="21" customWidth="1"/>
    <col min="1024" max="1024" width="11.28515625" style="21" customWidth="1"/>
    <col min="1025" max="1025" width="2.7109375" style="21" customWidth="1"/>
    <col min="1026" max="1026" width="3.5703125" style="21" customWidth="1"/>
    <col min="1027" max="1271" width="9.28515625" style="21"/>
    <col min="1272" max="1272" width="8.7109375" style="21" customWidth="1"/>
    <col min="1273" max="1273" width="9.7109375" style="21" customWidth="1"/>
    <col min="1274" max="1274" width="14.42578125" style="21" customWidth="1"/>
    <col min="1275" max="1275" width="7.28515625" style="21" customWidth="1"/>
    <col min="1276" max="1276" width="5.5703125" style="21" customWidth="1"/>
    <col min="1277" max="1277" width="9" style="21" customWidth="1"/>
    <col min="1278" max="1279" width="9.7109375" style="21" customWidth="1"/>
    <col min="1280" max="1280" width="11.28515625" style="21" customWidth="1"/>
    <col min="1281" max="1281" width="2.7109375" style="21" customWidth="1"/>
    <col min="1282" max="1282" width="3.5703125" style="21" customWidth="1"/>
    <col min="1283" max="1527" width="9.28515625" style="21"/>
    <col min="1528" max="1528" width="8.7109375" style="21" customWidth="1"/>
    <col min="1529" max="1529" width="9.7109375" style="21" customWidth="1"/>
    <col min="1530" max="1530" width="14.42578125" style="21" customWidth="1"/>
    <col min="1531" max="1531" width="7.28515625" style="21" customWidth="1"/>
    <col min="1532" max="1532" width="5.5703125" style="21" customWidth="1"/>
    <col min="1533" max="1533" width="9" style="21" customWidth="1"/>
    <col min="1534" max="1535" width="9.7109375" style="21" customWidth="1"/>
    <col min="1536" max="1536" width="11.28515625" style="21" customWidth="1"/>
    <col min="1537" max="1537" width="2.7109375" style="21" customWidth="1"/>
    <col min="1538" max="1538" width="3.5703125" style="21" customWidth="1"/>
    <col min="1539" max="1783" width="9.28515625" style="21"/>
    <col min="1784" max="1784" width="8.7109375" style="21" customWidth="1"/>
    <col min="1785" max="1785" width="9.7109375" style="21" customWidth="1"/>
    <col min="1786" max="1786" width="14.42578125" style="21" customWidth="1"/>
    <col min="1787" max="1787" width="7.28515625" style="21" customWidth="1"/>
    <col min="1788" max="1788" width="5.5703125" style="21" customWidth="1"/>
    <col min="1789" max="1789" width="9" style="21" customWidth="1"/>
    <col min="1790" max="1791" width="9.7109375" style="21" customWidth="1"/>
    <col min="1792" max="1792" width="11.28515625" style="21" customWidth="1"/>
    <col min="1793" max="1793" width="2.7109375" style="21" customWidth="1"/>
    <col min="1794" max="1794" width="3.5703125" style="21" customWidth="1"/>
    <col min="1795" max="2039" width="9.28515625" style="21"/>
    <col min="2040" max="2040" width="8.7109375" style="21" customWidth="1"/>
    <col min="2041" max="2041" width="9.7109375" style="21" customWidth="1"/>
    <col min="2042" max="2042" width="14.42578125" style="21" customWidth="1"/>
    <col min="2043" max="2043" width="7.28515625" style="21" customWidth="1"/>
    <col min="2044" max="2044" width="5.5703125" style="21" customWidth="1"/>
    <col min="2045" max="2045" width="9" style="21" customWidth="1"/>
    <col min="2046" max="2047" width="9.7109375" style="21" customWidth="1"/>
    <col min="2048" max="2048" width="11.28515625" style="21" customWidth="1"/>
    <col min="2049" max="2049" width="2.7109375" style="21" customWidth="1"/>
    <col min="2050" max="2050" width="3.5703125" style="21" customWidth="1"/>
    <col min="2051" max="2295" width="9.28515625" style="21"/>
    <col min="2296" max="2296" width="8.7109375" style="21" customWidth="1"/>
    <col min="2297" max="2297" width="9.7109375" style="21" customWidth="1"/>
    <col min="2298" max="2298" width="14.42578125" style="21" customWidth="1"/>
    <col min="2299" max="2299" width="7.28515625" style="21" customWidth="1"/>
    <col min="2300" max="2300" width="5.5703125" style="21" customWidth="1"/>
    <col min="2301" max="2301" width="9" style="21" customWidth="1"/>
    <col min="2302" max="2303" width="9.7109375" style="21" customWidth="1"/>
    <col min="2304" max="2304" width="11.28515625" style="21" customWidth="1"/>
    <col min="2305" max="2305" width="2.7109375" style="21" customWidth="1"/>
    <col min="2306" max="2306" width="3.5703125" style="21" customWidth="1"/>
    <col min="2307" max="2551" width="9.28515625" style="21"/>
    <col min="2552" max="2552" width="8.7109375" style="21" customWidth="1"/>
    <col min="2553" max="2553" width="9.7109375" style="21" customWidth="1"/>
    <col min="2554" max="2554" width="14.42578125" style="21" customWidth="1"/>
    <col min="2555" max="2555" width="7.28515625" style="21" customWidth="1"/>
    <col min="2556" max="2556" width="5.5703125" style="21" customWidth="1"/>
    <col min="2557" max="2557" width="9" style="21" customWidth="1"/>
    <col min="2558" max="2559" width="9.7109375" style="21" customWidth="1"/>
    <col min="2560" max="2560" width="11.28515625" style="21" customWidth="1"/>
    <col min="2561" max="2561" width="2.7109375" style="21" customWidth="1"/>
    <col min="2562" max="2562" width="3.5703125" style="21" customWidth="1"/>
    <col min="2563" max="2807" width="9.28515625" style="21"/>
    <col min="2808" max="2808" width="8.7109375" style="21" customWidth="1"/>
    <col min="2809" max="2809" width="9.7109375" style="21" customWidth="1"/>
    <col min="2810" max="2810" width="14.42578125" style="21" customWidth="1"/>
    <col min="2811" max="2811" width="7.28515625" style="21" customWidth="1"/>
    <col min="2812" max="2812" width="5.5703125" style="21" customWidth="1"/>
    <col min="2813" max="2813" width="9" style="21" customWidth="1"/>
    <col min="2814" max="2815" width="9.7109375" style="21" customWidth="1"/>
    <col min="2816" max="2816" width="11.28515625" style="21" customWidth="1"/>
    <col min="2817" max="2817" width="2.7109375" style="21" customWidth="1"/>
    <col min="2818" max="2818" width="3.5703125" style="21" customWidth="1"/>
    <col min="2819" max="3063" width="9.28515625" style="21"/>
    <col min="3064" max="3064" width="8.7109375" style="21" customWidth="1"/>
    <col min="3065" max="3065" width="9.7109375" style="21" customWidth="1"/>
    <col min="3066" max="3066" width="14.42578125" style="21" customWidth="1"/>
    <col min="3067" max="3067" width="7.28515625" style="21" customWidth="1"/>
    <col min="3068" max="3068" width="5.5703125" style="21" customWidth="1"/>
    <col min="3069" max="3069" width="9" style="21" customWidth="1"/>
    <col min="3070" max="3071" width="9.7109375" style="21" customWidth="1"/>
    <col min="3072" max="3072" width="11.28515625" style="21" customWidth="1"/>
    <col min="3073" max="3073" width="2.7109375" style="21" customWidth="1"/>
    <col min="3074" max="3074" width="3.5703125" style="21" customWidth="1"/>
    <col min="3075" max="3319" width="9.28515625" style="21"/>
    <col min="3320" max="3320" width="8.7109375" style="21" customWidth="1"/>
    <col min="3321" max="3321" width="9.7109375" style="21" customWidth="1"/>
    <col min="3322" max="3322" width="14.42578125" style="21" customWidth="1"/>
    <col min="3323" max="3323" width="7.28515625" style="21" customWidth="1"/>
    <col min="3324" max="3324" width="5.5703125" style="21" customWidth="1"/>
    <col min="3325" max="3325" width="9" style="21" customWidth="1"/>
    <col min="3326" max="3327" width="9.7109375" style="21" customWidth="1"/>
    <col min="3328" max="3328" width="11.28515625" style="21" customWidth="1"/>
    <col min="3329" max="3329" width="2.7109375" style="21" customWidth="1"/>
    <col min="3330" max="3330" width="3.5703125" style="21" customWidth="1"/>
    <col min="3331" max="3575" width="9.28515625" style="21"/>
    <col min="3576" max="3576" width="8.7109375" style="21" customWidth="1"/>
    <col min="3577" max="3577" width="9.7109375" style="21" customWidth="1"/>
    <col min="3578" max="3578" width="14.42578125" style="21" customWidth="1"/>
    <col min="3579" max="3579" width="7.28515625" style="21" customWidth="1"/>
    <col min="3580" max="3580" width="5.5703125" style="21" customWidth="1"/>
    <col min="3581" max="3581" width="9" style="21" customWidth="1"/>
    <col min="3582" max="3583" width="9.7109375" style="21" customWidth="1"/>
    <col min="3584" max="3584" width="11.28515625" style="21" customWidth="1"/>
    <col min="3585" max="3585" width="2.7109375" style="21" customWidth="1"/>
    <col min="3586" max="3586" width="3.5703125" style="21" customWidth="1"/>
    <col min="3587" max="3831" width="9.28515625" style="21"/>
    <col min="3832" max="3832" width="8.7109375" style="21" customWidth="1"/>
    <col min="3833" max="3833" width="9.7109375" style="21" customWidth="1"/>
    <col min="3834" max="3834" width="14.42578125" style="21" customWidth="1"/>
    <col min="3835" max="3835" width="7.28515625" style="21" customWidth="1"/>
    <col min="3836" max="3836" width="5.5703125" style="21" customWidth="1"/>
    <col min="3837" max="3837" width="9" style="21" customWidth="1"/>
    <col min="3838" max="3839" width="9.7109375" style="21" customWidth="1"/>
    <col min="3840" max="3840" width="11.28515625" style="21" customWidth="1"/>
    <col min="3841" max="3841" width="2.7109375" style="21" customWidth="1"/>
    <col min="3842" max="3842" width="3.5703125" style="21" customWidth="1"/>
    <col min="3843" max="4087" width="9.28515625" style="21"/>
    <col min="4088" max="4088" width="8.7109375" style="21" customWidth="1"/>
    <col min="4089" max="4089" width="9.7109375" style="21" customWidth="1"/>
    <col min="4090" max="4090" width="14.42578125" style="21" customWidth="1"/>
    <col min="4091" max="4091" width="7.28515625" style="21" customWidth="1"/>
    <col min="4092" max="4092" width="5.5703125" style="21" customWidth="1"/>
    <col min="4093" max="4093" width="9" style="21" customWidth="1"/>
    <col min="4094" max="4095" width="9.7109375" style="21" customWidth="1"/>
    <col min="4096" max="4096" width="11.28515625" style="21" customWidth="1"/>
    <col min="4097" max="4097" width="2.7109375" style="21" customWidth="1"/>
    <col min="4098" max="4098" width="3.5703125" style="21" customWidth="1"/>
    <col min="4099" max="4343" width="9.28515625" style="21"/>
    <col min="4344" max="4344" width="8.7109375" style="21" customWidth="1"/>
    <col min="4345" max="4345" width="9.7109375" style="21" customWidth="1"/>
    <col min="4346" max="4346" width="14.42578125" style="21" customWidth="1"/>
    <col min="4347" max="4347" width="7.28515625" style="21" customWidth="1"/>
    <col min="4348" max="4348" width="5.5703125" style="21" customWidth="1"/>
    <col min="4349" max="4349" width="9" style="21" customWidth="1"/>
    <col min="4350" max="4351" width="9.7109375" style="21" customWidth="1"/>
    <col min="4352" max="4352" width="11.28515625" style="21" customWidth="1"/>
    <col min="4353" max="4353" width="2.7109375" style="21" customWidth="1"/>
    <col min="4354" max="4354" width="3.5703125" style="21" customWidth="1"/>
    <col min="4355" max="4599" width="9.28515625" style="21"/>
    <col min="4600" max="4600" width="8.7109375" style="21" customWidth="1"/>
    <col min="4601" max="4601" width="9.7109375" style="21" customWidth="1"/>
    <col min="4602" max="4602" width="14.42578125" style="21" customWidth="1"/>
    <col min="4603" max="4603" width="7.28515625" style="21" customWidth="1"/>
    <col min="4604" max="4604" width="5.5703125" style="21" customWidth="1"/>
    <col min="4605" max="4605" width="9" style="21" customWidth="1"/>
    <col min="4606" max="4607" width="9.7109375" style="21" customWidth="1"/>
    <col min="4608" max="4608" width="11.28515625" style="21" customWidth="1"/>
    <col min="4609" max="4609" width="2.7109375" style="21" customWidth="1"/>
    <col min="4610" max="4610" width="3.5703125" style="21" customWidth="1"/>
    <col min="4611" max="4855" width="9.28515625" style="21"/>
    <col min="4856" max="4856" width="8.7109375" style="21" customWidth="1"/>
    <col min="4857" max="4857" width="9.7109375" style="21" customWidth="1"/>
    <col min="4858" max="4858" width="14.42578125" style="21" customWidth="1"/>
    <col min="4859" max="4859" width="7.28515625" style="21" customWidth="1"/>
    <col min="4860" max="4860" width="5.5703125" style="21" customWidth="1"/>
    <col min="4861" max="4861" width="9" style="21" customWidth="1"/>
    <col min="4862" max="4863" width="9.7109375" style="21" customWidth="1"/>
    <col min="4864" max="4864" width="11.28515625" style="21" customWidth="1"/>
    <col min="4865" max="4865" width="2.7109375" style="21" customWidth="1"/>
    <col min="4866" max="4866" width="3.5703125" style="21" customWidth="1"/>
    <col min="4867" max="5111" width="9.28515625" style="21"/>
    <col min="5112" max="5112" width="8.7109375" style="21" customWidth="1"/>
    <col min="5113" max="5113" width="9.7109375" style="21" customWidth="1"/>
    <col min="5114" max="5114" width="14.42578125" style="21" customWidth="1"/>
    <col min="5115" max="5115" width="7.28515625" style="21" customWidth="1"/>
    <col min="5116" max="5116" width="5.5703125" style="21" customWidth="1"/>
    <col min="5117" max="5117" width="9" style="21" customWidth="1"/>
    <col min="5118" max="5119" width="9.7109375" style="21" customWidth="1"/>
    <col min="5120" max="5120" width="11.28515625" style="21" customWidth="1"/>
    <col min="5121" max="5121" width="2.7109375" style="21" customWidth="1"/>
    <col min="5122" max="5122" width="3.5703125" style="21" customWidth="1"/>
    <col min="5123" max="5367" width="9.28515625" style="21"/>
    <col min="5368" max="5368" width="8.7109375" style="21" customWidth="1"/>
    <col min="5369" max="5369" width="9.7109375" style="21" customWidth="1"/>
    <col min="5370" max="5370" width="14.42578125" style="21" customWidth="1"/>
    <col min="5371" max="5371" width="7.28515625" style="21" customWidth="1"/>
    <col min="5372" max="5372" width="5.5703125" style="21" customWidth="1"/>
    <col min="5373" max="5373" width="9" style="21" customWidth="1"/>
    <col min="5374" max="5375" width="9.7109375" style="21" customWidth="1"/>
    <col min="5376" max="5376" width="11.28515625" style="21" customWidth="1"/>
    <col min="5377" max="5377" width="2.7109375" style="21" customWidth="1"/>
    <col min="5378" max="5378" width="3.5703125" style="21" customWidth="1"/>
    <col min="5379" max="5623" width="9.28515625" style="21"/>
    <col min="5624" max="5624" width="8.7109375" style="21" customWidth="1"/>
    <col min="5625" max="5625" width="9.7109375" style="21" customWidth="1"/>
    <col min="5626" max="5626" width="14.42578125" style="21" customWidth="1"/>
    <col min="5627" max="5627" width="7.28515625" style="21" customWidth="1"/>
    <col min="5628" max="5628" width="5.5703125" style="21" customWidth="1"/>
    <col min="5629" max="5629" width="9" style="21" customWidth="1"/>
    <col min="5630" max="5631" width="9.7109375" style="21" customWidth="1"/>
    <col min="5632" max="5632" width="11.28515625" style="21" customWidth="1"/>
    <col min="5633" max="5633" width="2.7109375" style="21" customWidth="1"/>
    <col min="5634" max="5634" width="3.5703125" style="21" customWidth="1"/>
    <col min="5635" max="5879" width="9.28515625" style="21"/>
    <col min="5880" max="5880" width="8.7109375" style="21" customWidth="1"/>
    <col min="5881" max="5881" width="9.7109375" style="21" customWidth="1"/>
    <col min="5882" max="5882" width="14.42578125" style="21" customWidth="1"/>
    <col min="5883" max="5883" width="7.28515625" style="21" customWidth="1"/>
    <col min="5884" max="5884" width="5.5703125" style="21" customWidth="1"/>
    <col min="5885" max="5885" width="9" style="21" customWidth="1"/>
    <col min="5886" max="5887" width="9.7109375" style="21" customWidth="1"/>
    <col min="5888" max="5888" width="11.28515625" style="21" customWidth="1"/>
    <col min="5889" max="5889" width="2.7109375" style="21" customWidth="1"/>
    <col min="5890" max="5890" width="3.5703125" style="21" customWidth="1"/>
    <col min="5891" max="6135" width="9.28515625" style="21"/>
    <col min="6136" max="6136" width="8.7109375" style="21" customWidth="1"/>
    <col min="6137" max="6137" width="9.7109375" style="21" customWidth="1"/>
    <col min="6138" max="6138" width="14.42578125" style="21" customWidth="1"/>
    <col min="6139" max="6139" width="7.28515625" style="21" customWidth="1"/>
    <col min="6140" max="6140" width="5.5703125" style="21" customWidth="1"/>
    <col min="6141" max="6141" width="9" style="21" customWidth="1"/>
    <col min="6142" max="6143" width="9.7109375" style="21" customWidth="1"/>
    <col min="6144" max="6144" width="11.28515625" style="21" customWidth="1"/>
    <col min="6145" max="6145" width="2.7109375" style="21" customWidth="1"/>
    <col min="6146" max="6146" width="3.5703125" style="21" customWidth="1"/>
    <col min="6147" max="6391" width="9.28515625" style="21"/>
    <col min="6392" max="6392" width="8.7109375" style="21" customWidth="1"/>
    <col min="6393" max="6393" width="9.7109375" style="21" customWidth="1"/>
    <col min="6394" max="6394" width="14.42578125" style="21" customWidth="1"/>
    <col min="6395" max="6395" width="7.28515625" style="21" customWidth="1"/>
    <col min="6396" max="6396" width="5.5703125" style="21" customWidth="1"/>
    <col min="6397" max="6397" width="9" style="21" customWidth="1"/>
    <col min="6398" max="6399" width="9.7109375" style="21" customWidth="1"/>
    <col min="6400" max="6400" width="11.28515625" style="21" customWidth="1"/>
    <col min="6401" max="6401" width="2.7109375" style="21" customWidth="1"/>
    <col min="6402" max="6402" width="3.5703125" style="21" customWidth="1"/>
    <col min="6403" max="6647" width="9.28515625" style="21"/>
    <col min="6648" max="6648" width="8.7109375" style="21" customWidth="1"/>
    <col min="6649" max="6649" width="9.7109375" style="21" customWidth="1"/>
    <col min="6650" max="6650" width="14.42578125" style="21" customWidth="1"/>
    <col min="6651" max="6651" width="7.28515625" style="21" customWidth="1"/>
    <col min="6652" max="6652" width="5.5703125" style="21" customWidth="1"/>
    <col min="6653" max="6653" width="9" style="21" customWidth="1"/>
    <col min="6654" max="6655" width="9.7109375" style="21" customWidth="1"/>
    <col min="6656" max="6656" width="11.28515625" style="21" customWidth="1"/>
    <col min="6657" max="6657" width="2.7109375" style="21" customWidth="1"/>
    <col min="6658" max="6658" width="3.5703125" style="21" customWidth="1"/>
    <col min="6659" max="6903" width="9.28515625" style="21"/>
    <col min="6904" max="6904" width="8.7109375" style="21" customWidth="1"/>
    <col min="6905" max="6905" width="9.7109375" style="21" customWidth="1"/>
    <col min="6906" max="6906" width="14.42578125" style="21" customWidth="1"/>
    <col min="6907" max="6907" width="7.28515625" style="21" customWidth="1"/>
    <col min="6908" max="6908" width="5.5703125" style="21" customWidth="1"/>
    <col min="6909" max="6909" width="9" style="21" customWidth="1"/>
    <col min="6910" max="6911" width="9.7109375" style="21" customWidth="1"/>
    <col min="6912" max="6912" width="11.28515625" style="21" customWidth="1"/>
    <col min="6913" max="6913" width="2.7109375" style="21" customWidth="1"/>
    <col min="6914" max="6914" width="3.5703125" style="21" customWidth="1"/>
    <col min="6915" max="7159" width="9.28515625" style="21"/>
    <col min="7160" max="7160" width="8.7109375" style="21" customWidth="1"/>
    <col min="7161" max="7161" width="9.7109375" style="21" customWidth="1"/>
    <col min="7162" max="7162" width="14.42578125" style="21" customWidth="1"/>
    <col min="7163" max="7163" width="7.28515625" style="21" customWidth="1"/>
    <col min="7164" max="7164" width="5.5703125" style="21" customWidth="1"/>
    <col min="7165" max="7165" width="9" style="21" customWidth="1"/>
    <col min="7166" max="7167" width="9.7109375" style="21" customWidth="1"/>
    <col min="7168" max="7168" width="11.28515625" style="21" customWidth="1"/>
    <col min="7169" max="7169" width="2.7109375" style="21" customWidth="1"/>
    <col min="7170" max="7170" width="3.5703125" style="21" customWidth="1"/>
    <col min="7171" max="7415" width="9.28515625" style="21"/>
    <col min="7416" max="7416" width="8.7109375" style="21" customWidth="1"/>
    <col min="7417" max="7417" width="9.7109375" style="21" customWidth="1"/>
    <col min="7418" max="7418" width="14.42578125" style="21" customWidth="1"/>
    <col min="7419" max="7419" width="7.28515625" style="21" customWidth="1"/>
    <col min="7420" max="7420" width="5.5703125" style="21" customWidth="1"/>
    <col min="7421" max="7421" width="9" style="21" customWidth="1"/>
    <col min="7422" max="7423" width="9.7109375" style="21" customWidth="1"/>
    <col min="7424" max="7424" width="11.28515625" style="21" customWidth="1"/>
    <col min="7425" max="7425" width="2.7109375" style="21" customWidth="1"/>
    <col min="7426" max="7426" width="3.5703125" style="21" customWidth="1"/>
    <col min="7427" max="7671" width="9.28515625" style="21"/>
    <col min="7672" max="7672" width="8.7109375" style="21" customWidth="1"/>
    <col min="7673" max="7673" width="9.7109375" style="21" customWidth="1"/>
    <col min="7674" max="7674" width="14.42578125" style="21" customWidth="1"/>
    <col min="7675" max="7675" width="7.28515625" style="21" customWidth="1"/>
    <col min="7676" max="7676" width="5.5703125" style="21" customWidth="1"/>
    <col min="7677" max="7677" width="9" style="21" customWidth="1"/>
    <col min="7678" max="7679" width="9.7109375" style="21" customWidth="1"/>
    <col min="7680" max="7680" width="11.28515625" style="21" customWidth="1"/>
    <col min="7681" max="7681" width="2.7109375" style="21" customWidth="1"/>
    <col min="7682" max="7682" width="3.5703125" style="21" customWidth="1"/>
    <col min="7683" max="7927" width="9.28515625" style="21"/>
    <col min="7928" max="7928" width="8.7109375" style="21" customWidth="1"/>
    <col min="7929" max="7929" width="9.7109375" style="21" customWidth="1"/>
    <col min="7930" max="7930" width="14.42578125" style="21" customWidth="1"/>
    <col min="7931" max="7931" width="7.28515625" style="21" customWidth="1"/>
    <col min="7932" max="7932" width="5.5703125" style="21" customWidth="1"/>
    <col min="7933" max="7933" width="9" style="21" customWidth="1"/>
    <col min="7934" max="7935" width="9.7109375" style="21" customWidth="1"/>
    <col min="7936" max="7936" width="11.28515625" style="21" customWidth="1"/>
    <col min="7937" max="7937" width="2.7109375" style="21" customWidth="1"/>
    <col min="7938" max="7938" width="3.5703125" style="21" customWidth="1"/>
    <col min="7939" max="8183" width="9.28515625" style="21"/>
    <col min="8184" max="8184" width="8.7109375" style="21" customWidth="1"/>
    <col min="8185" max="8185" width="9.7109375" style="21" customWidth="1"/>
    <col min="8186" max="8186" width="14.42578125" style="21" customWidth="1"/>
    <col min="8187" max="8187" width="7.28515625" style="21" customWidth="1"/>
    <col min="8188" max="8188" width="5.5703125" style="21" customWidth="1"/>
    <col min="8189" max="8189" width="9" style="21" customWidth="1"/>
    <col min="8190" max="8191" width="9.7109375" style="21" customWidth="1"/>
    <col min="8192" max="8192" width="11.28515625" style="21" customWidth="1"/>
    <col min="8193" max="8193" width="2.7109375" style="21" customWidth="1"/>
    <col min="8194" max="8194" width="3.5703125" style="21" customWidth="1"/>
    <col min="8195" max="8439" width="9.28515625" style="21"/>
    <col min="8440" max="8440" width="8.7109375" style="21" customWidth="1"/>
    <col min="8441" max="8441" width="9.7109375" style="21" customWidth="1"/>
    <col min="8442" max="8442" width="14.42578125" style="21" customWidth="1"/>
    <col min="8443" max="8443" width="7.28515625" style="21" customWidth="1"/>
    <col min="8444" max="8444" width="5.5703125" style="21" customWidth="1"/>
    <col min="8445" max="8445" width="9" style="21" customWidth="1"/>
    <col min="8446" max="8447" width="9.7109375" style="21" customWidth="1"/>
    <col min="8448" max="8448" width="11.28515625" style="21" customWidth="1"/>
    <col min="8449" max="8449" width="2.7109375" style="21" customWidth="1"/>
    <col min="8450" max="8450" width="3.5703125" style="21" customWidth="1"/>
    <col min="8451" max="8695" width="9.28515625" style="21"/>
    <col min="8696" max="8696" width="8.7109375" style="21" customWidth="1"/>
    <col min="8697" max="8697" width="9.7109375" style="21" customWidth="1"/>
    <col min="8698" max="8698" width="14.42578125" style="21" customWidth="1"/>
    <col min="8699" max="8699" width="7.28515625" style="21" customWidth="1"/>
    <col min="8700" max="8700" width="5.5703125" style="21" customWidth="1"/>
    <col min="8701" max="8701" width="9" style="21" customWidth="1"/>
    <col min="8702" max="8703" width="9.7109375" style="21" customWidth="1"/>
    <col min="8704" max="8704" width="11.28515625" style="21" customWidth="1"/>
    <col min="8705" max="8705" width="2.7109375" style="21" customWidth="1"/>
    <col min="8706" max="8706" width="3.5703125" style="21" customWidth="1"/>
    <col min="8707" max="8951" width="9.28515625" style="21"/>
    <col min="8952" max="8952" width="8.7109375" style="21" customWidth="1"/>
    <col min="8953" max="8953" width="9.7109375" style="21" customWidth="1"/>
    <col min="8954" max="8954" width="14.42578125" style="21" customWidth="1"/>
    <col min="8955" max="8955" width="7.28515625" style="21" customWidth="1"/>
    <col min="8956" max="8956" width="5.5703125" style="21" customWidth="1"/>
    <col min="8957" max="8957" width="9" style="21" customWidth="1"/>
    <col min="8958" max="8959" width="9.7109375" style="21" customWidth="1"/>
    <col min="8960" max="8960" width="11.28515625" style="21" customWidth="1"/>
    <col min="8961" max="8961" width="2.7109375" style="21" customWidth="1"/>
    <col min="8962" max="8962" width="3.5703125" style="21" customWidth="1"/>
    <col min="8963" max="9207" width="9.28515625" style="21"/>
    <col min="9208" max="9208" width="8.7109375" style="21" customWidth="1"/>
    <col min="9209" max="9209" width="9.7109375" style="21" customWidth="1"/>
    <col min="9210" max="9210" width="14.42578125" style="21" customWidth="1"/>
    <col min="9211" max="9211" width="7.28515625" style="21" customWidth="1"/>
    <col min="9212" max="9212" width="5.5703125" style="21" customWidth="1"/>
    <col min="9213" max="9213" width="9" style="21" customWidth="1"/>
    <col min="9214" max="9215" width="9.7109375" style="21" customWidth="1"/>
    <col min="9216" max="9216" width="11.28515625" style="21" customWidth="1"/>
    <col min="9217" max="9217" width="2.7109375" style="21" customWidth="1"/>
    <col min="9218" max="9218" width="3.5703125" style="21" customWidth="1"/>
    <col min="9219" max="9463" width="9.28515625" style="21"/>
    <col min="9464" max="9464" width="8.7109375" style="21" customWidth="1"/>
    <col min="9465" max="9465" width="9.7109375" style="21" customWidth="1"/>
    <col min="9466" max="9466" width="14.42578125" style="21" customWidth="1"/>
    <col min="9467" max="9467" width="7.28515625" style="21" customWidth="1"/>
    <col min="9468" max="9468" width="5.5703125" style="21" customWidth="1"/>
    <col min="9469" max="9469" width="9" style="21" customWidth="1"/>
    <col min="9470" max="9471" width="9.7109375" style="21" customWidth="1"/>
    <col min="9472" max="9472" width="11.28515625" style="21" customWidth="1"/>
    <col min="9473" max="9473" width="2.7109375" style="21" customWidth="1"/>
    <col min="9474" max="9474" width="3.5703125" style="21" customWidth="1"/>
    <col min="9475" max="9719" width="9.28515625" style="21"/>
    <col min="9720" max="9720" width="8.7109375" style="21" customWidth="1"/>
    <col min="9721" max="9721" width="9.7109375" style="21" customWidth="1"/>
    <col min="9722" max="9722" width="14.42578125" style="21" customWidth="1"/>
    <col min="9723" max="9723" width="7.28515625" style="21" customWidth="1"/>
    <col min="9724" max="9724" width="5.5703125" style="21" customWidth="1"/>
    <col min="9725" max="9725" width="9" style="21" customWidth="1"/>
    <col min="9726" max="9727" width="9.7109375" style="21" customWidth="1"/>
    <col min="9728" max="9728" width="11.28515625" style="21" customWidth="1"/>
    <col min="9729" max="9729" width="2.7109375" style="21" customWidth="1"/>
    <col min="9730" max="9730" width="3.5703125" style="21" customWidth="1"/>
    <col min="9731" max="9975" width="9.28515625" style="21"/>
    <col min="9976" max="9976" width="8.7109375" style="21" customWidth="1"/>
    <col min="9977" max="9977" width="9.7109375" style="21" customWidth="1"/>
    <col min="9978" max="9978" width="14.42578125" style="21" customWidth="1"/>
    <col min="9979" max="9979" width="7.28515625" style="21" customWidth="1"/>
    <col min="9980" max="9980" width="5.5703125" style="21" customWidth="1"/>
    <col min="9981" max="9981" width="9" style="21" customWidth="1"/>
    <col min="9982" max="9983" width="9.7109375" style="21" customWidth="1"/>
    <col min="9984" max="9984" width="11.28515625" style="21" customWidth="1"/>
    <col min="9985" max="9985" width="2.7109375" style="21" customWidth="1"/>
    <col min="9986" max="9986" width="3.5703125" style="21" customWidth="1"/>
    <col min="9987" max="10231" width="9.28515625" style="21"/>
    <col min="10232" max="10232" width="8.7109375" style="21" customWidth="1"/>
    <col min="10233" max="10233" width="9.7109375" style="21" customWidth="1"/>
    <col min="10234" max="10234" width="14.42578125" style="21" customWidth="1"/>
    <col min="10235" max="10235" width="7.28515625" style="21" customWidth="1"/>
    <col min="10236" max="10236" width="5.5703125" style="21" customWidth="1"/>
    <col min="10237" max="10237" width="9" style="21" customWidth="1"/>
    <col min="10238" max="10239" width="9.7109375" style="21" customWidth="1"/>
    <col min="10240" max="10240" width="11.28515625" style="21" customWidth="1"/>
    <col min="10241" max="10241" width="2.7109375" style="21" customWidth="1"/>
    <col min="10242" max="10242" width="3.5703125" style="21" customWidth="1"/>
    <col min="10243" max="10487" width="9.28515625" style="21"/>
    <col min="10488" max="10488" width="8.7109375" style="21" customWidth="1"/>
    <col min="10489" max="10489" width="9.7109375" style="21" customWidth="1"/>
    <col min="10490" max="10490" width="14.42578125" style="21" customWidth="1"/>
    <col min="10491" max="10491" width="7.28515625" style="21" customWidth="1"/>
    <col min="10492" max="10492" width="5.5703125" style="21" customWidth="1"/>
    <col min="10493" max="10493" width="9" style="21" customWidth="1"/>
    <col min="10494" max="10495" width="9.7109375" style="21" customWidth="1"/>
    <col min="10496" max="10496" width="11.28515625" style="21" customWidth="1"/>
    <col min="10497" max="10497" width="2.7109375" style="21" customWidth="1"/>
    <col min="10498" max="10498" width="3.5703125" style="21" customWidth="1"/>
    <col min="10499" max="10743" width="9.28515625" style="21"/>
    <col min="10744" max="10744" width="8.7109375" style="21" customWidth="1"/>
    <col min="10745" max="10745" width="9.7109375" style="21" customWidth="1"/>
    <col min="10746" max="10746" width="14.42578125" style="21" customWidth="1"/>
    <col min="10747" max="10747" width="7.28515625" style="21" customWidth="1"/>
    <col min="10748" max="10748" width="5.5703125" style="21" customWidth="1"/>
    <col min="10749" max="10749" width="9" style="21" customWidth="1"/>
    <col min="10750" max="10751" width="9.7109375" style="21" customWidth="1"/>
    <col min="10752" max="10752" width="11.28515625" style="21" customWidth="1"/>
    <col min="10753" max="10753" width="2.7109375" style="21" customWidth="1"/>
    <col min="10754" max="10754" width="3.5703125" style="21" customWidth="1"/>
    <col min="10755" max="10999" width="9.28515625" style="21"/>
    <col min="11000" max="11000" width="8.7109375" style="21" customWidth="1"/>
    <col min="11001" max="11001" width="9.7109375" style="21" customWidth="1"/>
    <col min="11002" max="11002" width="14.42578125" style="21" customWidth="1"/>
    <col min="11003" max="11003" width="7.28515625" style="21" customWidth="1"/>
    <col min="11004" max="11004" width="5.5703125" style="21" customWidth="1"/>
    <col min="11005" max="11005" width="9" style="21" customWidth="1"/>
    <col min="11006" max="11007" width="9.7109375" style="21" customWidth="1"/>
    <col min="11008" max="11008" width="11.28515625" style="21" customWidth="1"/>
    <col min="11009" max="11009" width="2.7109375" style="21" customWidth="1"/>
    <col min="11010" max="11010" width="3.5703125" style="21" customWidth="1"/>
    <col min="11011" max="11255" width="9.28515625" style="21"/>
    <col min="11256" max="11256" width="8.7109375" style="21" customWidth="1"/>
    <col min="11257" max="11257" width="9.7109375" style="21" customWidth="1"/>
    <col min="11258" max="11258" width="14.42578125" style="21" customWidth="1"/>
    <col min="11259" max="11259" width="7.28515625" style="21" customWidth="1"/>
    <col min="11260" max="11260" width="5.5703125" style="21" customWidth="1"/>
    <col min="11261" max="11261" width="9" style="21" customWidth="1"/>
    <col min="11262" max="11263" width="9.7109375" style="21" customWidth="1"/>
    <col min="11264" max="11264" width="11.28515625" style="21" customWidth="1"/>
    <col min="11265" max="11265" width="2.7109375" style="21" customWidth="1"/>
    <col min="11266" max="11266" width="3.5703125" style="21" customWidth="1"/>
    <col min="11267" max="11511" width="9.28515625" style="21"/>
    <col min="11512" max="11512" width="8.7109375" style="21" customWidth="1"/>
    <col min="11513" max="11513" width="9.7109375" style="21" customWidth="1"/>
    <col min="11514" max="11514" width="14.42578125" style="21" customWidth="1"/>
    <col min="11515" max="11515" width="7.28515625" style="21" customWidth="1"/>
    <col min="11516" max="11516" width="5.5703125" style="21" customWidth="1"/>
    <col min="11517" max="11517" width="9" style="21" customWidth="1"/>
    <col min="11518" max="11519" width="9.7109375" style="21" customWidth="1"/>
    <col min="11520" max="11520" width="11.28515625" style="21" customWidth="1"/>
    <col min="11521" max="11521" width="2.7109375" style="21" customWidth="1"/>
    <col min="11522" max="11522" width="3.5703125" style="21" customWidth="1"/>
    <col min="11523" max="11767" width="9.28515625" style="21"/>
    <col min="11768" max="11768" width="8.7109375" style="21" customWidth="1"/>
    <col min="11769" max="11769" width="9.7109375" style="21" customWidth="1"/>
    <col min="11770" max="11770" width="14.42578125" style="21" customWidth="1"/>
    <col min="11771" max="11771" width="7.28515625" style="21" customWidth="1"/>
    <col min="11772" max="11772" width="5.5703125" style="21" customWidth="1"/>
    <col min="11773" max="11773" width="9" style="21" customWidth="1"/>
    <col min="11774" max="11775" width="9.7109375" style="21" customWidth="1"/>
    <col min="11776" max="11776" width="11.28515625" style="21" customWidth="1"/>
    <col min="11777" max="11777" width="2.7109375" style="21" customWidth="1"/>
    <col min="11778" max="11778" width="3.5703125" style="21" customWidth="1"/>
    <col min="11779" max="12023" width="9.28515625" style="21"/>
    <col min="12024" max="12024" width="8.7109375" style="21" customWidth="1"/>
    <col min="12025" max="12025" width="9.7109375" style="21" customWidth="1"/>
    <col min="12026" max="12026" width="14.42578125" style="21" customWidth="1"/>
    <col min="12027" max="12027" width="7.28515625" style="21" customWidth="1"/>
    <col min="12028" max="12028" width="5.5703125" style="21" customWidth="1"/>
    <col min="12029" max="12029" width="9" style="21" customWidth="1"/>
    <col min="12030" max="12031" width="9.7109375" style="21" customWidth="1"/>
    <col min="12032" max="12032" width="11.28515625" style="21" customWidth="1"/>
    <col min="12033" max="12033" width="2.7109375" style="21" customWidth="1"/>
    <col min="12034" max="12034" width="3.5703125" style="21" customWidth="1"/>
    <col min="12035" max="12279" width="9.28515625" style="21"/>
    <col min="12280" max="12280" width="8.7109375" style="21" customWidth="1"/>
    <col min="12281" max="12281" width="9.7109375" style="21" customWidth="1"/>
    <col min="12282" max="12282" width="14.42578125" style="21" customWidth="1"/>
    <col min="12283" max="12283" width="7.28515625" style="21" customWidth="1"/>
    <col min="12284" max="12284" width="5.5703125" style="21" customWidth="1"/>
    <col min="12285" max="12285" width="9" style="21" customWidth="1"/>
    <col min="12286" max="12287" width="9.7109375" style="21" customWidth="1"/>
    <col min="12288" max="12288" width="11.28515625" style="21" customWidth="1"/>
    <col min="12289" max="12289" width="2.7109375" style="21" customWidth="1"/>
    <col min="12290" max="12290" width="3.5703125" style="21" customWidth="1"/>
    <col min="12291" max="12535" width="9.28515625" style="21"/>
    <col min="12536" max="12536" width="8.7109375" style="21" customWidth="1"/>
    <col min="12537" max="12537" width="9.7109375" style="21" customWidth="1"/>
    <col min="12538" max="12538" width="14.42578125" style="21" customWidth="1"/>
    <col min="12539" max="12539" width="7.28515625" style="21" customWidth="1"/>
    <col min="12540" max="12540" width="5.5703125" style="21" customWidth="1"/>
    <col min="12541" max="12541" width="9" style="21" customWidth="1"/>
    <col min="12542" max="12543" width="9.7109375" style="21" customWidth="1"/>
    <col min="12544" max="12544" width="11.28515625" style="21" customWidth="1"/>
    <col min="12545" max="12545" width="2.7109375" style="21" customWidth="1"/>
    <col min="12546" max="12546" width="3.5703125" style="21" customWidth="1"/>
    <col min="12547" max="12791" width="9.28515625" style="21"/>
    <col min="12792" max="12792" width="8.7109375" style="21" customWidth="1"/>
    <col min="12793" max="12793" width="9.7109375" style="21" customWidth="1"/>
    <col min="12794" max="12794" width="14.42578125" style="21" customWidth="1"/>
    <col min="12795" max="12795" width="7.28515625" style="21" customWidth="1"/>
    <col min="12796" max="12796" width="5.5703125" style="21" customWidth="1"/>
    <col min="12797" max="12797" width="9" style="21" customWidth="1"/>
    <col min="12798" max="12799" width="9.7109375" style="21" customWidth="1"/>
    <col min="12800" max="12800" width="11.28515625" style="21" customWidth="1"/>
    <col min="12801" max="12801" width="2.7109375" style="21" customWidth="1"/>
    <col min="12802" max="12802" width="3.5703125" style="21" customWidth="1"/>
    <col min="12803" max="13047" width="9.28515625" style="21"/>
    <col min="13048" max="13048" width="8.7109375" style="21" customWidth="1"/>
    <col min="13049" max="13049" width="9.7109375" style="21" customWidth="1"/>
    <col min="13050" max="13050" width="14.42578125" style="21" customWidth="1"/>
    <col min="13051" max="13051" width="7.28515625" style="21" customWidth="1"/>
    <col min="13052" max="13052" width="5.5703125" style="21" customWidth="1"/>
    <col min="13053" max="13053" width="9" style="21" customWidth="1"/>
    <col min="13054" max="13055" width="9.7109375" style="21" customWidth="1"/>
    <col min="13056" max="13056" width="11.28515625" style="21" customWidth="1"/>
    <col min="13057" max="13057" width="2.7109375" style="21" customWidth="1"/>
    <col min="13058" max="13058" width="3.5703125" style="21" customWidth="1"/>
    <col min="13059" max="13303" width="9.28515625" style="21"/>
    <col min="13304" max="13304" width="8.7109375" style="21" customWidth="1"/>
    <col min="13305" max="13305" width="9.7109375" style="21" customWidth="1"/>
    <col min="13306" max="13306" width="14.42578125" style="21" customWidth="1"/>
    <col min="13307" max="13307" width="7.28515625" style="21" customWidth="1"/>
    <col min="13308" max="13308" width="5.5703125" style="21" customWidth="1"/>
    <col min="13309" max="13309" width="9" style="21" customWidth="1"/>
    <col min="13310" max="13311" width="9.7109375" style="21" customWidth="1"/>
    <col min="13312" max="13312" width="11.28515625" style="21" customWidth="1"/>
    <col min="13313" max="13313" width="2.7109375" style="21" customWidth="1"/>
    <col min="13314" max="13314" width="3.5703125" style="21" customWidth="1"/>
    <col min="13315" max="13559" width="9.28515625" style="21"/>
    <col min="13560" max="13560" width="8.7109375" style="21" customWidth="1"/>
    <col min="13561" max="13561" width="9.7109375" style="21" customWidth="1"/>
    <col min="13562" max="13562" width="14.42578125" style="21" customWidth="1"/>
    <col min="13563" max="13563" width="7.28515625" style="21" customWidth="1"/>
    <col min="13564" max="13564" width="5.5703125" style="21" customWidth="1"/>
    <col min="13565" max="13565" width="9" style="21" customWidth="1"/>
    <col min="13566" max="13567" width="9.7109375" style="21" customWidth="1"/>
    <col min="13568" max="13568" width="11.28515625" style="21" customWidth="1"/>
    <col min="13569" max="13569" width="2.7109375" style="21" customWidth="1"/>
    <col min="13570" max="13570" width="3.5703125" style="21" customWidth="1"/>
    <col min="13571" max="13815" width="9.28515625" style="21"/>
    <col min="13816" max="13816" width="8.7109375" style="21" customWidth="1"/>
    <col min="13817" max="13817" width="9.7109375" style="21" customWidth="1"/>
    <col min="13818" max="13818" width="14.42578125" style="21" customWidth="1"/>
    <col min="13819" max="13819" width="7.28515625" style="21" customWidth="1"/>
    <col min="13820" max="13820" width="5.5703125" style="21" customWidth="1"/>
    <col min="13821" max="13821" width="9" style="21" customWidth="1"/>
    <col min="13822" max="13823" width="9.7109375" style="21" customWidth="1"/>
    <col min="13824" max="13824" width="11.28515625" style="21" customWidth="1"/>
    <col min="13825" max="13825" width="2.7109375" style="21" customWidth="1"/>
    <col min="13826" max="13826" width="3.5703125" style="21" customWidth="1"/>
    <col min="13827" max="14071" width="9.28515625" style="21"/>
    <col min="14072" max="14072" width="8.7109375" style="21" customWidth="1"/>
    <col min="14073" max="14073" width="9.7109375" style="21" customWidth="1"/>
    <col min="14074" max="14074" width="14.42578125" style="21" customWidth="1"/>
    <col min="14075" max="14075" width="7.28515625" style="21" customWidth="1"/>
    <col min="14076" max="14076" width="5.5703125" style="21" customWidth="1"/>
    <col min="14077" max="14077" width="9" style="21" customWidth="1"/>
    <col min="14078" max="14079" width="9.7109375" style="21" customWidth="1"/>
    <col min="14080" max="14080" width="11.28515625" style="21" customWidth="1"/>
    <col min="14081" max="14081" width="2.7109375" style="21" customWidth="1"/>
    <col min="14082" max="14082" width="3.5703125" style="21" customWidth="1"/>
    <col min="14083" max="14327" width="9.28515625" style="21"/>
    <col min="14328" max="14328" width="8.7109375" style="21" customWidth="1"/>
    <col min="14329" max="14329" width="9.7109375" style="21" customWidth="1"/>
    <col min="14330" max="14330" width="14.42578125" style="21" customWidth="1"/>
    <col min="14331" max="14331" width="7.28515625" style="21" customWidth="1"/>
    <col min="14332" max="14332" width="5.5703125" style="21" customWidth="1"/>
    <col min="14333" max="14333" width="9" style="21" customWidth="1"/>
    <col min="14334" max="14335" width="9.7109375" style="21" customWidth="1"/>
    <col min="14336" max="14336" width="11.28515625" style="21" customWidth="1"/>
    <col min="14337" max="14337" width="2.7109375" style="21" customWidth="1"/>
    <col min="14338" max="14338" width="3.5703125" style="21" customWidth="1"/>
    <col min="14339" max="14583" width="9.28515625" style="21"/>
    <col min="14584" max="14584" width="8.7109375" style="21" customWidth="1"/>
    <col min="14585" max="14585" width="9.7109375" style="21" customWidth="1"/>
    <col min="14586" max="14586" width="14.42578125" style="21" customWidth="1"/>
    <col min="14587" max="14587" width="7.28515625" style="21" customWidth="1"/>
    <col min="14588" max="14588" width="5.5703125" style="21" customWidth="1"/>
    <col min="14589" max="14589" width="9" style="21" customWidth="1"/>
    <col min="14590" max="14591" width="9.7109375" style="21" customWidth="1"/>
    <col min="14592" max="14592" width="11.28515625" style="21" customWidth="1"/>
    <col min="14593" max="14593" width="2.7109375" style="21" customWidth="1"/>
    <col min="14594" max="14594" width="3.5703125" style="21" customWidth="1"/>
    <col min="14595" max="14839" width="9.28515625" style="21"/>
    <col min="14840" max="14840" width="8.7109375" style="21" customWidth="1"/>
    <col min="14841" max="14841" width="9.7109375" style="21" customWidth="1"/>
    <col min="14842" max="14842" width="14.42578125" style="21" customWidth="1"/>
    <col min="14843" max="14843" width="7.28515625" style="21" customWidth="1"/>
    <col min="14844" max="14844" width="5.5703125" style="21" customWidth="1"/>
    <col min="14845" max="14845" width="9" style="21" customWidth="1"/>
    <col min="14846" max="14847" width="9.7109375" style="21" customWidth="1"/>
    <col min="14848" max="14848" width="11.28515625" style="21" customWidth="1"/>
    <col min="14849" max="14849" width="2.7109375" style="21" customWidth="1"/>
    <col min="14850" max="14850" width="3.5703125" style="21" customWidth="1"/>
    <col min="14851" max="15095" width="9.28515625" style="21"/>
    <col min="15096" max="15096" width="8.7109375" style="21" customWidth="1"/>
    <col min="15097" max="15097" width="9.7109375" style="21" customWidth="1"/>
    <col min="15098" max="15098" width="14.42578125" style="21" customWidth="1"/>
    <col min="15099" max="15099" width="7.28515625" style="21" customWidth="1"/>
    <col min="15100" max="15100" width="5.5703125" style="21" customWidth="1"/>
    <col min="15101" max="15101" width="9" style="21" customWidth="1"/>
    <col min="15102" max="15103" width="9.7109375" style="21" customWidth="1"/>
    <col min="15104" max="15104" width="11.28515625" style="21" customWidth="1"/>
    <col min="15105" max="15105" width="2.7109375" style="21" customWidth="1"/>
    <col min="15106" max="15106" width="3.5703125" style="21" customWidth="1"/>
    <col min="15107" max="15351" width="9.28515625" style="21"/>
    <col min="15352" max="15352" width="8.7109375" style="21" customWidth="1"/>
    <col min="15353" max="15353" width="9.7109375" style="21" customWidth="1"/>
    <col min="15354" max="15354" width="14.42578125" style="21" customWidth="1"/>
    <col min="15355" max="15355" width="7.28515625" style="21" customWidth="1"/>
    <col min="15356" max="15356" width="5.5703125" style="21" customWidth="1"/>
    <col min="15357" max="15357" width="9" style="21" customWidth="1"/>
    <col min="15358" max="15359" width="9.7109375" style="21" customWidth="1"/>
    <col min="15360" max="15360" width="11.28515625" style="21" customWidth="1"/>
    <col min="15361" max="15361" width="2.7109375" style="21" customWidth="1"/>
    <col min="15362" max="15362" width="3.5703125" style="21" customWidth="1"/>
    <col min="15363" max="15607" width="9.28515625" style="21"/>
    <col min="15608" max="15608" width="8.7109375" style="21" customWidth="1"/>
    <col min="15609" max="15609" width="9.7109375" style="21" customWidth="1"/>
    <col min="15610" max="15610" width="14.42578125" style="21" customWidth="1"/>
    <col min="15611" max="15611" width="7.28515625" style="21" customWidth="1"/>
    <col min="15612" max="15612" width="5.5703125" style="21" customWidth="1"/>
    <col min="15613" max="15613" width="9" style="21" customWidth="1"/>
    <col min="15614" max="15615" width="9.7109375" style="21" customWidth="1"/>
    <col min="15616" max="15616" width="11.28515625" style="21" customWidth="1"/>
    <col min="15617" max="15617" width="2.7109375" style="21" customWidth="1"/>
    <col min="15618" max="15618" width="3.5703125" style="21" customWidth="1"/>
    <col min="15619" max="15863" width="9.28515625" style="21"/>
    <col min="15864" max="15864" width="8.7109375" style="21" customWidth="1"/>
    <col min="15865" max="15865" width="9.7109375" style="21" customWidth="1"/>
    <col min="15866" max="15866" width="14.42578125" style="21" customWidth="1"/>
    <col min="15867" max="15867" width="7.28515625" style="21" customWidth="1"/>
    <col min="15868" max="15868" width="5.5703125" style="21" customWidth="1"/>
    <col min="15869" max="15869" width="9" style="21" customWidth="1"/>
    <col min="15870" max="15871" width="9.7109375" style="21" customWidth="1"/>
    <col min="15872" max="15872" width="11.28515625" style="21" customWidth="1"/>
    <col min="15873" max="15873" width="2.7109375" style="21" customWidth="1"/>
    <col min="15874" max="15874" width="3.5703125" style="21" customWidth="1"/>
    <col min="15875" max="16119" width="9.28515625" style="21"/>
    <col min="16120" max="16120" width="8.7109375" style="21" customWidth="1"/>
    <col min="16121" max="16121" width="9.7109375" style="21" customWidth="1"/>
    <col min="16122" max="16122" width="14.42578125" style="21" customWidth="1"/>
    <col min="16123" max="16123" width="7.28515625" style="21" customWidth="1"/>
    <col min="16124" max="16124" width="5.5703125" style="21" customWidth="1"/>
    <col min="16125" max="16125" width="9" style="21" customWidth="1"/>
    <col min="16126" max="16127" width="9.7109375" style="21" customWidth="1"/>
    <col min="16128" max="16128" width="11.28515625" style="21" customWidth="1"/>
    <col min="16129" max="16129" width="2.7109375" style="21" customWidth="1"/>
    <col min="16130" max="16130" width="3.5703125" style="21" customWidth="1"/>
    <col min="16131" max="16384" width="9.28515625" style="21"/>
  </cols>
  <sheetData>
    <row r="1" spans="1:26" ht="46.5" customHeight="1" x14ac:dyDescent="0.25">
      <c r="A1" s="165" t="s">
        <v>169</v>
      </c>
      <c r="B1" s="165"/>
      <c r="C1" s="165"/>
      <c r="D1" s="165"/>
      <c r="E1" s="165"/>
      <c r="F1" s="165"/>
      <c r="G1" s="165"/>
      <c r="H1" s="165"/>
    </row>
    <row r="2" spans="1:26" ht="16.5" customHeight="1" x14ac:dyDescent="0.25">
      <c r="A2" s="138" t="s">
        <v>0</v>
      </c>
      <c r="B2" s="138"/>
      <c r="C2" s="138"/>
      <c r="D2" s="138"/>
      <c r="E2" s="138"/>
      <c r="F2" s="138"/>
      <c r="G2" s="138"/>
      <c r="H2" s="138"/>
    </row>
    <row r="3" spans="1:26" x14ac:dyDescent="0.25">
      <c r="A3" s="104" t="s">
        <v>1</v>
      </c>
      <c r="B3" s="104"/>
      <c r="C3" s="104"/>
      <c r="D3" s="104"/>
      <c r="E3" s="104" t="str">
        <f ca="1">TEXT(TODAY(),"DD/MM/YYYY")</f>
        <v>13/09/2025</v>
      </c>
      <c r="F3" s="104"/>
      <c r="G3" s="104"/>
      <c r="H3" s="104"/>
    </row>
    <row r="4" spans="1:26" ht="15" customHeight="1" x14ac:dyDescent="0.25">
      <c r="A4" s="104" t="s">
        <v>2</v>
      </c>
      <c r="B4" s="104"/>
      <c r="C4" s="104"/>
      <c r="D4" s="104"/>
      <c r="E4" s="104" t="s">
        <v>239</v>
      </c>
      <c r="F4" s="104"/>
      <c r="G4" s="104"/>
      <c r="H4" s="104"/>
    </row>
    <row r="5" spans="1:26" x14ac:dyDescent="0.25">
      <c r="A5" s="104" t="s">
        <v>3</v>
      </c>
      <c r="B5" s="104"/>
      <c r="C5" s="104"/>
      <c r="D5" s="104"/>
      <c r="E5" s="166">
        <v>45912</v>
      </c>
      <c r="F5" s="104"/>
      <c r="G5" s="104"/>
      <c r="H5" s="104"/>
    </row>
    <row r="6" spans="1:26" ht="16.5" customHeight="1" x14ac:dyDescent="0.25">
      <c r="A6" s="104" t="s">
        <v>4</v>
      </c>
      <c r="B6" s="104"/>
      <c r="C6" s="104"/>
      <c r="D6" s="104"/>
      <c r="E6" s="104" t="s">
        <v>241</v>
      </c>
      <c r="F6" s="104"/>
      <c r="G6" s="104"/>
      <c r="H6" s="104"/>
    </row>
    <row r="7" spans="1:26" ht="15" customHeight="1" x14ac:dyDescent="0.25">
      <c r="A7" s="104" t="s">
        <v>5</v>
      </c>
      <c r="B7" s="104"/>
      <c r="C7" s="104"/>
      <c r="D7" s="104"/>
      <c r="E7" s="104" t="str">
        <f>E6</f>
        <v>Shraddha Landmark Private Limited</v>
      </c>
      <c r="F7" s="104"/>
      <c r="G7" s="104"/>
      <c r="H7" s="104"/>
    </row>
    <row r="8" spans="1:26" x14ac:dyDescent="0.25">
      <c r="A8" s="104" t="s">
        <v>6</v>
      </c>
      <c r="B8" s="104"/>
      <c r="C8" s="104"/>
      <c r="D8" s="104"/>
      <c r="E8" s="136" t="s">
        <v>242</v>
      </c>
      <c r="F8" s="136"/>
      <c r="G8" s="136"/>
      <c r="H8" s="136"/>
    </row>
    <row r="9" spans="1:26" ht="16.5" thickBot="1" x14ac:dyDescent="0.3">
      <c r="A9" s="104" t="s">
        <v>173</v>
      </c>
      <c r="B9" s="104"/>
      <c r="C9" s="104"/>
      <c r="D9" s="104"/>
      <c r="E9" s="104" t="s">
        <v>243</v>
      </c>
      <c r="F9" s="104"/>
      <c r="G9" s="104"/>
      <c r="H9" s="104"/>
    </row>
    <row r="10" spans="1:26" x14ac:dyDescent="0.25">
      <c r="A10" s="104" t="s">
        <v>174</v>
      </c>
      <c r="B10" s="104"/>
      <c r="C10" s="104"/>
      <c r="D10" s="104"/>
      <c r="E10" s="104" t="s">
        <v>303</v>
      </c>
      <c r="F10" s="104"/>
      <c r="G10" s="104"/>
      <c r="H10" s="104"/>
      <c r="I10" s="89" t="s">
        <v>250</v>
      </c>
      <c r="J10" s="92" t="s">
        <v>247</v>
      </c>
      <c r="K10" s="93"/>
      <c r="L10" s="93"/>
      <c r="M10" s="93"/>
    </row>
    <row r="11" spans="1:26" x14ac:dyDescent="0.25">
      <c r="A11" s="104" t="s">
        <v>7</v>
      </c>
      <c r="B11" s="104"/>
      <c r="C11" s="104"/>
      <c r="D11" s="104"/>
      <c r="E11" s="104" t="s">
        <v>244</v>
      </c>
      <c r="F11" s="104"/>
      <c r="G11" s="104"/>
      <c r="H11" s="104"/>
      <c r="I11" s="90"/>
      <c r="J11" s="92" t="s">
        <v>248</v>
      </c>
      <c r="K11" s="93"/>
      <c r="L11" s="93"/>
      <c r="M11" s="93"/>
    </row>
    <row r="12" spans="1:26" ht="33" customHeight="1" x14ac:dyDescent="0.25">
      <c r="A12" s="104" t="s">
        <v>177</v>
      </c>
      <c r="B12" s="104"/>
      <c r="C12" s="104"/>
      <c r="D12" s="104"/>
      <c r="E12" s="121" t="s">
        <v>245</v>
      </c>
      <c r="F12" s="121"/>
      <c r="G12" s="121"/>
      <c r="H12" s="121"/>
      <c r="I12" s="90"/>
      <c r="J12" s="92" t="s">
        <v>249</v>
      </c>
      <c r="K12" s="93"/>
      <c r="L12" s="93"/>
      <c r="M12" s="93"/>
      <c r="S12" s="54" t="s">
        <v>185</v>
      </c>
      <c r="T12" s="54" t="s">
        <v>195</v>
      </c>
      <c r="U12" s="54" t="s">
        <v>178</v>
      </c>
      <c r="V12" s="54" t="s">
        <v>200</v>
      </c>
      <c r="W12" s="54" t="s">
        <v>218</v>
      </c>
      <c r="X12"/>
      <c r="Y12" t="s">
        <v>200</v>
      </c>
      <c r="Z12" t="e">
        <f ca="1">OFFSET($S$12,1,MATCH($G19,$S$12:$W$12,0)-1,15,1)</f>
        <v>#VALUE!</v>
      </c>
    </row>
    <row r="13" spans="1:26" ht="16.5" thickBot="1" x14ac:dyDescent="0.3">
      <c r="A13" s="101" t="s">
        <v>8</v>
      </c>
      <c r="B13" s="101"/>
      <c r="C13" s="101"/>
      <c r="D13" s="101"/>
      <c r="E13" s="121" t="s">
        <v>275</v>
      </c>
      <c r="F13" s="121"/>
      <c r="G13" s="121"/>
      <c r="H13" s="121"/>
      <c r="I13" s="91"/>
      <c r="J13" s="92" t="s">
        <v>246</v>
      </c>
      <c r="K13" s="93"/>
      <c r="L13" s="93"/>
      <c r="M13" s="93"/>
      <c r="S13" s="54" t="s">
        <v>186</v>
      </c>
      <c r="T13" s="54" t="s">
        <v>193</v>
      </c>
      <c r="U13" s="54" t="s">
        <v>215</v>
      </c>
      <c r="V13" s="54" t="s">
        <v>201</v>
      </c>
      <c r="W13" s="54" t="s">
        <v>219</v>
      </c>
      <c r="X13"/>
      <c r="Y13"/>
      <c r="Z13"/>
    </row>
    <row r="14" spans="1:26" x14ac:dyDescent="0.25">
      <c r="A14" s="101" t="s">
        <v>9</v>
      </c>
      <c r="B14" s="101"/>
      <c r="C14" s="101"/>
      <c r="D14" s="101"/>
      <c r="E14" s="121" t="s">
        <v>240</v>
      </c>
      <c r="F14" s="104"/>
      <c r="G14" s="104"/>
      <c r="H14" s="104"/>
      <c r="I14" s="97" t="e">
        <f ca="1">OFFSET($D$4,1,MATCH($J12,$D$4:$H$4,0)-1,15,1)</f>
        <v>#N/A</v>
      </c>
      <c r="J14" s="97"/>
      <c r="K14" s="97"/>
      <c r="L14" s="97"/>
      <c r="M14" s="97"/>
      <c r="N14" s="97"/>
      <c r="O14" s="97"/>
      <c r="P14" s="97"/>
      <c r="S14" s="54" t="s">
        <v>187</v>
      </c>
      <c r="T14" s="54" t="s">
        <v>194</v>
      </c>
      <c r="U14" s="54" t="s">
        <v>216</v>
      </c>
      <c r="V14" s="54" t="s">
        <v>202</v>
      </c>
      <c r="W14" s="54" t="s">
        <v>232</v>
      </c>
      <c r="X14"/>
      <c r="Y14"/>
      <c r="Z14"/>
    </row>
    <row r="15" spans="1:26" ht="65.25" customHeight="1" x14ac:dyDescent="0.25">
      <c r="A15" s="67" t="s">
        <v>10</v>
      </c>
      <c r="B15" s="67"/>
      <c r="C15" s="67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Shraddha Presidency, CTS No.356(pt.), S. No. 113(Pt.), Redevlopement of "Building No 26, 27, 28 &amp; 29 Known as Kannamwar Nagar Janhavi CHS Ltd.", near Shushrusha Hospital, Aatmaram Surve Marg, Kannamwar Nagar, Hariyali, Vikhroli East, Kurla, Mumbai - 400083.</v>
      </c>
      <c r="D15" s="67"/>
      <c r="E15" s="67"/>
      <c r="F15" s="67"/>
      <c r="G15" s="67"/>
      <c r="H15" s="67"/>
      <c r="S15" s="54" t="s">
        <v>188</v>
      </c>
      <c r="T15" s="54" t="s">
        <v>196</v>
      </c>
      <c r="U15" s="54" t="s">
        <v>217</v>
      </c>
      <c r="V15" s="54" t="s">
        <v>203</v>
      </c>
      <c r="W15" s="54" t="s">
        <v>220</v>
      </c>
      <c r="X15"/>
      <c r="Y15"/>
      <c r="Z15"/>
    </row>
    <row r="16" spans="1:26" ht="34.5" customHeight="1" x14ac:dyDescent="0.25">
      <c r="A16" s="121" t="s">
        <v>181</v>
      </c>
      <c r="B16" s="121"/>
      <c r="C16" s="121" t="s">
        <v>251</v>
      </c>
      <c r="D16" s="121"/>
      <c r="E16" s="121"/>
      <c r="F16" s="121"/>
      <c r="G16" s="121"/>
      <c r="H16" s="121"/>
      <c r="S16" s="54" t="s">
        <v>189</v>
      </c>
      <c r="T16" s="54" t="s">
        <v>197</v>
      </c>
      <c r="U16" s="54" t="s">
        <v>178</v>
      </c>
      <c r="V16" s="54" t="s">
        <v>204</v>
      </c>
      <c r="W16" s="54" t="s">
        <v>221</v>
      </c>
      <c r="X16"/>
      <c r="Y16"/>
      <c r="Z16"/>
    </row>
    <row r="17" spans="1:26" ht="15.75" customHeight="1" x14ac:dyDescent="0.25">
      <c r="A17" s="121" t="s">
        <v>167</v>
      </c>
      <c r="B17" s="121"/>
      <c r="C17" s="121" t="s">
        <v>258</v>
      </c>
      <c r="D17" s="121"/>
      <c r="E17" s="121"/>
      <c r="F17" s="121"/>
      <c r="G17" s="121"/>
      <c r="H17" s="121"/>
      <c r="S17" s="54" t="s">
        <v>190</v>
      </c>
      <c r="T17" s="54" t="s">
        <v>195</v>
      </c>
      <c r="U17" s="54"/>
      <c r="V17" s="54" t="s">
        <v>205</v>
      </c>
      <c r="W17" s="54" t="s">
        <v>222</v>
      </c>
      <c r="X17"/>
      <c r="Y17"/>
      <c r="Z17"/>
    </row>
    <row r="18" spans="1:26" ht="15.75" customHeight="1" x14ac:dyDescent="0.25">
      <c r="A18" s="67" t="s">
        <v>11</v>
      </c>
      <c r="B18" s="67"/>
      <c r="C18" s="104" t="s">
        <v>256</v>
      </c>
      <c r="D18" s="104"/>
      <c r="E18" s="67" t="s">
        <v>72</v>
      </c>
      <c r="F18" s="67"/>
      <c r="G18" s="121" t="s">
        <v>252</v>
      </c>
      <c r="H18" s="121"/>
      <c r="S18" s="54" t="s">
        <v>191</v>
      </c>
      <c r="T18" s="54" t="s">
        <v>198</v>
      </c>
      <c r="U18" s="54"/>
      <c r="V18" s="54" t="s">
        <v>206</v>
      </c>
      <c r="W18" s="54" t="s">
        <v>223</v>
      </c>
      <c r="X18"/>
      <c r="Y18"/>
      <c r="Z18"/>
    </row>
    <row r="19" spans="1:26" x14ac:dyDescent="0.25">
      <c r="A19" s="101" t="s">
        <v>13</v>
      </c>
      <c r="B19" s="101"/>
      <c r="C19" s="121" t="s">
        <v>259</v>
      </c>
      <c r="D19" s="121"/>
      <c r="E19" s="121" t="s">
        <v>12</v>
      </c>
      <c r="F19" s="121"/>
      <c r="G19" s="168" t="s">
        <v>178</v>
      </c>
      <c r="H19" s="168"/>
      <c r="S19" s="54" t="s">
        <v>192</v>
      </c>
      <c r="T19" s="54" t="s">
        <v>199</v>
      </c>
      <c r="U19" s="54"/>
      <c r="V19" s="54" t="s">
        <v>207</v>
      </c>
      <c r="W19" s="54" t="s">
        <v>224</v>
      </c>
      <c r="X19"/>
      <c r="Y19"/>
      <c r="Z19"/>
    </row>
    <row r="20" spans="1:26" x14ac:dyDescent="0.25">
      <c r="A20" s="101" t="s">
        <v>73</v>
      </c>
      <c r="B20" s="101"/>
      <c r="C20" s="121" t="s">
        <v>217</v>
      </c>
      <c r="D20" s="121"/>
      <c r="E20" s="121" t="s">
        <v>14</v>
      </c>
      <c r="F20" s="121"/>
      <c r="G20" s="121">
        <v>400083</v>
      </c>
      <c r="H20" s="121"/>
      <c r="S20" s="54"/>
      <c r="T20" s="54"/>
      <c r="U20" s="54"/>
      <c r="V20" s="54" t="s">
        <v>208</v>
      </c>
      <c r="W20" s="54" t="s">
        <v>225</v>
      </c>
      <c r="X20"/>
      <c r="Y20"/>
      <c r="Z20"/>
    </row>
    <row r="21" spans="1:26" ht="32.25" customHeight="1" x14ac:dyDescent="0.25">
      <c r="A21" s="101" t="s">
        <v>123</v>
      </c>
      <c r="B21" s="101"/>
      <c r="C21" s="121" t="s">
        <v>260</v>
      </c>
      <c r="D21" s="121"/>
      <c r="E21" s="67" t="s">
        <v>15</v>
      </c>
      <c r="F21" s="67"/>
      <c r="G21" s="121" t="s">
        <v>276</v>
      </c>
      <c r="H21" s="121"/>
      <c r="S21" s="54"/>
      <c r="T21" s="54"/>
      <c r="U21" s="54"/>
      <c r="V21" s="54" t="s">
        <v>209</v>
      </c>
      <c r="W21" s="54" t="s">
        <v>226</v>
      </c>
      <c r="X21"/>
      <c r="Y21"/>
      <c r="Z21"/>
    </row>
    <row r="22" spans="1:26" ht="15" customHeight="1" x14ac:dyDescent="0.25">
      <c r="A22" s="67" t="s">
        <v>75</v>
      </c>
      <c r="B22" s="67"/>
      <c r="C22" s="67"/>
      <c r="D22" s="67"/>
      <c r="E22" s="104" t="s">
        <v>16</v>
      </c>
      <c r="F22" s="104"/>
      <c r="G22" s="104"/>
      <c r="H22" s="104"/>
      <c r="S22" s="54"/>
      <c r="T22" s="54"/>
      <c r="U22" s="54"/>
      <c r="V22" s="54" t="s">
        <v>210</v>
      </c>
      <c r="W22" s="54" t="s">
        <v>227</v>
      </c>
      <c r="X22"/>
      <c r="Y22"/>
      <c r="Z22"/>
    </row>
    <row r="23" spans="1:26" ht="18.75" customHeight="1" x14ac:dyDescent="0.25">
      <c r="A23" s="67"/>
      <c r="B23" s="67"/>
      <c r="C23" s="67"/>
      <c r="D23" s="67"/>
      <c r="E23" s="104"/>
      <c r="F23" s="104"/>
      <c r="G23" s="104"/>
      <c r="H23" s="104"/>
      <c r="S23" s="54"/>
      <c r="T23" s="54"/>
      <c r="U23" s="54"/>
      <c r="V23" s="54" t="s">
        <v>211</v>
      </c>
      <c r="W23" s="54" t="s">
        <v>228</v>
      </c>
      <c r="X23"/>
      <c r="Y23"/>
      <c r="Z23"/>
    </row>
    <row r="24" spans="1:26" ht="15" customHeight="1" x14ac:dyDescent="0.25">
      <c r="A24" s="67" t="s">
        <v>17</v>
      </c>
      <c r="B24" s="67"/>
      <c r="C24" s="67"/>
      <c r="D24" s="67"/>
      <c r="E24" s="121" t="s">
        <v>18</v>
      </c>
      <c r="F24" s="121"/>
      <c r="G24" s="121"/>
      <c r="H24" s="121"/>
      <c r="S24" s="54"/>
      <c r="T24" s="54"/>
      <c r="U24" s="54"/>
      <c r="V24" s="54" t="s">
        <v>212</v>
      </c>
      <c r="W24" s="54" t="s">
        <v>229</v>
      </c>
      <c r="X24"/>
      <c r="Y24"/>
      <c r="Z24"/>
    </row>
    <row r="25" spans="1:26" ht="15" customHeight="1" x14ac:dyDescent="0.25">
      <c r="A25" s="101" t="s">
        <v>19</v>
      </c>
      <c r="B25" s="101"/>
      <c r="C25" s="101"/>
      <c r="D25" s="101"/>
      <c r="E25" s="121" t="str">
        <f>IF(AND(G19="Mumbai"),"Upper Class","Middle Class")</f>
        <v>Upper Class</v>
      </c>
      <c r="F25" s="121"/>
      <c r="G25" s="121"/>
      <c r="H25" s="121"/>
      <c r="S25" s="54"/>
      <c r="T25" s="54"/>
      <c r="U25" s="54"/>
      <c r="V25" s="54" t="s">
        <v>213</v>
      </c>
      <c r="W25" s="54" t="s">
        <v>230</v>
      </c>
      <c r="X25"/>
      <c r="Y25"/>
      <c r="Z25"/>
    </row>
    <row r="26" spans="1:26" x14ac:dyDescent="0.25">
      <c r="A26" s="101" t="s">
        <v>20</v>
      </c>
      <c r="B26" s="101"/>
      <c r="C26" s="101"/>
      <c r="D26" s="101"/>
      <c r="E26" s="121" t="s">
        <v>21</v>
      </c>
      <c r="F26" s="121"/>
      <c r="G26" s="121"/>
      <c r="H26" s="121"/>
      <c r="S26" s="54"/>
      <c r="T26" s="54"/>
      <c r="U26" s="54"/>
      <c r="V26" s="54" t="s">
        <v>214</v>
      </c>
      <c r="W26" s="54" t="s">
        <v>231</v>
      </c>
      <c r="X26"/>
      <c r="Y26"/>
      <c r="Z26"/>
    </row>
    <row r="27" spans="1:26" ht="15.75" customHeight="1" x14ac:dyDescent="0.25">
      <c r="A27" s="101" t="s">
        <v>22</v>
      </c>
      <c r="B27" s="101"/>
      <c r="C27" s="101"/>
      <c r="D27" s="101"/>
      <c r="E27" s="121" t="str">
        <f>IF(AND(G19="Mumbai"),"Developed","Developing")</f>
        <v>Developed</v>
      </c>
      <c r="F27" s="121"/>
      <c r="G27" s="121"/>
      <c r="H27" s="121"/>
    </row>
    <row r="28" spans="1:26" x14ac:dyDescent="0.25">
      <c r="A28" s="101" t="s">
        <v>23</v>
      </c>
      <c r="B28" s="101"/>
      <c r="C28" s="101"/>
      <c r="D28" s="101"/>
      <c r="E28" s="121" t="s">
        <v>24</v>
      </c>
      <c r="F28" s="121"/>
      <c r="G28" s="121"/>
      <c r="H28" s="121"/>
    </row>
    <row r="29" spans="1:26" ht="15.75" customHeight="1" x14ac:dyDescent="0.25">
      <c r="A29" s="101" t="s">
        <v>80</v>
      </c>
      <c r="B29" s="101"/>
      <c r="C29" s="101"/>
      <c r="D29" s="101"/>
      <c r="E29" s="121" t="s">
        <v>81</v>
      </c>
      <c r="F29" s="121"/>
      <c r="G29" s="121"/>
      <c r="H29" s="121"/>
    </row>
    <row r="30" spans="1:26" ht="16.5" customHeight="1" x14ac:dyDescent="0.25">
      <c r="A30" s="101" t="s">
        <v>32</v>
      </c>
      <c r="B30" s="101"/>
      <c r="C30" s="101"/>
      <c r="D30" s="101"/>
      <c r="E30" s="121" t="s">
        <v>267</v>
      </c>
      <c r="F30" s="121"/>
      <c r="G30" s="121"/>
      <c r="H30" s="121"/>
      <c r="I30" s="21" t="str">
        <f>IF(AND(ISNUMBER(SEARCH("Flat",D60)),ISNUMBER(SEARCH("Shop",D60)),ISNUMBER(SEARCH("Office",D60))),"Residential + Commercial",IF(AND(ISNUMBER(SEARCH("Flat",D60)),ISNUMBER(SEARCH("Shop",D60))),"Residential + Commercial",IF(AND(ISNUMBER(SEARCH("Flat",D60)),ISNUMBER(SEARCH("Office",D60))),"Residential + Commercial",IF(AND(ISNUMBER(SEARCH("Shop",D60)),ISNUMBER(SEARCH("Office",D60))),"Commercial",IF(ISNUMBER(SEARCH("Shop",D60)),"Commercial",IF(ISNUMBER(SEARCH("Office",D60)),"Commercial",IF(ISNUMBER(SEARCH("Flat",D60)),"Residential")))))))</f>
        <v>Residential</v>
      </c>
    </row>
    <row r="31" spans="1:26" ht="15.75" customHeight="1" x14ac:dyDescent="0.25">
      <c r="A31" s="101" t="s">
        <v>92</v>
      </c>
      <c r="B31" s="101"/>
      <c r="C31" s="101"/>
      <c r="D31" s="101"/>
      <c r="E31" s="121" t="s">
        <v>33</v>
      </c>
      <c r="F31" s="121"/>
      <c r="G31" s="121"/>
      <c r="H31" s="121"/>
    </row>
    <row r="32" spans="1:26" s="22" customFormat="1" x14ac:dyDescent="0.25">
      <c r="A32" s="170" t="s">
        <v>93</v>
      </c>
      <c r="B32" s="170"/>
      <c r="C32" s="99" t="s">
        <v>179</v>
      </c>
      <c r="D32" s="99"/>
      <c r="E32" s="99"/>
      <c r="F32" s="99" t="s">
        <v>30</v>
      </c>
      <c r="G32" s="99"/>
      <c r="H32" s="99"/>
    </row>
    <row r="33" spans="1:11" s="22" customFormat="1" x14ac:dyDescent="0.25">
      <c r="A33" s="169" t="s">
        <v>25</v>
      </c>
      <c r="B33" s="169" t="s">
        <v>29</v>
      </c>
      <c r="C33" s="167" t="s">
        <v>261</v>
      </c>
      <c r="D33" s="167"/>
      <c r="E33" s="167"/>
      <c r="F33" s="167" t="s">
        <v>257</v>
      </c>
      <c r="G33" s="167"/>
      <c r="H33" s="167"/>
    </row>
    <row r="34" spans="1:11" x14ac:dyDescent="0.25">
      <c r="A34" s="169" t="s">
        <v>26</v>
      </c>
      <c r="B34" s="169" t="s">
        <v>29</v>
      </c>
      <c r="C34" s="167" t="s">
        <v>266</v>
      </c>
      <c r="D34" s="167"/>
      <c r="E34" s="167"/>
      <c r="F34" s="167" t="s">
        <v>256</v>
      </c>
      <c r="G34" s="167"/>
      <c r="H34" s="167"/>
    </row>
    <row r="35" spans="1:11" s="22" customFormat="1" x14ac:dyDescent="0.25">
      <c r="A35" s="169" t="s">
        <v>28</v>
      </c>
      <c r="B35" s="169" t="s">
        <v>29</v>
      </c>
      <c r="C35" s="167" t="s">
        <v>265</v>
      </c>
      <c r="D35" s="167"/>
      <c r="E35" s="167"/>
      <c r="F35" s="167" t="s">
        <v>255</v>
      </c>
      <c r="G35" s="167"/>
      <c r="H35" s="167"/>
    </row>
    <row r="36" spans="1:11" x14ac:dyDescent="0.25">
      <c r="A36" s="169" t="s">
        <v>27</v>
      </c>
      <c r="B36" s="169" t="s">
        <v>29</v>
      </c>
      <c r="C36" s="167" t="s">
        <v>266</v>
      </c>
      <c r="D36" s="167"/>
      <c r="E36" s="167"/>
      <c r="F36" s="167" t="s">
        <v>257</v>
      </c>
      <c r="G36" s="167"/>
      <c r="H36" s="167"/>
    </row>
    <row r="37" spans="1:11" x14ac:dyDescent="0.25">
      <c r="A37" s="101" t="s">
        <v>31</v>
      </c>
      <c r="B37" s="101"/>
      <c r="C37" s="101"/>
      <c r="D37" s="101"/>
      <c r="E37" s="101"/>
      <c r="F37" s="101"/>
      <c r="G37" s="101"/>
      <c r="H37" s="101"/>
    </row>
    <row r="38" spans="1:11" ht="15.75" customHeight="1" x14ac:dyDescent="0.25">
      <c r="A38" s="101" t="s">
        <v>170</v>
      </c>
      <c r="B38" s="101"/>
      <c r="C38" s="101" t="s">
        <v>253</v>
      </c>
      <c r="D38" s="101"/>
      <c r="E38" s="101"/>
      <c r="F38" s="101"/>
      <c r="G38" s="101"/>
      <c r="H38" s="101"/>
      <c r="I38" s="22"/>
    </row>
    <row r="39" spans="1:11" x14ac:dyDescent="0.25">
      <c r="A39" s="101" t="s">
        <v>166</v>
      </c>
      <c r="B39" s="101"/>
      <c r="C39" s="185" t="s">
        <v>254</v>
      </c>
      <c r="D39" s="121"/>
      <c r="E39" s="121"/>
      <c r="F39" s="121"/>
      <c r="G39" s="121"/>
      <c r="H39" s="121"/>
    </row>
    <row r="40" spans="1:11" x14ac:dyDescent="0.25">
      <c r="A40" s="122" t="s">
        <v>34</v>
      </c>
      <c r="B40" s="122"/>
      <c r="C40" s="122"/>
      <c r="D40" s="122"/>
      <c r="E40" s="122"/>
      <c r="F40" s="122"/>
      <c r="G40" s="122"/>
      <c r="H40" s="122"/>
    </row>
    <row r="41" spans="1:11" x14ac:dyDescent="0.25">
      <c r="A41" s="101" t="s">
        <v>35</v>
      </c>
      <c r="B41" s="101"/>
      <c r="C41" s="101"/>
      <c r="D41" s="101"/>
      <c r="E41" s="174">
        <v>2310.38</v>
      </c>
      <c r="F41" s="174"/>
      <c r="G41" s="174"/>
      <c r="H41" s="174"/>
    </row>
    <row r="42" spans="1:11" x14ac:dyDescent="0.25">
      <c r="A42" s="101" t="s">
        <v>36</v>
      </c>
      <c r="B42" s="101"/>
      <c r="C42" s="101"/>
      <c r="D42" s="101"/>
      <c r="E42" s="107">
        <v>3</v>
      </c>
      <c r="F42" s="107"/>
      <c r="G42" s="107"/>
      <c r="H42" s="107"/>
      <c r="I42" s="55" t="s">
        <v>263</v>
      </c>
      <c r="K42" s="21">
        <f>6931.14/E41</f>
        <v>3</v>
      </c>
    </row>
    <row r="43" spans="1:11" x14ac:dyDescent="0.25">
      <c r="A43" s="101" t="s">
        <v>37</v>
      </c>
      <c r="B43" s="101"/>
      <c r="C43" s="101"/>
      <c r="D43" s="101"/>
      <c r="E43" s="107">
        <f>E45/E41-E42</f>
        <v>3.1222006769449182</v>
      </c>
      <c r="F43" s="107"/>
      <c r="G43" s="107"/>
      <c r="H43" s="107"/>
      <c r="I43" s="21">
        <f>E45/E41-E42</f>
        <v>3.1222006769449182</v>
      </c>
    </row>
    <row r="44" spans="1:11" x14ac:dyDescent="0.25">
      <c r="A44" s="101" t="s">
        <v>38</v>
      </c>
      <c r="B44" s="101"/>
      <c r="C44" s="101"/>
      <c r="D44" s="101"/>
      <c r="E44" s="107">
        <f>E42+E43</f>
        <v>6.1222006769449182</v>
      </c>
      <c r="F44" s="107"/>
      <c r="G44" s="107"/>
      <c r="H44" s="107"/>
      <c r="I44" s="56">
        <f>E42+E43</f>
        <v>6.1222006769449182</v>
      </c>
    </row>
    <row r="45" spans="1:11" x14ac:dyDescent="0.25">
      <c r="A45" s="101" t="s">
        <v>91</v>
      </c>
      <c r="B45" s="101"/>
      <c r="C45" s="101"/>
      <c r="D45" s="101"/>
      <c r="E45" s="103">
        <v>14144.61</v>
      </c>
      <c r="F45" s="103"/>
      <c r="G45" s="103"/>
      <c r="H45" s="103"/>
      <c r="I45" s="22"/>
    </row>
    <row r="46" spans="1:11" x14ac:dyDescent="0.25">
      <c r="A46" s="104" t="s">
        <v>39</v>
      </c>
      <c r="B46" s="104"/>
      <c r="C46" s="104"/>
      <c r="D46" s="104"/>
      <c r="E46" s="104" t="s">
        <v>262</v>
      </c>
      <c r="F46" s="104"/>
      <c r="G46" s="104"/>
      <c r="H46" s="104"/>
    </row>
    <row r="47" spans="1:11" x14ac:dyDescent="0.25">
      <c r="A47" s="122" t="s">
        <v>40</v>
      </c>
      <c r="B47" s="122"/>
      <c r="C47" s="122"/>
      <c r="D47" s="122"/>
      <c r="E47" s="122"/>
      <c r="F47" s="122"/>
      <c r="G47" s="122"/>
      <c r="H47" s="122"/>
    </row>
    <row r="48" spans="1:11" ht="33.75" customHeight="1" x14ac:dyDescent="0.25">
      <c r="A48" s="115" t="s">
        <v>155</v>
      </c>
      <c r="B48" s="116"/>
      <c r="C48" s="190" t="s">
        <v>264</v>
      </c>
      <c r="D48" s="191"/>
      <c r="E48" s="191"/>
      <c r="F48" s="191"/>
      <c r="G48" s="191"/>
      <c r="H48" s="192"/>
    </row>
    <row r="49" spans="1:9" ht="15.75" customHeight="1" x14ac:dyDescent="0.25">
      <c r="A49" s="115" t="s">
        <v>41</v>
      </c>
      <c r="B49" s="116"/>
      <c r="C49" s="115" t="s">
        <v>277</v>
      </c>
      <c r="D49" s="117"/>
      <c r="E49" s="116"/>
      <c r="F49" s="18" t="s">
        <v>42</v>
      </c>
      <c r="G49" s="118">
        <v>45309</v>
      </c>
      <c r="H49" s="116"/>
      <c r="I49" s="22" t="s">
        <v>274</v>
      </c>
    </row>
    <row r="50" spans="1:9" x14ac:dyDescent="0.25">
      <c r="A50" s="115" t="s">
        <v>43</v>
      </c>
      <c r="B50" s="116"/>
      <c r="C50" s="115" t="str">
        <f>C49</f>
        <v>Mhada-9/1242/2024</v>
      </c>
      <c r="D50" s="117"/>
      <c r="E50" s="116"/>
      <c r="F50" s="18" t="s">
        <v>42</v>
      </c>
      <c r="G50" s="118">
        <f>G49</f>
        <v>45309</v>
      </c>
      <c r="H50" s="119"/>
    </row>
    <row r="51" spans="1:9" s="23" customFormat="1" ht="31.9" customHeight="1" x14ac:dyDescent="0.25">
      <c r="A51" s="181" t="s">
        <v>159</v>
      </c>
      <c r="B51" s="182"/>
      <c r="C51" s="115" t="s">
        <v>298</v>
      </c>
      <c r="D51" s="117"/>
      <c r="E51" s="116"/>
      <c r="F51" s="18" t="s">
        <v>42</v>
      </c>
      <c r="G51" s="118">
        <v>45386</v>
      </c>
      <c r="H51" s="119"/>
    </row>
    <row r="52" spans="1:9" s="23" customFormat="1" ht="97.15" customHeight="1" x14ac:dyDescent="0.25">
      <c r="A52" s="199"/>
      <c r="B52" s="200"/>
      <c r="C52" s="115" t="s">
        <v>299</v>
      </c>
      <c r="D52" s="117"/>
      <c r="E52" s="116"/>
      <c r="F52" s="18" t="s">
        <v>122</v>
      </c>
      <c r="G52" s="118">
        <v>45718</v>
      </c>
      <c r="H52" s="116"/>
    </row>
    <row r="53" spans="1:9" s="23" customFormat="1" ht="31.9" customHeight="1" x14ac:dyDescent="0.25">
      <c r="A53" s="199"/>
      <c r="B53" s="200"/>
      <c r="C53" s="115" t="s">
        <v>300</v>
      </c>
      <c r="D53" s="117"/>
      <c r="E53" s="116"/>
      <c r="F53" s="18" t="s">
        <v>42</v>
      </c>
      <c r="G53" s="118">
        <v>45630</v>
      </c>
      <c r="H53" s="119"/>
    </row>
    <row r="54" spans="1:9" s="23" customFormat="1" ht="97.15" customHeight="1" x14ac:dyDescent="0.25">
      <c r="A54" s="199"/>
      <c r="B54" s="200"/>
      <c r="C54" s="115" t="s">
        <v>301</v>
      </c>
      <c r="D54" s="117"/>
      <c r="E54" s="116"/>
      <c r="F54" s="18" t="s">
        <v>122</v>
      </c>
      <c r="G54" s="118">
        <v>45718</v>
      </c>
      <c r="H54" s="116"/>
    </row>
    <row r="55" spans="1:9" s="23" customFormat="1" ht="31.9" customHeight="1" x14ac:dyDescent="0.25">
      <c r="A55" s="199"/>
      <c r="B55" s="200"/>
      <c r="C55" s="67" t="s">
        <v>304</v>
      </c>
      <c r="D55" s="67"/>
      <c r="E55" s="67"/>
      <c r="F55" s="18" t="s">
        <v>42</v>
      </c>
      <c r="G55" s="68">
        <v>45797</v>
      </c>
      <c r="H55" s="68"/>
    </row>
    <row r="56" spans="1:9" s="23" customFormat="1" ht="65.45" customHeight="1" x14ac:dyDescent="0.25">
      <c r="A56" s="183"/>
      <c r="B56" s="184"/>
      <c r="C56" s="67" t="s">
        <v>305</v>
      </c>
      <c r="D56" s="67"/>
      <c r="E56" s="67"/>
      <c r="F56" s="18" t="s">
        <v>122</v>
      </c>
      <c r="G56" s="68">
        <v>46083</v>
      </c>
      <c r="H56" s="67"/>
    </row>
    <row r="57" spans="1:9" x14ac:dyDescent="0.25">
      <c r="A57" s="102" t="s">
        <v>44</v>
      </c>
      <c r="B57" s="102"/>
      <c r="C57" s="102" t="s">
        <v>105</v>
      </c>
      <c r="D57" s="102"/>
      <c r="E57" s="102"/>
      <c r="F57" s="64" t="s">
        <v>42</v>
      </c>
      <c r="G57" s="122" t="s">
        <v>29</v>
      </c>
      <c r="H57" s="122"/>
    </row>
    <row r="58" spans="1:9" x14ac:dyDescent="0.25">
      <c r="A58" s="120" t="s">
        <v>46</v>
      </c>
      <c r="B58" s="120"/>
      <c r="C58" s="120"/>
      <c r="D58" s="120"/>
      <c r="E58" s="120"/>
      <c r="F58" s="120"/>
      <c r="G58" s="120"/>
      <c r="H58" s="120"/>
    </row>
    <row r="59" spans="1:9" x14ac:dyDescent="0.25">
      <c r="A59" s="67" t="s">
        <v>90</v>
      </c>
      <c r="B59" s="67"/>
      <c r="C59" s="67"/>
      <c r="D59" s="103">
        <f>E45</f>
        <v>14144.61</v>
      </c>
      <c r="E59" s="104"/>
      <c r="F59" s="104"/>
      <c r="G59" s="104"/>
      <c r="H59" s="104"/>
      <c r="I59" s="57">
        <f>E45</f>
        <v>14144.61</v>
      </c>
    </row>
    <row r="60" spans="1:9" x14ac:dyDescent="0.25">
      <c r="A60" s="121" t="s">
        <v>47</v>
      </c>
      <c r="B60" s="104"/>
      <c r="C60" s="104"/>
      <c r="D60" s="104" t="s">
        <v>294</v>
      </c>
      <c r="E60" s="104"/>
      <c r="F60" s="104"/>
      <c r="G60" s="104"/>
      <c r="H60" s="104"/>
      <c r="I60" s="24" t="s">
        <v>152</v>
      </c>
    </row>
    <row r="61" spans="1:9" ht="15.75" customHeight="1" x14ac:dyDescent="0.25">
      <c r="A61" s="126" t="s">
        <v>48</v>
      </c>
      <c r="B61" s="127"/>
      <c r="C61" s="180"/>
      <c r="D61" s="104" t="s">
        <v>268</v>
      </c>
      <c r="E61" s="104"/>
      <c r="F61" s="104"/>
      <c r="G61" s="104"/>
      <c r="H61" s="104"/>
    </row>
    <row r="62" spans="1:9" ht="15.75" customHeight="1" x14ac:dyDescent="0.25">
      <c r="A62" s="126" t="s">
        <v>88</v>
      </c>
      <c r="B62" s="127"/>
      <c r="C62" s="127"/>
      <c r="D62" s="104" t="s">
        <v>268</v>
      </c>
      <c r="E62" s="104"/>
      <c r="F62" s="104"/>
      <c r="G62" s="104"/>
      <c r="H62" s="104"/>
    </row>
    <row r="63" spans="1:9" ht="15.75" hidden="1" customHeight="1" x14ac:dyDescent="0.25">
      <c r="A63" s="128"/>
      <c r="B63" s="129"/>
      <c r="C63" s="129"/>
      <c r="D63" s="132" t="s">
        <v>172</v>
      </c>
      <c r="E63" s="133"/>
      <c r="F63" s="133"/>
      <c r="G63" s="133"/>
      <c r="H63" s="134"/>
    </row>
    <row r="64" spans="1:9" ht="15.75" hidden="1" customHeight="1" x14ac:dyDescent="0.25">
      <c r="A64" s="130"/>
      <c r="B64" s="131"/>
      <c r="C64" s="131"/>
      <c r="D64" s="123" t="s">
        <v>175</v>
      </c>
      <c r="E64" s="124"/>
      <c r="F64" s="124"/>
      <c r="G64" s="124"/>
      <c r="H64" s="125"/>
    </row>
    <row r="65" spans="1:14" ht="15.75" customHeight="1" x14ac:dyDescent="0.25">
      <c r="A65" s="101" t="s">
        <v>45</v>
      </c>
      <c r="B65" s="101"/>
      <c r="C65" s="101"/>
      <c r="D65" s="175" t="s">
        <v>269</v>
      </c>
      <c r="E65" s="175"/>
      <c r="F65" s="175"/>
      <c r="G65" s="175"/>
      <c r="H65" s="175"/>
      <c r="J65" s="25"/>
      <c r="K65" s="24"/>
      <c r="N65" s="24"/>
    </row>
    <row r="66" spans="1:14" ht="15.75" customHeight="1" x14ac:dyDescent="0.25">
      <c r="A66" s="101" t="s">
        <v>86</v>
      </c>
      <c r="B66" s="101"/>
      <c r="C66" s="101"/>
      <c r="D66" s="176" t="str">
        <f>(IF(G57="NA","60 Years After Completion",IF(G57&lt;&gt;"NA",""&amp;60-ROUNDDOWN((E3-G57)/360,0)&amp;" Years"," ")))</f>
        <v>60 Years After Completion</v>
      </c>
      <c r="E66" s="176"/>
      <c r="F66" s="176"/>
      <c r="G66" s="176"/>
      <c r="H66" s="176"/>
      <c r="N66" s="24"/>
    </row>
    <row r="67" spans="1:14" ht="15.75" customHeight="1" x14ac:dyDescent="0.25">
      <c r="A67" s="101" t="s">
        <v>87</v>
      </c>
      <c r="B67" s="101"/>
      <c r="C67" s="101"/>
      <c r="D67" s="67" t="s">
        <v>24</v>
      </c>
      <c r="E67" s="67"/>
      <c r="F67" s="67"/>
      <c r="G67" s="67"/>
      <c r="H67" s="67"/>
      <c r="J67" s="26"/>
      <c r="K67" s="26"/>
    </row>
    <row r="68" spans="1:14" ht="33" customHeight="1" x14ac:dyDescent="0.25">
      <c r="A68" s="104" t="s">
        <v>272</v>
      </c>
      <c r="B68" s="104"/>
      <c r="C68" s="104"/>
      <c r="D68" s="121" t="s">
        <v>271</v>
      </c>
      <c r="E68" s="121"/>
      <c r="F68" s="121"/>
      <c r="G68" s="121"/>
      <c r="H68" s="121"/>
      <c r="I68" s="58" t="s">
        <v>270</v>
      </c>
    </row>
    <row r="69" spans="1:14" x14ac:dyDescent="0.25">
      <c r="A69" s="67" t="s">
        <v>150</v>
      </c>
      <c r="B69" s="67"/>
      <c r="C69" s="67"/>
      <c r="D69" s="67" t="s">
        <v>29</v>
      </c>
      <c r="E69" s="67"/>
      <c r="F69" s="67"/>
      <c r="G69" s="67"/>
      <c r="H69" s="67"/>
      <c r="I69" s="27"/>
      <c r="J69" s="27"/>
      <c r="K69" s="27"/>
      <c r="L69" s="27"/>
      <c r="M69" s="27"/>
      <c r="N69" s="27"/>
    </row>
    <row r="70" spans="1:14" ht="15.75" customHeight="1" x14ac:dyDescent="0.25">
      <c r="A70" s="164" t="s">
        <v>85</v>
      </c>
      <c r="B70" s="164"/>
      <c r="C70" s="164"/>
      <c r="D70" s="162" t="str">
        <f ca="1">(IF(G76&gt;95%,"Nothing",IF(G76&gt;0%,"Cement, Aggregate, Steel, etc",IF(G76=0%,"Work not yet Started"))))</f>
        <v>Cement, Aggregate, Steel, etc</v>
      </c>
      <c r="E70" s="162"/>
      <c r="F70" s="162"/>
      <c r="G70" s="162"/>
      <c r="H70" s="162"/>
      <c r="J70" s="26"/>
    </row>
    <row r="71" spans="1:14" ht="33.75" customHeight="1" thickBot="1" x14ac:dyDescent="0.3">
      <c r="A71" s="161" t="s">
        <v>118</v>
      </c>
      <c r="B71" s="161"/>
      <c r="C71" s="161"/>
      <c r="D71" s="162" t="str">
        <f ca="1">(IF(D70="Nothing","Yes",IF(D70="Cement, Aggregate, Steel, etc","Under Construction",IF(D70="Work not yet Started","Work not yet Started"))))</f>
        <v>Under Construction</v>
      </c>
      <c r="E71" s="162"/>
      <c r="F71" s="162" t="str">
        <f ca="1">(IF(D70="Nothing","Yes",IF(D70="Cement, Aggregate, Steel, etc","Under Construction",IF(D70="Work not yet Started","Work not yet Started"))))</f>
        <v>Under Construction</v>
      </c>
      <c r="G71" s="162"/>
      <c r="H71" s="162"/>
    </row>
    <row r="72" spans="1:14" ht="15.75" customHeight="1" x14ac:dyDescent="0.25">
      <c r="A72" s="108" t="s">
        <v>141</v>
      </c>
      <c r="B72" s="109"/>
      <c r="C72" s="110" t="str">
        <f>D62</f>
        <v>Wing A, B, &amp; C = Gr + 1st to 21st Floor</v>
      </c>
      <c r="D72" s="111"/>
      <c r="E72" s="111"/>
      <c r="F72" s="111"/>
      <c r="G72" s="111"/>
      <c r="H72" s="112"/>
      <c r="I72" s="48" t="str">
        <f ca="1">IF(D85=100%,"All work Completed. Possession granted to the Building.",IF(D84=100%,"All work Completed, Waiting for OC",I73&amp;""&amp;I74&amp;""&amp;J73&amp;""&amp;J72&amp;" "&amp;J74))</f>
        <v>Excavation, Plinth Completed, RCC upto 17 Slab, Brickwork upto 16 Floor, Internal Plaster upto 12 Floor, External Plaster upto 10.4 Floor Completed</v>
      </c>
      <c r="J72" s="49" t="str">
        <f ca="1">(IF(C78=(D73+F73+H73),"",IF(C78&gt;0,", RCC upto "&amp;C78&amp;" Slab","")))&amp;(IF(C79=H73,"",IF(C79&gt;0,", Brickwork upto "&amp;C79&amp;" Floor","")))&amp;(IF(C80=H73,"",IF(C80&gt;0,", Internal Plaster upto "&amp;C80&amp;" Floor","")))&amp;(IF(C81=H73,"",IF(C81&gt;0,", External Plaster upto "&amp;C81&amp;" Floor","")))&amp;(IF(C82=H73,"",IF(C82&gt;0,", Flooring upto "&amp;C82&amp;" Floor","")))&amp;(IF(C83=H73,"",IF(C83&gt;0,", Painting upto "&amp;C83&amp;" Floor","")))&amp;(IF(C84=H73,"",IF(C84&gt;0,", Finishing upto "&amp;C84&amp;" Floor","")))&amp;(IF(C85=H73,"",IF(C85&gt;0,", Possession upto "&amp;C85&amp;" Floor","")))</f>
        <v>, RCC upto 17 Slab, Brickwork upto 16 Floor, Internal Plaster upto 12 Floor, External Plaster upto 10.4 Floor</v>
      </c>
    </row>
    <row r="73" spans="1:14" x14ac:dyDescent="0.25">
      <c r="A73" s="16" t="s">
        <v>143</v>
      </c>
      <c r="B73" s="46">
        <f>IF(AND(ISNUMBER(SEARCH("1B",C72))),1,IF(AND(ISNUMBER(SEARCH("2B",C72))),2,IF(AND(ISNUMBER(SEARCH("3B",C72))),3,IF(AND(ISNUMBER(SEARCH("4B",C72))),4,IF(ISNUMBER(SEARCH("5B",C72)),5,0)))))</f>
        <v>0</v>
      </c>
      <c r="C73" s="46" t="s">
        <v>71</v>
      </c>
      <c r="D73" s="46">
        <v>1</v>
      </c>
      <c r="E73" s="46" t="s">
        <v>70</v>
      </c>
      <c r="F73" s="46">
        <v>0</v>
      </c>
      <c r="G73" s="47" t="s">
        <v>79</v>
      </c>
      <c r="H73" s="17">
        <f ca="1">--TRIM(RIGHT(SUBSTITUTE(LEFT(C72,_xlfn.AGGREGATE(16,6,FIND({0,1,2,3,4,5,6,7,8,9},C72,ROW(INDIRECT("1:"&amp;LEN(C72)))),1))," ",REPT(" ",LEN(C72))),LEN(C72)))</f>
        <v>21</v>
      </c>
      <c r="I73" s="50" t="str">
        <f ca="1">IF(D76=100%,"Excavation","")&amp;IF(D77=100%,", Plinth","")&amp;IF(D78=100%,", RCC Slab","")&amp;IF(D79=100%,", Brickwork","")&amp;IF(D80=100%,", Internal Plaster","")&amp;IF(D81=100%,", External Plaster","")&amp;IF(D82=100%,", Flooring","")&amp;IF(D83=100%,", Painting","")&amp;IF(D84=100%,", Building common Amenities","")</f>
        <v>Excavation, Plinth</v>
      </c>
      <c r="J73" s="51" t="str">
        <f ca="1">(IF(C76=0,"Work not yet Started.",IF(D76=25%,"Piling work in process",IF(D76=50%,"Excavation work in process",IF(D76=100%,"","0")))))&amp;(IF(C77=0%,"",IF(C77=J78,", Footing work is process",IF(C77=J79,", Footing work Completed",IF(C77=J80,", 1st Basement Completed",IF(C77=J81,", 1st &amp; 2nd Basement Completed",IF(C77=J82,", 1st to 3rd Basement Completed",IF(C77=J83,", 1st to 4th Basement Completed",IF(C77=J84,", Plinth work is process",IF(C77=J85,"","0"))))))))))</f>
        <v/>
      </c>
    </row>
    <row r="74" spans="1:14" ht="33.6" customHeight="1" x14ac:dyDescent="0.25">
      <c r="A74" s="135" t="s">
        <v>89</v>
      </c>
      <c r="B74" s="136"/>
      <c r="C74" s="177" t="str">
        <f ca="1">I72</f>
        <v>Excavation, Plinth Completed, RCC upto 17 Slab, Brickwork upto 16 Floor, Internal Plaster upto 12 Floor, External Plaster upto 10.4 Floor Completed</v>
      </c>
      <c r="D74" s="177"/>
      <c r="E74" s="177"/>
      <c r="F74" s="177"/>
      <c r="G74" s="177"/>
      <c r="H74" s="178"/>
      <c r="I74" s="50" t="str">
        <f ca="1">IF(I73&lt;&gt;""," Completed","")</f>
        <v xml:space="preserve"> Completed</v>
      </c>
      <c r="J74" s="51" t="str">
        <f ca="1">IF(J72&lt;&gt;"","Completed","")</f>
        <v>Completed</v>
      </c>
    </row>
    <row r="75" spans="1:14" ht="15.75" customHeight="1" x14ac:dyDescent="0.25">
      <c r="A75" s="113" t="s">
        <v>49</v>
      </c>
      <c r="B75" s="114"/>
      <c r="C75" s="43" t="s">
        <v>140</v>
      </c>
      <c r="D75" s="43" t="s">
        <v>82</v>
      </c>
      <c r="E75" s="114" t="s">
        <v>84</v>
      </c>
      <c r="F75" s="114"/>
      <c r="G75" s="114" t="s">
        <v>83</v>
      </c>
      <c r="H75" s="163"/>
      <c r="I75" s="13" t="s">
        <v>142</v>
      </c>
      <c r="J75" s="28">
        <f ca="1">H73*25%</f>
        <v>5.25</v>
      </c>
    </row>
    <row r="76" spans="1:14" x14ac:dyDescent="0.25">
      <c r="A76" s="113" t="s">
        <v>129</v>
      </c>
      <c r="B76" s="114"/>
      <c r="C76" s="43">
        <f ca="1">J77</f>
        <v>21</v>
      </c>
      <c r="D76" s="19">
        <f ca="1">((100/H73)*C76)/100</f>
        <v>1</v>
      </c>
      <c r="E76" s="150">
        <f ca="1">(((C77/H73*10)+(40/(D73+F73+H73)*C78)+(7.5/(H73)*C79)+(7.5/(H73)*C80)+(10/H73*C81)+(10/H73*C82)+(5/H73*C83)+(5/H73*C84)+(5/H73*C85))/100)</f>
        <v>0.55861471861471856</v>
      </c>
      <c r="F76" s="151"/>
      <c r="G76" s="150">
        <f ca="1">((((C76/H73)*20)+((C77/H73)*25)+(30/(H73+F73+D73)*C78)+(5/H73*C79)+(5/H73*C80)+(5/H73*C81)+(5/H73*C82)+(0/H73*C83)+(0/H73*C84)+(5/H73*C85))/100)</f>
        <v>0.7732467532467534</v>
      </c>
      <c r="H76" s="171"/>
      <c r="I76" s="13" t="s">
        <v>100</v>
      </c>
      <c r="J76" s="29">
        <f ca="1">H73*50%</f>
        <v>10.5</v>
      </c>
    </row>
    <row r="77" spans="1:14" x14ac:dyDescent="0.25">
      <c r="A77" s="113" t="s">
        <v>50</v>
      </c>
      <c r="B77" s="114"/>
      <c r="C77" s="52">
        <f ca="1">J85</f>
        <v>21</v>
      </c>
      <c r="D77" s="19">
        <f ca="1">((100/H73)*C77)/100</f>
        <v>1</v>
      </c>
      <c r="E77" s="152"/>
      <c r="F77" s="153"/>
      <c r="G77" s="152"/>
      <c r="H77" s="172"/>
      <c r="I77" s="13" t="s">
        <v>101</v>
      </c>
      <c r="J77" s="29">
        <f ca="1">H73</f>
        <v>21</v>
      </c>
    </row>
    <row r="78" spans="1:14" ht="15.75" customHeight="1" x14ac:dyDescent="0.25">
      <c r="A78" s="113" t="s">
        <v>130</v>
      </c>
      <c r="B78" s="114"/>
      <c r="C78" s="43">
        <v>17</v>
      </c>
      <c r="D78" s="19">
        <f ca="1">((100/(D73+F73+H73))*C78)/100</f>
        <v>0.77272727272727282</v>
      </c>
      <c r="E78" s="152"/>
      <c r="F78" s="153"/>
      <c r="G78" s="152"/>
      <c r="H78" s="172"/>
      <c r="I78" s="13" t="s">
        <v>102</v>
      </c>
      <c r="J78" s="30">
        <f ca="1">(IF(B73&gt;1,(H73/(B73+2)),H73/4))</f>
        <v>5.25</v>
      </c>
    </row>
    <row r="79" spans="1:14" ht="15.75" customHeight="1" x14ac:dyDescent="0.25">
      <c r="A79" s="113" t="s">
        <v>137</v>
      </c>
      <c r="B79" s="114" t="s">
        <v>131</v>
      </c>
      <c r="C79" s="43">
        <f>C78-1</f>
        <v>16</v>
      </c>
      <c r="D79" s="19">
        <f ca="1">((100/H73)*C79)/100</f>
        <v>0.76190476190476186</v>
      </c>
      <c r="E79" s="152"/>
      <c r="F79" s="153"/>
      <c r="G79" s="152"/>
      <c r="H79" s="172"/>
      <c r="I79" s="13" t="s">
        <v>103</v>
      </c>
      <c r="J79" s="30">
        <f ca="1">(IF(B73&gt;1,(H73/(B73+2)+J78),H73/4+J78))</f>
        <v>10.5</v>
      </c>
    </row>
    <row r="80" spans="1:14" ht="15.75" customHeight="1" x14ac:dyDescent="0.25">
      <c r="A80" s="113" t="s">
        <v>138</v>
      </c>
      <c r="B80" s="114" t="s">
        <v>131</v>
      </c>
      <c r="C80" s="52">
        <f>C79*0.75</f>
        <v>12</v>
      </c>
      <c r="D80" s="19">
        <f ca="1">((100/H73)*C80)/100</f>
        <v>0.5714285714285714</v>
      </c>
      <c r="E80" s="152"/>
      <c r="F80" s="153"/>
      <c r="G80" s="152"/>
      <c r="H80" s="172"/>
      <c r="I80" s="13" t="s">
        <v>148</v>
      </c>
      <c r="J80" s="30">
        <f>(IF(B73&gt;1,(H73/(B73+2)+J79),0))</f>
        <v>0</v>
      </c>
    </row>
    <row r="81" spans="1:10" ht="15" customHeight="1" x14ac:dyDescent="0.25">
      <c r="A81" s="113" t="s">
        <v>136</v>
      </c>
      <c r="B81" s="114" t="s">
        <v>133</v>
      </c>
      <c r="C81" s="52">
        <f>C79*0.65</f>
        <v>10.4</v>
      </c>
      <c r="D81" s="19">
        <f ca="1">((100/(H73))*C81)/100</f>
        <v>0.49523809523809526</v>
      </c>
      <c r="E81" s="152"/>
      <c r="F81" s="153"/>
      <c r="G81" s="152"/>
      <c r="H81" s="172"/>
      <c r="I81" s="13" t="s">
        <v>144</v>
      </c>
      <c r="J81" s="30">
        <f>(IF(B73&gt;2,(H73/(B73+2)+J80),0))</f>
        <v>0</v>
      </c>
    </row>
    <row r="82" spans="1:10" ht="15.75" customHeight="1" x14ac:dyDescent="0.25">
      <c r="A82" s="113" t="s">
        <v>132</v>
      </c>
      <c r="B82" s="114" t="s">
        <v>132</v>
      </c>
      <c r="C82" s="43">
        <v>0</v>
      </c>
      <c r="D82" s="19">
        <f ca="1">((100/H73)*C82)/100</f>
        <v>0</v>
      </c>
      <c r="E82" s="152"/>
      <c r="F82" s="153"/>
      <c r="G82" s="152"/>
      <c r="H82" s="172"/>
      <c r="I82" s="13" t="s">
        <v>145</v>
      </c>
      <c r="J82" s="31">
        <f>(IF(B73&gt;3,(H73/(B73+2)+J81),0))</f>
        <v>0</v>
      </c>
    </row>
    <row r="83" spans="1:10" ht="15.75" customHeight="1" x14ac:dyDescent="0.25">
      <c r="A83" s="113" t="s">
        <v>139</v>
      </c>
      <c r="B83" s="114"/>
      <c r="C83" s="43">
        <v>0</v>
      </c>
      <c r="D83" s="19">
        <f ca="1">((100/H73)*C83)/100</f>
        <v>0</v>
      </c>
      <c r="E83" s="152"/>
      <c r="F83" s="153"/>
      <c r="G83" s="152"/>
      <c r="H83" s="172"/>
      <c r="I83" s="13" t="s">
        <v>146</v>
      </c>
      <c r="J83" s="30">
        <f>(IF(B73&gt;4,(H73/(B73+2)+J82),0))</f>
        <v>0</v>
      </c>
    </row>
    <row r="84" spans="1:10" ht="15.75" customHeight="1" x14ac:dyDescent="0.25">
      <c r="A84" s="113" t="s">
        <v>134</v>
      </c>
      <c r="B84" s="114" t="s">
        <v>134</v>
      </c>
      <c r="C84" s="43">
        <v>0</v>
      </c>
      <c r="D84" s="19">
        <f ca="1">((100/(H73))*C84)/100</f>
        <v>0</v>
      </c>
      <c r="E84" s="152"/>
      <c r="F84" s="153"/>
      <c r="G84" s="152"/>
      <c r="H84" s="172"/>
      <c r="I84" s="13" t="s">
        <v>149</v>
      </c>
      <c r="J84" s="30">
        <f ca="1">(IF(B73=1,(H73/(B73+3)+J79),IF(B73=0,(H73/4+J79),IF(B73&gt;1,0))))</f>
        <v>15.75</v>
      </c>
    </row>
    <row r="85" spans="1:10" ht="16.5" thickBot="1" x14ac:dyDescent="0.3">
      <c r="A85" s="156" t="s">
        <v>135</v>
      </c>
      <c r="B85" s="157"/>
      <c r="C85" s="44">
        <v>0</v>
      </c>
      <c r="D85" s="20">
        <f ca="1">((100/(H73))*C85)/100</f>
        <v>0</v>
      </c>
      <c r="E85" s="154"/>
      <c r="F85" s="155"/>
      <c r="G85" s="154"/>
      <c r="H85" s="173"/>
      <c r="I85" s="15" t="s">
        <v>104</v>
      </c>
      <c r="J85" s="32">
        <f ca="1">(IF(B73&gt;1.5,(H73/(B73+2)+J79+MAX(0,J80-J79)+MAX(0,J81-J80)+MAX(0,J82-J81)+MAX(0,J83-J82)+MAX(0,J84-J83)),IF(B73=1,(H73/(B73+3)+J84),IF(B73=0,H73/4+J84))))</f>
        <v>21</v>
      </c>
    </row>
    <row r="86" spans="1:10" ht="15.75" hidden="1" customHeight="1" x14ac:dyDescent="0.25">
      <c r="A86" s="108" t="s">
        <v>141</v>
      </c>
      <c r="B86" s="109"/>
      <c r="C86" s="110" t="str">
        <f>D63</f>
        <v>B Wing = 1B + G + 1st to 20th Floor</v>
      </c>
      <c r="D86" s="111"/>
      <c r="E86" s="111"/>
      <c r="F86" s="111"/>
      <c r="G86" s="111"/>
      <c r="H86" s="112"/>
      <c r="I86" s="48" t="str">
        <f ca="1">IF(D99=100%,"All work Completed. Possession granted to the Building.",IF(D98=100%,"All work Completed, Waiting for OC",I87&amp;""&amp;I88&amp;""&amp;J87&amp;""&amp;J86&amp;" "&amp;J88))</f>
        <v xml:space="preserve">Excavation, Plinth Completed </v>
      </c>
      <c r="J86" s="49" t="str">
        <f ca="1">(IF(C92=(D87+F87+H87),"",IF(C92&gt;0,", RCC upto "&amp;C92&amp;" Slab","")))&amp;(IF(C93=H87,"",IF(C93&gt;0,", Brickwork upto "&amp;C93&amp;" Floor","")))&amp;(IF(C94=H87,"",IF(C94&gt;0,", Internal Plaster upto "&amp;C94&amp;" Floor","")))&amp;(IF(C95=H87,"",IF(C95&gt;0,", External Plaster upto "&amp;C95&amp;" Floor","")))&amp;(IF(C96=H87,"",IF(C96&gt;0,", Flooring upto "&amp;C96&amp;" Floor","")))&amp;(IF(C97=H87,"",IF(C97&gt;0,", Painting upto "&amp;C97&amp;" Floor","")))&amp;(IF(C98=H87,"",IF(C98&gt;0,", Finishing upto "&amp;C98&amp;" Floor","")))&amp;(IF(C99=H87,"",IF(C99&gt;0,", Possession upto "&amp;C99&amp;" Floor","")))</f>
        <v/>
      </c>
    </row>
    <row r="87" spans="1:10" hidden="1" x14ac:dyDescent="0.25">
      <c r="A87" s="16" t="s">
        <v>143</v>
      </c>
      <c r="B87" s="46">
        <f>IF(AND(ISNUMBER(SEARCH("1B",C86))),1,IF(AND(ISNUMBER(SEARCH("2B",C86))),2,IF(AND(ISNUMBER(SEARCH("3B",C86))),3,IF(AND(ISNUMBER(SEARCH("4B",C86))),4,IF(ISNUMBER(SEARCH("5B",C86)),5,0)))))</f>
        <v>1</v>
      </c>
      <c r="C87" s="46" t="s">
        <v>71</v>
      </c>
      <c r="D87" s="46">
        <v>1</v>
      </c>
      <c r="E87" s="46" t="s">
        <v>70</v>
      </c>
      <c r="F87" s="14">
        <v>0</v>
      </c>
      <c r="G87" s="47" t="s">
        <v>79</v>
      </c>
      <c r="H87" s="17">
        <f ca="1">--TRIM(RIGHT(SUBSTITUTE(LEFT(C86,_xlfn.AGGREGATE(16,6,FIND({0,1,2,3,4,5,6,7,8,9},C86,ROW(INDIRECT("1:"&amp;LEN(C86)))),1))," ",REPT(" ",LEN(C86))),LEN(C86)))</f>
        <v>20</v>
      </c>
      <c r="I87" s="50" t="str">
        <f ca="1">IF(D90=100%,"Excavation","")&amp;IF(D91=100%,", Plinth","")&amp;IF(D92=100%,", RCC Slab","")&amp;IF(D93=100%,", Brickwork","")&amp;IF(D94=100%,", Internal Plaster","")&amp;IF(D95=100%,", External Plaster","")&amp;IF(D96=100%,", Flooring","")&amp;IF(D97=100%,", Painting","")&amp;IF(D98=100%,", Building common Amenities","")</f>
        <v>Excavation, Plinth</v>
      </c>
      <c r="J87" s="51" t="str">
        <f ca="1">(IF(C90=0,"Work not yet Started.",IF(D90=25%,"Piling work in process",IF(D90=50%,"Excavation work in process",IF(D90=100%,"","0")))))&amp;(IF(C91=0%,"",IF(C91=J92,", Footing work is process",IF(C91=J93,", Footing work Completed",IF(C91=J94,", 1st Basement Completed",IF(C91=J95,", 1st &amp; 2nd Basement Completed",IF(C91=J96,", 1st to 3rd Basement Completed",IF(C91=J97,", 1st to 4th Basement Completed",IF(C91=J98,", Plinth work is process",IF(C91=J99,"","0"))))))))))</f>
        <v/>
      </c>
    </row>
    <row r="88" spans="1:10" ht="33.75" hidden="1" customHeight="1" x14ac:dyDescent="0.25">
      <c r="A88" s="135" t="s">
        <v>89</v>
      </c>
      <c r="B88" s="136"/>
      <c r="C88" s="177" t="str">
        <f ca="1">(IF($G$57="NA",I86,"All work Completed. OC Received."))</f>
        <v xml:space="preserve">Excavation, Plinth Completed </v>
      </c>
      <c r="D88" s="177"/>
      <c r="E88" s="177"/>
      <c r="F88" s="177"/>
      <c r="G88" s="177"/>
      <c r="H88" s="178"/>
      <c r="I88" s="50" t="str">
        <f ca="1">IF(I87&lt;&gt;""," Completed","")</f>
        <v xml:space="preserve"> Completed</v>
      </c>
      <c r="J88" s="51" t="str">
        <f ca="1">IF(J86&lt;&gt;"","Completed","")</f>
        <v/>
      </c>
    </row>
    <row r="89" spans="1:10" ht="15.75" hidden="1" customHeight="1" x14ac:dyDescent="0.25">
      <c r="A89" s="113" t="s">
        <v>49</v>
      </c>
      <c r="B89" s="114"/>
      <c r="C89" s="43" t="s">
        <v>140</v>
      </c>
      <c r="D89" s="43" t="s">
        <v>82</v>
      </c>
      <c r="E89" s="114" t="s">
        <v>84</v>
      </c>
      <c r="F89" s="114"/>
      <c r="G89" s="114" t="s">
        <v>83</v>
      </c>
      <c r="H89" s="163"/>
      <c r="I89" s="13" t="s">
        <v>142</v>
      </c>
      <c r="J89" s="28">
        <f ca="1">H87*25%</f>
        <v>5</v>
      </c>
    </row>
    <row r="90" spans="1:10" hidden="1" x14ac:dyDescent="0.25">
      <c r="A90" s="113" t="s">
        <v>129</v>
      </c>
      <c r="B90" s="114"/>
      <c r="C90" s="43">
        <f ca="1">J91</f>
        <v>20</v>
      </c>
      <c r="D90" s="19">
        <f ca="1">((100/H87)*C90)/100</f>
        <v>1</v>
      </c>
      <c r="E90" s="150">
        <f ca="1">(((C91/H87*10)+(40/(D87+F87+H87)*C92)+(7.5/(H87)*C93)+(7.5/(H87)*C94)+(10/H87*C95)+(10/H87*C96)+(5/H87*C97)+(5/H87*C98)+(5/H87*C99))/100)</f>
        <v>0.1</v>
      </c>
      <c r="F90" s="151"/>
      <c r="G90" s="150">
        <f ca="1">((((C90/H87)*20)+((C91/H87)*25)+(30/(H87+F87+D87)*C92)+(5/H87*C93)+(5/H87*C94)+(5/H87*C95)+(5/H87*C96)+(0/H87*C97)+(0/H87*C98)+(5/H87*C99))/100)</f>
        <v>0.45</v>
      </c>
      <c r="H90" s="171"/>
      <c r="I90" s="13" t="s">
        <v>100</v>
      </c>
      <c r="J90" s="29">
        <f ca="1">H87*50%</f>
        <v>10</v>
      </c>
    </row>
    <row r="91" spans="1:10" hidden="1" x14ac:dyDescent="0.25">
      <c r="A91" s="113" t="s">
        <v>50</v>
      </c>
      <c r="B91" s="114"/>
      <c r="C91" s="52">
        <v>20</v>
      </c>
      <c r="D91" s="19">
        <f ca="1">((100/H87)*C91)/100</f>
        <v>1</v>
      </c>
      <c r="E91" s="152"/>
      <c r="F91" s="153"/>
      <c r="G91" s="152"/>
      <c r="H91" s="172"/>
      <c r="I91" s="13" t="s">
        <v>101</v>
      </c>
      <c r="J91" s="29">
        <f ca="1">H87</f>
        <v>20</v>
      </c>
    </row>
    <row r="92" spans="1:10" ht="15.75" hidden="1" customHeight="1" x14ac:dyDescent="0.25">
      <c r="A92" s="113" t="s">
        <v>130</v>
      </c>
      <c r="B92" s="114"/>
      <c r="C92" s="43">
        <v>0</v>
      </c>
      <c r="D92" s="19">
        <f ca="1">((100/(D87+F87+H87))*C92)/100</f>
        <v>0</v>
      </c>
      <c r="E92" s="152"/>
      <c r="F92" s="153"/>
      <c r="G92" s="152"/>
      <c r="H92" s="172"/>
      <c r="I92" s="13" t="s">
        <v>102</v>
      </c>
      <c r="J92" s="30">
        <f ca="1">(IF(B87&gt;1,(H87/(B87+2)),H87/4))</f>
        <v>5</v>
      </c>
    </row>
    <row r="93" spans="1:10" ht="15.75" hidden="1" customHeight="1" x14ac:dyDescent="0.25">
      <c r="A93" s="113" t="s">
        <v>137</v>
      </c>
      <c r="B93" s="114" t="s">
        <v>131</v>
      </c>
      <c r="C93" s="43">
        <v>0</v>
      </c>
      <c r="D93" s="19">
        <f ca="1">((100/H87)*C93)/100</f>
        <v>0</v>
      </c>
      <c r="E93" s="152"/>
      <c r="F93" s="153"/>
      <c r="G93" s="152"/>
      <c r="H93" s="172"/>
      <c r="I93" s="13" t="s">
        <v>103</v>
      </c>
      <c r="J93" s="30">
        <f ca="1">(IF(B87&gt;1,(H87/(B87+2)+J92),H87/4+J92))</f>
        <v>10</v>
      </c>
    </row>
    <row r="94" spans="1:10" ht="15.75" hidden="1" customHeight="1" x14ac:dyDescent="0.25">
      <c r="A94" s="113" t="s">
        <v>138</v>
      </c>
      <c r="B94" s="114" t="s">
        <v>131</v>
      </c>
      <c r="C94" s="43">
        <v>0</v>
      </c>
      <c r="D94" s="19">
        <f ca="1">((100/H87)*C94)/100</f>
        <v>0</v>
      </c>
      <c r="E94" s="152"/>
      <c r="F94" s="153"/>
      <c r="G94" s="152"/>
      <c r="H94" s="172"/>
      <c r="I94" s="13" t="s">
        <v>148</v>
      </c>
      <c r="J94" s="30">
        <f>(IF(B87&gt;1,(H87/(B87+2)+J93),0))</f>
        <v>0</v>
      </c>
    </row>
    <row r="95" spans="1:10" ht="15" hidden="1" customHeight="1" x14ac:dyDescent="0.25">
      <c r="A95" s="113" t="s">
        <v>136</v>
      </c>
      <c r="B95" s="114" t="s">
        <v>133</v>
      </c>
      <c r="C95" s="43">
        <v>0</v>
      </c>
      <c r="D95" s="19">
        <f ca="1">((100/(H87))*C95)/100</f>
        <v>0</v>
      </c>
      <c r="E95" s="152"/>
      <c r="F95" s="153"/>
      <c r="G95" s="152"/>
      <c r="H95" s="172"/>
      <c r="I95" s="13" t="s">
        <v>144</v>
      </c>
      <c r="J95" s="30">
        <f>(IF(B87&gt;2,(H87/(B87+2)+J94),0))</f>
        <v>0</v>
      </c>
    </row>
    <row r="96" spans="1:10" ht="15.75" hidden="1" customHeight="1" x14ac:dyDescent="0.25">
      <c r="A96" s="113" t="s">
        <v>132</v>
      </c>
      <c r="B96" s="114" t="s">
        <v>132</v>
      </c>
      <c r="C96" s="43">
        <v>0</v>
      </c>
      <c r="D96" s="19">
        <f ca="1">((100/H87)*C96)/100</f>
        <v>0</v>
      </c>
      <c r="E96" s="152"/>
      <c r="F96" s="153"/>
      <c r="G96" s="152"/>
      <c r="H96" s="172"/>
      <c r="I96" s="13" t="s">
        <v>145</v>
      </c>
      <c r="J96" s="31">
        <f>(IF(B87&gt;3,(H87/(B87+2)+J95),0))</f>
        <v>0</v>
      </c>
    </row>
    <row r="97" spans="1:10" ht="15.75" hidden="1" customHeight="1" x14ac:dyDescent="0.25">
      <c r="A97" s="113" t="s">
        <v>139</v>
      </c>
      <c r="B97" s="114"/>
      <c r="C97" s="43">
        <v>0</v>
      </c>
      <c r="D97" s="19">
        <f ca="1">((100/H87)*C97)/100</f>
        <v>0</v>
      </c>
      <c r="E97" s="152"/>
      <c r="F97" s="153"/>
      <c r="G97" s="152"/>
      <c r="H97" s="172"/>
      <c r="I97" s="13" t="s">
        <v>146</v>
      </c>
      <c r="J97" s="30">
        <f>(IF(B87&gt;4,(H87/(B87+2)+J96),0))</f>
        <v>0</v>
      </c>
    </row>
    <row r="98" spans="1:10" ht="15.75" hidden="1" customHeight="1" x14ac:dyDescent="0.25">
      <c r="A98" s="113" t="s">
        <v>134</v>
      </c>
      <c r="B98" s="114" t="s">
        <v>134</v>
      </c>
      <c r="C98" s="43">
        <v>0</v>
      </c>
      <c r="D98" s="19">
        <f ca="1">((100/(H87))*C98)/100</f>
        <v>0</v>
      </c>
      <c r="E98" s="152"/>
      <c r="F98" s="153"/>
      <c r="G98" s="152"/>
      <c r="H98" s="172"/>
      <c r="I98" s="13" t="s">
        <v>149</v>
      </c>
      <c r="J98" s="30">
        <f ca="1">(IF(B87=1,(H87/(B87+3)+J93),IF(B87=0,(H87/4+J93),IF(B87&gt;1,0))))</f>
        <v>15</v>
      </c>
    </row>
    <row r="99" spans="1:10" ht="16.5" hidden="1" thickBot="1" x14ac:dyDescent="0.3">
      <c r="A99" s="156" t="s">
        <v>135</v>
      </c>
      <c r="B99" s="157"/>
      <c r="C99" s="44">
        <v>0</v>
      </c>
      <c r="D99" s="20">
        <f ca="1">((100/(H87))*C99)/100</f>
        <v>0</v>
      </c>
      <c r="E99" s="154"/>
      <c r="F99" s="155"/>
      <c r="G99" s="154"/>
      <c r="H99" s="173"/>
      <c r="I99" s="15" t="s">
        <v>104</v>
      </c>
      <c r="J99" s="32">
        <f ca="1">(IF(B87&gt;1.5,(H87/(B87+2)+J93+MAX(0,J94-J93)+MAX(0,J95-J94)+MAX(0,J96-J95)+MAX(0,J97-J96)+MAX(0,J98-J97)),IF(B87=1,(H87/(B87+3)+J98),IF(B87=0,H87/4+J98))))</f>
        <v>20</v>
      </c>
    </row>
    <row r="100" spans="1:10" ht="15.75" hidden="1" customHeight="1" x14ac:dyDescent="0.25">
      <c r="A100" s="108" t="s">
        <v>141</v>
      </c>
      <c r="B100" s="109"/>
      <c r="C100" s="110" t="str">
        <f>D64</f>
        <v>C Wing = 1B + G + 1st to 20th Floor</v>
      </c>
      <c r="D100" s="111"/>
      <c r="E100" s="111"/>
      <c r="F100" s="111"/>
      <c r="G100" s="111"/>
      <c r="H100" s="112"/>
      <c r="I100" s="48" t="str">
        <f ca="1">IF(D113=100%,"All work Completed. Possession granted to the Building.",IF(D112=100%,"All work Completed, Waiting for OC",I101&amp;""&amp;I102&amp;""&amp;J101&amp;""&amp;J100&amp;" "&amp;J102))</f>
        <v xml:space="preserve">Excavation, Plinth, RCC Slab Completed </v>
      </c>
      <c r="J100" s="49" t="str">
        <f ca="1">(IF(C106=(D101+F101+H101),"",IF(C106&gt;0,", RCC upto "&amp;C106&amp;" Slab","")))&amp;(IF(C107=H101,"",IF(C107&gt;0,", Brickwork upto "&amp;C107&amp;" Floor","")))&amp;(IF(C108=H101,"",IF(C108&gt;0,", Internal Plaster upto "&amp;C108&amp;" Floor","")))&amp;(IF(C109=H101,"",IF(C109&gt;0,", External Plaster upto "&amp;C109&amp;" Floor","")))&amp;(IF(C110=H101,"",IF(C110&gt;0,", Flooring upto "&amp;C110&amp;" Floor","")))&amp;(IF(C111=H101,"",IF(C111&gt;0,", Painting upto "&amp;C111&amp;" Floor","")))&amp;(IF(C112=H101,"",IF(C112&gt;0,", Finishing upto "&amp;C112&amp;" Floor","")))&amp;(IF(C113=H101,"",IF(C113&gt;0,", Possession upto "&amp;C113&amp;" Floor","")))</f>
        <v/>
      </c>
    </row>
    <row r="101" spans="1:10" hidden="1" x14ac:dyDescent="0.25">
      <c r="A101" s="16" t="s">
        <v>143</v>
      </c>
      <c r="B101" s="46">
        <f>IF(AND(ISNUMBER(SEARCH("1B",C100))),1,IF(AND(ISNUMBER(SEARCH("2B",C100))),2,IF(AND(ISNUMBER(SEARCH("3B",C100))),3,IF(AND(ISNUMBER(SEARCH("4B",C100))),4,IF(ISNUMBER(SEARCH("5B",C100)),5,0)))))</f>
        <v>1</v>
      </c>
      <c r="C101" s="46" t="s">
        <v>71</v>
      </c>
      <c r="D101" s="46">
        <v>1</v>
      </c>
      <c r="E101" s="46" t="s">
        <v>70</v>
      </c>
      <c r="F101" s="14">
        <v>0</v>
      </c>
      <c r="G101" s="47" t="s">
        <v>79</v>
      </c>
      <c r="H101" s="17">
        <f ca="1">--TRIM(RIGHT(SUBSTITUTE(LEFT(C100,_xlfn.AGGREGATE(16,6,FIND({0,1,2,3,4,5,6,7,8,9},C100,ROW(INDIRECT("1:"&amp;LEN(C100)))),1))," ",REPT(" ",LEN(C100))),LEN(C100)))</f>
        <v>20</v>
      </c>
      <c r="I101" s="50" t="str">
        <f ca="1">IF(D104=100%,"Excavation","")&amp;IF(D105=100%,", Plinth","")&amp;IF(D106=100%,", RCC Slab","")&amp;IF(D107=100%,", Brickwork","")&amp;IF(D108=100%,", Internal Plaster","")&amp;IF(D109=100%,", External Plaster","")&amp;IF(D110=100%,", Flooring","")&amp;IF(D111=100%,", Painting","")&amp;IF(D112=100%,", Building common Amenities","")</f>
        <v>Excavation, Plinth, RCC Slab</v>
      </c>
      <c r="J101" s="51" t="str">
        <f ca="1">(IF(C104=0,"Work not yet Started.",IF(D104=25%,"Piling work in process",IF(D104=50%,"Excavation work in process",IF(D104=100%,"","0")))))&amp;(IF(C105=0%,"",IF(C105=J106,", Footing work is process",IF(C105=J107,", Footing work Completed",IF(C105=J108,", 1st Basement Completed",IF(C105=J109,", 1st &amp; 2nd Basement Completed",IF(C105=J110,", 1st to 3rd Basement Completed",IF(C105=J111,", 1st to 4th Basement Completed",IF(C105=J112,", Plinth work is process",IF(C105=J113,"","0"))))))))))</f>
        <v/>
      </c>
    </row>
    <row r="102" spans="1:10" hidden="1" x14ac:dyDescent="0.25">
      <c r="A102" s="135" t="s">
        <v>89</v>
      </c>
      <c r="B102" s="136"/>
      <c r="C102" s="177" t="str">
        <f ca="1">(IF($G$57="NA",I100,"All work Completed. OC Received."))</f>
        <v xml:space="preserve">Excavation, Plinth, RCC Slab Completed </v>
      </c>
      <c r="D102" s="177"/>
      <c r="E102" s="177"/>
      <c r="F102" s="177"/>
      <c r="G102" s="177"/>
      <c r="H102" s="178"/>
      <c r="I102" s="50" t="str">
        <f ca="1">IF(I101&lt;&gt;""," Completed","")</f>
        <v xml:space="preserve"> Completed</v>
      </c>
      <c r="J102" s="51" t="str">
        <f ca="1">IF(J100&lt;&gt;"","Completed","")</f>
        <v/>
      </c>
    </row>
    <row r="103" spans="1:10" ht="15.75" hidden="1" customHeight="1" x14ac:dyDescent="0.25">
      <c r="A103" s="113" t="s">
        <v>49</v>
      </c>
      <c r="B103" s="114"/>
      <c r="C103" s="43" t="s">
        <v>140</v>
      </c>
      <c r="D103" s="43" t="s">
        <v>82</v>
      </c>
      <c r="E103" s="114" t="s">
        <v>84</v>
      </c>
      <c r="F103" s="114"/>
      <c r="G103" s="114" t="s">
        <v>83</v>
      </c>
      <c r="H103" s="163"/>
      <c r="I103" s="13" t="s">
        <v>142</v>
      </c>
      <c r="J103" s="28">
        <f ca="1">H101*25%</f>
        <v>5</v>
      </c>
    </row>
    <row r="104" spans="1:10" hidden="1" x14ac:dyDescent="0.25">
      <c r="A104" s="113" t="s">
        <v>129</v>
      </c>
      <c r="B104" s="114"/>
      <c r="C104" s="43">
        <f ca="1">J105</f>
        <v>20</v>
      </c>
      <c r="D104" s="19">
        <f ca="1">((100/H101)*C104)/100</f>
        <v>1</v>
      </c>
      <c r="E104" s="150">
        <f ca="1">(((C105/H101*10)+(40/(D101+F101+H101)*C106)+(7.5/(H101)*C107)+(7.5/(H101)*C108)+(10/H101*C109)+(10/H101*C110)+(5/H101*C111)+(5/H101*C112)+(5/H101*C113))/100)</f>
        <v>0.5</v>
      </c>
      <c r="F104" s="151"/>
      <c r="G104" s="150">
        <f ca="1">((((C104/H101)*20)+((C105/H101)*25)+(30/(H101+F101+D101)*C106)+(5/H101*C107)+(5/H101*C108)+(5/H101*C109)+(5/H101*C110)+(0/H101*C111)+(0/H101*C112)+(5/H101*C113))/100)</f>
        <v>0.75</v>
      </c>
      <c r="H104" s="171"/>
      <c r="I104" s="13" t="s">
        <v>100</v>
      </c>
      <c r="J104" s="29">
        <f ca="1">H101*50%</f>
        <v>10</v>
      </c>
    </row>
    <row r="105" spans="1:10" hidden="1" x14ac:dyDescent="0.25">
      <c r="A105" s="113" t="s">
        <v>50</v>
      </c>
      <c r="B105" s="114"/>
      <c r="C105" s="43">
        <f ca="1">J113</f>
        <v>20</v>
      </c>
      <c r="D105" s="19">
        <f ca="1">((100/H101)*C105)/100</f>
        <v>1</v>
      </c>
      <c r="E105" s="152"/>
      <c r="F105" s="153"/>
      <c r="G105" s="152"/>
      <c r="H105" s="172"/>
      <c r="I105" s="13" t="s">
        <v>101</v>
      </c>
      <c r="J105" s="29">
        <f ca="1">H101</f>
        <v>20</v>
      </c>
    </row>
    <row r="106" spans="1:10" ht="15.75" hidden="1" customHeight="1" x14ac:dyDescent="0.25">
      <c r="A106" s="113" t="s">
        <v>130</v>
      </c>
      <c r="B106" s="114"/>
      <c r="C106" s="43">
        <f ca="1">D101+H101</f>
        <v>21</v>
      </c>
      <c r="D106" s="19">
        <f ca="1">((100/(D101+F101+H101))*C106)/100</f>
        <v>1</v>
      </c>
      <c r="E106" s="152"/>
      <c r="F106" s="153"/>
      <c r="G106" s="152"/>
      <c r="H106" s="172"/>
      <c r="I106" s="13" t="s">
        <v>102</v>
      </c>
      <c r="J106" s="30">
        <f ca="1">(IF(B101&gt;1,(H101/(B101+2)),H101/4))</f>
        <v>5</v>
      </c>
    </row>
    <row r="107" spans="1:10" ht="15.75" hidden="1" customHeight="1" x14ac:dyDescent="0.25">
      <c r="A107" s="113" t="s">
        <v>137</v>
      </c>
      <c r="B107" s="114" t="s">
        <v>131</v>
      </c>
      <c r="C107" s="43">
        <v>0</v>
      </c>
      <c r="D107" s="19">
        <f ca="1">((100/H101)*C107)/100</f>
        <v>0</v>
      </c>
      <c r="E107" s="152"/>
      <c r="F107" s="153"/>
      <c r="G107" s="152"/>
      <c r="H107" s="172"/>
      <c r="I107" s="13" t="s">
        <v>103</v>
      </c>
      <c r="J107" s="30">
        <f ca="1">(IF(B101&gt;1,(H101/(B101+2)+J106),H101/4+J106))</f>
        <v>10</v>
      </c>
    </row>
    <row r="108" spans="1:10" ht="15.75" hidden="1" customHeight="1" x14ac:dyDescent="0.25">
      <c r="A108" s="113" t="s">
        <v>138</v>
      </c>
      <c r="B108" s="114" t="s">
        <v>131</v>
      </c>
      <c r="C108" s="43">
        <v>0</v>
      </c>
      <c r="D108" s="19">
        <f ca="1">((100/H101)*C108)/100</f>
        <v>0</v>
      </c>
      <c r="E108" s="152"/>
      <c r="F108" s="153"/>
      <c r="G108" s="152"/>
      <c r="H108" s="172"/>
      <c r="I108" s="13" t="s">
        <v>148</v>
      </c>
      <c r="J108" s="30">
        <f>(IF(B101&gt;1,(H101/(B101+2)+J107),0))</f>
        <v>0</v>
      </c>
    </row>
    <row r="109" spans="1:10" ht="15" hidden="1" customHeight="1" x14ac:dyDescent="0.25">
      <c r="A109" s="113" t="s">
        <v>136</v>
      </c>
      <c r="B109" s="114" t="s">
        <v>133</v>
      </c>
      <c r="C109" s="43">
        <v>0</v>
      </c>
      <c r="D109" s="19">
        <f ca="1">((100/(H101))*C109)/100</f>
        <v>0</v>
      </c>
      <c r="E109" s="152"/>
      <c r="F109" s="153"/>
      <c r="G109" s="152"/>
      <c r="H109" s="172"/>
      <c r="I109" s="13" t="s">
        <v>144</v>
      </c>
      <c r="J109" s="30">
        <f>(IF(B101&gt;2,(H101/(B101+2)+J108),0))</f>
        <v>0</v>
      </c>
    </row>
    <row r="110" spans="1:10" ht="15.75" hidden="1" customHeight="1" x14ac:dyDescent="0.25">
      <c r="A110" s="113" t="s">
        <v>132</v>
      </c>
      <c r="B110" s="114" t="s">
        <v>132</v>
      </c>
      <c r="C110" s="43">
        <v>0</v>
      </c>
      <c r="D110" s="19">
        <f ca="1">((100/H101)*C110)/100</f>
        <v>0</v>
      </c>
      <c r="E110" s="152"/>
      <c r="F110" s="153"/>
      <c r="G110" s="152"/>
      <c r="H110" s="172"/>
      <c r="I110" s="13" t="s">
        <v>145</v>
      </c>
      <c r="J110" s="31">
        <f>(IF(B101&gt;3,(H101/(B101+2)+J109),0))</f>
        <v>0</v>
      </c>
    </row>
    <row r="111" spans="1:10" ht="15.75" hidden="1" customHeight="1" x14ac:dyDescent="0.25">
      <c r="A111" s="113" t="s">
        <v>139</v>
      </c>
      <c r="B111" s="114"/>
      <c r="C111" s="43">
        <v>0</v>
      </c>
      <c r="D111" s="19">
        <f ca="1">((100/H101)*C111)/100</f>
        <v>0</v>
      </c>
      <c r="E111" s="152"/>
      <c r="F111" s="153"/>
      <c r="G111" s="152"/>
      <c r="H111" s="172"/>
      <c r="I111" s="13" t="s">
        <v>146</v>
      </c>
      <c r="J111" s="30">
        <f>(IF(B101&gt;4,(H101/(B101+2)+J110),0))</f>
        <v>0</v>
      </c>
    </row>
    <row r="112" spans="1:10" ht="15.75" hidden="1" customHeight="1" x14ac:dyDescent="0.25">
      <c r="A112" s="113" t="s">
        <v>134</v>
      </c>
      <c r="B112" s="114" t="s">
        <v>134</v>
      </c>
      <c r="C112" s="43">
        <v>0</v>
      </c>
      <c r="D112" s="19">
        <f ca="1">((100/(H101))*C112)/100</f>
        <v>0</v>
      </c>
      <c r="E112" s="152"/>
      <c r="F112" s="153"/>
      <c r="G112" s="152"/>
      <c r="H112" s="172"/>
      <c r="I112" s="13" t="s">
        <v>149</v>
      </c>
      <c r="J112" s="30">
        <f ca="1">(IF(B101=1,(H101/(B101+3)+J107),IF(B101=0,(H101/4+J107),IF(B101&gt;1,0))))</f>
        <v>15</v>
      </c>
    </row>
    <row r="113" spans="1:10" ht="16.5" hidden="1" thickBot="1" x14ac:dyDescent="0.3">
      <c r="A113" s="156" t="s">
        <v>135</v>
      </c>
      <c r="B113" s="157"/>
      <c r="C113" s="44">
        <v>0</v>
      </c>
      <c r="D113" s="20">
        <f ca="1">((100/(H101))*C113)/100</f>
        <v>0</v>
      </c>
      <c r="E113" s="154"/>
      <c r="F113" s="155"/>
      <c r="G113" s="154"/>
      <c r="H113" s="173"/>
      <c r="I113" s="15" t="s">
        <v>104</v>
      </c>
      <c r="J113" s="32">
        <f ca="1">(IF(B101&gt;1.5,(H101/(B101+2)+J107+MAX(0,J108-J107)+MAX(0,J109-J108)+MAX(0,J110-J109)+MAX(0,J111-J110)+MAX(0,J112-J111)),IF(B101=1,(H101/(B101+3)+J112),IF(B101=0,H101/4+J112))))</f>
        <v>20</v>
      </c>
    </row>
    <row r="114" spans="1:10" x14ac:dyDescent="0.25">
      <c r="A114" s="193" t="s">
        <v>161</v>
      </c>
      <c r="B114" s="193"/>
      <c r="C114" s="193"/>
      <c r="D114" s="193"/>
      <c r="E114" s="193"/>
      <c r="F114" s="137" t="s">
        <v>165</v>
      </c>
      <c r="G114" s="137"/>
      <c r="H114" s="137"/>
    </row>
    <row r="115" spans="1:10" x14ac:dyDescent="0.25">
      <c r="A115" s="101" t="s">
        <v>163</v>
      </c>
      <c r="B115" s="101"/>
      <c r="C115" s="101"/>
      <c r="D115" s="101"/>
      <c r="E115" s="101"/>
      <c r="F115" s="98">
        <v>13000</v>
      </c>
      <c r="G115" s="98"/>
      <c r="H115" s="98"/>
    </row>
    <row r="116" spans="1:10" hidden="1" x14ac:dyDescent="0.25">
      <c r="A116" s="101" t="s">
        <v>162</v>
      </c>
      <c r="B116" s="101"/>
      <c r="C116" s="101"/>
      <c r="D116" s="101"/>
      <c r="E116" s="101"/>
      <c r="F116" s="98"/>
      <c r="G116" s="98"/>
      <c r="H116" s="98"/>
    </row>
    <row r="117" spans="1:10" hidden="1" x14ac:dyDescent="0.25">
      <c r="A117" s="101" t="s">
        <v>164</v>
      </c>
      <c r="B117" s="101"/>
      <c r="C117" s="101"/>
      <c r="D117" s="101"/>
      <c r="E117" s="101"/>
      <c r="F117" s="98"/>
      <c r="G117" s="98"/>
      <c r="H117" s="98"/>
    </row>
    <row r="118" spans="1:10" s="33" customFormat="1" hidden="1" x14ac:dyDescent="0.25">
      <c r="A118" s="101" t="s">
        <v>180</v>
      </c>
      <c r="B118" s="101"/>
      <c r="C118" s="101"/>
      <c r="D118" s="101"/>
      <c r="E118" s="101"/>
      <c r="F118" s="98"/>
      <c r="G118" s="98"/>
      <c r="H118" s="98"/>
    </row>
    <row r="119" spans="1:10" s="33" customFormat="1" hidden="1" x14ac:dyDescent="0.25">
      <c r="A119" s="101" t="s">
        <v>94</v>
      </c>
      <c r="B119" s="101"/>
      <c r="C119" s="101"/>
      <c r="D119" s="101"/>
      <c r="E119" s="101"/>
      <c r="F119" s="98"/>
      <c r="G119" s="98"/>
      <c r="H119" s="98"/>
    </row>
    <row r="120" spans="1:10" s="33" customFormat="1" hidden="1" x14ac:dyDescent="0.25">
      <c r="A120" s="101" t="s">
        <v>95</v>
      </c>
      <c r="B120" s="101"/>
      <c r="C120" s="101"/>
      <c r="D120" s="101"/>
      <c r="E120" s="101"/>
      <c r="F120" s="98"/>
      <c r="G120" s="98"/>
      <c r="H120" s="98"/>
    </row>
    <row r="121" spans="1:10" s="33" customFormat="1" hidden="1" x14ac:dyDescent="0.25">
      <c r="A121" s="101" t="s">
        <v>96</v>
      </c>
      <c r="B121" s="101"/>
      <c r="C121" s="101"/>
      <c r="D121" s="101"/>
      <c r="E121" s="101"/>
      <c r="F121" s="98"/>
      <c r="G121" s="98"/>
      <c r="H121" s="98"/>
    </row>
    <row r="122" spans="1:10" s="33" customFormat="1" hidden="1" x14ac:dyDescent="0.25">
      <c r="A122" s="101" t="s">
        <v>97</v>
      </c>
      <c r="B122" s="101"/>
      <c r="C122" s="101"/>
      <c r="D122" s="101"/>
      <c r="E122" s="101"/>
      <c r="F122" s="98"/>
      <c r="G122" s="98"/>
      <c r="H122" s="98"/>
    </row>
    <row r="123" spans="1:10" s="33" customFormat="1" hidden="1" x14ac:dyDescent="0.25">
      <c r="A123" s="101" t="s">
        <v>98</v>
      </c>
      <c r="B123" s="101"/>
      <c r="C123" s="101"/>
      <c r="D123" s="101"/>
      <c r="E123" s="101"/>
      <c r="F123" s="98"/>
      <c r="G123" s="98"/>
      <c r="H123" s="98"/>
    </row>
    <row r="124" spans="1:10" s="33" customFormat="1" hidden="1" x14ac:dyDescent="0.25">
      <c r="A124" s="101" t="s">
        <v>99</v>
      </c>
      <c r="B124" s="101"/>
      <c r="C124" s="101"/>
      <c r="D124" s="101"/>
      <c r="E124" s="101"/>
      <c r="F124" s="98"/>
      <c r="G124" s="98"/>
      <c r="H124" s="98"/>
    </row>
    <row r="125" spans="1:10" x14ac:dyDescent="0.25">
      <c r="A125" s="101" t="s">
        <v>51</v>
      </c>
      <c r="B125" s="101"/>
      <c r="C125" s="101"/>
      <c r="D125" s="101"/>
      <c r="E125" s="101"/>
      <c r="F125" s="98">
        <v>600000</v>
      </c>
      <c r="G125" s="98"/>
      <c r="H125" s="98"/>
    </row>
    <row r="126" spans="1:10" s="34" customFormat="1" x14ac:dyDescent="0.25">
      <c r="A126" s="122" t="s">
        <v>52</v>
      </c>
      <c r="B126" s="122"/>
      <c r="C126" s="122"/>
      <c r="D126" s="122"/>
      <c r="E126" s="122"/>
      <c r="F126" s="98">
        <f>F115*0.8</f>
        <v>10400</v>
      </c>
      <c r="G126" s="98"/>
      <c r="H126" s="98"/>
    </row>
    <row r="127" spans="1:10" s="35" customFormat="1" ht="15.75" hidden="1" customHeight="1" x14ac:dyDescent="0.25">
      <c r="A127" s="160" t="s">
        <v>74</v>
      </c>
      <c r="B127" s="160"/>
      <c r="C127" s="160"/>
      <c r="D127" s="160"/>
      <c r="E127" s="160"/>
      <c r="F127" s="160"/>
      <c r="G127" s="160"/>
      <c r="H127" s="160"/>
    </row>
    <row r="128" spans="1:10" s="35" customFormat="1" ht="15.75" hidden="1" customHeight="1" x14ac:dyDescent="0.25">
      <c r="A128" s="100" t="s">
        <v>53</v>
      </c>
      <c r="B128" s="100"/>
      <c r="C128" s="106" t="s">
        <v>77</v>
      </c>
      <c r="D128" s="106"/>
      <c r="E128" s="105" t="s">
        <v>54</v>
      </c>
      <c r="F128" s="105"/>
      <c r="G128" s="100" t="s">
        <v>55</v>
      </c>
      <c r="H128" s="100"/>
    </row>
    <row r="129" spans="1:14" s="35" customFormat="1" hidden="1" x14ac:dyDescent="0.25">
      <c r="A129" s="77"/>
      <c r="B129" s="77"/>
      <c r="C129" s="186"/>
      <c r="D129" s="186"/>
      <c r="E129" s="187"/>
      <c r="F129" s="187"/>
      <c r="G129" s="142"/>
      <c r="H129" s="142"/>
    </row>
    <row r="130" spans="1:14" s="35" customFormat="1" hidden="1" x14ac:dyDescent="0.25">
      <c r="A130" s="77"/>
      <c r="B130" s="77"/>
      <c r="C130" s="186"/>
      <c r="D130" s="186"/>
      <c r="E130" s="187"/>
      <c r="F130" s="187"/>
      <c r="G130" s="142"/>
      <c r="H130" s="142"/>
    </row>
    <row r="131" spans="1:14" s="35" customFormat="1" hidden="1" x14ac:dyDescent="0.25">
      <c r="A131" s="160" t="s">
        <v>154</v>
      </c>
      <c r="B131" s="160"/>
      <c r="C131" s="106"/>
      <c r="D131" s="106"/>
      <c r="E131" s="105"/>
      <c r="F131" s="105"/>
      <c r="G131" s="100"/>
      <c r="H131" s="100"/>
    </row>
    <row r="132" spans="1:14" s="35" customFormat="1" x14ac:dyDescent="0.25">
      <c r="A132" s="160" t="s">
        <v>69</v>
      </c>
      <c r="B132" s="160"/>
      <c r="C132" s="160"/>
      <c r="D132" s="160"/>
      <c r="E132" s="160"/>
      <c r="F132" s="160"/>
      <c r="G132" s="160"/>
      <c r="H132" s="160"/>
    </row>
    <row r="133" spans="1:14" s="35" customFormat="1" ht="15.75" customHeight="1" x14ac:dyDescent="0.25">
      <c r="A133" s="100" t="s">
        <v>53</v>
      </c>
      <c r="B133" s="100"/>
      <c r="C133" s="106" t="s">
        <v>77</v>
      </c>
      <c r="D133" s="106"/>
      <c r="E133" s="105" t="s">
        <v>54</v>
      </c>
      <c r="F133" s="105"/>
      <c r="G133" s="100" t="s">
        <v>55</v>
      </c>
      <c r="H133" s="100"/>
    </row>
    <row r="134" spans="1:14" s="35" customFormat="1" x14ac:dyDescent="0.25">
      <c r="A134" s="77" t="s">
        <v>278</v>
      </c>
      <c r="B134" s="77"/>
      <c r="C134" s="78">
        <f>COUNT(D159:D161)+COUNT(D170:D174)*18+COUNT(D176:D178,D180,D182:D184,D186)</f>
        <v>101</v>
      </c>
      <c r="D134" s="78"/>
      <c r="E134" s="78">
        <f>SUM(F159:F161)+SUM(F170:F174)*18+SUM(F176:F178,F180,F182:F184,F186)</f>
        <v>62642.282039999998</v>
      </c>
      <c r="F134" s="78"/>
      <c r="G134" s="78">
        <f>SUM(H159:H161)+SUM(H170:H174)*18+SUM(H176:H178,H180,H182:H184,H186)</f>
        <v>93963.423059999986</v>
      </c>
      <c r="H134" s="78"/>
    </row>
    <row r="135" spans="1:14" s="35" customFormat="1" x14ac:dyDescent="0.25">
      <c r="A135" s="77" t="s">
        <v>280</v>
      </c>
      <c r="B135" s="77"/>
      <c r="C135" s="78">
        <f>COUNT(D196:D199)+COUNT(D202:D206)*18+COUNT(D210:D212,D216:D218)</f>
        <v>100</v>
      </c>
      <c r="D135" s="78"/>
      <c r="E135" s="78">
        <f>SUM(F196:F199)+SUM(F202:F206)*18+SUM(F210:F212,F216:F218)</f>
        <v>37227.293999999994</v>
      </c>
      <c r="F135" s="78"/>
      <c r="G135" s="78">
        <f>SUM(H196:H199)+SUM(H202:H206)*18+SUM(H210:H212,H216:H218)</f>
        <v>55840.940999999999</v>
      </c>
      <c r="H135" s="78"/>
    </row>
    <row r="136" spans="1:14" s="35" customFormat="1" x14ac:dyDescent="0.25">
      <c r="A136" s="77" t="s">
        <v>281</v>
      </c>
      <c r="B136" s="77"/>
      <c r="C136" s="78">
        <f>COUNT(D223:D226)+COUNT(D228:D232)*18+COUNT(D234,D236:D238,D240,D242:D244)</f>
        <v>102</v>
      </c>
      <c r="D136" s="78"/>
      <c r="E136" s="78">
        <f>SUM(F223:F226)+SUM(F228:F232)*18+SUM(F234,F236:F238,F240,F242:F244)</f>
        <v>38488.834799999997</v>
      </c>
      <c r="F136" s="78"/>
      <c r="G136" s="78">
        <f>SUM(H223:H226)+SUM(H228:H232)*18+SUM(H234,H236:H238,H240,H242:H244)</f>
        <v>57733.252199999995</v>
      </c>
      <c r="H136" s="78"/>
    </row>
    <row r="137" spans="1:14" s="35" customFormat="1" ht="16.5" thickBot="1" x14ac:dyDescent="0.3">
      <c r="A137" s="194" t="s">
        <v>154</v>
      </c>
      <c r="B137" s="194"/>
      <c r="C137" s="146">
        <f>SUM(C134:C136)</f>
        <v>303</v>
      </c>
      <c r="D137" s="147"/>
      <c r="E137" s="195">
        <f>SUM(E134:E136)</f>
        <v>138358.41083999997</v>
      </c>
      <c r="F137" s="196"/>
      <c r="G137" s="197">
        <f>SUM(G134:G136)</f>
        <v>207537.61625999998</v>
      </c>
      <c r="H137" s="197"/>
    </row>
    <row r="138" spans="1:14" s="35" customFormat="1" x14ac:dyDescent="0.25">
      <c r="A138" s="148" t="s">
        <v>171</v>
      </c>
      <c r="B138" s="149"/>
      <c r="C138" s="140">
        <f>C131+C137</f>
        <v>303</v>
      </c>
      <c r="D138" s="140"/>
      <c r="E138" s="141">
        <f>E131+E137</f>
        <v>138358.41083999997</v>
      </c>
      <c r="F138" s="141"/>
      <c r="G138" s="188">
        <f>G131+G137</f>
        <v>207537.61625999998</v>
      </c>
      <c r="H138" s="189"/>
    </row>
    <row r="139" spans="1:14" s="34" customFormat="1" x14ac:dyDescent="0.25">
      <c r="A139" s="138" t="s">
        <v>56</v>
      </c>
      <c r="B139" s="138"/>
      <c r="C139" s="138"/>
      <c r="D139" s="138"/>
      <c r="E139" s="138"/>
      <c r="F139" s="138"/>
      <c r="G139" s="138"/>
      <c r="H139" s="138"/>
    </row>
    <row r="140" spans="1:14" x14ac:dyDescent="0.25">
      <c r="A140" s="99" t="s">
        <v>273</v>
      </c>
      <c r="B140" s="99"/>
      <c r="C140" s="99"/>
      <c r="D140" s="99"/>
      <c r="E140" s="99"/>
      <c r="F140" s="99"/>
      <c r="G140" s="99"/>
      <c r="H140" s="99"/>
    </row>
    <row r="141" spans="1:14" ht="47.25" hidden="1" customHeight="1" x14ac:dyDescent="0.25">
      <c r="A141" s="139" t="s">
        <v>120</v>
      </c>
      <c r="B141" s="139" t="s">
        <v>182</v>
      </c>
      <c r="C141" s="139" t="s">
        <v>57</v>
      </c>
      <c r="D141" s="139" t="s">
        <v>238</v>
      </c>
      <c r="E141" s="179" t="s">
        <v>160</v>
      </c>
      <c r="F141" s="139" t="s">
        <v>58</v>
      </c>
      <c r="G141" s="179" t="s">
        <v>59</v>
      </c>
      <c r="H141" s="65" t="s">
        <v>151</v>
      </c>
    </row>
    <row r="142" spans="1:14" s="37" customFormat="1" hidden="1" x14ac:dyDescent="0.25">
      <c r="A142" s="139"/>
      <c r="B142" s="139"/>
      <c r="C142" s="139"/>
      <c r="D142" s="139"/>
      <c r="E142" s="179"/>
      <c r="F142" s="139"/>
      <c r="G142" s="179"/>
      <c r="H142" s="66">
        <v>0.45</v>
      </c>
    </row>
    <row r="143" spans="1:14" s="37" customFormat="1" hidden="1" x14ac:dyDescent="0.25">
      <c r="A143" s="79" t="s">
        <v>119</v>
      </c>
      <c r="B143" s="79"/>
      <c r="C143" s="79"/>
      <c r="D143" s="79"/>
      <c r="E143" s="79"/>
      <c r="F143" s="79"/>
      <c r="G143" s="79"/>
      <c r="H143" s="79"/>
      <c r="J143" s="36"/>
    </row>
    <row r="144" spans="1:14" s="37" customFormat="1" ht="15.75" hidden="1" customHeight="1" x14ac:dyDescent="0.25">
      <c r="A144" s="73">
        <v>1</v>
      </c>
      <c r="B144" s="73"/>
      <c r="C144" s="63"/>
      <c r="D144" s="63"/>
      <c r="E144" s="63">
        <v>0</v>
      </c>
      <c r="F144" s="63">
        <f>D144+E144</f>
        <v>0</v>
      </c>
      <c r="G144" s="63">
        <v>0</v>
      </c>
      <c r="H144" s="63">
        <f>(D144+E144)*(($H$142)+1)</f>
        <v>0</v>
      </c>
      <c r="I144" s="36"/>
      <c r="L144" s="72"/>
      <c r="M144" s="72"/>
      <c r="N144" s="36"/>
    </row>
    <row r="145" spans="1:14" s="37" customFormat="1" ht="15.75" hidden="1" customHeight="1" x14ac:dyDescent="0.25">
      <c r="A145" s="73">
        <f t="shared" ref="A145:A147" si="0">A144+1</f>
        <v>2</v>
      </c>
      <c r="B145" s="73"/>
      <c r="C145" s="63"/>
      <c r="D145" s="63"/>
      <c r="E145" s="63">
        <v>0</v>
      </c>
      <c r="F145" s="63">
        <f t="shared" ref="F145:F147" si="1">D145+E145</f>
        <v>0</v>
      </c>
      <c r="G145" s="63">
        <v>0</v>
      </c>
      <c r="H145" s="63">
        <f t="shared" ref="H145:H147" si="2">(D145+E145)*(($H$142)+1)</f>
        <v>0</v>
      </c>
      <c r="I145" s="36"/>
      <c r="L145" s="72"/>
      <c r="M145" s="72"/>
      <c r="N145" s="36"/>
    </row>
    <row r="146" spans="1:14" s="37" customFormat="1" ht="15.75" hidden="1" customHeight="1" x14ac:dyDescent="0.25">
      <c r="A146" s="73">
        <f t="shared" si="0"/>
        <v>3</v>
      </c>
      <c r="B146" s="73"/>
      <c r="C146" s="63"/>
      <c r="D146" s="63"/>
      <c r="E146" s="63">
        <v>0</v>
      </c>
      <c r="F146" s="63">
        <f t="shared" si="1"/>
        <v>0</v>
      </c>
      <c r="G146" s="63">
        <v>0</v>
      </c>
      <c r="H146" s="63">
        <f t="shared" si="2"/>
        <v>0</v>
      </c>
      <c r="I146" s="36"/>
      <c r="L146" s="72"/>
      <c r="M146" s="72"/>
      <c r="N146" s="36"/>
    </row>
    <row r="147" spans="1:14" s="37" customFormat="1" ht="15.75" hidden="1" customHeight="1" x14ac:dyDescent="0.25">
      <c r="A147" s="73">
        <f t="shared" si="0"/>
        <v>4</v>
      </c>
      <c r="B147" s="73"/>
      <c r="C147" s="63"/>
      <c r="D147" s="63"/>
      <c r="E147" s="63">
        <v>0</v>
      </c>
      <c r="F147" s="63">
        <f t="shared" si="1"/>
        <v>0</v>
      </c>
      <c r="G147" s="63">
        <v>0</v>
      </c>
      <c r="H147" s="63">
        <f t="shared" si="2"/>
        <v>0</v>
      </c>
      <c r="I147" s="36"/>
      <c r="L147" s="72"/>
      <c r="M147" s="72"/>
      <c r="N147" s="36"/>
    </row>
    <row r="148" spans="1:14" s="37" customFormat="1" hidden="1" x14ac:dyDescent="0.25">
      <c r="A148" s="73"/>
      <c r="B148" s="73"/>
      <c r="C148" s="73"/>
      <c r="D148" s="73"/>
      <c r="E148" s="73"/>
      <c r="F148" s="73"/>
      <c r="G148" s="73"/>
      <c r="H148" s="73"/>
      <c r="I148" s="36"/>
      <c r="N148" s="36"/>
    </row>
    <row r="149" spans="1:14" ht="47.25" customHeight="1" x14ac:dyDescent="0.25">
      <c r="A149" s="139" t="s">
        <v>121</v>
      </c>
      <c r="B149" s="139" t="s">
        <v>183</v>
      </c>
      <c r="C149" s="139" t="s">
        <v>57</v>
      </c>
      <c r="D149" s="139" t="s">
        <v>238</v>
      </c>
      <c r="E149" s="139" t="s">
        <v>285</v>
      </c>
      <c r="F149" s="139" t="s">
        <v>58</v>
      </c>
      <c r="G149" s="179" t="s">
        <v>59</v>
      </c>
      <c r="H149" s="65" t="s">
        <v>151</v>
      </c>
      <c r="I149" s="36"/>
    </row>
    <row r="150" spans="1:14" s="37" customFormat="1" x14ac:dyDescent="0.25">
      <c r="A150" s="139"/>
      <c r="B150" s="139"/>
      <c r="C150" s="139"/>
      <c r="D150" s="139"/>
      <c r="E150" s="139"/>
      <c r="F150" s="139"/>
      <c r="G150" s="179"/>
      <c r="H150" s="66">
        <v>0.5</v>
      </c>
      <c r="I150" s="36"/>
    </row>
    <row r="151" spans="1:14" s="37" customFormat="1" x14ac:dyDescent="0.25">
      <c r="A151" s="86" t="s">
        <v>278</v>
      </c>
      <c r="B151" s="87"/>
      <c r="C151" s="87"/>
      <c r="D151" s="87"/>
      <c r="E151" s="87"/>
      <c r="F151" s="87"/>
      <c r="G151" s="87"/>
      <c r="H151" s="88"/>
      <c r="J151" s="36"/>
    </row>
    <row r="152" spans="1:14" s="37" customFormat="1" x14ac:dyDescent="0.25">
      <c r="A152" s="86" t="s">
        <v>279</v>
      </c>
      <c r="B152" s="87"/>
      <c r="C152" s="87"/>
      <c r="D152" s="87"/>
      <c r="E152" s="87"/>
      <c r="F152" s="87"/>
      <c r="G152" s="87"/>
      <c r="H152" s="88"/>
      <c r="J152" s="36"/>
    </row>
    <row r="153" spans="1:14" s="37" customFormat="1" ht="15.75" hidden="1" customHeight="1" x14ac:dyDescent="0.25">
      <c r="A153" s="74">
        <v>1</v>
      </c>
      <c r="B153" s="76"/>
      <c r="C153" s="42"/>
      <c r="D153" s="42">
        <v>0</v>
      </c>
      <c r="E153" s="42">
        <v>0</v>
      </c>
      <c r="F153" s="42">
        <f>D153+E153</f>
        <v>0</v>
      </c>
      <c r="G153" s="42">
        <v>0</v>
      </c>
      <c r="H153" s="42">
        <f>F153*(($H$150)+1)+(IF(G153&lt;101,G153,IF(G153&lt;201,G153/2,IF(G153&lt;=301,G153/3,G153/4))))</f>
        <v>0</v>
      </c>
      <c r="I153" s="36"/>
      <c r="L153" s="72"/>
      <c r="M153" s="72"/>
      <c r="N153" s="36"/>
    </row>
    <row r="154" spans="1:14" s="37" customFormat="1" ht="15.75" hidden="1" customHeight="1" x14ac:dyDescent="0.25">
      <c r="A154" s="74">
        <f t="shared" ref="A154:A156" si="3">A153+1</f>
        <v>2</v>
      </c>
      <c r="B154" s="76"/>
      <c r="C154" s="42"/>
      <c r="D154" s="42"/>
      <c r="E154" s="42">
        <v>0</v>
      </c>
      <c r="F154" s="42">
        <f t="shared" ref="F154:F156" si="4">D154+E154</f>
        <v>0</v>
      </c>
      <c r="G154" s="42">
        <v>0</v>
      </c>
      <c r="H154" s="42">
        <f t="shared" ref="H154:H156" si="5">F154*(($H$150)+1)+(IF(G154&lt;101,G154,IF(G154&lt;201,G154/2,IF(G154&lt;=301,G154/3,G154/4))))</f>
        <v>0</v>
      </c>
      <c r="I154" s="36"/>
      <c r="L154" s="72"/>
      <c r="M154" s="72"/>
      <c r="N154" s="36"/>
    </row>
    <row r="155" spans="1:14" s="37" customFormat="1" ht="15.75" hidden="1" customHeight="1" x14ac:dyDescent="0.25">
      <c r="A155" s="74">
        <f t="shared" si="3"/>
        <v>3</v>
      </c>
      <c r="B155" s="76"/>
      <c r="C155" s="42"/>
      <c r="D155" s="42"/>
      <c r="E155" s="42">
        <v>0</v>
      </c>
      <c r="F155" s="42">
        <f t="shared" si="4"/>
        <v>0</v>
      </c>
      <c r="G155" s="42">
        <v>0</v>
      </c>
      <c r="H155" s="42">
        <f t="shared" si="5"/>
        <v>0</v>
      </c>
      <c r="I155" s="36"/>
      <c r="L155" s="72"/>
      <c r="M155" s="72"/>
      <c r="N155" s="36"/>
    </row>
    <row r="156" spans="1:14" s="37" customFormat="1" ht="15.75" hidden="1" customHeight="1" x14ac:dyDescent="0.25">
      <c r="A156" s="74">
        <f t="shared" si="3"/>
        <v>4</v>
      </c>
      <c r="B156" s="76"/>
      <c r="C156" s="42"/>
      <c r="D156" s="42"/>
      <c r="E156" s="42">
        <v>0</v>
      </c>
      <c r="F156" s="42">
        <f t="shared" si="4"/>
        <v>0</v>
      </c>
      <c r="G156" s="42">
        <v>0</v>
      </c>
      <c r="H156" s="42">
        <f t="shared" si="5"/>
        <v>0</v>
      </c>
      <c r="I156" s="36"/>
      <c r="L156" s="72"/>
      <c r="M156" s="72"/>
      <c r="N156" s="36"/>
    </row>
    <row r="157" spans="1:14" s="37" customFormat="1" x14ac:dyDescent="0.25">
      <c r="A157" s="79" t="s">
        <v>286</v>
      </c>
      <c r="B157" s="79"/>
      <c r="C157" s="79"/>
      <c r="D157" s="79"/>
      <c r="E157" s="79"/>
      <c r="F157" s="79"/>
      <c r="G157" s="79"/>
      <c r="H157" s="79"/>
      <c r="I157" s="36"/>
      <c r="L157" s="72"/>
      <c r="M157" s="72"/>
    </row>
    <row r="158" spans="1:14" s="37" customFormat="1" x14ac:dyDescent="0.25">
      <c r="A158" s="73">
        <f>LEFT(A157,SUM(LEN(A157)-LEN(SUBSTITUTE(A157,{"0","1","2","3","4","5","6","7","8","9"},""))))*100+1</f>
        <v>101</v>
      </c>
      <c r="B158" s="73"/>
      <c r="C158" s="74" t="s">
        <v>282</v>
      </c>
      <c r="D158" s="75"/>
      <c r="E158" s="75"/>
      <c r="F158" s="75"/>
      <c r="G158" s="75"/>
      <c r="H158" s="76"/>
      <c r="I158" s="36"/>
      <c r="N158" s="36"/>
    </row>
    <row r="159" spans="1:14" s="37" customFormat="1" x14ac:dyDescent="0.25">
      <c r="A159" s="73">
        <f>A158+1</f>
        <v>102</v>
      </c>
      <c r="B159" s="73"/>
      <c r="C159" s="42" t="s">
        <v>283</v>
      </c>
      <c r="D159" s="59">
        <f>60.94*(10.764)</f>
        <v>655.95815999999991</v>
      </c>
      <c r="E159" s="59">
        <f>2.3*(10.764)</f>
        <v>24.757199999999997</v>
      </c>
      <c r="F159" s="42">
        <f t="shared" ref="F159:F161" si="6">D159+E159</f>
        <v>680.71535999999992</v>
      </c>
      <c r="G159" s="42">
        <v>0</v>
      </c>
      <c r="H159" s="42">
        <f t="shared" ref="H159:H161" si="7">F159*(($H$150)+1)+(IF(G159&lt;101,G159,IF(G159&lt;201,G159/2,IF(G159&lt;=301,G159/3,G159/4))))</f>
        <v>1021.0730399999999</v>
      </c>
      <c r="I159" s="36"/>
      <c r="J159" s="59">
        <f>10.764</f>
        <v>10.763999999999999</v>
      </c>
      <c r="N159" s="36"/>
    </row>
    <row r="160" spans="1:14" s="37" customFormat="1" x14ac:dyDescent="0.25">
      <c r="A160" s="73">
        <f>A159+1</f>
        <v>103</v>
      </c>
      <c r="B160" s="73"/>
      <c r="C160" s="42" t="s">
        <v>284</v>
      </c>
      <c r="D160" s="59">
        <f>36.21*(10.764)</f>
        <v>389.76443999999998</v>
      </c>
      <c r="E160" s="59">
        <f>0*(10.764)</f>
        <v>0</v>
      </c>
      <c r="F160" s="42">
        <f t="shared" si="6"/>
        <v>389.76443999999998</v>
      </c>
      <c r="G160" s="42">
        <v>0</v>
      </c>
      <c r="H160" s="42">
        <f t="shared" si="7"/>
        <v>584.64666</v>
      </c>
      <c r="I160" s="36"/>
      <c r="N160" s="36"/>
    </row>
    <row r="161" spans="1:14" s="37" customFormat="1" x14ac:dyDescent="0.25">
      <c r="A161" s="73">
        <f>A160+1</f>
        <v>104</v>
      </c>
      <c r="B161" s="73"/>
      <c r="C161" s="42" t="s">
        <v>283</v>
      </c>
      <c r="D161" s="59">
        <f t="shared" ref="D161" si="8">60.94*(10.764)</f>
        <v>655.95815999999991</v>
      </c>
      <c r="E161" s="59">
        <f>2.3*(10.764)</f>
        <v>24.757199999999997</v>
      </c>
      <c r="F161" s="42">
        <f t="shared" si="6"/>
        <v>680.71535999999992</v>
      </c>
      <c r="G161" s="42">
        <v>0</v>
      </c>
      <c r="H161" s="42">
        <f t="shared" si="7"/>
        <v>1021.0730399999999</v>
      </c>
      <c r="I161" s="36"/>
      <c r="N161" s="36"/>
    </row>
    <row r="162" spans="1:14" s="37" customFormat="1" x14ac:dyDescent="0.25">
      <c r="A162" s="73">
        <f>A161+1</f>
        <v>105</v>
      </c>
      <c r="B162" s="73"/>
      <c r="C162" s="74" t="s">
        <v>282</v>
      </c>
      <c r="D162" s="75"/>
      <c r="E162" s="75"/>
      <c r="F162" s="75"/>
      <c r="G162" s="75"/>
      <c r="H162" s="76"/>
      <c r="I162" s="36"/>
      <c r="N162" s="36"/>
    </row>
    <row r="163" spans="1:14" s="37" customFormat="1" ht="15.75" hidden="1" customHeight="1" x14ac:dyDescent="0.25">
      <c r="A163" s="86" t="s">
        <v>153</v>
      </c>
      <c r="B163" s="87"/>
      <c r="C163" s="87"/>
      <c r="D163" s="87"/>
      <c r="E163" s="87"/>
      <c r="F163" s="87"/>
      <c r="G163" s="87"/>
      <c r="H163" s="88"/>
      <c r="I163" s="36"/>
    </row>
    <row r="164" spans="1:14" s="37" customFormat="1" ht="15.75" hidden="1" customHeight="1" x14ac:dyDescent="0.25">
      <c r="A164" s="74" t="str">
        <f ca="1">(SUMPRODUCT(MID(0&amp;(LEFT(A163,SUM(LEN(A163)-LEN(SUBSTITUTE(A163,{"0","1","2"},""))))), LARGE(INDEX(ISNUMBER(--MID((LEFT(A163,SUM(LEN(A163)-LEN(SUBSTITUTE(A163,{"0","1","2"},""))))), ROW(INDIRECT("1:"&amp;LEN((LEFT(A163,SUM(LEN(A163)-LEN(SUBSTITUTE(A163,{"0","1","2"},"")))))))), 1)) * ROW(INDIRECT("1:"&amp;LEN((LEFT(A163,SUM(LEN(A163)-LEN(SUBSTITUTE(A163,{"0","1","2"},"")))))))), 0), ROW(INDIRECT("1:"&amp;LEN((LEFT(A163,SUM(LEN(A163)-LEN(SUBSTITUTE(A163,{"0","1","2"},"")))))))))+1, 1) * 10^ROW(INDIRECT("1:"&amp;LEN((LEFT(A163,SUM(LEN(A163)-LEN(SUBSTITUTE(A163,{"0","1","2"},""))))))))/10))*100+1&amp;""&amp;" ,.., "&amp;""&amp;(SUMPRODUCT(MID(0&amp;(--TRIM(RIGHT(SUBSTITUTE(LEFT(A163,_xlfn.AGGREGATE(16,6,FIND({0,1,2,3,4,5,6,7,8,9},A163,ROW(INDIRECT("1:"&amp;LEN(A163)))),1))," ",REPT(" ",LEN(A163))),LEN(A163)))), LARGE(INDEX(ISNUMBER(--MID((--TRIM(RIGHT(SUBSTITUTE(LEFT(A163,_xlfn.AGGREGATE(16,6,FIND({0,1,2,3,4,5,6,7,8,9},A163,ROW(INDIRECT("1:"&amp;LEN(A163)))),1))," ",REPT(" ",LEN(A163))),LEN(A163)))), ROW(INDIRECT("1:"&amp;LEN((--TRIM(RIGHT(SUBSTITUTE(LEFT(A163,_xlfn.AGGREGATE(16,6,FIND({0,1,2,3,4,5,6,7,8,9},A163,ROW(INDIRECT("1:"&amp;LEN(A163)))),1))," ",REPT(" ",LEN(A163))),LEN(A163))))))), 1)) * ROW(INDIRECT("1:"&amp;LEN((--TRIM(RIGHT(SUBSTITUTE(LEFT(A163,_xlfn.AGGREGATE(16,6,FIND({0,1,2,3,4,5,6,7,8,9},A163,ROW(INDIRECT("1:"&amp;LEN(A163)))),1))," ",REPT(" ",LEN(A163))),LEN(A163))))))), 0), ROW(INDIRECT("1:"&amp;LEN((--TRIM(RIGHT(SUBSTITUTE(LEFT(A163,_xlfn.AGGREGATE(16,6,FIND({0,1,2,3,4,5,6,7,8,9},A163,ROW(INDIRECT("1:"&amp;LEN(A163)))),1))," ",REPT(" ",LEN(A163))),LEN(A163))))))))+1, 1) * 10^ROW(INDIRECT("1:"&amp;LEN((--TRIM(RIGHT(SUBSTITUTE(LEFT(A163,_xlfn.AGGREGATE(16,6,FIND({0,1,2,3,4,5,6,7,8,9},A163,ROW(INDIRECT("1:"&amp;LEN(A163)))),1))," ",REPT(" ",LEN(A163))),LEN(A163)))))))/10))*100+1</f>
        <v>301 ,.., 1501</v>
      </c>
      <c r="B164" s="76"/>
      <c r="C164" s="42"/>
      <c r="D164" s="42"/>
      <c r="E164" s="42">
        <v>0</v>
      </c>
      <c r="F164" s="42">
        <f>D164+E164</f>
        <v>0</v>
      </c>
      <c r="G164" s="42">
        <v>0</v>
      </c>
      <c r="H164" s="42">
        <f>F164*(($H$150)+1)+(IF(G164&lt;101,G164,IF(G164&lt;201,G164/2,IF(G164&lt;=301,G164/3,G164/4))))</f>
        <v>0</v>
      </c>
      <c r="I164" s="36"/>
    </row>
    <row r="165" spans="1:14" s="37" customFormat="1" ht="15.75" hidden="1" customHeight="1" x14ac:dyDescent="0.25">
      <c r="A165" s="74" t="str">
        <f ca="1">(SUMPRODUCT(MID(0&amp;(LEFT(A164,SUM(LEN(A164)-LEN(SUBSTITUTE(A164,{"0","1","2"},""))))), LARGE(INDEX(ISNUMBER(--MID((LEFT(A164,SUM(LEN(A164)-LEN(SUBSTITUTE(A164,{"0","1","2"},""))))), ROW(INDIRECT("1:"&amp;LEN((LEFT(A164,SUM(LEN(A164)-LEN(SUBSTITUTE(A164,{"0","1","2"},"")))))))), 1)) * ROW(INDIRECT("1:"&amp;LEN((LEFT(A164,SUM(LEN(A164)-LEN(SUBSTITUTE(A164,{"0","1","2"},"")))))))), 0), ROW(INDIRECT("1:"&amp;LEN((LEFT(A164,SUM(LEN(A164)-LEN(SUBSTITUTE(A164,{"0","1","2"},"")))))))))+1, 1) * 10^ROW(INDIRECT("1:"&amp;LEN((LEFT(A164,SUM(LEN(A164)-LEN(SUBSTITUTE(A164,{"0","1","2"},""))))))))/10))*1+1&amp;""&amp;" ,.., "&amp;""&amp;(SUMPRODUCT(MID(0&amp;(--TRIM(RIGHT(SUBSTITUTE(LEFT(A164,_xlfn.AGGREGATE(16,6,FIND({0,1,2,3,4,5,6,7,8,9},A164,ROW(INDIRECT("1:"&amp;LEN(A164)))),1))," ",REPT(" ",LEN(A164))),LEN(A164)))), LARGE(INDEX(ISNUMBER(--MID((--TRIM(RIGHT(SUBSTITUTE(LEFT(A164,_xlfn.AGGREGATE(16,6,FIND({0,1,2,3,4,5,6,7,8,9},A164,ROW(INDIRECT("1:"&amp;LEN(A164)))),1))," ",REPT(" ",LEN(A164))),LEN(A164)))), ROW(INDIRECT("1:"&amp;LEN((--TRIM(RIGHT(SUBSTITUTE(LEFT(A164,_xlfn.AGGREGATE(16,6,FIND({0,1,2,3,4,5,6,7,8,9},A164,ROW(INDIRECT("1:"&amp;LEN(A164)))),1))," ",REPT(" ",LEN(A164))),LEN(A164))))))), 1)) * ROW(INDIRECT("1:"&amp;LEN((--TRIM(RIGHT(SUBSTITUTE(LEFT(A164,_xlfn.AGGREGATE(16,6,FIND({0,1,2,3,4,5,6,7,8,9},A164,ROW(INDIRECT("1:"&amp;LEN(A164)))),1))," ",REPT(" ",LEN(A164))),LEN(A164))))))), 0), ROW(INDIRECT("1:"&amp;LEN((--TRIM(RIGHT(SUBSTITUTE(LEFT(A164,_xlfn.AGGREGATE(16,6,FIND({0,1,2,3,4,5,6,7,8,9},A164,ROW(INDIRECT("1:"&amp;LEN(A164)))),1))," ",REPT(" ",LEN(A164))),LEN(A164))))))))+1, 1) * 10^ROW(INDIRECT("1:"&amp;LEN((--TRIM(RIGHT(SUBSTITUTE(LEFT(A164,_xlfn.AGGREGATE(16,6,FIND({0,1,2,3,4,5,6,7,8,9},A164,ROW(INDIRECT("1:"&amp;LEN(A164)))),1))," ",REPT(" ",LEN(A164))),LEN(A164)))))))/10))*1+1</f>
        <v>302 ,.., 1502</v>
      </c>
      <c r="B165" s="76"/>
      <c r="C165" s="42"/>
      <c r="D165" s="42"/>
      <c r="E165" s="42">
        <v>0</v>
      </c>
      <c r="F165" s="42">
        <f t="shared" ref="F165:F167" si="9">D165+E165</f>
        <v>0</v>
      </c>
      <c r="G165" s="42">
        <v>0</v>
      </c>
      <c r="H165" s="42">
        <f t="shared" ref="H165:H167" si="10">F165*(($H$150)+1)+(IF(G165&lt;101,G165,IF(G165&lt;201,G165/2,IF(G165&lt;=301,G165/3,G165/4))))</f>
        <v>0</v>
      </c>
      <c r="I165" s="36"/>
    </row>
    <row r="166" spans="1:14" s="37" customFormat="1" ht="15.75" hidden="1" customHeight="1" x14ac:dyDescent="0.25">
      <c r="A166" s="74" t="str">
        <f ca="1">(SUMPRODUCT(MID(0&amp;(LEFT(A165,SUM(LEN(A165)-LEN(SUBSTITUTE(A165,{"0","1","2"},""))))), LARGE(INDEX(ISNUMBER(--MID((LEFT(A165,SUM(LEN(A165)-LEN(SUBSTITUTE(A165,{"0","1","2"},""))))), ROW(INDIRECT("1:"&amp;LEN((LEFT(A165,SUM(LEN(A165)-LEN(SUBSTITUTE(A165,{"0","1","2"},"")))))))), 1)) * ROW(INDIRECT("1:"&amp;LEN((LEFT(A165,SUM(LEN(A165)-LEN(SUBSTITUTE(A165,{"0","1","2"},"")))))))), 0), ROW(INDIRECT("1:"&amp;LEN((LEFT(A165,SUM(LEN(A165)-LEN(SUBSTITUTE(A165,{"0","1","2"},"")))))))))+1, 1) * 10^ROW(INDIRECT("1:"&amp;LEN((LEFT(A165,SUM(LEN(A165)-LEN(SUBSTITUTE(A165,{"0","1","2"},""))))))))/10))*1+1&amp;""&amp;" ,.., "&amp;""&amp;(SUMPRODUCT(MID(0&amp;(--TRIM(RIGHT(SUBSTITUTE(LEFT(A165,_xlfn.AGGREGATE(16,6,FIND({0,1,2,3,4,5,6,7,8,9},A165,ROW(INDIRECT("1:"&amp;LEN(A165)))),1))," ",REPT(" ",LEN(A165))),LEN(A165)))), LARGE(INDEX(ISNUMBER(--MID((--TRIM(RIGHT(SUBSTITUTE(LEFT(A165,_xlfn.AGGREGATE(16,6,FIND({0,1,2,3,4,5,6,7,8,9},A165,ROW(INDIRECT("1:"&amp;LEN(A165)))),1))," ",REPT(" ",LEN(A165))),LEN(A165)))), ROW(INDIRECT("1:"&amp;LEN((--TRIM(RIGHT(SUBSTITUTE(LEFT(A165,_xlfn.AGGREGATE(16,6,FIND({0,1,2,3,4,5,6,7,8,9},A165,ROW(INDIRECT("1:"&amp;LEN(A165)))),1))," ",REPT(" ",LEN(A165))),LEN(A165))))))), 1)) * ROW(INDIRECT("1:"&amp;LEN((--TRIM(RIGHT(SUBSTITUTE(LEFT(A165,_xlfn.AGGREGATE(16,6,FIND({0,1,2,3,4,5,6,7,8,9},A165,ROW(INDIRECT("1:"&amp;LEN(A165)))),1))," ",REPT(" ",LEN(A165))),LEN(A165))))))), 0), ROW(INDIRECT("1:"&amp;LEN((--TRIM(RIGHT(SUBSTITUTE(LEFT(A165,_xlfn.AGGREGATE(16,6,FIND({0,1,2,3,4,5,6,7,8,9},A165,ROW(INDIRECT("1:"&amp;LEN(A165)))),1))," ",REPT(" ",LEN(A165))),LEN(A165))))))))+1, 1) * 10^ROW(INDIRECT("1:"&amp;LEN((--TRIM(RIGHT(SUBSTITUTE(LEFT(A165,_xlfn.AGGREGATE(16,6,FIND({0,1,2,3,4,5,6,7,8,9},A165,ROW(INDIRECT("1:"&amp;LEN(A165)))),1))," ",REPT(" ",LEN(A165))),LEN(A165)))))))/10))*1+1</f>
        <v>303 ,.., 1503</v>
      </c>
      <c r="B166" s="76"/>
      <c r="C166" s="42"/>
      <c r="D166" s="42"/>
      <c r="E166" s="42">
        <v>0</v>
      </c>
      <c r="F166" s="42">
        <f t="shared" si="9"/>
        <v>0</v>
      </c>
      <c r="G166" s="42">
        <v>0</v>
      </c>
      <c r="H166" s="42">
        <f t="shared" si="10"/>
        <v>0</v>
      </c>
      <c r="I166" s="36"/>
    </row>
    <row r="167" spans="1:14" s="37" customFormat="1" ht="15.75" hidden="1" customHeight="1" x14ac:dyDescent="0.25">
      <c r="A167" s="74" t="str">
        <f ca="1">(SUMPRODUCT(MID(0&amp;(LEFT(A166,SUM(LEN(A166)-LEN(SUBSTITUTE(A166,{"0","1","2"},""))))), LARGE(INDEX(ISNUMBER(--MID((LEFT(A166,SUM(LEN(A166)-LEN(SUBSTITUTE(A166,{"0","1","2"},""))))), ROW(INDIRECT("1:"&amp;LEN((LEFT(A166,SUM(LEN(A166)-LEN(SUBSTITUTE(A166,{"0","1","2"},"")))))))), 1)) * ROW(INDIRECT("1:"&amp;LEN((LEFT(A166,SUM(LEN(A166)-LEN(SUBSTITUTE(A166,{"0","1","2"},"")))))))), 0), ROW(INDIRECT("1:"&amp;LEN((LEFT(A166,SUM(LEN(A166)-LEN(SUBSTITUTE(A166,{"0","1","2"},"")))))))))+1, 1) * 10^ROW(INDIRECT("1:"&amp;LEN((LEFT(A166,SUM(LEN(A166)-LEN(SUBSTITUTE(A166,{"0","1","2"},""))))))))/10))*1+1&amp;""&amp;" ,.., "&amp;""&amp;(SUMPRODUCT(MID(0&amp;(--TRIM(RIGHT(SUBSTITUTE(LEFT(A166,_xlfn.AGGREGATE(16,6,FIND({0,1,2,3,4,5,6,7,8,9},A166,ROW(INDIRECT("1:"&amp;LEN(A166)))),1))," ",REPT(" ",LEN(A166))),LEN(A166)))), LARGE(INDEX(ISNUMBER(--MID((--TRIM(RIGHT(SUBSTITUTE(LEFT(A166,_xlfn.AGGREGATE(16,6,FIND({0,1,2,3,4,5,6,7,8,9},A166,ROW(INDIRECT("1:"&amp;LEN(A166)))),1))," ",REPT(" ",LEN(A166))),LEN(A166)))), ROW(INDIRECT("1:"&amp;LEN((--TRIM(RIGHT(SUBSTITUTE(LEFT(A166,_xlfn.AGGREGATE(16,6,FIND({0,1,2,3,4,5,6,7,8,9},A166,ROW(INDIRECT("1:"&amp;LEN(A166)))),1))," ",REPT(" ",LEN(A166))),LEN(A166))))))), 1)) * ROW(INDIRECT("1:"&amp;LEN((--TRIM(RIGHT(SUBSTITUTE(LEFT(A166,_xlfn.AGGREGATE(16,6,FIND({0,1,2,3,4,5,6,7,8,9},A166,ROW(INDIRECT("1:"&amp;LEN(A166)))),1))," ",REPT(" ",LEN(A166))),LEN(A166))))))), 0), ROW(INDIRECT("1:"&amp;LEN((--TRIM(RIGHT(SUBSTITUTE(LEFT(A166,_xlfn.AGGREGATE(16,6,FIND({0,1,2,3,4,5,6,7,8,9},A166,ROW(INDIRECT("1:"&amp;LEN(A166)))),1))," ",REPT(" ",LEN(A166))),LEN(A166))))))))+1, 1) * 10^ROW(INDIRECT("1:"&amp;LEN((--TRIM(RIGHT(SUBSTITUTE(LEFT(A166,_xlfn.AGGREGATE(16,6,FIND({0,1,2,3,4,5,6,7,8,9},A166,ROW(INDIRECT("1:"&amp;LEN(A166)))),1))," ",REPT(" ",LEN(A166))),LEN(A166)))))))/10))*1+1</f>
        <v>304 ,.., 1504</v>
      </c>
      <c r="B167" s="76"/>
      <c r="C167" s="42"/>
      <c r="D167" s="42"/>
      <c r="E167" s="42">
        <v>0</v>
      </c>
      <c r="F167" s="42">
        <f t="shared" si="9"/>
        <v>0</v>
      </c>
      <c r="G167" s="42">
        <v>0</v>
      </c>
      <c r="H167" s="42">
        <f t="shared" si="10"/>
        <v>0</v>
      </c>
      <c r="I167" s="36"/>
    </row>
    <row r="168" spans="1:14" s="37" customFormat="1" ht="15.75" hidden="1" customHeight="1" x14ac:dyDescent="0.25">
      <c r="A168" s="74" t="str">
        <f ca="1">(SUMPRODUCT(MID(0&amp;(LEFT(A167,SUM(LEN(A167)-LEN(SUBSTITUTE(A167,{"0","1","2"},""))))), LARGE(INDEX(ISNUMBER(--MID((LEFT(A167,SUM(LEN(A167)-LEN(SUBSTITUTE(A167,{"0","1","2"},""))))), ROW(INDIRECT("1:"&amp;LEN((LEFT(A167,SUM(LEN(A167)-LEN(SUBSTITUTE(A167,{"0","1","2"},"")))))))), 1)) * ROW(INDIRECT("1:"&amp;LEN((LEFT(A167,SUM(LEN(A167)-LEN(SUBSTITUTE(A167,{"0","1","2"},"")))))))), 0), ROW(INDIRECT("1:"&amp;LEN((LEFT(A167,SUM(LEN(A167)-LEN(SUBSTITUTE(A167,{"0","1","2"},"")))))))))+1, 1) * 10^ROW(INDIRECT("1:"&amp;LEN((LEFT(A167,SUM(LEN(A167)-LEN(SUBSTITUTE(A167,{"0","1","2"},""))))))))/10))*1+1&amp;""&amp;" ,.., "&amp;""&amp;(SUMPRODUCT(MID(0&amp;(--TRIM(RIGHT(SUBSTITUTE(LEFT(A167,_xlfn.AGGREGATE(16,6,FIND({0,1,2,3,4,5,6,7,8,9},A167,ROW(INDIRECT("1:"&amp;LEN(A167)))),1))," ",REPT(" ",LEN(A167))),LEN(A167)))), LARGE(INDEX(ISNUMBER(--MID((--TRIM(RIGHT(SUBSTITUTE(LEFT(A167,_xlfn.AGGREGATE(16,6,FIND({0,1,2,3,4,5,6,7,8,9},A167,ROW(INDIRECT("1:"&amp;LEN(A167)))),1))," ",REPT(" ",LEN(A167))),LEN(A167)))), ROW(INDIRECT("1:"&amp;LEN((--TRIM(RIGHT(SUBSTITUTE(LEFT(A167,_xlfn.AGGREGATE(16,6,FIND({0,1,2,3,4,5,6,7,8,9},A167,ROW(INDIRECT("1:"&amp;LEN(A167)))),1))," ",REPT(" ",LEN(A167))),LEN(A167))))))), 1)) * ROW(INDIRECT("1:"&amp;LEN((--TRIM(RIGHT(SUBSTITUTE(LEFT(A167,_xlfn.AGGREGATE(16,6,FIND({0,1,2,3,4,5,6,7,8,9},A167,ROW(INDIRECT("1:"&amp;LEN(A167)))),1))," ",REPT(" ",LEN(A167))),LEN(A167))))))), 0), ROW(INDIRECT("1:"&amp;LEN((--TRIM(RIGHT(SUBSTITUTE(LEFT(A167,_xlfn.AGGREGATE(16,6,FIND({0,1,2,3,4,5,6,7,8,9},A167,ROW(INDIRECT("1:"&amp;LEN(A167)))),1))," ",REPT(" ",LEN(A167))),LEN(A167))))))))+1, 1) * 10^ROW(INDIRECT("1:"&amp;LEN((--TRIM(RIGHT(SUBSTITUTE(LEFT(A167,_xlfn.AGGREGATE(16,6,FIND({0,1,2,3,4,5,6,7,8,9},A167,ROW(INDIRECT("1:"&amp;LEN(A167)))),1))," ",REPT(" ",LEN(A167))),LEN(A167)))))))/10))*1+1</f>
        <v>305 ,.., 1505</v>
      </c>
      <c r="B168" s="76"/>
      <c r="C168" s="42"/>
      <c r="D168" s="42"/>
      <c r="E168" s="42">
        <v>0</v>
      </c>
      <c r="F168" s="42">
        <f>D168+E168</f>
        <v>0</v>
      </c>
      <c r="G168" s="42">
        <v>0</v>
      </c>
      <c r="H168" s="42">
        <f>F168*(($H$150)+1)+(IF(G168&lt;101,G168,IF(G168&lt;201,G168/2,IF(G168&lt;=301,G168/3,G168/4))))</f>
        <v>0</v>
      </c>
      <c r="I168" s="36"/>
    </row>
    <row r="169" spans="1:14" s="37" customFormat="1" x14ac:dyDescent="0.25">
      <c r="A169" s="86" t="s">
        <v>289</v>
      </c>
      <c r="B169" s="87"/>
      <c r="C169" s="87"/>
      <c r="D169" s="87"/>
      <c r="E169" s="87"/>
      <c r="F169" s="87"/>
      <c r="G169" s="87"/>
      <c r="H169" s="88"/>
      <c r="I169" s="36"/>
    </row>
    <row r="170" spans="1:14" s="37" customFormat="1" ht="15.75" customHeight="1" x14ac:dyDescent="0.25">
      <c r="A170" s="74" t="str">
        <f ca="1">(SUMPRODUCT(MID(0&amp;(LEFT(A169,SUM(LEN(A169)-LEN(SUBSTITUTE(A169,{"0","1","2"},""))))), LARGE(INDEX(ISNUMBER(--MID((LEFT(A169,SUM(LEN(A169)-LEN(SUBSTITUTE(A169,{"0","1","2"},""))))), ROW(INDIRECT("1:"&amp;LEN((LEFT(A169,SUM(LEN(A169)-LEN(SUBSTITUTE(A169,{"0","1","2"},"")))))))), 1)) * ROW(INDIRECT("1:"&amp;LEN((LEFT(A169,SUM(LEN(A169)-LEN(SUBSTITUTE(A169,{"0","1","2"},"")))))))), 0), ROW(INDIRECT("1:"&amp;LEN((LEFT(A169,SUM(LEN(A169)-LEN(SUBSTITUTE(A169,{"0","1","2"},"")))))))))+1, 1) * 10^ROW(INDIRECT("1:"&amp;LEN((LEFT(A169,SUM(LEN(A169)-LEN(SUBSTITUTE(A169,{"0","1","2"},""))))))))/10))*100+1&amp;""&amp;" to "&amp;""&amp;(SUMPRODUCT(MID(0&amp;(--TRIM(RIGHT(SUBSTITUTE(LEFT(A169,_xlfn.AGGREGATE(16,6,FIND({0,1,2,3,4,5,6,7,8,9},A169,ROW(INDIRECT("1:"&amp;LEN(A169)))),1))," ",REPT(" ",LEN(A169))),LEN(A169)))), LARGE(INDEX(ISNUMBER(--MID((--TRIM(RIGHT(SUBSTITUTE(LEFT(A169,_xlfn.AGGREGATE(16,6,FIND({0,1,2,3,4,5,6,7,8,9},A169,ROW(INDIRECT("1:"&amp;LEN(A169)))),1))," ",REPT(" ",LEN(A169))),LEN(A169)))), ROW(INDIRECT("1:"&amp;LEN((--TRIM(RIGHT(SUBSTITUTE(LEFT(A169,_xlfn.AGGREGATE(16,6,FIND({0,1,2,3,4,5,6,7,8,9},A169,ROW(INDIRECT("1:"&amp;LEN(A169)))),1))," ",REPT(" ",LEN(A169))),LEN(A169))))))), 1)) * ROW(INDIRECT("1:"&amp;LEN((--TRIM(RIGHT(SUBSTITUTE(LEFT(A169,_xlfn.AGGREGATE(16,6,FIND({0,1,2,3,4,5,6,7,8,9},A169,ROW(INDIRECT("1:"&amp;LEN(A169)))),1))," ",REPT(" ",LEN(A169))),LEN(A169))))))), 0), ROW(INDIRECT("1:"&amp;LEN((--TRIM(RIGHT(SUBSTITUTE(LEFT(A169,_xlfn.AGGREGATE(16,6,FIND({0,1,2,3,4,5,6,7,8,9},A169,ROW(INDIRECT("1:"&amp;LEN(A169)))),1))," ",REPT(" ",LEN(A169))),LEN(A169))))))))+1, 1) * 10^ROW(INDIRECT("1:"&amp;LEN((--TRIM(RIGHT(SUBSTITUTE(LEFT(A169,_xlfn.AGGREGATE(16,6,FIND({0,1,2,3,4,5,6,7,8,9},A169,ROW(INDIRECT("1:"&amp;LEN(A169)))),1))," ",REPT(" ",LEN(A169))),LEN(A169)))))))/10))*100+1</f>
        <v>201 to 2101</v>
      </c>
      <c r="B170" s="76"/>
      <c r="C170" s="42" t="s">
        <v>283</v>
      </c>
      <c r="D170" s="59">
        <f>60.94*(10.764)</f>
        <v>655.95815999999991</v>
      </c>
      <c r="E170" s="59">
        <f>2.3*(10.764)</f>
        <v>24.757199999999997</v>
      </c>
      <c r="F170" s="42">
        <f>D170+E170</f>
        <v>680.71535999999992</v>
      </c>
      <c r="G170" s="42">
        <v>0</v>
      </c>
      <c r="H170" s="42">
        <f>F170*(($H$150)+1)+(IF(G170&lt;101,G170,IF(G170&lt;201,G170/2,IF(G170&lt;=301,G170/3,G170/4))))</f>
        <v>1021.0730399999999</v>
      </c>
      <c r="I170" s="36"/>
    </row>
    <row r="171" spans="1:14" s="37" customFormat="1" ht="15.75" customHeight="1" x14ac:dyDescent="0.25">
      <c r="A171" s="74" t="str">
        <f ca="1">(SUMPRODUCT(MID(0&amp;(LEFT(A170,SUM(LEN(A170)-LEN(SUBSTITUTE(A170,{"0","1","2"},""))))), LARGE(INDEX(ISNUMBER(--MID((LEFT(A170,SUM(LEN(A170)-LEN(SUBSTITUTE(A170,{"0","1","2"},""))))), ROW(INDIRECT("1:"&amp;LEN((LEFT(A170,SUM(LEN(A170)-LEN(SUBSTITUTE(A170,{"0","1","2"},"")))))))), 1)) * ROW(INDIRECT("1:"&amp;LEN((LEFT(A170,SUM(LEN(A170)-LEN(SUBSTITUTE(A170,{"0","1","2"},"")))))))), 0), ROW(INDIRECT("1:"&amp;LEN((LEFT(A170,SUM(LEN(A170)-LEN(SUBSTITUTE(A170,{"0","1","2"},"")))))))))+1, 1) * 10^ROW(INDIRECT("1:"&amp;LEN((LEFT(A170,SUM(LEN(A170)-LEN(SUBSTITUTE(A170,{"0","1","2"},""))))))))/10))*1+1&amp;""&amp;" to "&amp;""&amp;(SUMPRODUCT(MID(0&amp;(--TRIM(RIGHT(SUBSTITUTE(LEFT(A170,_xlfn.AGGREGATE(16,6,FIND({0,1,2,3,4,5,6,7,8,9},A170,ROW(INDIRECT("1:"&amp;LEN(A170)))),1))," ",REPT(" ",LEN(A170))),LEN(A170)))), LARGE(INDEX(ISNUMBER(--MID((--TRIM(RIGHT(SUBSTITUTE(LEFT(A170,_xlfn.AGGREGATE(16,6,FIND({0,1,2,3,4,5,6,7,8,9},A170,ROW(INDIRECT("1:"&amp;LEN(A170)))),1))," ",REPT(" ",LEN(A170))),LEN(A170)))), ROW(INDIRECT("1:"&amp;LEN((--TRIM(RIGHT(SUBSTITUTE(LEFT(A170,_xlfn.AGGREGATE(16,6,FIND({0,1,2,3,4,5,6,7,8,9},A170,ROW(INDIRECT("1:"&amp;LEN(A170)))),1))," ",REPT(" ",LEN(A170))),LEN(A170))))))), 1)) * ROW(INDIRECT("1:"&amp;LEN((--TRIM(RIGHT(SUBSTITUTE(LEFT(A170,_xlfn.AGGREGATE(16,6,FIND({0,1,2,3,4,5,6,7,8,9},A170,ROW(INDIRECT("1:"&amp;LEN(A170)))),1))," ",REPT(" ",LEN(A170))),LEN(A170))))))), 0), ROW(INDIRECT("1:"&amp;LEN((--TRIM(RIGHT(SUBSTITUTE(LEFT(A170,_xlfn.AGGREGATE(16,6,FIND({0,1,2,3,4,5,6,7,8,9},A170,ROW(INDIRECT("1:"&amp;LEN(A170)))),1))," ",REPT(" ",LEN(A170))),LEN(A170))))))))+1, 1) * 10^ROW(INDIRECT("1:"&amp;LEN((--TRIM(RIGHT(SUBSTITUTE(LEFT(A170,_xlfn.AGGREGATE(16,6,FIND({0,1,2,3,4,5,6,7,8,9},A170,ROW(INDIRECT("1:"&amp;LEN(A170)))),1))," ",REPT(" ",LEN(A170))),LEN(A170)))))))/10))*1+1</f>
        <v>202 to 2102</v>
      </c>
      <c r="B171" s="76"/>
      <c r="C171" s="42" t="s">
        <v>283</v>
      </c>
      <c r="D171" s="59">
        <f>60.94*(10.764)</f>
        <v>655.95815999999991</v>
      </c>
      <c r="E171" s="59">
        <f>2.3*(10.764)</f>
        <v>24.757199999999997</v>
      </c>
      <c r="F171" s="42">
        <f t="shared" ref="F171:F173" si="11">D171+E171</f>
        <v>680.71535999999992</v>
      </c>
      <c r="G171" s="42">
        <v>0</v>
      </c>
      <c r="H171" s="42">
        <f t="shared" ref="H171:H173" si="12">F171*(($H$150)+1)+(IF(G171&lt;101,G171,IF(G171&lt;201,G171/2,IF(G171&lt;=301,G171/3,G171/4))))</f>
        <v>1021.0730399999999</v>
      </c>
      <c r="I171" s="36"/>
    </row>
    <row r="172" spans="1:14" s="37" customFormat="1" ht="15.75" customHeight="1" x14ac:dyDescent="0.25">
      <c r="A172" s="74" t="str">
        <f ca="1">(SUMPRODUCT(MID(0&amp;(LEFT(A171,SUM(LEN(A171)-LEN(SUBSTITUTE(A171,{"0","1","2"},""))))), LARGE(INDEX(ISNUMBER(--MID((LEFT(A171,SUM(LEN(A171)-LEN(SUBSTITUTE(A171,{"0","1","2"},""))))), ROW(INDIRECT("1:"&amp;LEN((LEFT(A171,SUM(LEN(A171)-LEN(SUBSTITUTE(A171,{"0","1","2"},"")))))))), 1)) * ROW(INDIRECT("1:"&amp;LEN((LEFT(A171,SUM(LEN(A171)-LEN(SUBSTITUTE(A171,{"0","1","2"},"")))))))), 0), ROW(INDIRECT("1:"&amp;LEN((LEFT(A171,SUM(LEN(A171)-LEN(SUBSTITUTE(A171,{"0","1","2"},"")))))))))+1, 1) * 10^ROW(INDIRECT("1:"&amp;LEN((LEFT(A171,SUM(LEN(A171)-LEN(SUBSTITUTE(A171,{"0","1","2"},""))))))))/10))*1+1&amp;""&amp;" to "&amp;""&amp;(SUMPRODUCT(MID(0&amp;(--TRIM(RIGHT(SUBSTITUTE(LEFT(A171,_xlfn.AGGREGATE(16,6,FIND({0,1,2,3,4,5,6,7,8,9},A171,ROW(INDIRECT("1:"&amp;LEN(A171)))),1))," ",REPT(" ",LEN(A171))),LEN(A171)))), LARGE(INDEX(ISNUMBER(--MID((--TRIM(RIGHT(SUBSTITUTE(LEFT(A171,_xlfn.AGGREGATE(16,6,FIND({0,1,2,3,4,5,6,7,8,9},A171,ROW(INDIRECT("1:"&amp;LEN(A171)))),1))," ",REPT(" ",LEN(A171))),LEN(A171)))), ROW(INDIRECT("1:"&amp;LEN((--TRIM(RIGHT(SUBSTITUTE(LEFT(A171,_xlfn.AGGREGATE(16,6,FIND({0,1,2,3,4,5,6,7,8,9},A171,ROW(INDIRECT("1:"&amp;LEN(A171)))),1))," ",REPT(" ",LEN(A171))),LEN(A171))))))), 1)) * ROW(INDIRECT("1:"&amp;LEN((--TRIM(RIGHT(SUBSTITUTE(LEFT(A171,_xlfn.AGGREGATE(16,6,FIND({0,1,2,3,4,5,6,7,8,9},A171,ROW(INDIRECT("1:"&amp;LEN(A171)))),1))," ",REPT(" ",LEN(A171))),LEN(A171))))))), 0), ROW(INDIRECT("1:"&amp;LEN((--TRIM(RIGHT(SUBSTITUTE(LEFT(A171,_xlfn.AGGREGATE(16,6,FIND({0,1,2,3,4,5,6,7,8,9},A171,ROW(INDIRECT("1:"&amp;LEN(A171)))),1))," ",REPT(" ",LEN(A171))),LEN(A171))))))))+1, 1) * 10^ROW(INDIRECT("1:"&amp;LEN((--TRIM(RIGHT(SUBSTITUTE(LEFT(A171,_xlfn.AGGREGATE(16,6,FIND({0,1,2,3,4,5,6,7,8,9},A171,ROW(INDIRECT("1:"&amp;LEN(A171)))),1))," ",REPT(" ",LEN(A171))),LEN(A171)))))))/10))*1+1</f>
        <v>203 to 2103</v>
      </c>
      <c r="B172" s="76"/>
      <c r="C172" s="42" t="s">
        <v>284</v>
      </c>
      <c r="D172" s="59">
        <f>36.21*(10.764)</f>
        <v>389.76443999999998</v>
      </c>
      <c r="E172" s="59">
        <f>0*(10.764)</f>
        <v>0</v>
      </c>
      <c r="F172" s="42">
        <f t="shared" si="11"/>
        <v>389.76443999999998</v>
      </c>
      <c r="G172" s="42">
        <v>0</v>
      </c>
      <c r="H172" s="42">
        <f t="shared" si="12"/>
        <v>584.64666</v>
      </c>
      <c r="I172" s="36"/>
    </row>
    <row r="173" spans="1:14" s="37" customFormat="1" ht="15.75" customHeight="1" x14ac:dyDescent="0.25">
      <c r="A173" s="74" t="str">
        <f ca="1">(SUMPRODUCT(MID(0&amp;(LEFT(A172,SUM(LEN(A172)-LEN(SUBSTITUTE(A172,{"0","1","2"},""))))), LARGE(INDEX(ISNUMBER(--MID((LEFT(A172,SUM(LEN(A172)-LEN(SUBSTITUTE(A172,{"0","1","2"},""))))), ROW(INDIRECT("1:"&amp;LEN((LEFT(A172,SUM(LEN(A172)-LEN(SUBSTITUTE(A172,{"0","1","2"},"")))))))), 1)) * ROW(INDIRECT("1:"&amp;LEN((LEFT(A172,SUM(LEN(A172)-LEN(SUBSTITUTE(A172,{"0","1","2"},"")))))))), 0), ROW(INDIRECT("1:"&amp;LEN((LEFT(A172,SUM(LEN(A172)-LEN(SUBSTITUTE(A172,{"0","1","2"},"")))))))))+1, 1) * 10^ROW(INDIRECT("1:"&amp;LEN((LEFT(A172,SUM(LEN(A172)-LEN(SUBSTITUTE(A172,{"0","1","2"},""))))))))/10))*1+1&amp;""&amp;" to "&amp;""&amp;(SUMPRODUCT(MID(0&amp;(--TRIM(RIGHT(SUBSTITUTE(LEFT(A172,_xlfn.AGGREGATE(16,6,FIND({0,1,2,3,4,5,6,7,8,9},A172,ROW(INDIRECT("1:"&amp;LEN(A172)))),1))," ",REPT(" ",LEN(A172))),LEN(A172)))), LARGE(INDEX(ISNUMBER(--MID((--TRIM(RIGHT(SUBSTITUTE(LEFT(A172,_xlfn.AGGREGATE(16,6,FIND({0,1,2,3,4,5,6,7,8,9},A172,ROW(INDIRECT("1:"&amp;LEN(A172)))),1))," ",REPT(" ",LEN(A172))),LEN(A172)))), ROW(INDIRECT("1:"&amp;LEN((--TRIM(RIGHT(SUBSTITUTE(LEFT(A172,_xlfn.AGGREGATE(16,6,FIND({0,1,2,3,4,5,6,7,8,9},A172,ROW(INDIRECT("1:"&amp;LEN(A172)))),1))," ",REPT(" ",LEN(A172))),LEN(A172))))))), 1)) * ROW(INDIRECT("1:"&amp;LEN((--TRIM(RIGHT(SUBSTITUTE(LEFT(A172,_xlfn.AGGREGATE(16,6,FIND({0,1,2,3,4,5,6,7,8,9},A172,ROW(INDIRECT("1:"&amp;LEN(A172)))),1))," ",REPT(" ",LEN(A172))),LEN(A172))))))), 0), ROW(INDIRECT("1:"&amp;LEN((--TRIM(RIGHT(SUBSTITUTE(LEFT(A172,_xlfn.AGGREGATE(16,6,FIND({0,1,2,3,4,5,6,7,8,9},A172,ROW(INDIRECT("1:"&amp;LEN(A172)))),1))," ",REPT(" ",LEN(A172))),LEN(A172))))))))+1, 1) * 10^ROW(INDIRECT("1:"&amp;LEN((--TRIM(RIGHT(SUBSTITUTE(LEFT(A172,_xlfn.AGGREGATE(16,6,FIND({0,1,2,3,4,5,6,7,8,9},A172,ROW(INDIRECT("1:"&amp;LEN(A172)))),1))," ",REPT(" ",LEN(A172))),LEN(A172)))))))/10))*1+1</f>
        <v>204 to 2104</v>
      </c>
      <c r="B173" s="76"/>
      <c r="C173" s="42" t="s">
        <v>283</v>
      </c>
      <c r="D173" s="59">
        <f t="shared" ref="D173" si="13">60.94*(10.764)</f>
        <v>655.95815999999991</v>
      </c>
      <c r="E173" s="59">
        <f>2.3*(10.764)</f>
        <v>24.757199999999997</v>
      </c>
      <c r="F173" s="42">
        <f t="shared" si="11"/>
        <v>680.71535999999992</v>
      </c>
      <c r="G173" s="42">
        <v>0</v>
      </c>
      <c r="H173" s="42">
        <f t="shared" si="12"/>
        <v>1021.0730399999999</v>
      </c>
      <c r="I173" s="36"/>
    </row>
    <row r="174" spans="1:14" s="37" customFormat="1" ht="15.75" customHeight="1" x14ac:dyDescent="0.25">
      <c r="A174" s="74" t="str">
        <f ca="1">(SUMPRODUCT(MID(0&amp;(LEFT(A173,SUM(LEN(A173)-LEN(SUBSTITUTE(A173,{"0","1","2"},""))))), LARGE(INDEX(ISNUMBER(--MID((LEFT(A173,SUM(LEN(A173)-LEN(SUBSTITUTE(A173,{"0","1","2"},""))))), ROW(INDIRECT("1:"&amp;LEN((LEFT(A173,SUM(LEN(A173)-LEN(SUBSTITUTE(A173,{"0","1","2"},"")))))))), 1)) * ROW(INDIRECT("1:"&amp;LEN((LEFT(A173,SUM(LEN(A173)-LEN(SUBSTITUTE(A173,{"0","1","2"},"")))))))), 0), ROW(INDIRECT("1:"&amp;LEN((LEFT(A173,SUM(LEN(A173)-LEN(SUBSTITUTE(A173,{"0","1","2"},"")))))))))+1, 1) * 10^ROW(INDIRECT("1:"&amp;LEN((LEFT(A173,SUM(LEN(A173)-LEN(SUBSTITUTE(A173,{"0","1","2"},""))))))))/10))*1+1&amp;""&amp;" to "&amp;""&amp;(SUMPRODUCT(MID(0&amp;(--TRIM(RIGHT(SUBSTITUTE(LEFT(A173,_xlfn.AGGREGATE(16,6,FIND({0,1,2,3,4,5,6,7,8,9},A173,ROW(INDIRECT("1:"&amp;LEN(A173)))),1))," ",REPT(" ",LEN(A173))),LEN(A173)))), LARGE(INDEX(ISNUMBER(--MID((--TRIM(RIGHT(SUBSTITUTE(LEFT(A173,_xlfn.AGGREGATE(16,6,FIND({0,1,2,3,4,5,6,7,8,9},A173,ROW(INDIRECT("1:"&amp;LEN(A173)))),1))," ",REPT(" ",LEN(A173))),LEN(A173)))), ROW(INDIRECT("1:"&amp;LEN((--TRIM(RIGHT(SUBSTITUTE(LEFT(A173,_xlfn.AGGREGATE(16,6,FIND({0,1,2,3,4,5,6,7,8,9},A173,ROW(INDIRECT("1:"&amp;LEN(A173)))),1))," ",REPT(" ",LEN(A173))),LEN(A173))))))), 1)) * ROW(INDIRECT("1:"&amp;LEN((--TRIM(RIGHT(SUBSTITUTE(LEFT(A173,_xlfn.AGGREGATE(16,6,FIND({0,1,2,3,4,5,6,7,8,9},A173,ROW(INDIRECT("1:"&amp;LEN(A173)))),1))," ",REPT(" ",LEN(A173))),LEN(A173))))))), 0), ROW(INDIRECT("1:"&amp;LEN((--TRIM(RIGHT(SUBSTITUTE(LEFT(A173,_xlfn.AGGREGATE(16,6,FIND({0,1,2,3,4,5,6,7,8,9},A173,ROW(INDIRECT("1:"&amp;LEN(A173)))),1))," ",REPT(" ",LEN(A173))),LEN(A173))))))))+1, 1) * 10^ROW(INDIRECT("1:"&amp;LEN((--TRIM(RIGHT(SUBSTITUTE(LEFT(A173,_xlfn.AGGREGATE(16,6,FIND({0,1,2,3,4,5,6,7,8,9},A173,ROW(INDIRECT("1:"&amp;LEN(A173)))),1))," ",REPT(" ",LEN(A173))),LEN(A173)))))))/10))*1+1</f>
        <v>205 to 2105</v>
      </c>
      <c r="B174" s="76"/>
      <c r="C174" s="42" t="s">
        <v>283</v>
      </c>
      <c r="D174" s="59">
        <f>60.94*(10.764)</f>
        <v>655.95815999999991</v>
      </c>
      <c r="E174" s="59">
        <f>2.3*(10.764)</f>
        <v>24.757199999999997</v>
      </c>
      <c r="F174" s="42">
        <f>D174+E174</f>
        <v>680.71535999999992</v>
      </c>
      <c r="G174" s="42">
        <v>0</v>
      </c>
      <c r="H174" s="42">
        <f>F174*(($H$150)+1)+(IF(G174&lt;101,G174,IF(G174&lt;201,G174/2,IF(G174&lt;=301,G174/3,G174/4))))</f>
        <v>1021.0730399999999</v>
      </c>
      <c r="I174" s="36"/>
    </row>
    <row r="175" spans="1:14" s="37" customFormat="1" x14ac:dyDescent="0.25">
      <c r="A175" s="79" t="s">
        <v>290</v>
      </c>
      <c r="B175" s="79"/>
      <c r="C175" s="79"/>
      <c r="D175" s="79"/>
      <c r="E175" s="79"/>
      <c r="F175" s="79"/>
      <c r="G175" s="79"/>
      <c r="H175" s="79"/>
      <c r="I175" s="36"/>
      <c r="L175" s="72"/>
      <c r="M175" s="72"/>
    </row>
    <row r="176" spans="1:14" s="37" customFormat="1" ht="15.75" customHeight="1" x14ac:dyDescent="0.25">
      <c r="A176" s="73">
        <f>LEFT(A175,SUM(LEN(A175)-LEN(SUBSTITUTE(A175,{"0","1","2","3","4","5","6","7","8","9"},""))))*100+1</f>
        <v>701</v>
      </c>
      <c r="B176" s="73"/>
      <c r="C176" s="42" t="s">
        <v>283</v>
      </c>
      <c r="D176" s="59">
        <f>60.94*(10.764)</f>
        <v>655.95815999999991</v>
      </c>
      <c r="E176" s="59">
        <f>2.3*(10.764)</f>
        <v>24.757199999999997</v>
      </c>
      <c r="F176" s="42">
        <f>D176+E176</f>
        <v>680.71535999999992</v>
      </c>
      <c r="G176" s="42">
        <v>0</v>
      </c>
      <c r="H176" s="42">
        <f>F176*(($H$150)+1)+(IF(G176&lt;101,G176,IF(G176&lt;201,G176/2,IF(G176&lt;=301,G176/3,G176/4))))</f>
        <v>1021.0730399999999</v>
      </c>
      <c r="I176" s="36"/>
      <c r="N176" s="36"/>
    </row>
    <row r="177" spans="1:14" s="37" customFormat="1" x14ac:dyDescent="0.25">
      <c r="A177" s="73">
        <f>A176+1</f>
        <v>702</v>
      </c>
      <c r="B177" s="73"/>
      <c r="C177" s="42" t="s">
        <v>283</v>
      </c>
      <c r="D177" s="59">
        <f>60.94*(10.764)</f>
        <v>655.95815999999991</v>
      </c>
      <c r="E177" s="59">
        <f>2.3*(10.764)</f>
        <v>24.757199999999997</v>
      </c>
      <c r="F177" s="42">
        <f t="shared" ref="F177:F178" si="14">D177+E177</f>
        <v>680.71535999999992</v>
      </c>
      <c r="G177" s="42">
        <v>0</v>
      </c>
      <c r="H177" s="42">
        <f>F177*(($H$150)+1)+(IF(G177&lt;101,G177,IF(G177&lt;201,G177/2,IF(G177&lt;=301,G177/3,G177/4))))</f>
        <v>1021.0730399999999</v>
      </c>
      <c r="I177" s="36"/>
      <c r="J177" s="59">
        <f>10.764</f>
        <v>10.763999999999999</v>
      </c>
      <c r="N177" s="36"/>
    </row>
    <row r="178" spans="1:14" s="37" customFormat="1" x14ac:dyDescent="0.25">
      <c r="A178" s="73">
        <f>A177+1</f>
        <v>703</v>
      </c>
      <c r="B178" s="73"/>
      <c r="C178" s="42" t="s">
        <v>284</v>
      </c>
      <c r="D178" s="59">
        <f>36.21*(10.764)</f>
        <v>389.76443999999998</v>
      </c>
      <c r="E178" s="59">
        <f>0*(10.764)</f>
        <v>0</v>
      </c>
      <c r="F178" s="42">
        <f t="shared" si="14"/>
        <v>389.76443999999998</v>
      </c>
      <c r="G178" s="42">
        <v>0</v>
      </c>
      <c r="H178" s="42">
        <f>F178*(($H$150)+1)+(IF(G178&lt;101,G178,IF(G178&lt;201,G178/2,IF(G178&lt;=301,G178/3,G178/4))))</f>
        <v>584.64666</v>
      </c>
      <c r="I178" s="36"/>
      <c r="N178" s="36"/>
    </row>
    <row r="179" spans="1:14" s="37" customFormat="1" x14ac:dyDescent="0.25">
      <c r="A179" s="73">
        <f>A178+1</f>
        <v>704</v>
      </c>
      <c r="B179" s="73"/>
      <c r="C179" s="74" t="s">
        <v>291</v>
      </c>
      <c r="D179" s="75"/>
      <c r="E179" s="75"/>
      <c r="F179" s="75"/>
      <c r="G179" s="75"/>
      <c r="H179" s="76"/>
      <c r="I179" s="36"/>
      <c r="N179" s="36"/>
    </row>
    <row r="180" spans="1:14" s="37" customFormat="1" ht="15.75" customHeight="1" x14ac:dyDescent="0.25">
      <c r="A180" s="73">
        <f>A179+1</f>
        <v>705</v>
      </c>
      <c r="B180" s="73"/>
      <c r="C180" s="42" t="s">
        <v>283</v>
      </c>
      <c r="D180" s="59">
        <f>60.94*(10.764)</f>
        <v>655.95815999999991</v>
      </c>
      <c r="E180" s="59">
        <f>2.3*(10.764)</f>
        <v>24.757199999999997</v>
      </c>
      <c r="F180" s="42">
        <f>D180+E180</f>
        <v>680.71535999999992</v>
      </c>
      <c r="G180" s="42">
        <v>0</v>
      </c>
      <c r="H180" s="42">
        <f>F180*(($H$150)+1)+(IF(G180&lt;101,G180,IF(G180&lt;201,G180/2,IF(G180&lt;=301,G180/3,G180/4))))</f>
        <v>1021.0730399999999</v>
      </c>
      <c r="I180" s="36"/>
      <c r="N180" s="36"/>
    </row>
    <row r="181" spans="1:14" s="37" customFormat="1" x14ac:dyDescent="0.25">
      <c r="A181" s="79" t="s">
        <v>293</v>
      </c>
      <c r="B181" s="79"/>
      <c r="C181" s="79"/>
      <c r="D181" s="79"/>
      <c r="E181" s="79"/>
      <c r="F181" s="79"/>
      <c r="G181" s="79"/>
      <c r="H181" s="79"/>
      <c r="I181" s="36"/>
      <c r="L181" s="72"/>
      <c r="M181" s="72"/>
    </row>
    <row r="182" spans="1:14" s="37" customFormat="1" ht="15.75" customHeight="1" x14ac:dyDescent="0.25">
      <c r="A182" s="73">
        <f>LEFT(A181,SUM(LEN(A181)-LEN(SUBSTITUTE(A181,{"0","1","2","3","4","5","6","7","8","9"},""))))*100+1</f>
        <v>1401</v>
      </c>
      <c r="B182" s="73"/>
      <c r="C182" s="42" t="s">
        <v>283</v>
      </c>
      <c r="D182" s="59">
        <f>60.94*(10.764)</f>
        <v>655.95815999999991</v>
      </c>
      <c r="E182" s="59">
        <f>2.3*(10.764)</f>
        <v>24.757199999999997</v>
      </c>
      <c r="F182" s="42">
        <f>D182+E182</f>
        <v>680.71535999999992</v>
      </c>
      <c r="G182" s="42">
        <v>0</v>
      </c>
      <c r="H182" s="42">
        <f>F182*(($H$150)+1)+(IF(G182&lt;101,G182,IF(G182&lt;201,G182/2,IF(G182&lt;=301,G182/3,G182/4))))</f>
        <v>1021.0730399999999</v>
      </c>
      <c r="I182" s="36"/>
      <c r="N182" s="36"/>
    </row>
    <row r="183" spans="1:14" s="37" customFormat="1" x14ac:dyDescent="0.25">
      <c r="A183" s="73">
        <f>A182+1</f>
        <v>1402</v>
      </c>
      <c r="B183" s="73"/>
      <c r="C183" s="42" t="s">
        <v>283</v>
      </c>
      <c r="D183" s="59">
        <f>60.94*(10.764)</f>
        <v>655.95815999999991</v>
      </c>
      <c r="E183" s="59">
        <f>2.3*(10.764)</f>
        <v>24.757199999999997</v>
      </c>
      <c r="F183" s="42">
        <f t="shared" ref="F183:F184" si="15">D183+E183</f>
        <v>680.71535999999992</v>
      </c>
      <c r="G183" s="42">
        <v>0</v>
      </c>
      <c r="H183" s="42">
        <f t="shared" ref="H183:H184" si="16">F183*(($H$150)+1)+(IF(G183&lt;101,G183,IF(G183&lt;201,G183/2,IF(G183&lt;=301,G183/3,G183/4))))</f>
        <v>1021.0730399999999</v>
      </c>
      <c r="I183" s="36"/>
      <c r="J183" s="59">
        <f>10.764</f>
        <v>10.763999999999999</v>
      </c>
      <c r="N183" s="36"/>
    </row>
    <row r="184" spans="1:14" s="37" customFormat="1" x14ac:dyDescent="0.25">
      <c r="A184" s="73">
        <f>A183+1</f>
        <v>1403</v>
      </c>
      <c r="B184" s="73"/>
      <c r="C184" s="42" t="s">
        <v>284</v>
      </c>
      <c r="D184" s="59">
        <f>36.21*(10.764)</f>
        <v>389.76443999999998</v>
      </c>
      <c r="E184" s="59">
        <f>0*(10.764)</f>
        <v>0</v>
      </c>
      <c r="F184" s="42">
        <f t="shared" si="15"/>
        <v>389.76443999999998</v>
      </c>
      <c r="G184" s="42">
        <v>0</v>
      </c>
      <c r="H184" s="42">
        <f t="shared" si="16"/>
        <v>584.64666</v>
      </c>
      <c r="I184" s="36"/>
      <c r="N184" s="36"/>
    </row>
    <row r="185" spans="1:14" s="37" customFormat="1" x14ac:dyDescent="0.25">
      <c r="A185" s="73">
        <f>A184+1</f>
        <v>1404</v>
      </c>
      <c r="B185" s="73"/>
      <c r="C185" s="74" t="s">
        <v>291</v>
      </c>
      <c r="D185" s="75"/>
      <c r="E185" s="75"/>
      <c r="F185" s="75"/>
      <c r="G185" s="75"/>
      <c r="H185" s="76"/>
      <c r="I185" s="36"/>
      <c r="N185" s="36"/>
    </row>
    <row r="186" spans="1:14" s="37" customFormat="1" ht="15.75" customHeight="1" x14ac:dyDescent="0.25">
      <c r="A186" s="73">
        <f>A185+1</f>
        <v>1405</v>
      </c>
      <c r="B186" s="73"/>
      <c r="C186" s="42" t="s">
        <v>283</v>
      </c>
      <c r="D186" s="59">
        <f>60.94*(10.764)</f>
        <v>655.95815999999991</v>
      </c>
      <c r="E186" s="59">
        <f>2.3*(10.764)</f>
        <v>24.757199999999997</v>
      </c>
      <c r="F186" s="42">
        <f>D186+E186</f>
        <v>680.71535999999992</v>
      </c>
      <c r="G186" s="42">
        <v>0</v>
      </c>
      <c r="H186" s="42">
        <f>F186*(($H$150)+1)+(IF(G186&lt;101,G186,IF(G186&lt;201,G186/2,IF(G186&lt;=301,G186/3,G186/4))))</f>
        <v>1021.0730399999999</v>
      </c>
      <c r="I186" s="36"/>
      <c r="N186" s="36"/>
    </row>
    <row r="187" spans="1:14" s="37" customFormat="1" hidden="1" x14ac:dyDescent="0.25">
      <c r="A187" s="86" t="s">
        <v>147</v>
      </c>
      <c r="B187" s="87"/>
      <c r="C187" s="87"/>
      <c r="D187" s="87"/>
      <c r="E187" s="87"/>
      <c r="F187" s="87"/>
      <c r="G187" s="87"/>
      <c r="H187" s="88"/>
      <c r="I187" s="36"/>
    </row>
    <row r="188" spans="1:14" s="37" customFormat="1" ht="15.75" hidden="1" customHeight="1" x14ac:dyDescent="0.25">
      <c r="A188" s="74" t="str">
        <f ca="1">(SUMPRODUCT(MID(0&amp;(LEFT(A187,SUM(LEN(A187)-LEN(SUBSTITUTE(A187,{"0","1","2"},""))))), LARGE(INDEX(ISNUMBER(--MID((LEFT(A187,SUM(LEN(A187)-LEN(SUBSTITUTE(A187,{"0","1","2"},""))))), ROW(INDIRECT("1:"&amp;LEN((LEFT(A187,SUM(LEN(A187)-LEN(SUBSTITUTE(A187,{"0","1","2"},"")))))))), 1)) * ROW(INDIRECT("1:"&amp;LEN((LEFT(A187,SUM(LEN(A187)-LEN(SUBSTITUTE(A187,{"0","1","2"},"")))))))), 0), ROW(INDIRECT("1:"&amp;LEN((LEFT(A187,SUM(LEN(A187)-LEN(SUBSTITUTE(A187,{"0","1","2"},"")))))))))+1, 1) * 10^ROW(INDIRECT("1:"&amp;LEN((LEFT(A187,SUM(LEN(A187)-LEN(SUBSTITUTE(A187,{"0","1","2"},""))))))))/10))*100+1&amp;""&amp;" &amp; "&amp;""&amp;(SUMPRODUCT(MID(0&amp;(--TRIM(RIGHT(SUBSTITUTE(LEFT(A187,_xlfn.AGGREGATE(16,6,FIND({0,1,2,3,4,5,6,7,8,9},A187,ROW(INDIRECT("1:"&amp;LEN(A187)))),1))," ",REPT(" ",LEN(A187))),LEN(A187)))), LARGE(INDEX(ISNUMBER(--MID((--TRIM(RIGHT(SUBSTITUTE(LEFT(A187,_xlfn.AGGREGATE(16,6,FIND({0,1,2,3,4,5,6,7,8,9},A187,ROW(INDIRECT("1:"&amp;LEN(A187)))),1))," ",REPT(" ",LEN(A187))),LEN(A187)))), ROW(INDIRECT("1:"&amp;LEN((--TRIM(RIGHT(SUBSTITUTE(LEFT(A187,_xlfn.AGGREGATE(16,6,FIND({0,1,2,3,4,5,6,7,8,9},A187,ROW(INDIRECT("1:"&amp;LEN(A187)))),1))," ",REPT(" ",LEN(A187))),LEN(A187))))))), 1)) * ROW(INDIRECT("1:"&amp;LEN((--TRIM(RIGHT(SUBSTITUTE(LEFT(A187,_xlfn.AGGREGATE(16,6,FIND({0,1,2,3,4,5,6,7,8,9},A187,ROW(INDIRECT("1:"&amp;LEN(A187)))),1))," ",REPT(" ",LEN(A187))),LEN(A187))))))), 0), ROW(INDIRECT("1:"&amp;LEN((--TRIM(RIGHT(SUBSTITUTE(LEFT(A187,_xlfn.AGGREGATE(16,6,FIND({0,1,2,3,4,5,6,7,8,9},A187,ROW(INDIRECT("1:"&amp;LEN(A187)))),1))," ",REPT(" ",LEN(A187))),LEN(A187))))))))+1, 1) * 10^ROW(INDIRECT("1:"&amp;LEN((--TRIM(RIGHT(SUBSTITUTE(LEFT(A187,_xlfn.AGGREGATE(16,6,FIND({0,1,2,3,4,5,6,7,8,9},A187,ROW(INDIRECT("1:"&amp;LEN(A187)))),1))," ",REPT(" ",LEN(A187))),LEN(A187)))))))/10))*100+1</f>
        <v>201 &amp; 501</v>
      </c>
      <c r="B188" s="76"/>
      <c r="C188" s="42"/>
      <c r="D188" s="42"/>
      <c r="E188" s="42">
        <v>0</v>
      </c>
      <c r="F188" s="42">
        <f>D188+E188</f>
        <v>0</v>
      </c>
      <c r="G188" s="42">
        <v>0</v>
      </c>
      <c r="H188" s="42">
        <f>F188*(($H$150)+1)+(IF(G188&lt;101,G188,IF(G188&lt;201,G188/2,IF(G188&lt;=301,G188/3,G188/4))))</f>
        <v>0</v>
      </c>
      <c r="I188" s="36"/>
    </row>
    <row r="189" spans="1:14" s="37" customFormat="1" ht="15.75" hidden="1" customHeight="1" x14ac:dyDescent="0.25">
      <c r="A189" s="74" t="str">
        <f ca="1">(SUMPRODUCT(MID(0&amp;(LEFT(A188,SUM(LEN(A188)-LEN(SUBSTITUTE(A188,{"0","1","2"},""))))), LARGE(INDEX(ISNUMBER(--MID((LEFT(A188,SUM(LEN(A188)-LEN(SUBSTITUTE(A188,{"0","1","2"},""))))), ROW(INDIRECT("1:"&amp;LEN((LEFT(A188,SUM(LEN(A188)-LEN(SUBSTITUTE(A188,{"0","1","2"},"")))))))), 1)) * ROW(INDIRECT("1:"&amp;LEN((LEFT(A188,SUM(LEN(A188)-LEN(SUBSTITUTE(A188,{"0","1","2"},"")))))))), 0), ROW(INDIRECT("1:"&amp;LEN((LEFT(A188,SUM(LEN(A188)-LEN(SUBSTITUTE(A188,{"0","1","2"},"")))))))))+1, 1) * 10^ROW(INDIRECT("1:"&amp;LEN((LEFT(A188,SUM(LEN(A188)-LEN(SUBSTITUTE(A188,{"0","1","2"},""))))))))/10))*1+1&amp;""&amp;" &amp; "&amp;""&amp;(SUMPRODUCT(MID(0&amp;(--TRIM(RIGHT(SUBSTITUTE(LEFT(A188,_xlfn.AGGREGATE(16,6,FIND({0,1,2,3,4,5,6,7,8,9},A188,ROW(INDIRECT("1:"&amp;LEN(A188)))),1))," ",REPT(" ",LEN(A188))),LEN(A188)))), LARGE(INDEX(ISNUMBER(--MID((--TRIM(RIGHT(SUBSTITUTE(LEFT(A188,_xlfn.AGGREGATE(16,6,FIND({0,1,2,3,4,5,6,7,8,9},A188,ROW(INDIRECT("1:"&amp;LEN(A188)))),1))," ",REPT(" ",LEN(A188))),LEN(A188)))), ROW(INDIRECT("1:"&amp;LEN((--TRIM(RIGHT(SUBSTITUTE(LEFT(A188,_xlfn.AGGREGATE(16,6,FIND({0,1,2,3,4,5,6,7,8,9},A188,ROW(INDIRECT("1:"&amp;LEN(A188)))),1))," ",REPT(" ",LEN(A188))),LEN(A188))))))), 1)) * ROW(INDIRECT("1:"&amp;LEN((--TRIM(RIGHT(SUBSTITUTE(LEFT(A188,_xlfn.AGGREGATE(16,6,FIND({0,1,2,3,4,5,6,7,8,9},A188,ROW(INDIRECT("1:"&amp;LEN(A188)))),1))," ",REPT(" ",LEN(A188))),LEN(A188))))))), 0), ROW(INDIRECT("1:"&amp;LEN((--TRIM(RIGHT(SUBSTITUTE(LEFT(A188,_xlfn.AGGREGATE(16,6,FIND({0,1,2,3,4,5,6,7,8,9},A188,ROW(INDIRECT("1:"&amp;LEN(A188)))),1))," ",REPT(" ",LEN(A188))),LEN(A188))))))))+1, 1) * 10^ROW(INDIRECT("1:"&amp;LEN((--TRIM(RIGHT(SUBSTITUTE(LEFT(A188,_xlfn.AGGREGATE(16,6,FIND({0,1,2,3,4,5,6,7,8,9},A188,ROW(INDIRECT("1:"&amp;LEN(A188)))),1))," ",REPT(" ",LEN(A188))),LEN(A188)))))))/10))*1+1</f>
        <v>202 &amp; 502</v>
      </c>
      <c r="B189" s="76"/>
      <c r="C189" s="42"/>
      <c r="D189" s="42"/>
      <c r="E189" s="42">
        <v>0</v>
      </c>
      <c r="F189" s="42">
        <f t="shared" ref="F189:F191" si="17">D189+E189</f>
        <v>0</v>
      </c>
      <c r="G189" s="42">
        <v>0</v>
      </c>
      <c r="H189" s="42">
        <f t="shared" ref="H189:H191" si="18">F189*(($H$150)+1)+(IF(G189&lt;101,G189,IF(G189&lt;201,G189/2,IF(G189&lt;=301,G189/3,G189/4))))</f>
        <v>0</v>
      </c>
      <c r="I189" s="36"/>
    </row>
    <row r="190" spans="1:14" s="37" customFormat="1" ht="15.75" hidden="1" customHeight="1" x14ac:dyDescent="0.25">
      <c r="A190" s="74" t="str">
        <f ca="1">(SUMPRODUCT(MID(0&amp;(LEFT(A189,SUM(LEN(A189)-LEN(SUBSTITUTE(A189,{"0","1","2"},""))))), LARGE(INDEX(ISNUMBER(--MID((LEFT(A189,SUM(LEN(A189)-LEN(SUBSTITUTE(A189,{"0","1","2"},""))))), ROW(INDIRECT("1:"&amp;LEN((LEFT(A189,SUM(LEN(A189)-LEN(SUBSTITUTE(A189,{"0","1","2"},"")))))))), 1)) * ROW(INDIRECT("1:"&amp;LEN((LEFT(A189,SUM(LEN(A189)-LEN(SUBSTITUTE(A189,{"0","1","2"},"")))))))), 0), ROW(INDIRECT("1:"&amp;LEN((LEFT(A189,SUM(LEN(A189)-LEN(SUBSTITUTE(A189,{"0","1","2"},"")))))))))+1, 1) * 10^ROW(INDIRECT("1:"&amp;LEN((LEFT(A189,SUM(LEN(A189)-LEN(SUBSTITUTE(A189,{"0","1","2"},""))))))))/10))*1+1&amp;""&amp;" &amp; "&amp;""&amp;(SUMPRODUCT(MID(0&amp;(--TRIM(RIGHT(SUBSTITUTE(LEFT(A189,_xlfn.AGGREGATE(16,6,FIND({0,1,2,3,4,5,6,7,8,9},A189,ROW(INDIRECT("1:"&amp;LEN(A189)))),1))," ",REPT(" ",LEN(A189))),LEN(A189)))), LARGE(INDEX(ISNUMBER(--MID((--TRIM(RIGHT(SUBSTITUTE(LEFT(A189,_xlfn.AGGREGATE(16,6,FIND({0,1,2,3,4,5,6,7,8,9},A189,ROW(INDIRECT("1:"&amp;LEN(A189)))),1))," ",REPT(" ",LEN(A189))),LEN(A189)))), ROW(INDIRECT("1:"&amp;LEN((--TRIM(RIGHT(SUBSTITUTE(LEFT(A189,_xlfn.AGGREGATE(16,6,FIND({0,1,2,3,4,5,6,7,8,9},A189,ROW(INDIRECT("1:"&amp;LEN(A189)))),1))," ",REPT(" ",LEN(A189))),LEN(A189))))))), 1)) * ROW(INDIRECT("1:"&amp;LEN((--TRIM(RIGHT(SUBSTITUTE(LEFT(A189,_xlfn.AGGREGATE(16,6,FIND({0,1,2,3,4,5,6,7,8,9},A189,ROW(INDIRECT("1:"&amp;LEN(A189)))),1))," ",REPT(" ",LEN(A189))),LEN(A189))))))), 0), ROW(INDIRECT("1:"&amp;LEN((--TRIM(RIGHT(SUBSTITUTE(LEFT(A189,_xlfn.AGGREGATE(16,6,FIND({0,1,2,3,4,5,6,7,8,9},A189,ROW(INDIRECT("1:"&amp;LEN(A189)))),1))," ",REPT(" ",LEN(A189))),LEN(A189))))))))+1, 1) * 10^ROW(INDIRECT("1:"&amp;LEN((--TRIM(RIGHT(SUBSTITUTE(LEFT(A189,_xlfn.AGGREGATE(16,6,FIND({0,1,2,3,4,5,6,7,8,9},A189,ROW(INDIRECT("1:"&amp;LEN(A189)))),1))," ",REPT(" ",LEN(A189))),LEN(A189)))))))/10))*1+1</f>
        <v>203 &amp; 503</v>
      </c>
      <c r="B190" s="76"/>
      <c r="C190" s="42"/>
      <c r="D190" s="42"/>
      <c r="E190" s="42">
        <v>0</v>
      </c>
      <c r="F190" s="42">
        <f t="shared" si="17"/>
        <v>0</v>
      </c>
      <c r="G190" s="42">
        <v>0</v>
      </c>
      <c r="H190" s="42">
        <f t="shared" si="18"/>
        <v>0</v>
      </c>
      <c r="I190" s="36"/>
    </row>
    <row r="191" spans="1:14" s="37" customFormat="1" ht="15.75" hidden="1" customHeight="1" x14ac:dyDescent="0.25">
      <c r="A191" s="74" t="str">
        <f ca="1">(SUMPRODUCT(MID(0&amp;(LEFT(A190,SUM(LEN(A190)-LEN(SUBSTITUTE(A190,{"0","1","2"},""))))), LARGE(INDEX(ISNUMBER(--MID((LEFT(A190,SUM(LEN(A190)-LEN(SUBSTITUTE(A190,{"0","1","2"},""))))), ROW(INDIRECT("1:"&amp;LEN((LEFT(A190,SUM(LEN(A190)-LEN(SUBSTITUTE(A190,{"0","1","2"},"")))))))), 1)) * ROW(INDIRECT("1:"&amp;LEN((LEFT(A190,SUM(LEN(A190)-LEN(SUBSTITUTE(A190,{"0","1","2"},"")))))))), 0), ROW(INDIRECT("1:"&amp;LEN((LEFT(A190,SUM(LEN(A190)-LEN(SUBSTITUTE(A190,{"0","1","2"},"")))))))))+1, 1) * 10^ROW(INDIRECT("1:"&amp;LEN((LEFT(A190,SUM(LEN(A190)-LEN(SUBSTITUTE(A190,{"0","1","2"},""))))))))/10))*1+1&amp;""&amp;" &amp; "&amp;""&amp;(SUMPRODUCT(MID(0&amp;(--TRIM(RIGHT(SUBSTITUTE(LEFT(A190,_xlfn.AGGREGATE(16,6,FIND({0,1,2,3,4,5,6,7,8,9},A190,ROW(INDIRECT("1:"&amp;LEN(A190)))),1))," ",REPT(" ",LEN(A190))),LEN(A190)))), LARGE(INDEX(ISNUMBER(--MID((--TRIM(RIGHT(SUBSTITUTE(LEFT(A190,_xlfn.AGGREGATE(16,6,FIND({0,1,2,3,4,5,6,7,8,9},A190,ROW(INDIRECT("1:"&amp;LEN(A190)))),1))," ",REPT(" ",LEN(A190))),LEN(A190)))), ROW(INDIRECT("1:"&amp;LEN((--TRIM(RIGHT(SUBSTITUTE(LEFT(A190,_xlfn.AGGREGATE(16,6,FIND({0,1,2,3,4,5,6,7,8,9},A190,ROW(INDIRECT("1:"&amp;LEN(A190)))),1))," ",REPT(" ",LEN(A190))),LEN(A190))))))), 1)) * ROW(INDIRECT("1:"&amp;LEN((--TRIM(RIGHT(SUBSTITUTE(LEFT(A190,_xlfn.AGGREGATE(16,6,FIND({0,1,2,3,4,5,6,7,8,9},A190,ROW(INDIRECT("1:"&amp;LEN(A190)))),1))," ",REPT(" ",LEN(A190))),LEN(A190))))))), 0), ROW(INDIRECT("1:"&amp;LEN((--TRIM(RIGHT(SUBSTITUTE(LEFT(A190,_xlfn.AGGREGATE(16,6,FIND({0,1,2,3,4,5,6,7,8,9},A190,ROW(INDIRECT("1:"&amp;LEN(A190)))),1))," ",REPT(" ",LEN(A190))),LEN(A190))))))))+1, 1) * 10^ROW(INDIRECT("1:"&amp;LEN((--TRIM(RIGHT(SUBSTITUTE(LEFT(A190,_xlfn.AGGREGATE(16,6,FIND({0,1,2,3,4,5,6,7,8,9},A190,ROW(INDIRECT("1:"&amp;LEN(A190)))),1))," ",REPT(" ",LEN(A190))),LEN(A190)))))))/10))*1+1</f>
        <v>204 &amp; 504</v>
      </c>
      <c r="B191" s="76"/>
      <c r="C191" s="42"/>
      <c r="D191" s="42"/>
      <c r="E191" s="42">
        <v>0</v>
      </c>
      <c r="F191" s="42">
        <f t="shared" si="17"/>
        <v>0</v>
      </c>
      <c r="G191" s="42">
        <v>0</v>
      </c>
      <c r="H191" s="42">
        <f t="shared" si="18"/>
        <v>0</v>
      </c>
      <c r="I191" s="36"/>
    </row>
    <row r="192" spans="1:14" s="37" customFormat="1" ht="15.75" hidden="1" customHeight="1" x14ac:dyDescent="0.25">
      <c r="A192" s="74" t="str">
        <f ca="1">(SUMPRODUCT(MID(0&amp;(LEFT(A191,SUM(LEN(A191)-LEN(SUBSTITUTE(A191,{"0","1","2"},""))))), LARGE(INDEX(ISNUMBER(--MID((LEFT(A191,SUM(LEN(A191)-LEN(SUBSTITUTE(A191,{"0","1","2"},""))))), ROW(INDIRECT("1:"&amp;LEN((LEFT(A191,SUM(LEN(A191)-LEN(SUBSTITUTE(A191,{"0","1","2"},"")))))))), 1)) * ROW(INDIRECT("1:"&amp;LEN((LEFT(A191,SUM(LEN(A191)-LEN(SUBSTITUTE(A191,{"0","1","2"},"")))))))), 0), ROW(INDIRECT("1:"&amp;LEN((LEFT(A191,SUM(LEN(A191)-LEN(SUBSTITUTE(A191,{"0","1","2"},"")))))))))+1, 1) * 10^ROW(INDIRECT("1:"&amp;LEN((LEFT(A191,SUM(LEN(A191)-LEN(SUBSTITUTE(A191,{"0","1","2"},""))))))))/10))*1+1&amp;""&amp;" &amp; "&amp;""&amp;(SUMPRODUCT(MID(0&amp;(--TRIM(RIGHT(SUBSTITUTE(LEFT(A191,_xlfn.AGGREGATE(16,6,FIND({0,1,2,3,4,5,6,7,8,9},A191,ROW(INDIRECT("1:"&amp;LEN(A191)))),1))," ",REPT(" ",LEN(A191))),LEN(A191)))), LARGE(INDEX(ISNUMBER(--MID((--TRIM(RIGHT(SUBSTITUTE(LEFT(A191,_xlfn.AGGREGATE(16,6,FIND({0,1,2,3,4,5,6,7,8,9},A191,ROW(INDIRECT("1:"&amp;LEN(A191)))),1))," ",REPT(" ",LEN(A191))),LEN(A191)))), ROW(INDIRECT("1:"&amp;LEN((--TRIM(RIGHT(SUBSTITUTE(LEFT(A191,_xlfn.AGGREGATE(16,6,FIND({0,1,2,3,4,5,6,7,8,9},A191,ROW(INDIRECT("1:"&amp;LEN(A191)))),1))," ",REPT(" ",LEN(A191))),LEN(A191))))))), 1)) * ROW(INDIRECT("1:"&amp;LEN((--TRIM(RIGHT(SUBSTITUTE(LEFT(A191,_xlfn.AGGREGATE(16,6,FIND({0,1,2,3,4,5,6,7,8,9},A191,ROW(INDIRECT("1:"&amp;LEN(A191)))),1))," ",REPT(" ",LEN(A191))),LEN(A191))))))), 0), ROW(INDIRECT("1:"&amp;LEN((--TRIM(RIGHT(SUBSTITUTE(LEFT(A191,_xlfn.AGGREGATE(16,6,FIND({0,1,2,3,4,5,6,7,8,9},A191,ROW(INDIRECT("1:"&amp;LEN(A191)))),1))," ",REPT(" ",LEN(A191))),LEN(A191))))))))+1, 1) * 10^ROW(INDIRECT("1:"&amp;LEN((--TRIM(RIGHT(SUBSTITUTE(LEFT(A191,_xlfn.AGGREGATE(16,6,FIND({0,1,2,3,4,5,6,7,8,9},A191,ROW(INDIRECT("1:"&amp;LEN(A191)))),1))," ",REPT(" ",LEN(A191))),LEN(A191)))))))/10))*1+1</f>
        <v>205 &amp; 505</v>
      </c>
      <c r="B192" s="76"/>
      <c r="C192" s="42"/>
      <c r="D192" s="42"/>
      <c r="E192" s="42">
        <v>0</v>
      </c>
      <c r="F192" s="42">
        <f>D192+E192</f>
        <v>0</v>
      </c>
      <c r="G192" s="42">
        <v>0</v>
      </c>
      <c r="H192" s="42">
        <f>F192*(($H$150)+1)+(IF(G192&lt;101,G192,IF(G192&lt;201,G192/2,IF(G192&lt;=301,G192/3,G192/4))))</f>
        <v>0</v>
      </c>
      <c r="I192" s="36"/>
    </row>
    <row r="193" spans="1:14" s="37" customFormat="1" x14ac:dyDescent="0.25">
      <c r="A193" s="86" t="s">
        <v>280</v>
      </c>
      <c r="B193" s="87"/>
      <c r="C193" s="87"/>
      <c r="D193" s="87"/>
      <c r="E193" s="87"/>
      <c r="F193" s="87"/>
      <c r="G193" s="87"/>
      <c r="H193" s="88"/>
      <c r="J193" s="36"/>
    </row>
    <row r="194" spans="1:14" s="37" customFormat="1" x14ac:dyDescent="0.25">
      <c r="A194" s="86" t="s">
        <v>279</v>
      </c>
      <c r="B194" s="87"/>
      <c r="C194" s="87"/>
      <c r="D194" s="87"/>
      <c r="E194" s="87"/>
      <c r="F194" s="87"/>
      <c r="G194" s="87"/>
      <c r="H194" s="88"/>
      <c r="J194" s="36"/>
    </row>
    <row r="195" spans="1:14" s="37" customFormat="1" ht="15.75" customHeight="1" x14ac:dyDescent="0.25">
      <c r="A195" s="79" t="s">
        <v>286</v>
      </c>
      <c r="B195" s="79"/>
      <c r="C195" s="79"/>
      <c r="D195" s="79"/>
      <c r="E195" s="79"/>
      <c r="F195" s="79"/>
      <c r="G195" s="79"/>
      <c r="H195" s="79"/>
      <c r="I195" s="36"/>
      <c r="L195" s="72"/>
      <c r="M195" s="72"/>
    </row>
    <row r="196" spans="1:14" s="37" customFormat="1" ht="15.75" customHeight="1" x14ac:dyDescent="0.25">
      <c r="A196" s="73">
        <f>LEFT(A195,SUM(LEN(A195)-LEN(SUBSTITUTE(A195,{"0","1","2","3","4","5","6","7","8","9"},""))))*100+1</f>
        <v>101</v>
      </c>
      <c r="B196" s="73"/>
      <c r="C196" s="42" t="s">
        <v>284</v>
      </c>
      <c r="D196" s="59">
        <f>32.98*(10.764)</f>
        <v>354.99671999999993</v>
      </c>
      <c r="E196" s="42">
        <v>0</v>
      </c>
      <c r="F196" s="42">
        <f t="shared" ref="F196" si="19">D196+E196</f>
        <v>354.99671999999993</v>
      </c>
      <c r="G196" s="42">
        <v>0</v>
      </c>
      <c r="H196" s="42">
        <f t="shared" ref="H196" si="20">F196*(($H$150)+1)+(IF(G196&lt;101,G196,IF(G196&lt;201,G196/2,IF(G196&lt;=301,G196/3,G196/4))))</f>
        <v>532.49507999999992</v>
      </c>
      <c r="I196" s="36"/>
      <c r="N196" s="36"/>
    </row>
    <row r="197" spans="1:14" s="37" customFormat="1" x14ac:dyDescent="0.25">
      <c r="A197" s="73">
        <f>A196+1</f>
        <v>102</v>
      </c>
      <c r="B197" s="73"/>
      <c r="C197" s="42" t="s">
        <v>284</v>
      </c>
      <c r="D197" s="59">
        <f>35.39*(10.764)</f>
        <v>380.93795999999998</v>
      </c>
      <c r="E197" s="42">
        <v>0</v>
      </c>
      <c r="F197" s="42">
        <f t="shared" ref="F197:F199" si="21">D197+E197</f>
        <v>380.93795999999998</v>
      </c>
      <c r="G197" s="42">
        <v>0</v>
      </c>
      <c r="H197" s="42">
        <f t="shared" ref="H197:H199" si="22">F197*(($H$150)+1)+(IF(G197&lt;101,G197,IF(G197&lt;201,G197/2,IF(G197&lt;=301,G197/3,G197/4))))</f>
        <v>571.40693999999996</v>
      </c>
      <c r="I197" s="36"/>
      <c r="N197" s="36"/>
    </row>
    <row r="198" spans="1:14" s="37" customFormat="1" x14ac:dyDescent="0.25">
      <c r="A198" s="73">
        <f>A197+1</f>
        <v>103</v>
      </c>
      <c r="B198" s="73"/>
      <c r="C198" s="42" t="s">
        <v>284</v>
      </c>
      <c r="D198" s="59">
        <f>34.8*(10.764)</f>
        <v>374.58719999999994</v>
      </c>
      <c r="E198" s="42">
        <v>0</v>
      </c>
      <c r="F198" s="42">
        <f t="shared" si="21"/>
        <v>374.58719999999994</v>
      </c>
      <c r="G198" s="42">
        <v>0</v>
      </c>
      <c r="H198" s="42">
        <f t="shared" si="22"/>
        <v>561.88079999999991</v>
      </c>
      <c r="I198" s="36"/>
      <c r="N198" s="36"/>
    </row>
    <row r="199" spans="1:14" s="37" customFormat="1" x14ac:dyDescent="0.25">
      <c r="A199" s="73">
        <f>A198+1</f>
        <v>104</v>
      </c>
      <c r="B199" s="73"/>
      <c r="C199" s="42" t="s">
        <v>284</v>
      </c>
      <c r="D199" s="59">
        <f>34.79*(10.764)</f>
        <v>374.47955999999999</v>
      </c>
      <c r="E199" s="42">
        <v>0</v>
      </c>
      <c r="F199" s="42">
        <f t="shared" si="21"/>
        <v>374.47955999999999</v>
      </c>
      <c r="G199" s="42">
        <v>0</v>
      </c>
      <c r="H199" s="42">
        <f t="shared" si="22"/>
        <v>561.71933999999999</v>
      </c>
      <c r="I199" s="36"/>
      <c r="N199" s="36"/>
    </row>
    <row r="200" spans="1:14" s="37" customFormat="1" x14ac:dyDescent="0.25">
      <c r="A200" s="73">
        <f>A199+1</f>
        <v>105</v>
      </c>
      <c r="B200" s="73"/>
      <c r="C200" s="74" t="s">
        <v>282</v>
      </c>
      <c r="D200" s="75"/>
      <c r="E200" s="75"/>
      <c r="F200" s="75"/>
      <c r="G200" s="75"/>
      <c r="H200" s="76"/>
      <c r="I200" s="36"/>
      <c r="N200" s="36"/>
    </row>
    <row r="201" spans="1:14" s="37" customFormat="1" x14ac:dyDescent="0.25">
      <c r="A201" s="79" t="s">
        <v>289</v>
      </c>
      <c r="B201" s="79"/>
      <c r="C201" s="79"/>
      <c r="D201" s="79"/>
      <c r="E201" s="79"/>
      <c r="F201" s="79"/>
      <c r="G201" s="79"/>
      <c r="H201" s="79"/>
      <c r="I201" s="36"/>
    </row>
    <row r="202" spans="1:14" s="37" customFormat="1" ht="15.75" customHeight="1" x14ac:dyDescent="0.25">
      <c r="A202" s="73" t="str">
        <f ca="1">(SUMPRODUCT(MID(0&amp;(LEFT(A201,SUM(LEN(A201)-LEN(SUBSTITUTE(A201,{"0","1","2"},""))))), LARGE(INDEX(ISNUMBER(--MID((LEFT(A201,SUM(LEN(A201)-LEN(SUBSTITUTE(A201,{"0","1","2"},""))))), ROW(INDIRECT("1:"&amp;LEN((LEFT(A201,SUM(LEN(A201)-LEN(SUBSTITUTE(A201,{"0","1","2"},"")))))))), 1)) * ROW(INDIRECT("1:"&amp;LEN((LEFT(A201,SUM(LEN(A201)-LEN(SUBSTITUTE(A201,{"0","1","2"},"")))))))), 0), ROW(INDIRECT("1:"&amp;LEN((LEFT(A201,SUM(LEN(A201)-LEN(SUBSTITUTE(A201,{"0","1","2"},"")))))))))+1, 1) * 10^ROW(INDIRECT("1:"&amp;LEN((LEFT(A201,SUM(LEN(A201)-LEN(SUBSTITUTE(A201,{"0","1","2"},""))))))))/10))*100+1&amp;""&amp;" to "&amp;""&amp;(SUMPRODUCT(MID(0&amp;(--TRIM(RIGHT(SUBSTITUTE(LEFT(A201,_xlfn.AGGREGATE(16,6,FIND({0,1,2,3,4,5,6,7,8,9},A201,ROW(INDIRECT("1:"&amp;LEN(A201)))),1))," ",REPT(" ",LEN(A201))),LEN(A201)))), LARGE(INDEX(ISNUMBER(--MID((--TRIM(RIGHT(SUBSTITUTE(LEFT(A201,_xlfn.AGGREGATE(16,6,FIND({0,1,2,3,4,5,6,7,8,9},A201,ROW(INDIRECT("1:"&amp;LEN(A201)))),1))," ",REPT(" ",LEN(A201))),LEN(A201)))), ROW(INDIRECT("1:"&amp;LEN((--TRIM(RIGHT(SUBSTITUTE(LEFT(A201,_xlfn.AGGREGATE(16,6,FIND({0,1,2,3,4,5,6,7,8,9},A201,ROW(INDIRECT("1:"&amp;LEN(A201)))),1))," ",REPT(" ",LEN(A201))),LEN(A201))))))), 1)) * ROW(INDIRECT("1:"&amp;LEN((--TRIM(RIGHT(SUBSTITUTE(LEFT(A201,_xlfn.AGGREGATE(16,6,FIND({0,1,2,3,4,5,6,7,8,9},A201,ROW(INDIRECT("1:"&amp;LEN(A201)))),1))," ",REPT(" ",LEN(A201))),LEN(A201))))))), 0), ROW(INDIRECT("1:"&amp;LEN((--TRIM(RIGHT(SUBSTITUTE(LEFT(A201,_xlfn.AGGREGATE(16,6,FIND({0,1,2,3,4,5,6,7,8,9},A201,ROW(INDIRECT("1:"&amp;LEN(A201)))),1))," ",REPT(" ",LEN(A201))),LEN(A201))))))))+1, 1) * 10^ROW(INDIRECT("1:"&amp;LEN((--TRIM(RIGHT(SUBSTITUTE(LEFT(A201,_xlfn.AGGREGATE(16,6,FIND({0,1,2,3,4,5,6,7,8,9},A201,ROW(INDIRECT("1:"&amp;LEN(A201)))),1))," ",REPT(" ",LEN(A201))),LEN(A201)))))))/10))*100+1</f>
        <v>201 to 2101</v>
      </c>
      <c r="B202" s="73"/>
      <c r="C202" s="63" t="s">
        <v>284</v>
      </c>
      <c r="D202" s="59">
        <f>32.98*(10.764)</f>
        <v>354.99671999999993</v>
      </c>
      <c r="E202" s="59">
        <v>0</v>
      </c>
      <c r="F202" s="63">
        <f>D202+E202</f>
        <v>354.99671999999993</v>
      </c>
      <c r="G202" s="63">
        <v>0</v>
      </c>
      <c r="H202" s="63">
        <f>F202*(($H$150)+1)+(IF(G202&lt;101,G202,IF(G202&lt;201,G202/2,IF(G202&lt;=301,G202/3,G202/4))))</f>
        <v>532.49507999999992</v>
      </c>
      <c r="I202" s="36"/>
    </row>
    <row r="203" spans="1:14" s="37" customFormat="1" ht="15.75" customHeight="1" x14ac:dyDescent="0.25">
      <c r="A203" s="73" t="str">
        <f ca="1">(SUMPRODUCT(MID(0&amp;(LEFT(A202,SUM(LEN(A202)-LEN(SUBSTITUTE(A202,{"0","1","2"},""))))), LARGE(INDEX(ISNUMBER(--MID((LEFT(A202,SUM(LEN(A202)-LEN(SUBSTITUTE(A202,{"0","1","2"},""))))), ROW(INDIRECT("1:"&amp;LEN((LEFT(A202,SUM(LEN(A202)-LEN(SUBSTITUTE(A202,{"0","1","2"},"")))))))), 1)) * ROW(INDIRECT("1:"&amp;LEN((LEFT(A202,SUM(LEN(A202)-LEN(SUBSTITUTE(A202,{"0","1","2"},"")))))))), 0), ROW(INDIRECT("1:"&amp;LEN((LEFT(A202,SUM(LEN(A202)-LEN(SUBSTITUTE(A202,{"0","1","2"},"")))))))))+1, 1) * 10^ROW(INDIRECT("1:"&amp;LEN((LEFT(A202,SUM(LEN(A202)-LEN(SUBSTITUTE(A202,{"0","1","2"},""))))))))/10))*1+1&amp;""&amp;" to "&amp;""&amp;(SUMPRODUCT(MID(0&amp;(--TRIM(RIGHT(SUBSTITUTE(LEFT(A202,_xlfn.AGGREGATE(16,6,FIND({0,1,2,3,4,5,6,7,8,9},A202,ROW(INDIRECT("1:"&amp;LEN(A202)))),1))," ",REPT(" ",LEN(A202))),LEN(A202)))), LARGE(INDEX(ISNUMBER(--MID((--TRIM(RIGHT(SUBSTITUTE(LEFT(A202,_xlfn.AGGREGATE(16,6,FIND({0,1,2,3,4,5,6,7,8,9},A202,ROW(INDIRECT("1:"&amp;LEN(A202)))),1))," ",REPT(" ",LEN(A202))),LEN(A202)))), ROW(INDIRECT("1:"&amp;LEN((--TRIM(RIGHT(SUBSTITUTE(LEFT(A202,_xlfn.AGGREGATE(16,6,FIND({0,1,2,3,4,5,6,7,8,9},A202,ROW(INDIRECT("1:"&amp;LEN(A202)))),1))," ",REPT(" ",LEN(A202))),LEN(A202))))))), 1)) * ROW(INDIRECT("1:"&amp;LEN((--TRIM(RIGHT(SUBSTITUTE(LEFT(A202,_xlfn.AGGREGATE(16,6,FIND({0,1,2,3,4,5,6,7,8,9},A202,ROW(INDIRECT("1:"&amp;LEN(A202)))),1))," ",REPT(" ",LEN(A202))),LEN(A202))))))), 0), ROW(INDIRECT("1:"&amp;LEN((--TRIM(RIGHT(SUBSTITUTE(LEFT(A202,_xlfn.AGGREGATE(16,6,FIND({0,1,2,3,4,5,6,7,8,9},A202,ROW(INDIRECT("1:"&amp;LEN(A202)))),1))," ",REPT(" ",LEN(A202))),LEN(A202))))))))+1, 1) * 10^ROW(INDIRECT("1:"&amp;LEN((--TRIM(RIGHT(SUBSTITUTE(LEFT(A202,_xlfn.AGGREGATE(16,6,FIND({0,1,2,3,4,5,6,7,8,9},A202,ROW(INDIRECT("1:"&amp;LEN(A202)))),1))," ",REPT(" ",LEN(A202))),LEN(A202)))))))/10))*1+1</f>
        <v>202 to 2102</v>
      </c>
      <c r="B203" s="73"/>
      <c r="C203" s="63" t="s">
        <v>284</v>
      </c>
      <c r="D203" s="59">
        <f>35.39*(10.764)</f>
        <v>380.93795999999998</v>
      </c>
      <c r="E203" s="59">
        <v>0</v>
      </c>
      <c r="F203" s="63">
        <f t="shared" ref="F203:F205" si="23">D203+E203</f>
        <v>380.93795999999998</v>
      </c>
      <c r="G203" s="63">
        <v>0</v>
      </c>
      <c r="H203" s="63">
        <f t="shared" ref="H203:H205" si="24">F203*(($H$150)+1)+(IF(G203&lt;101,G203,IF(G203&lt;201,G203/2,IF(G203&lt;=301,G203/3,G203/4))))</f>
        <v>571.40693999999996</v>
      </c>
      <c r="I203" s="36"/>
    </row>
    <row r="204" spans="1:14" s="37" customFormat="1" ht="15.75" customHeight="1" x14ac:dyDescent="0.25">
      <c r="A204" s="73" t="str">
        <f ca="1">(SUMPRODUCT(MID(0&amp;(LEFT(A203,SUM(LEN(A203)-LEN(SUBSTITUTE(A203,{"0","1","2"},""))))), LARGE(INDEX(ISNUMBER(--MID((LEFT(A203,SUM(LEN(A203)-LEN(SUBSTITUTE(A203,{"0","1","2"},""))))), ROW(INDIRECT("1:"&amp;LEN((LEFT(A203,SUM(LEN(A203)-LEN(SUBSTITUTE(A203,{"0","1","2"},"")))))))), 1)) * ROW(INDIRECT("1:"&amp;LEN((LEFT(A203,SUM(LEN(A203)-LEN(SUBSTITUTE(A203,{"0","1","2"},"")))))))), 0), ROW(INDIRECT("1:"&amp;LEN((LEFT(A203,SUM(LEN(A203)-LEN(SUBSTITUTE(A203,{"0","1","2"},"")))))))))+1, 1) * 10^ROW(INDIRECT("1:"&amp;LEN((LEFT(A203,SUM(LEN(A203)-LEN(SUBSTITUTE(A203,{"0","1","2"},""))))))))/10))*1+1&amp;""&amp;" to "&amp;""&amp;(SUMPRODUCT(MID(0&amp;(--TRIM(RIGHT(SUBSTITUTE(LEFT(A203,_xlfn.AGGREGATE(16,6,FIND({0,1,2,3,4,5,6,7,8,9},A203,ROW(INDIRECT("1:"&amp;LEN(A203)))),1))," ",REPT(" ",LEN(A203))),LEN(A203)))), LARGE(INDEX(ISNUMBER(--MID((--TRIM(RIGHT(SUBSTITUTE(LEFT(A203,_xlfn.AGGREGATE(16,6,FIND({0,1,2,3,4,5,6,7,8,9},A203,ROW(INDIRECT("1:"&amp;LEN(A203)))),1))," ",REPT(" ",LEN(A203))),LEN(A203)))), ROW(INDIRECT("1:"&amp;LEN((--TRIM(RIGHT(SUBSTITUTE(LEFT(A203,_xlfn.AGGREGATE(16,6,FIND({0,1,2,3,4,5,6,7,8,9},A203,ROW(INDIRECT("1:"&amp;LEN(A203)))),1))," ",REPT(" ",LEN(A203))),LEN(A203))))))), 1)) * ROW(INDIRECT("1:"&amp;LEN((--TRIM(RIGHT(SUBSTITUTE(LEFT(A203,_xlfn.AGGREGATE(16,6,FIND({0,1,2,3,4,5,6,7,8,9},A203,ROW(INDIRECT("1:"&amp;LEN(A203)))),1))," ",REPT(" ",LEN(A203))),LEN(A203))))))), 0), ROW(INDIRECT("1:"&amp;LEN((--TRIM(RIGHT(SUBSTITUTE(LEFT(A203,_xlfn.AGGREGATE(16,6,FIND({0,1,2,3,4,5,6,7,8,9},A203,ROW(INDIRECT("1:"&amp;LEN(A203)))),1))," ",REPT(" ",LEN(A203))),LEN(A203))))))))+1, 1) * 10^ROW(INDIRECT("1:"&amp;LEN((--TRIM(RIGHT(SUBSTITUTE(LEFT(A203,_xlfn.AGGREGATE(16,6,FIND({0,1,2,3,4,5,6,7,8,9},A203,ROW(INDIRECT("1:"&amp;LEN(A203)))),1))," ",REPT(" ",LEN(A203))),LEN(A203)))))))/10))*1+1</f>
        <v>203 to 2103</v>
      </c>
      <c r="B204" s="73"/>
      <c r="C204" s="63" t="s">
        <v>284</v>
      </c>
      <c r="D204" s="59">
        <f>34.8*(10.764)</f>
        <v>374.58719999999994</v>
      </c>
      <c r="E204" s="59">
        <v>0</v>
      </c>
      <c r="F204" s="63">
        <f t="shared" si="23"/>
        <v>374.58719999999994</v>
      </c>
      <c r="G204" s="63">
        <v>0</v>
      </c>
      <c r="H204" s="63">
        <f t="shared" si="24"/>
        <v>561.88079999999991</v>
      </c>
      <c r="I204" s="36"/>
    </row>
    <row r="205" spans="1:14" s="37" customFormat="1" ht="15.75" customHeight="1" x14ac:dyDescent="0.25">
      <c r="A205" s="73" t="str">
        <f ca="1">(SUMPRODUCT(MID(0&amp;(LEFT(A204,SUM(LEN(A204)-LEN(SUBSTITUTE(A204,{"0","1","2"},""))))), LARGE(INDEX(ISNUMBER(--MID((LEFT(A204,SUM(LEN(A204)-LEN(SUBSTITUTE(A204,{"0","1","2"},""))))), ROW(INDIRECT("1:"&amp;LEN((LEFT(A204,SUM(LEN(A204)-LEN(SUBSTITUTE(A204,{"0","1","2"},"")))))))), 1)) * ROW(INDIRECT("1:"&amp;LEN((LEFT(A204,SUM(LEN(A204)-LEN(SUBSTITUTE(A204,{"0","1","2"},"")))))))), 0), ROW(INDIRECT("1:"&amp;LEN((LEFT(A204,SUM(LEN(A204)-LEN(SUBSTITUTE(A204,{"0","1","2"},"")))))))))+1, 1) * 10^ROW(INDIRECT("1:"&amp;LEN((LEFT(A204,SUM(LEN(A204)-LEN(SUBSTITUTE(A204,{"0","1","2"},""))))))))/10))*1+1&amp;""&amp;" to "&amp;""&amp;(SUMPRODUCT(MID(0&amp;(--TRIM(RIGHT(SUBSTITUTE(LEFT(A204,_xlfn.AGGREGATE(16,6,FIND({0,1,2,3,4,5,6,7,8,9},A204,ROW(INDIRECT("1:"&amp;LEN(A204)))),1))," ",REPT(" ",LEN(A204))),LEN(A204)))), LARGE(INDEX(ISNUMBER(--MID((--TRIM(RIGHT(SUBSTITUTE(LEFT(A204,_xlfn.AGGREGATE(16,6,FIND({0,1,2,3,4,5,6,7,8,9},A204,ROW(INDIRECT("1:"&amp;LEN(A204)))),1))," ",REPT(" ",LEN(A204))),LEN(A204)))), ROW(INDIRECT("1:"&amp;LEN((--TRIM(RIGHT(SUBSTITUTE(LEFT(A204,_xlfn.AGGREGATE(16,6,FIND({0,1,2,3,4,5,6,7,8,9},A204,ROW(INDIRECT("1:"&amp;LEN(A204)))),1))," ",REPT(" ",LEN(A204))),LEN(A204))))))), 1)) * ROW(INDIRECT("1:"&amp;LEN((--TRIM(RIGHT(SUBSTITUTE(LEFT(A204,_xlfn.AGGREGATE(16,6,FIND({0,1,2,3,4,5,6,7,8,9},A204,ROW(INDIRECT("1:"&amp;LEN(A204)))),1))," ",REPT(" ",LEN(A204))),LEN(A204))))))), 0), ROW(INDIRECT("1:"&amp;LEN((--TRIM(RIGHT(SUBSTITUTE(LEFT(A204,_xlfn.AGGREGATE(16,6,FIND({0,1,2,3,4,5,6,7,8,9},A204,ROW(INDIRECT("1:"&amp;LEN(A204)))),1))," ",REPT(" ",LEN(A204))),LEN(A204))))))))+1, 1) * 10^ROW(INDIRECT("1:"&amp;LEN((--TRIM(RIGHT(SUBSTITUTE(LEFT(A204,_xlfn.AGGREGATE(16,6,FIND({0,1,2,3,4,5,6,7,8,9},A204,ROW(INDIRECT("1:"&amp;LEN(A204)))),1))," ",REPT(" ",LEN(A204))),LEN(A204)))))))/10))*1+1</f>
        <v>204 to 2104</v>
      </c>
      <c r="B205" s="73"/>
      <c r="C205" s="63" t="s">
        <v>284</v>
      </c>
      <c r="D205" s="59">
        <f>34.79*(10.764)</f>
        <v>374.47955999999999</v>
      </c>
      <c r="E205" s="59">
        <v>0</v>
      </c>
      <c r="F205" s="63">
        <f t="shared" si="23"/>
        <v>374.47955999999999</v>
      </c>
      <c r="G205" s="63">
        <v>0</v>
      </c>
      <c r="H205" s="63">
        <f t="shared" si="24"/>
        <v>561.71933999999999</v>
      </c>
      <c r="I205" s="36"/>
    </row>
    <row r="206" spans="1:14" s="37" customFormat="1" ht="15.75" customHeight="1" x14ac:dyDescent="0.25">
      <c r="A206" s="73" t="str">
        <f ca="1">(SUMPRODUCT(MID(0&amp;(LEFT(A205,SUM(LEN(A205)-LEN(SUBSTITUTE(A205,{"0","1","2"},""))))), LARGE(INDEX(ISNUMBER(--MID((LEFT(A205,SUM(LEN(A205)-LEN(SUBSTITUTE(A205,{"0","1","2"},""))))), ROW(INDIRECT("1:"&amp;LEN((LEFT(A205,SUM(LEN(A205)-LEN(SUBSTITUTE(A205,{"0","1","2"},"")))))))), 1)) * ROW(INDIRECT("1:"&amp;LEN((LEFT(A205,SUM(LEN(A205)-LEN(SUBSTITUTE(A205,{"0","1","2"},"")))))))), 0), ROW(INDIRECT("1:"&amp;LEN((LEFT(A205,SUM(LEN(A205)-LEN(SUBSTITUTE(A205,{"0","1","2"},"")))))))))+1, 1) * 10^ROW(INDIRECT("1:"&amp;LEN((LEFT(A205,SUM(LEN(A205)-LEN(SUBSTITUTE(A205,{"0","1","2"},""))))))))/10))*1+1&amp;""&amp;" to "&amp;""&amp;(SUMPRODUCT(MID(0&amp;(--TRIM(RIGHT(SUBSTITUTE(LEFT(A205,_xlfn.AGGREGATE(16,6,FIND({0,1,2,3,4,5,6,7,8,9},A205,ROW(INDIRECT("1:"&amp;LEN(A205)))),1))," ",REPT(" ",LEN(A205))),LEN(A205)))), LARGE(INDEX(ISNUMBER(--MID((--TRIM(RIGHT(SUBSTITUTE(LEFT(A205,_xlfn.AGGREGATE(16,6,FIND({0,1,2,3,4,5,6,7,8,9},A205,ROW(INDIRECT("1:"&amp;LEN(A205)))),1))," ",REPT(" ",LEN(A205))),LEN(A205)))), ROW(INDIRECT("1:"&amp;LEN((--TRIM(RIGHT(SUBSTITUTE(LEFT(A205,_xlfn.AGGREGATE(16,6,FIND({0,1,2,3,4,5,6,7,8,9},A205,ROW(INDIRECT("1:"&amp;LEN(A205)))),1))," ",REPT(" ",LEN(A205))),LEN(A205))))))), 1)) * ROW(INDIRECT("1:"&amp;LEN((--TRIM(RIGHT(SUBSTITUTE(LEFT(A205,_xlfn.AGGREGATE(16,6,FIND({0,1,2,3,4,5,6,7,8,9},A205,ROW(INDIRECT("1:"&amp;LEN(A205)))),1))," ",REPT(" ",LEN(A205))),LEN(A205))))))), 0), ROW(INDIRECT("1:"&amp;LEN((--TRIM(RIGHT(SUBSTITUTE(LEFT(A205,_xlfn.AGGREGATE(16,6,FIND({0,1,2,3,4,5,6,7,8,9},A205,ROW(INDIRECT("1:"&amp;LEN(A205)))),1))," ",REPT(" ",LEN(A205))),LEN(A205))))))))+1, 1) * 10^ROW(INDIRECT("1:"&amp;LEN((--TRIM(RIGHT(SUBSTITUTE(LEFT(A205,_xlfn.AGGREGATE(16,6,FIND({0,1,2,3,4,5,6,7,8,9},A205,ROW(INDIRECT("1:"&amp;LEN(A205)))),1))," ",REPT(" ",LEN(A205))),LEN(A205)))))))/10))*1+1</f>
        <v>205 to 2105</v>
      </c>
      <c r="B206" s="73"/>
      <c r="C206" s="63" t="s">
        <v>284</v>
      </c>
      <c r="D206" s="59">
        <f>36.21*(10.764)</f>
        <v>389.76443999999998</v>
      </c>
      <c r="E206" s="59">
        <v>0</v>
      </c>
      <c r="F206" s="63">
        <f>D206+E206</f>
        <v>389.76443999999998</v>
      </c>
      <c r="G206" s="63">
        <v>0</v>
      </c>
      <c r="H206" s="63">
        <f>F206*(($H$150)+1)+(IF(G206&lt;101,G206,IF(G206&lt;201,G206/2,IF(G206&lt;=301,G206/3,G206/4))))</f>
        <v>584.64666</v>
      </c>
      <c r="I206" s="36"/>
    </row>
    <row r="207" spans="1:14" s="37" customFormat="1" ht="15.75" customHeight="1" x14ac:dyDescent="0.25">
      <c r="A207" s="79" t="s">
        <v>290</v>
      </c>
      <c r="B207" s="79"/>
      <c r="C207" s="79"/>
      <c r="D207" s="79"/>
      <c r="E207" s="79"/>
      <c r="F207" s="79"/>
      <c r="G207" s="79"/>
      <c r="H207" s="79"/>
      <c r="I207" s="36"/>
      <c r="L207" s="72"/>
      <c r="M207" s="72"/>
    </row>
    <row r="208" spans="1:14" s="37" customFormat="1" ht="15.75" customHeight="1" x14ac:dyDescent="0.25">
      <c r="A208" s="73">
        <f>LEFT(A207,SUM(LEN(A207)-LEN(SUBSTITUTE(A207,{"0","1","2","3","4","5","6","7","8","9"},""))))*100+1</f>
        <v>701</v>
      </c>
      <c r="B208" s="73"/>
      <c r="C208" s="73" t="s">
        <v>291</v>
      </c>
      <c r="D208" s="73"/>
      <c r="E208" s="73"/>
      <c r="F208" s="73"/>
      <c r="G208" s="73"/>
      <c r="H208" s="73"/>
      <c r="I208" s="36"/>
      <c r="N208" s="36"/>
    </row>
    <row r="209" spans="1:14" s="37" customFormat="1" x14ac:dyDescent="0.25">
      <c r="A209" s="73">
        <f>A208+1</f>
        <v>702</v>
      </c>
      <c r="B209" s="73"/>
      <c r="C209" s="73"/>
      <c r="D209" s="73"/>
      <c r="E209" s="73"/>
      <c r="F209" s="73"/>
      <c r="G209" s="73"/>
      <c r="H209" s="73"/>
      <c r="I209" s="36"/>
      <c r="N209" s="36"/>
    </row>
    <row r="210" spans="1:14" s="37" customFormat="1" x14ac:dyDescent="0.25">
      <c r="A210" s="73">
        <f>A209+1</f>
        <v>703</v>
      </c>
      <c r="B210" s="73"/>
      <c r="C210" s="63" t="s">
        <v>284</v>
      </c>
      <c r="D210" s="59">
        <f>34.8*(10.764)</f>
        <v>374.58719999999994</v>
      </c>
      <c r="E210" s="63">
        <v>0</v>
      </c>
      <c r="F210" s="63">
        <f t="shared" ref="F210:F211" si="25">D210+E210</f>
        <v>374.58719999999994</v>
      </c>
      <c r="G210" s="63">
        <v>0</v>
      </c>
      <c r="H210" s="63">
        <f>F210*(($H$150)+1)+(IF(G210&lt;101,G210,IF(G210&lt;201,G210/2,IF(G210&lt;=301,G210/3,G210/4))))</f>
        <v>561.88079999999991</v>
      </c>
      <c r="I210" s="36"/>
      <c r="N210" s="36"/>
    </row>
    <row r="211" spans="1:14" s="37" customFormat="1" x14ac:dyDescent="0.25">
      <c r="A211" s="73">
        <f>A210+1</f>
        <v>704</v>
      </c>
      <c r="B211" s="73"/>
      <c r="C211" s="42" t="s">
        <v>292</v>
      </c>
      <c r="D211" s="59">
        <f>21.73*(10.764)</f>
        <v>233.90171999999998</v>
      </c>
      <c r="E211" s="42">
        <v>0</v>
      </c>
      <c r="F211" s="42">
        <f t="shared" si="25"/>
        <v>233.90171999999998</v>
      </c>
      <c r="G211" s="42">
        <v>0</v>
      </c>
      <c r="H211" s="42">
        <f>F211*(($H$150)+1)+(IF(G211&lt;101,G211,IF(G211&lt;201,G211/2,IF(G211&lt;=301,G211/3,G211/4))))</f>
        <v>350.85257999999999</v>
      </c>
      <c r="I211" s="36"/>
      <c r="N211" s="36"/>
    </row>
    <row r="212" spans="1:14" s="37" customFormat="1" ht="15.75" customHeight="1" x14ac:dyDescent="0.25">
      <c r="A212" s="73">
        <f>A211+1</f>
        <v>705</v>
      </c>
      <c r="B212" s="73"/>
      <c r="C212" s="42" t="s">
        <v>284</v>
      </c>
      <c r="D212" s="59">
        <f>36.21*(10.764)</f>
        <v>389.76443999999998</v>
      </c>
      <c r="E212" s="60">
        <v>0</v>
      </c>
      <c r="F212" s="42">
        <f>D212+E212</f>
        <v>389.76443999999998</v>
      </c>
      <c r="G212" s="42">
        <v>0</v>
      </c>
      <c r="H212" s="42">
        <f>F212*(($H$150)+1)+(IF(G212&lt;101,G212,IF(G212&lt;201,G212/2,IF(G212&lt;=301,G212/3,G212/4))))</f>
        <v>584.64666</v>
      </c>
      <c r="I212" s="36"/>
      <c r="N212" s="36"/>
    </row>
    <row r="213" spans="1:14" s="37" customFormat="1" ht="15.75" customHeight="1" x14ac:dyDescent="0.25">
      <c r="A213" s="79" t="s">
        <v>293</v>
      </c>
      <c r="B213" s="79"/>
      <c r="C213" s="79"/>
      <c r="D213" s="79"/>
      <c r="E213" s="79"/>
      <c r="F213" s="79"/>
      <c r="G213" s="79"/>
      <c r="H213" s="79"/>
      <c r="I213" s="36"/>
      <c r="L213" s="72"/>
      <c r="M213" s="72"/>
    </row>
    <row r="214" spans="1:14" s="37" customFormat="1" ht="15.75" customHeight="1" x14ac:dyDescent="0.25">
      <c r="A214" s="73">
        <f>LEFT(A213,SUM(LEN(A213)-LEN(SUBSTITUTE(A213,{"0","1","2","3","4","5","6","7","8","9"},""))))*100+1</f>
        <v>1401</v>
      </c>
      <c r="B214" s="73"/>
      <c r="C214" s="80" t="s">
        <v>291</v>
      </c>
      <c r="D214" s="81"/>
      <c r="E214" s="81"/>
      <c r="F214" s="81"/>
      <c r="G214" s="81"/>
      <c r="H214" s="82"/>
      <c r="I214" s="36"/>
      <c r="N214" s="36"/>
    </row>
    <row r="215" spans="1:14" s="37" customFormat="1" x14ac:dyDescent="0.25">
      <c r="A215" s="73">
        <f>A214+1</f>
        <v>1402</v>
      </c>
      <c r="B215" s="73"/>
      <c r="C215" s="83"/>
      <c r="D215" s="84"/>
      <c r="E215" s="84"/>
      <c r="F215" s="84"/>
      <c r="G215" s="84"/>
      <c r="H215" s="85"/>
      <c r="I215" s="36"/>
      <c r="N215" s="36"/>
    </row>
    <row r="216" spans="1:14" s="37" customFormat="1" x14ac:dyDescent="0.25">
      <c r="A216" s="73">
        <f>A215+1</f>
        <v>1403</v>
      </c>
      <c r="B216" s="73"/>
      <c r="C216" s="42" t="s">
        <v>284</v>
      </c>
      <c r="D216" s="59">
        <f>34.8*(10.764)</f>
        <v>374.58719999999994</v>
      </c>
      <c r="E216" s="42">
        <v>0</v>
      </c>
      <c r="F216" s="42">
        <f t="shared" ref="F216:F217" si="26">D216+E216</f>
        <v>374.58719999999994</v>
      </c>
      <c r="G216" s="42">
        <v>0</v>
      </c>
      <c r="H216" s="42">
        <f t="shared" ref="H216:H217" si="27">F216*(($H$150)+1)+(IF(G216&lt;101,G216,IF(G216&lt;201,G216/2,IF(G216&lt;=301,G216/3,G216/4))))</f>
        <v>561.88079999999991</v>
      </c>
      <c r="I216" s="36"/>
      <c r="N216" s="36"/>
    </row>
    <row r="217" spans="1:14" s="37" customFormat="1" x14ac:dyDescent="0.25">
      <c r="A217" s="73">
        <f>A216+1</f>
        <v>1404</v>
      </c>
      <c r="B217" s="73"/>
      <c r="C217" s="42" t="s">
        <v>292</v>
      </c>
      <c r="D217" s="59">
        <f>21.73*(10.764)</f>
        <v>233.90171999999998</v>
      </c>
      <c r="E217" s="42">
        <v>0</v>
      </c>
      <c r="F217" s="42">
        <f t="shared" si="26"/>
        <v>233.90171999999998</v>
      </c>
      <c r="G217" s="42">
        <v>0</v>
      </c>
      <c r="H217" s="42">
        <f t="shared" si="27"/>
        <v>350.85257999999999</v>
      </c>
      <c r="I217" s="36"/>
      <c r="N217" s="36"/>
    </row>
    <row r="218" spans="1:14" s="37" customFormat="1" ht="15.75" customHeight="1" x14ac:dyDescent="0.25">
      <c r="A218" s="73">
        <f>A217+1</f>
        <v>1405</v>
      </c>
      <c r="B218" s="73"/>
      <c r="C218" s="42" t="s">
        <v>284</v>
      </c>
      <c r="D218" s="59">
        <f>36.21*(10.764)</f>
        <v>389.76443999999998</v>
      </c>
      <c r="E218" s="60">
        <v>0</v>
      </c>
      <c r="F218" s="42">
        <f>D218+E218</f>
        <v>389.76443999999998</v>
      </c>
      <c r="G218" s="42">
        <v>0</v>
      </c>
      <c r="H218" s="42">
        <f>F218*(($H$150)+1)+(IF(G218&lt;101,G218,IF(G218&lt;201,G218/2,IF(G218&lt;=301,G218/3,G218/4))))</f>
        <v>584.64666</v>
      </c>
      <c r="I218" s="36"/>
      <c r="N218" s="36"/>
    </row>
    <row r="219" spans="1:14" s="37" customFormat="1" x14ac:dyDescent="0.25">
      <c r="A219" s="86" t="s">
        <v>281</v>
      </c>
      <c r="B219" s="87"/>
      <c r="C219" s="87"/>
      <c r="D219" s="87"/>
      <c r="E219" s="87"/>
      <c r="F219" s="87"/>
      <c r="G219" s="87"/>
      <c r="H219" s="88"/>
      <c r="J219" s="36"/>
    </row>
    <row r="220" spans="1:14" s="37" customFormat="1" ht="15.75" customHeight="1" x14ac:dyDescent="0.25">
      <c r="A220" s="86" t="s">
        <v>279</v>
      </c>
      <c r="B220" s="87"/>
      <c r="C220" s="87"/>
      <c r="D220" s="87"/>
      <c r="E220" s="87"/>
      <c r="F220" s="87"/>
      <c r="G220" s="87"/>
      <c r="H220" s="88"/>
      <c r="J220" s="36"/>
    </row>
    <row r="221" spans="1:14" s="37" customFormat="1" ht="15.75" customHeight="1" x14ac:dyDescent="0.25">
      <c r="A221" s="79" t="s">
        <v>288</v>
      </c>
      <c r="B221" s="79"/>
      <c r="C221" s="79"/>
      <c r="D221" s="79"/>
      <c r="E221" s="79"/>
      <c r="F221" s="79"/>
      <c r="G221" s="79"/>
      <c r="H221" s="79"/>
      <c r="I221" s="36"/>
      <c r="L221" s="72"/>
      <c r="M221" s="72"/>
    </row>
    <row r="222" spans="1:14" s="37" customFormat="1" ht="15.75" customHeight="1" x14ac:dyDescent="0.25">
      <c r="A222" s="73">
        <f>LEFT(A221,SUM(LEN(A221)-LEN(SUBSTITUTE(A221,{"0","1","2","3","4","5","6","7","8","9"},""))))*100+1</f>
        <v>101</v>
      </c>
      <c r="B222" s="73"/>
      <c r="C222" s="74" t="s">
        <v>287</v>
      </c>
      <c r="D222" s="75"/>
      <c r="E222" s="75"/>
      <c r="F222" s="75"/>
      <c r="G222" s="75"/>
      <c r="H222" s="76"/>
      <c r="I222" s="36"/>
      <c r="N222" s="36"/>
    </row>
    <row r="223" spans="1:14" s="37" customFormat="1" x14ac:dyDescent="0.25">
      <c r="A223" s="73">
        <f>A222+1</f>
        <v>102</v>
      </c>
      <c r="B223" s="73"/>
      <c r="C223" s="42" t="s">
        <v>284</v>
      </c>
      <c r="D223" s="59">
        <f>34.8*(10.764)</f>
        <v>374.58719999999994</v>
      </c>
      <c r="E223" s="42">
        <v>0</v>
      </c>
      <c r="F223" s="42">
        <f t="shared" ref="F223:F225" si="28">D223+E223</f>
        <v>374.58719999999994</v>
      </c>
      <c r="G223" s="42">
        <v>0</v>
      </c>
      <c r="H223" s="42">
        <f>F223*(($H$150)+1)+(IF(G223&lt;101,G223,IF(G223&lt;201,G223/2,IF(G223&lt;=301,G223/3,G223/4))))</f>
        <v>561.88079999999991</v>
      </c>
      <c r="I223" s="36"/>
      <c r="N223" s="36"/>
    </row>
    <row r="224" spans="1:14" s="37" customFormat="1" x14ac:dyDescent="0.25">
      <c r="A224" s="73">
        <f>A223+1</f>
        <v>103</v>
      </c>
      <c r="B224" s="73"/>
      <c r="C224" s="42" t="s">
        <v>284</v>
      </c>
      <c r="D224" s="59">
        <f>34.8*(10.764)</f>
        <v>374.58719999999994</v>
      </c>
      <c r="E224" s="42">
        <v>0</v>
      </c>
      <c r="F224" s="42">
        <f t="shared" si="28"/>
        <v>374.58719999999994</v>
      </c>
      <c r="G224" s="42">
        <v>0</v>
      </c>
      <c r="H224" s="42">
        <f>F224*(($H$150)+1)+(IF(G224&lt;101,G224,IF(G224&lt;201,G224/2,IF(G224&lt;=301,G224/3,G224/4))))</f>
        <v>561.88079999999991</v>
      </c>
      <c r="I224" s="36"/>
      <c r="N224" s="36"/>
    </row>
    <row r="225" spans="1:14" s="37" customFormat="1" x14ac:dyDescent="0.25">
      <c r="A225" s="73">
        <f>A224+1</f>
        <v>104</v>
      </c>
      <c r="B225" s="73"/>
      <c r="C225" s="42" t="s">
        <v>284</v>
      </c>
      <c r="D225" s="59">
        <f>34.75*(10.764)</f>
        <v>374.04899999999998</v>
      </c>
      <c r="E225" s="42">
        <v>0</v>
      </c>
      <c r="F225" s="42">
        <f t="shared" si="28"/>
        <v>374.04899999999998</v>
      </c>
      <c r="G225" s="42">
        <v>0</v>
      </c>
      <c r="H225" s="42">
        <f>F225*(($H$150)+1)+(IF(G225&lt;101,G225,IF(G225&lt;201,G225/2,IF(G225&lt;=301,G225/3,G225/4))))</f>
        <v>561.07349999999997</v>
      </c>
      <c r="I225" s="36"/>
      <c r="N225" s="36"/>
    </row>
    <row r="226" spans="1:14" s="37" customFormat="1" ht="15.75" customHeight="1" x14ac:dyDescent="0.25">
      <c r="A226" s="73">
        <f>A225+1</f>
        <v>105</v>
      </c>
      <c r="B226" s="73"/>
      <c r="C226" s="42" t="s">
        <v>284</v>
      </c>
      <c r="D226" s="59">
        <f>34.75*(10.764)</f>
        <v>374.04899999999998</v>
      </c>
      <c r="E226" s="42">
        <v>0</v>
      </c>
      <c r="F226" s="42">
        <f t="shared" ref="F226" si="29">D226+E226</f>
        <v>374.04899999999998</v>
      </c>
      <c r="G226" s="42">
        <v>0</v>
      </c>
      <c r="H226" s="42">
        <f t="shared" ref="H226" si="30">F226*(($H$150)+1)+(IF(G226&lt;101,G226,IF(G226&lt;201,G226/2,IF(G226&lt;=301,G226/3,G226/4))))</f>
        <v>561.07349999999997</v>
      </c>
      <c r="I226" s="36"/>
      <c r="N226" s="36"/>
    </row>
    <row r="227" spans="1:14" s="37" customFormat="1" x14ac:dyDescent="0.25">
      <c r="A227" s="86" t="s">
        <v>289</v>
      </c>
      <c r="B227" s="87"/>
      <c r="C227" s="87"/>
      <c r="D227" s="87"/>
      <c r="E227" s="87"/>
      <c r="F227" s="87"/>
      <c r="G227" s="87"/>
      <c r="H227" s="88"/>
      <c r="I227" s="36"/>
    </row>
    <row r="228" spans="1:14" s="37" customFormat="1" ht="15.75" customHeight="1" x14ac:dyDescent="0.25">
      <c r="A228" s="74" t="str">
        <f ca="1">(SUMPRODUCT(MID(0&amp;(LEFT(A227,SUM(LEN(A227)-LEN(SUBSTITUTE(A227,{"0","1","2"},""))))), LARGE(INDEX(ISNUMBER(--MID((LEFT(A227,SUM(LEN(A227)-LEN(SUBSTITUTE(A227,{"0","1","2"},""))))), ROW(INDIRECT("1:"&amp;LEN((LEFT(A227,SUM(LEN(A227)-LEN(SUBSTITUTE(A227,{"0","1","2"},"")))))))), 1)) * ROW(INDIRECT("1:"&amp;LEN((LEFT(A227,SUM(LEN(A227)-LEN(SUBSTITUTE(A227,{"0","1","2"},"")))))))), 0), ROW(INDIRECT("1:"&amp;LEN((LEFT(A227,SUM(LEN(A227)-LEN(SUBSTITUTE(A227,{"0","1","2"},"")))))))))+1, 1) * 10^ROW(INDIRECT("1:"&amp;LEN((LEFT(A227,SUM(LEN(A227)-LEN(SUBSTITUTE(A227,{"0","1","2"},""))))))))/10))*100+1&amp;""&amp;" to "&amp;""&amp;(SUMPRODUCT(MID(0&amp;(--TRIM(RIGHT(SUBSTITUTE(LEFT(A227,_xlfn.AGGREGATE(16,6,FIND({0,1,2,3,4,5,6,7,8,9},A227,ROW(INDIRECT("1:"&amp;LEN(A227)))),1))," ",REPT(" ",LEN(A227))),LEN(A227)))), LARGE(INDEX(ISNUMBER(--MID((--TRIM(RIGHT(SUBSTITUTE(LEFT(A227,_xlfn.AGGREGATE(16,6,FIND({0,1,2,3,4,5,6,7,8,9},A227,ROW(INDIRECT("1:"&amp;LEN(A227)))),1))," ",REPT(" ",LEN(A227))),LEN(A227)))), ROW(INDIRECT("1:"&amp;LEN((--TRIM(RIGHT(SUBSTITUTE(LEFT(A227,_xlfn.AGGREGATE(16,6,FIND({0,1,2,3,4,5,6,7,8,9},A227,ROW(INDIRECT("1:"&amp;LEN(A227)))),1))," ",REPT(" ",LEN(A227))),LEN(A227))))))), 1)) * ROW(INDIRECT("1:"&amp;LEN((--TRIM(RIGHT(SUBSTITUTE(LEFT(A227,_xlfn.AGGREGATE(16,6,FIND({0,1,2,3,4,5,6,7,8,9},A227,ROW(INDIRECT("1:"&amp;LEN(A227)))),1))," ",REPT(" ",LEN(A227))),LEN(A227))))))), 0), ROW(INDIRECT("1:"&amp;LEN((--TRIM(RIGHT(SUBSTITUTE(LEFT(A227,_xlfn.AGGREGATE(16,6,FIND({0,1,2,3,4,5,6,7,8,9},A227,ROW(INDIRECT("1:"&amp;LEN(A227)))),1))," ",REPT(" ",LEN(A227))),LEN(A227))))))))+1, 1) * 10^ROW(INDIRECT("1:"&amp;LEN((--TRIM(RIGHT(SUBSTITUTE(LEFT(A227,_xlfn.AGGREGATE(16,6,FIND({0,1,2,3,4,5,6,7,8,9},A227,ROW(INDIRECT("1:"&amp;LEN(A227)))),1))," ",REPT(" ",LEN(A227))),LEN(A227)))))))/10))*100+1</f>
        <v>201 to 2101</v>
      </c>
      <c r="B228" s="76"/>
      <c r="C228" s="42" t="s">
        <v>284</v>
      </c>
      <c r="D228" s="59">
        <f>36.21*(10.764)</f>
        <v>389.76443999999998</v>
      </c>
      <c r="E228" s="59">
        <f t="shared" ref="E228:E234" si="31">0*(10.764)</f>
        <v>0</v>
      </c>
      <c r="F228" s="42">
        <f>D228+E228</f>
        <v>389.76443999999998</v>
      </c>
      <c r="G228" s="42">
        <v>0</v>
      </c>
      <c r="H228" s="42">
        <f>F228*(($H$150)+1)+(IF(G228&lt;101,G228,IF(G228&lt;201,G228/2,IF(G228&lt;=301,G228/3,G228/4))))</f>
        <v>584.64666</v>
      </c>
      <c r="I228" s="36"/>
    </row>
    <row r="229" spans="1:14" s="37" customFormat="1" ht="15.75" customHeight="1" x14ac:dyDescent="0.25">
      <c r="A229" s="74" t="str">
        <f ca="1">(SUMPRODUCT(MID(0&amp;(LEFT(A228,SUM(LEN(A228)-LEN(SUBSTITUTE(A228,{"0","1","2"},""))))), LARGE(INDEX(ISNUMBER(--MID((LEFT(A228,SUM(LEN(A228)-LEN(SUBSTITUTE(A228,{"0","1","2"},""))))), ROW(INDIRECT("1:"&amp;LEN((LEFT(A228,SUM(LEN(A228)-LEN(SUBSTITUTE(A228,{"0","1","2"},"")))))))), 1)) * ROW(INDIRECT("1:"&amp;LEN((LEFT(A228,SUM(LEN(A228)-LEN(SUBSTITUTE(A228,{"0","1","2"},"")))))))), 0), ROW(INDIRECT("1:"&amp;LEN((LEFT(A228,SUM(LEN(A228)-LEN(SUBSTITUTE(A228,{"0","1","2"},"")))))))))+1, 1) * 10^ROW(INDIRECT("1:"&amp;LEN((LEFT(A228,SUM(LEN(A228)-LEN(SUBSTITUTE(A228,{"0","1","2"},""))))))))/10))*1+1&amp;""&amp;" to "&amp;""&amp;(SUMPRODUCT(MID(0&amp;(--TRIM(RIGHT(SUBSTITUTE(LEFT(A228,_xlfn.AGGREGATE(16,6,FIND({0,1,2,3,4,5,6,7,8,9},A228,ROW(INDIRECT("1:"&amp;LEN(A228)))),1))," ",REPT(" ",LEN(A228))),LEN(A228)))), LARGE(INDEX(ISNUMBER(--MID((--TRIM(RIGHT(SUBSTITUTE(LEFT(A228,_xlfn.AGGREGATE(16,6,FIND({0,1,2,3,4,5,6,7,8,9},A228,ROW(INDIRECT("1:"&amp;LEN(A228)))),1))," ",REPT(" ",LEN(A228))),LEN(A228)))), ROW(INDIRECT("1:"&amp;LEN((--TRIM(RIGHT(SUBSTITUTE(LEFT(A228,_xlfn.AGGREGATE(16,6,FIND({0,1,2,3,4,5,6,7,8,9},A228,ROW(INDIRECT("1:"&amp;LEN(A228)))),1))," ",REPT(" ",LEN(A228))),LEN(A228))))))), 1)) * ROW(INDIRECT("1:"&amp;LEN((--TRIM(RIGHT(SUBSTITUTE(LEFT(A228,_xlfn.AGGREGATE(16,6,FIND({0,1,2,3,4,5,6,7,8,9},A228,ROW(INDIRECT("1:"&amp;LEN(A228)))),1))," ",REPT(" ",LEN(A228))),LEN(A228))))))), 0), ROW(INDIRECT("1:"&amp;LEN((--TRIM(RIGHT(SUBSTITUTE(LEFT(A228,_xlfn.AGGREGATE(16,6,FIND({0,1,2,3,4,5,6,7,8,9},A228,ROW(INDIRECT("1:"&amp;LEN(A228)))),1))," ",REPT(" ",LEN(A228))),LEN(A228))))))))+1, 1) * 10^ROW(INDIRECT("1:"&amp;LEN((--TRIM(RIGHT(SUBSTITUTE(LEFT(A228,_xlfn.AGGREGATE(16,6,FIND({0,1,2,3,4,5,6,7,8,9},A228,ROW(INDIRECT("1:"&amp;LEN(A228)))),1))," ",REPT(" ",LEN(A228))),LEN(A228)))))))/10))*1+1</f>
        <v>202 to 2102</v>
      </c>
      <c r="B229" s="76"/>
      <c r="C229" s="42" t="s">
        <v>284</v>
      </c>
      <c r="D229" s="59">
        <f>34.8*(10.764)</f>
        <v>374.58719999999994</v>
      </c>
      <c r="E229" s="59">
        <f t="shared" si="31"/>
        <v>0</v>
      </c>
      <c r="F229" s="42">
        <f t="shared" ref="F229:F231" si="32">D229+E229</f>
        <v>374.58719999999994</v>
      </c>
      <c r="G229" s="42">
        <v>0</v>
      </c>
      <c r="H229" s="42">
        <f t="shared" ref="H229:H231" si="33">F229*(($H$150)+1)+(IF(G229&lt;101,G229,IF(G229&lt;201,G229/2,IF(G229&lt;=301,G229/3,G229/4))))</f>
        <v>561.88079999999991</v>
      </c>
      <c r="I229" s="36"/>
    </row>
    <row r="230" spans="1:14" s="37" customFormat="1" ht="15.75" customHeight="1" x14ac:dyDescent="0.25">
      <c r="A230" s="74" t="str">
        <f ca="1">(SUMPRODUCT(MID(0&amp;(LEFT(A229,SUM(LEN(A229)-LEN(SUBSTITUTE(A229,{"0","1","2"},""))))), LARGE(INDEX(ISNUMBER(--MID((LEFT(A229,SUM(LEN(A229)-LEN(SUBSTITUTE(A229,{"0","1","2"},""))))), ROW(INDIRECT("1:"&amp;LEN((LEFT(A229,SUM(LEN(A229)-LEN(SUBSTITUTE(A229,{"0","1","2"},"")))))))), 1)) * ROW(INDIRECT("1:"&amp;LEN((LEFT(A229,SUM(LEN(A229)-LEN(SUBSTITUTE(A229,{"0","1","2"},"")))))))), 0), ROW(INDIRECT("1:"&amp;LEN((LEFT(A229,SUM(LEN(A229)-LEN(SUBSTITUTE(A229,{"0","1","2"},"")))))))))+1, 1) * 10^ROW(INDIRECT("1:"&amp;LEN((LEFT(A229,SUM(LEN(A229)-LEN(SUBSTITUTE(A229,{"0","1","2"},""))))))))/10))*1+1&amp;""&amp;" to "&amp;""&amp;(SUMPRODUCT(MID(0&amp;(--TRIM(RIGHT(SUBSTITUTE(LEFT(A229,_xlfn.AGGREGATE(16,6,FIND({0,1,2,3,4,5,6,7,8,9},A229,ROW(INDIRECT("1:"&amp;LEN(A229)))),1))," ",REPT(" ",LEN(A229))),LEN(A229)))), LARGE(INDEX(ISNUMBER(--MID((--TRIM(RIGHT(SUBSTITUTE(LEFT(A229,_xlfn.AGGREGATE(16,6,FIND({0,1,2,3,4,5,6,7,8,9},A229,ROW(INDIRECT("1:"&amp;LEN(A229)))),1))," ",REPT(" ",LEN(A229))),LEN(A229)))), ROW(INDIRECT("1:"&amp;LEN((--TRIM(RIGHT(SUBSTITUTE(LEFT(A229,_xlfn.AGGREGATE(16,6,FIND({0,1,2,3,4,5,6,7,8,9},A229,ROW(INDIRECT("1:"&amp;LEN(A229)))),1))," ",REPT(" ",LEN(A229))),LEN(A229))))))), 1)) * ROW(INDIRECT("1:"&amp;LEN((--TRIM(RIGHT(SUBSTITUTE(LEFT(A229,_xlfn.AGGREGATE(16,6,FIND({0,1,2,3,4,5,6,7,8,9},A229,ROW(INDIRECT("1:"&amp;LEN(A229)))),1))," ",REPT(" ",LEN(A229))),LEN(A229))))))), 0), ROW(INDIRECT("1:"&amp;LEN((--TRIM(RIGHT(SUBSTITUTE(LEFT(A229,_xlfn.AGGREGATE(16,6,FIND({0,1,2,3,4,5,6,7,8,9},A229,ROW(INDIRECT("1:"&amp;LEN(A229)))),1))," ",REPT(" ",LEN(A229))),LEN(A229))))))))+1, 1) * 10^ROW(INDIRECT("1:"&amp;LEN((--TRIM(RIGHT(SUBSTITUTE(LEFT(A229,_xlfn.AGGREGATE(16,6,FIND({0,1,2,3,4,5,6,7,8,9},A229,ROW(INDIRECT("1:"&amp;LEN(A229)))),1))," ",REPT(" ",LEN(A229))),LEN(A229)))))))/10))*1+1</f>
        <v>203 to 2103</v>
      </c>
      <c r="B230" s="76"/>
      <c r="C230" s="42" t="s">
        <v>284</v>
      </c>
      <c r="D230" s="59">
        <f>34.8*(10.764)</f>
        <v>374.58719999999994</v>
      </c>
      <c r="E230" s="59">
        <f>0*(10.764)</f>
        <v>0</v>
      </c>
      <c r="F230" s="42">
        <f t="shared" si="32"/>
        <v>374.58719999999994</v>
      </c>
      <c r="G230" s="42">
        <v>0</v>
      </c>
      <c r="H230" s="42">
        <f t="shared" si="33"/>
        <v>561.88079999999991</v>
      </c>
      <c r="I230" s="36"/>
    </row>
    <row r="231" spans="1:14" s="37" customFormat="1" ht="15.75" customHeight="1" x14ac:dyDescent="0.25">
      <c r="A231" s="74" t="str">
        <f ca="1">(SUMPRODUCT(MID(0&amp;(LEFT(A230,SUM(LEN(A230)-LEN(SUBSTITUTE(A230,{"0","1","2"},""))))), LARGE(INDEX(ISNUMBER(--MID((LEFT(A230,SUM(LEN(A230)-LEN(SUBSTITUTE(A230,{"0","1","2"},""))))), ROW(INDIRECT("1:"&amp;LEN((LEFT(A230,SUM(LEN(A230)-LEN(SUBSTITUTE(A230,{"0","1","2"},"")))))))), 1)) * ROW(INDIRECT("1:"&amp;LEN((LEFT(A230,SUM(LEN(A230)-LEN(SUBSTITUTE(A230,{"0","1","2"},"")))))))), 0), ROW(INDIRECT("1:"&amp;LEN((LEFT(A230,SUM(LEN(A230)-LEN(SUBSTITUTE(A230,{"0","1","2"},"")))))))))+1, 1) * 10^ROW(INDIRECT("1:"&amp;LEN((LEFT(A230,SUM(LEN(A230)-LEN(SUBSTITUTE(A230,{"0","1","2"},""))))))))/10))*1+1&amp;""&amp;" to "&amp;""&amp;(SUMPRODUCT(MID(0&amp;(--TRIM(RIGHT(SUBSTITUTE(LEFT(A230,_xlfn.AGGREGATE(16,6,FIND({0,1,2,3,4,5,6,7,8,9},A230,ROW(INDIRECT("1:"&amp;LEN(A230)))),1))," ",REPT(" ",LEN(A230))),LEN(A230)))), LARGE(INDEX(ISNUMBER(--MID((--TRIM(RIGHT(SUBSTITUTE(LEFT(A230,_xlfn.AGGREGATE(16,6,FIND({0,1,2,3,4,5,6,7,8,9},A230,ROW(INDIRECT("1:"&amp;LEN(A230)))),1))," ",REPT(" ",LEN(A230))),LEN(A230)))), ROW(INDIRECT("1:"&amp;LEN((--TRIM(RIGHT(SUBSTITUTE(LEFT(A230,_xlfn.AGGREGATE(16,6,FIND({0,1,2,3,4,5,6,7,8,9},A230,ROW(INDIRECT("1:"&amp;LEN(A230)))),1))," ",REPT(" ",LEN(A230))),LEN(A230))))))), 1)) * ROW(INDIRECT("1:"&amp;LEN((--TRIM(RIGHT(SUBSTITUTE(LEFT(A230,_xlfn.AGGREGATE(16,6,FIND({0,1,2,3,4,5,6,7,8,9},A230,ROW(INDIRECT("1:"&amp;LEN(A230)))),1))," ",REPT(" ",LEN(A230))),LEN(A230))))))), 0), ROW(INDIRECT("1:"&amp;LEN((--TRIM(RIGHT(SUBSTITUTE(LEFT(A230,_xlfn.AGGREGATE(16,6,FIND({0,1,2,3,4,5,6,7,8,9},A230,ROW(INDIRECT("1:"&amp;LEN(A230)))),1))," ",REPT(" ",LEN(A230))),LEN(A230))))))))+1, 1) * 10^ROW(INDIRECT("1:"&amp;LEN((--TRIM(RIGHT(SUBSTITUTE(LEFT(A230,_xlfn.AGGREGATE(16,6,FIND({0,1,2,3,4,5,6,7,8,9},A230,ROW(INDIRECT("1:"&amp;LEN(A230)))),1))," ",REPT(" ",LEN(A230))),LEN(A230)))))))/10))*1+1</f>
        <v>204 to 2104</v>
      </c>
      <c r="B231" s="76"/>
      <c r="C231" s="42" t="s">
        <v>284</v>
      </c>
      <c r="D231" s="59">
        <f>34.75*(10.764)</f>
        <v>374.04899999999998</v>
      </c>
      <c r="E231" s="59">
        <f t="shared" ref="E231:E232" si="34">0*(10.764)</f>
        <v>0</v>
      </c>
      <c r="F231" s="42">
        <f t="shared" si="32"/>
        <v>374.04899999999998</v>
      </c>
      <c r="G231" s="42">
        <v>0</v>
      </c>
      <c r="H231" s="42">
        <f t="shared" si="33"/>
        <v>561.07349999999997</v>
      </c>
      <c r="I231" s="36"/>
    </row>
    <row r="232" spans="1:14" s="37" customFormat="1" ht="15.75" customHeight="1" x14ac:dyDescent="0.25">
      <c r="A232" s="74" t="str">
        <f ca="1">(SUMPRODUCT(MID(0&amp;(LEFT(A231,SUM(LEN(A231)-LEN(SUBSTITUTE(A231,{"0","1","2"},""))))), LARGE(INDEX(ISNUMBER(--MID((LEFT(A231,SUM(LEN(A231)-LEN(SUBSTITUTE(A231,{"0","1","2"},""))))), ROW(INDIRECT("1:"&amp;LEN((LEFT(A231,SUM(LEN(A231)-LEN(SUBSTITUTE(A231,{"0","1","2"},"")))))))), 1)) * ROW(INDIRECT("1:"&amp;LEN((LEFT(A231,SUM(LEN(A231)-LEN(SUBSTITUTE(A231,{"0","1","2"},"")))))))), 0), ROW(INDIRECT("1:"&amp;LEN((LEFT(A231,SUM(LEN(A231)-LEN(SUBSTITUTE(A231,{"0","1","2"},"")))))))))+1, 1) * 10^ROW(INDIRECT("1:"&amp;LEN((LEFT(A231,SUM(LEN(A231)-LEN(SUBSTITUTE(A231,{"0","1","2"},""))))))))/10))*1+1&amp;""&amp;" to "&amp;""&amp;(SUMPRODUCT(MID(0&amp;(--TRIM(RIGHT(SUBSTITUTE(LEFT(A231,_xlfn.AGGREGATE(16,6,FIND({0,1,2,3,4,5,6,7,8,9},A231,ROW(INDIRECT("1:"&amp;LEN(A231)))),1))," ",REPT(" ",LEN(A231))),LEN(A231)))), LARGE(INDEX(ISNUMBER(--MID((--TRIM(RIGHT(SUBSTITUTE(LEFT(A231,_xlfn.AGGREGATE(16,6,FIND({0,1,2,3,4,5,6,7,8,9},A231,ROW(INDIRECT("1:"&amp;LEN(A231)))),1))," ",REPT(" ",LEN(A231))),LEN(A231)))), ROW(INDIRECT("1:"&amp;LEN((--TRIM(RIGHT(SUBSTITUTE(LEFT(A231,_xlfn.AGGREGATE(16,6,FIND({0,1,2,3,4,5,6,7,8,9},A231,ROW(INDIRECT("1:"&amp;LEN(A231)))),1))," ",REPT(" ",LEN(A231))),LEN(A231))))))), 1)) * ROW(INDIRECT("1:"&amp;LEN((--TRIM(RIGHT(SUBSTITUTE(LEFT(A231,_xlfn.AGGREGATE(16,6,FIND({0,1,2,3,4,5,6,7,8,9},A231,ROW(INDIRECT("1:"&amp;LEN(A231)))),1))," ",REPT(" ",LEN(A231))),LEN(A231))))))), 0), ROW(INDIRECT("1:"&amp;LEN((--TRIM(RIGHT(SUBSTITUTE(LEFT(A231,_xlfn.AGGREGATE(16,6,FIND({0,1,2,3,4,5,6,7,8,9},A231,ROW(INDIRECT("1:"&amp;LEN(A231)))),1))," ",REPT(" ",LEN(A231))),LEN(A231))))))))+1, 1) * 10^ROW(INDIRECT("1:"&amp;LEN((--TRIM(RIGHT(SUBSTITUTE(LEFT(A231,_xlfn.AGGREGATE(16,6,FIND({0,1,2,3,4,5,6,7,8,9},A231,ROW(INDIRECT("1:"&amp;LEN(A231)))),1))," ",REPT(" ",LEN(A231))),LEN(A231)))))))/10))*1+1</f>
        <v>205 to 2105</v>
      </c>
      <c r="B232" s="76"/>
      <c r="C232" s="42" t="s">
        <v>284</v>
      </c>
      <c r="D232" s="59">
        <f>34.75*(10.764)</f>
        <v>374.04899999999998</v>
      </c>
      <c r="E232" s="59">
        <f t="shared" si="34"/>
        <v>0</v>
      </c>
      <c r="F232" s="42">
        <f>D232+E232</f>
        <v>374.04899999999998</v>
      </c>
      <c r="G232" s="42">
        <v>0</v>
      </c>
      <c r="H232" s="42">
        <f>F232*(($H$150)+1)+(IF(G232&lt;101,G232,IF(G232&lt;201,G232/2,IF(G232&lt;=301,G232/3,G232/4))))</f>
        <v>561.07349999999997</v>
      </c>
      <c r="I232" s="36"/>
    </row>
    <row r="233" spans="1:14" s="37" customFormat="1" ht="15.75" customHeight="1" x14ac:dyDescent="0.25">
      <c r="A233" s="79" t="s">
        <v>290</v>
      </c>
      <c r="B233" s="79"/>
      <c r="C233" s="79"/>
      <c r="D233" s="79"/>
      <c r="E233" s="79"/>
      <c r="F233" s="79"/>
      <c r="G233" s="79"/>
      <c r="H233" s="79"/>
      <c r="I233" s="36"/>
      <c r="L233" s="72"/>
      <c r="M233" s="72"/>
    </row>
    <row r="234" spans="1:14" s="37" customFormat="1" ht="15.75" customHeight="1" x14ac:dyDescent="0.25">
      <c r="A234" s="73">
        <f>LEFT(A233,SUM(LEN(A233)-LEN(SUBSTITUTE(A233,{"0","1","2","3","4","5","6","7","8","9"},""))))*100+1</f>
        <v>701</v>
      </c>
      <c r="B234" s="73"/>
      <c r="C234" s="42" t="s">
        <v>284</v>
      </c>
      <c r="D234" s="59">
        <f>36.21*(10.764)</f>
        <v>389.76443999999998</v>
      </c>
      <c r="E234" s="60">
        <f t="shared" si="31"/>
        <v>0</v>
      </c>
      <c r="F234" s="42">
        <f>D234+E234</f>
        <v>389.76443999999998</v>
      </c>
      <c r="G234" s="42">
        <v>0</v>
      </c>
      <c r="H234" s="42">
        <f>F234*(($H$150)+1)+(IF(G234&lt;101,G234,IF(G234&lt;201,G234/2,IF(G234&lt;=301,G234/3,G234/4))))</f>
        <v>584.64666</v>
      </c>
      <c r="I234" s="36"/>
      <c r="N234" s="36"/>
    </row>
    <row r="235" spans="1:14" s="37" customFormat="1" x14ac:dyDescent="0.25">
      <c r="A235" s="73">
        <f>A234+1</f>
        <v>702</v>
      </c>
      <c r="B235" s="73"/>
      <c r="C235" s="74" t="s">
        <v>291</v>
      </c>
      <c r="D235" s="75"/>
      <c r="E235" s="75"/>
      <c r="F235" s="75"/>
      <c r="G235" s="75"/>
      <c r="H235" s="76"/>
      <c r="I235" s="36"/>
      <c r="N235" s="36"/>
    </row>
    <row r="236" spans="1:14" s="37" customFormat="1" x14ac:dyDescent="0.25">
      <c r="A236" s="73">
        <f>A235+1</f>
        <v>703</v>
      </c>
      <c r="B236" s="73"/>
      <c r="C236" s="42" t="s">
        <v>284</v>
      </c>
      <c r="D236" s="59">
        <f>34.8*(10.764)</f>
        <v>374.58719999999994</v>
      </c>
      <c r="E236" s="42">
        <v>0</v>
      </c>
      <c r="F236" s="42">
        <f t="shared" ref="F236:F238" si="35">D236+E236</f>
        <v>374.58719999999994</v>
      </c>
      <c r="G236" s="42">
        <v>0</v>
      </c>
      <c r="H236" s="42">
        <f>F236*(($H$150)+1)+(IF(G236&lt;101,G236,IF(G236&lt;201,G236/2,IF(G236&lt;=301,G236/3,G236/4))))</f>
        <v>561.88079999999991</v>
      </c>
      <c r="I236" s="36"/>
      <c r="N236" s="36"/>
    </row>
    <row r="237" spans="1:14" s="37" customFormat="1" x14ac:dyDescent="0.25">
      <c r="A237" s="73">
        <f>A236+1</f>
        <v>704</v>
      </c>
      <c r="B237" s="73"/>
      <c r="C237" s="42" t="s">
        <v>284</v>
      </c>
      <c r="D237" s="59">
        <f>34.75*(10.764)</f>
        <v>374.04899999999998</v>
      </c>
      <c r="E237" s="42">
        <v>0</v>
      </c>
      <c r="F237" s="42">
        <f t="shared" si="35"/>
        <v>374.04899999999998</v>
      </c>
      <c r="G237" s="42">
        <v>0</v>
      </c>
      <c r="H237" s="42">
        <f>F237*(($H$150)+1)+(IF(G237&lt;101,G237,IF(G237&lt;201,G237/2,IF(G237&lt;=301,G237/3,G237/4))))</f>
        <v>561.07349999999997</v>
      </c>
      <c r="I237" s="36"/>
      <c r="N237" s="36"/>
    </row>
    <row r="238" spans="1:14" s="37" customFormat="1" ht="15.75" customHeight="1" x14ac:dyDescent="0.25">
      <c r="A238" s="73">
        <f>A237+1</f>
        <v>705</v>
      </c>
      <c r="B238" s="73"/>
      <c r="C238" s="42" t="s">
        <v>284</v>
      </c>
      <c r="D238" s="59">
        <f>34.75*(10.764)</f>
        <v>374.04899999999998</v>
      </c>
      <c r="E238" s="42">
        <v>0</v>
      </c>
      <c r="F238" s="42">
        <f t="shared" si="35"/>
        <v>374.04899999999998</v>
      </c>
      <c r="G238" s="42">
        <v>0</v>
      </c>
      <c r="H238" s="42">
        <f>F238*(($H$150)+1)+(IF(G238&lt;101,G238,IF(G238&lt;201,G238/2,IF(G238&lt;=301,G238/3,G238/4))))</f>
        <v>561.07349999999997</v>
      </c>
      <c r="I238" s="36"/>
      <c r="N238" s="36"/>
    </row>
    <row r="239" spans="1:14" s="37" customFormat="1" ht="15.75" customHeight="1" x14ac:dyDescent="0.25">
      <c r="A239" s="79" t="s">
        <v>293</v>
      </c>
      <c r="B239" s="79"/>
      <c r="C239" s="79"/>
      <c r="D239" s="79"/>
      <c r="E239" s="79"/>
      <c r="F239" s="79"/>
      <c r="G239" s="79"/>
      <c r="H239" s="79"/>
      <c r="I239" s="36"/>
      <c r="L239" s="72"/>
      <c r="M239" s="72"/>
    </row>
    <row r="240" spans="1:14" s="37" customFormat="1" ht="15.75" customHeight="1" x14ac:dyDescent="0.25">
      <c r="A240" s="73">
        <f>LEFT(A239,SUM(LEN(A239)-LEN(SUBSTITUTE(A239,{"0","1","2","3","4","5","6","7","8","9"},""))))*100+1</f>
        <v>1401</v>
      </c>
      <c r="B240" s="73"/>
      <c r="C240" s="42" t="s">
        <v>284</v>
      </c>
      <c r="D240" s="59">
        <f>36.21*(10.764)</f>
        <v>389.76443999999998</v>
      </c>
      <c r="E240" s="60">
        <f t="shared" ref="E240" si="36">0*(10.764)</f>
        <v>0</v>
      </c>
      <c r="F240" s="42">
        <f>D240+E240</f>
        <v>389.76443999999998</v>
      </c>
      <c r="G240" s="42">
        <v>0</v>
      </c>
      <c r="H240" s="42">
        <f>F240*(($H$150)+1)+(IF(G240&lt;101,G240,IF(G240&lt;201,G240/2,IF(G240&lt;=301,G240/3,G240/4))))</f>
        <v>584.64666</v>
      </c>
      <c r="I240" s="36"/>
      <c r="N240" s="36"/>
    </row>
    <row r="241" spans="1:14" s="37" customFormat="1" x14ac:dyDescent="0.25">
      <c r="A241" s="73">
        <f>A240+1</f>
        <v>1402</v>
      </c>
      <c r="B241" s="73"/>
      <c r="C241" s="74" t="s">
        <v>291</v>
      </c>
      <c r="D241" s="75"/>
      <c r="E241" s="75"/>
      <c r="F241" s="75"/>
      <c r="G241" s="75"/>
      <c r="H241" s="76"/>
      <c r="I241" s="36"/>
      <c r="N241" s="36"/>
    </row>
    <row r="242" spans="1:14" s="37" customFormat="1" x14ac:dyDescent="0.25">
      <c r="A242" s="73">
        <f>A241+1</f>
        <v>1403</v>
      </c>
      <c r="B242" s="73"/>
      <c r="C242" s="42" t="s">
        <v>284</v>
      </c>
      <c r="D242" s="59">
        <f>34.8*(10.764)</f>
        <v>374.58719999999994</v>
      </c>
      <c r="E242" s="42">
        <v>0</v>
      </c>
      <c r="F242" s="42">
        <f t="shared" ref="F242:F244" si="37">D242+E242</f>
        <v>374.58719999999994</v>
      </c>
      <c r="G242" s="42">
        <v>0</v>
      </c>
      <c r="H242" s="42">
        <f t="shared" ref="H242:H244" si="38">F242*(($H$150)+1)+(IF(G242&lt;101,G242,IF(G242&lt;201,G242/2,IF(G242&lt;=301,G242/3,G242/4))))</f>
        <v>561.88079999999991</v>
      </c>
      <c r="I242" s="36"/>
      <c r="N242" s="36"/>
    </row>
    <row r="243" spans="1:14" s="37" customFormat="1" x14ac:dyDescent="0.25">
      <c r="A243" s="73">
        <f>A242+1</f>
        <v>1404</v>
      </c>
      <c r="B243" s="73"/>
      <c r="C243" s="42" t="s">
        <v>284</v>
      </c>
      <c r="D243" s="59">
        <f>34.75*(10.764)</f>
        <v>374.04899999999998</v>
      </c>
      <c r="E243" s="42">
        <v>0</v>
      </c>
      <c r="F243" s="42">
        <f t="shared" si="37"/>
        <v>374.04899999999998</v>
      </c>
      <c r="G243" s="42">
        <v>0</v>
      </c>
      <c r="H243" s="42">
        <f t="shared" si="38"/>
        <v>561.07349999999997</v>
      </c>
      <c r="I243" s="36"/>
      <c r="N243" s="36"/>
    </row>
    <row r="244" spans="1:14" s="37" customFormat="1" ht="15.75" customHeight="1" x14ac:dyDescent="0.25">
      <c r="A244" s="73">
        <f>A243+1</f>
        <v>1405</v>
      </c>
      <c r="B244" s="73"/>
      <c r="C244" s="42" t="s">
        <v>284</v>
      </c>
      <c r="D244" s="59">
        <f>34.75*(10.764)</f>
        <v>374.04899999999998</v>
      </c>
      <c r="E244" s="42">
        <v>0</v>
      </c>
      <c r="F244" s="42">
        <f t="shared" si="37"/>
        <v>374.04899999999998</v>
      </c>
      <c r="G244" s="42">
        <v>0</v>
      </c>
      <c r="H244" s="42">
        <f t="shared" si="38"/>
        <v>561.07349999999997</v>
      </c>
      <c r="I244" s="36"/>
      <c r="N244" s="36"/>
    </row>
    <row r="245" spans="1:14" s="35" customFormat="1" x14ac:dyDescent="0.25">
      <c r="A245" s="145" t="s">
        <v>67</v>
      </c>
      <c r="B245" s="145"/>
      <c r="C245" s="145"/>
      <c r="D245" s="145"/>
      <c r="E245" s="145"/>
      <c r="F245" s="145"/>
      <c r="G245" s="145"/>
      <c r="H245" s="145"/>
    </row>
    <row r="246" spans="1:14" s="35" customFormat="1" ht="32.25" customHeight="1" x14ac:dyDescent="0.25">
      <c r="A246" s="61" t="s">
        <v>157</v>
      </c>
      <c r="B246" s="144" t="s">
        <v>309</v>
      </c>
      <c r="C246" s="144"/>
      <c r="D246" s="144"/>
      <c r="E246" s="144"/>
      <c r="F246" s="144"/>
      <c r="G246" s="144"/>
      <c r="H246" s="144"/>
    </row>
    <row r="247" spans="1:14" s="35" customFormat="1" ht="15.75" customHeight="1" x14ac:dyDescent="0.25">
      <c r="A247" s="61" t="s">
        <v>157</v>
      </c>
      <c r="B247" s="144" t="str">
        <f>(IF(H149="Saleable area Loading :","We have considered Saleable area of Flats as per our Calculation.","We considered Saleable area of Flat as per Builder area Sheet."))</f>
        <v>We have considered Saleable area of Flats as per our Calculation.</v>
      </c>
      <c r="C247" s="144"/>
      <c r="D247" s="144"/>
      <c r="E247" s="144"/>
      <c r="F247" s="144"/>
      <c r="G247" s="144"/>
      <c r="H247" s="144"/>
    </row>
    <row r="248" spans="1:14" s="35" customFormat="1" ht="15.75" hidden="1" customHeight="1" x14ac:dyDescent="0.25">
      <c r="A248" s="61" t="s">
        <v>157</v>
      </c>
      <c r="B248" s="144" t="str">
        <f>(IF(H141="Saleable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248" s="144"/>
      <c r="D248" s="144"/>
      <c r="E248" s="144"/>
      <c r="F248" s="144"/>
      <c r="G248" s="144"/>
      <c r="H248" s="144"/>
    </row>
    <row r="249" spans="1:14" s="35" customFormat="1" x14ac:dyDescent="0.25">
      <c r="A249" s="61" t="s">
        <v>157</v>
      </c>
      <c r="B249" s="144" t="s">
        <v>124</v>
      </c>
      <c r="C249" s="144"/>
      <c r="D249" s="144"/>
      <c r="E249" s="144"/>
      <c r="F249" s="144"/>
      <c r="G249" s="144"/>
      <c r="H249" s="144"/>
    </row>
    <row r="250" spans="1:14" s="35" customFormat="1" x14ac:dyDescent="0.25">
      <c r="A250" s="61" t="s">
        <v>157</v>
      </c>
      <c r="B250" s="144" t="s">
        <v>295</v>
      </c>
      <c r="C250" s="144"/>
      <c r="D250" s="144"/>
      <c r="E250" s="144"/>
      <c r="F250" s="144"/>
      <c r="G250" s="144"/>
      <c r="H250" s="144"/>
    </row>
    <row r="251" spans="1:14" s="35" customFormat="1" x14ac:dyDescent="0.25">
      <c r="A251" s="61" t="s">
        <v>157</v>
      </c>
      <c r="B251" s="144" t="s">
        <v>156</v>
      </c>
      <c r="C251" s="144"/>
      <c r="D251" s="144"/>
      <c r="E251" s="144"/>
      <c r="F251" s="144"/>
      <c r="G251" s="144"/>
      <c r="H251" s="144"/>
    </row>
    <row r="252" spans="1:14" s="35" customFormat="1" x14ac:dyDescent="0.25">
      <c r="A252" s="61" t="s">
        <v>157</v>
      </c>
      <c r="B252" s="144" t="s">
        <v>125</v>
      </c>
      <c r="C252" s="144"/>
      <c r="D252" s="144"/>
      <c r="E252" s="144"/>
      <c r="F252" s="144"/>
      <c r="G252" s="144"/>
      <c r="H252" s="144"/>
    </row>
    <row r="253" spans="1:14" s="35" customFormat="1" ht="34.5" customHeight="1" x14ac:dyDescent="0.25">
      <c r="A253" s="45" t="s">
        <v>157</v>
      </c>
      <c r="B253" s="94" t="s">
        <v>158</v>
      </c>
      <c r="C253" s="95"/>
      <c r="D253" s="95"/>
      <c r="E253" s="95"/>
      <c r="F253" s="95"/>
      <c r="G253" s="95"/>
      <c r="H253" s="96"/>
    </row>
    <row r="254" spans="1:14" s="35" customFormat="1" x14ac:dyDescent="0.25">
      <c r="A254" s="45" t="s">
        <v>157</v>
      </c>
      <c r="B254" s="94" t="s">
        <v>126</v>
      </c>
      <c r="C254" s="95"/>
      <c r="D254" s="95"/>
      <c r="E254" s="95"/>
      <c r="F254" s="95"/>
      <c r="G254" s="95"/>
      <c r="H254" s="96"/>
    </row>
    <row r="255" spans="1:14" s="35" customFormat="1" ht="32.25" customHeight="1" x14ac:dyDescent="0.25">
      <c r="A255" s="45" t="s">
        <v>157</v>
      </c>
      <c r="B255" s="69" t="s">
        <v>184</v>
      </c>
      <c r="C255" s="70"/>
      <c r="D255" s="70"/>
      <c r="E255" s="70"/>
      <c r="F255" s="70"/>
      <c r="G255" s="70"/>
      <c r="H255" s="71"/>
    </row>
    <row r="256" spans="1:14" s="35" customFormat="1" x14ac:dyDescent="0.25">
      <c r="A256" s="45" t="s">
        <v>157</v>
      </c>
      <c r="B256" s="94" t="s">
        <v>297</v>
      </c>
      <c r="C256" s="95"/>
      <c r="D256" s="95"/>
      <c r="E256" s="95"/>
      <c r="F256" s="95"/>
      <c r="G256" s="95"/>
      <c r="H256" s="96"/>
    </row>
    <row r="257" spans="1:8" s="35" customFormat="1" hidden="1" x14ac:dyDescent="0.25">
      <c r="A257" s="45" t="s">
        <v>157</v>
      </c>
      <c r="B257" s="94" t="s">
        <v>296</v>
      </c>
      <c r="C257" s="95"/>
      <c r="D257" s="95"/>
      <c r="E257" s="95"/>
      <c r="F257" s="95"/>
      <c r="G257" s="95"/>
      <c r="H257" s="96"/>
    </row>
    <row r="258" spans="1:8" s="35" customFormat="1" x14ac:dyDescent="0.25">
      <c r="A258" s="62" t="s">
        <v>157</v>
      </c>
      <c r="B258" s="69" t="s">
        <v>302</v>
      </c>
      <c r="C258" s="70"/>
      <c r="D258" s="70"/>
      <c r="E258" s="70"/>
      <c r="F258" s="70"/>
      <c r="G258" s="70"/>
      <c r="H258" s="71"/>
    </row>
    <row r="259" spans="1:8" s="35" customFormat="1" x14ac:dyDescent="0.25">
      <c r="A259" s="45" t="s">
        <v>157</v>
      </c>
      <c r="B259" s="69" t="s">
        <v>306</v>
      </c>
      <c r="C259" s="70"/>
      <c r="D259" s="70"/>
      <c r="E259" s="70"/>
      <c r="F259" s="70"/>
      <c r="G259" s="70"/>
      <c r="H259" s="71"/>
    </row>
    <row r="260" spans="1:8" x14ac:dyDescent="0.25">
      <c r="A260" s="120" t="s">
        <v>60</v>
      </c>
      <c r="B260" s="120"/>
      <c r="C260" s="120"/>
      <c r="D260" s="120"/>
      <c r="E260" s="120"/>
      <c r="F260" s="120"/>
      <c r="G260" s="120"/>
      <c r="H260" s="120"/>
    </row>
    <row r="261" spans="1:8" x14ac:dyDescent="0.25">
      <c r="A261" s="101" t="s">
        <v>61</v>
      </c>
      <c r="B261" s="101"/>
      <c r="C261" s="101"/>
      <c r="D261" s="101"/>
      <c r="E261" s="101"/>
      <c r="F261" s="101"/>
      <c r="G261" s="101"/>
      <c r="H261" s="101"/>
    </row>
    <row r="262" spans="1:8" ht="15.75" customHeight="1" x14ac:dyDescent="0.25">
      <c r="A262" s="143" t="s">
        <v>62</v>
      </c>
      <c r="B262" s="143"/>
      <c r="C262" s="143"/>
      <c r="D262" s="143"/>
      <c r="E262" s="143"/>
      <c r="F262" s="143"/>
      <c r="G262" s="143"/>
      <c r="H262" s="143"/>
    </row>
    <row r="263" spans="1:8" x14ac:dyDescent="0.25">
      <c r="A263" s="101" t="s">
        <v>63</v>
      </c>
      <c r="B263" s="101"/>
      <c r="C263" s="101"/>
      <c r="D263" s="101"/>
      <c r="E263" s="101"/>
      <c r="F263" s="101"/>
      <c r="G263" s="101"/>
      <c r="H263" s="101"/>
    </row>
    <row r="264" spans="1:8" x14ac:dyDescent="0.25">
      <c r="A264" s="101" t="s">
        <v>64</v>
      </c>
      <c r="B264" s="101"/>
      <c r="C264" s="101"/>
      <c r="D264" s="101"/>
      <c r="E264" s="101"/>
      <c r="F264" s="101"/>
      <c r="G264" s="101"/>
      <c r="H264" s="101"/>
    </row>
    <row r="265" spans="1:8" x14ac:dyDescent="0.25">
      <c r="A265" s="101" t="s">
        <v>127</v>
      </c>
      <c r="B265" s="101"/>
      <c r="C265" s="101"/>
      <c r="D265" s="101"/>
      <c r="E265" s="101"/>
      <c r="F265" s="101"/>
      <c r="G265" s="101"/>
      <c r="H265" s="101"/>
    </row>
    <row r="266" spans="1:8" ht="34.15" customHeight="1" x14ac:dyDescent="0.25">
      <c r="A266" s="67" t="s">
        <v>128</v>
      </c>
      <c r="B266" s="67"/>
      <c r="C266" s="67"/>
      <c r="D266" s="67"/>
      <c r="E266" s="67"/>
      <c r="F266" s="67"/>
      <c r="G266" s="67"/>
      <c r="H266" s="67"/>
    </row>
    <row r="267" spans="1:8" x14ac:dyDescent="0.25">
      <c r="A267" s="159" t="s">
        <v>76</v>
      </c>
      <c r="B267" s="159"/>
      <c r="C267" s="159" t="s">
        <v>308</v>
      </c>
      <c r="D267" s="159"/>
      <c r="E267" s="159" t="s">
        <v>106</v>
      </c>
      <c r="F267" s="159"/>
      <c r="G267" s="159" t="s">
        <v>307</v>
      </c>
      <c r="H267" s="159"/>
    </row>
    <row r="268" spans="1:8" x14ac:dyDescent="0.25">
      <c r="A268" s="158" t="s">
        <v>78</v>
      </c>
      <c r="B268" s="158"/>
      <c r="C268" s="158"/>
      <c r="D268" s="158"/>
      <c r="E268" s="158"/>
      <c r="F268" s="158"/>
      <c r="G268" s="158"/>
      <c r="H268" s="158"/>
    </row>
    <row r="269" spans="1:8" x14ac:dyDescent="0.25">
      <c r="A269" s="158"/>
      <c r="B269" s="158"/>
      <c r="C269" s="158"/>
      <c r="D269" s="158"/>
      <c r="E269" s="158"/>
      <c r="F269" s="158"/>
      <c r="G269" s="158"/>
      <c r="H269" s="158"/>
    </row>
    <row r="270" spans="1:8" x14ac:dyDescent="0.25">
      <c r="A270" s="158"/>
      <c r="B270" s="158"/>
      <c r="C270" s="158"/>
      <c r="D270" s="158"/>
      <c r="E270" s="158"/>
      <c r="F270" s="158"/>
      <c r="G270" s="158"/>
      <c r="H270" s="158"/>
    </row>
    <row r="271" spans="1:8" x14ac:dyDescent="0.25">
      <c r="A271" s="158"/>
      <c r="B271" s="158"/>
      <c r="C271" s="158"/>
      <c r="D271" s="158"/>
      <c r="E271" s="158"/>
      <c r="F271" s="158"/>
      <c r="G271" s="158"/>
      <c r="H271" s="158"/>
    </row>
    <row r="272" spans="1:8" x14ac:dyDescent="0.25">
      <c r="A272" s="38" t="s">
        <v>65</v>
      </c>
      <c r="B272" s="39"/>
      <c r="C272" s="39"/>
      <c r="D272" s="38" t="str">
        <f>E8</f>
        <v>Shraddha Presidency</v>
      </c>
      <c r="F272" s="39"/>
      <c r="G272" s="39"/>
      <c r="H272" s="39"/>
    </row>
    <row r="273" spans="1:8" x14ac:dyDescent="0.25">
      <c r="A273" s="39"/>
      <c r="B273" s="39"/>
      <c r="C273" s="39"/>
      <c r="D273" s="39"/>
      <c r="E273" s="39"/>
      <c r="F273" s="39"/>
      <c r="G273" s="39"/>
      <c r="H273" s="39"/>
    </row>
    <row r="274" spans="1:8" x14ac:dyDescent="0.25">
      <c r="A274" s="39"/>
      <c r="B274" s="39"/>
      <c r="C274" s="39"/>
      <c r="D274" s="39"/>
      <c r="E274" s="39"/>
      <c r="F274" s="39"/>
      <c r="G274" s="39"/>
      <c r="H274" s="39"/>
    </row>
    <row r="275" spans="1:8" ht="15" customHeight="1" x14ac:dyDescent="0.25"/>
    <row r="314" spans="1:1" x14ac:dyDescent="0.25">
      <c r="A314" s="41" t="s">
        <v>168</v>
      </c>
    </row>
    <row r="356" spans="1:1" hidden="1" x14ac:dyDescent="0.25"/>
    <row r="357" spans="1:1" x14ac:dyDescent="0.25">
      <c r="A357" s="41" t="s">
        <v>66</v>
      </c>
    </row>
  </sheetData>
  <mergeCells count="450">
    <mergeCell ref="C54:E54"/>
    <mergeCell ref="G54:H54"/>
    <mergeCell ref="B257:H257"/>
    <mergeCell ref="B259:H259"/>
    <mergeCell ref="A119:E119"/>
    <mergeCell ref="A99:B99"/>
    <mergeCell ref="A104:B104"/>
    <mergeCell ref="A137:B137"/>
    <mergeCell ref="E137:F137"/>
    <mergeCell ref="C102:H102"/>
    <mergeCell ref="A103:B103"/>
    <mergeCell ref="A124:E124"/>
    <mergeCell ref="G137:H137"/>
    <mergeCell ref="C130:D130"/>
    <mergeCell ref="E130:F130"/>
    <mergeCell ref="G130:H130"/>
    <mergeCell ref="A131:B131"/>
    <mergeCell ref="C131:D131"/>
    <mergeCell ref="E131:F131"/>
    <mergeCell ref="G131:H131"/>
    <mergeCell ref="A135:B135"/>
    <mergeCell ref="A51:B56"/>
    <mergeCell ref="B253:H253"/>
    <mergeCell ref="A172:B172"/>
    <mergeCell ref="C48:H48"/>
    <mergeCell ref="B251:H251"/>
    <mergeCell ref="A105:B105"/>
    <mergeCell ref="A106:B106"/>
    <mergeCell ref="G90:H99"/>
    <mergeCell ref="A91:B91"/>
    <mergeCell ref="A92:B92"/>
    <mergeCell ref="A93:B93"/>
    <mergeCell ref="F116:H116"/>
    <mergeCell ref="A116:E116"/>
    <mergeCell ref="D141:D142"/>
    <mergeCell ref="A118:E118"/>
    <mergeCell ref="A109:B109"/>
    <mergeCell ref="A111:B111"/>
    <mergeCell ref="A112:B112"/>
    <mergeCell ref="A117:E117"/>
    <mergeCell ref="A114:E114"/>
    <mergeCell ref="F118:H118"/>
    <mergeCell ref="G103:H103"/>
    <mergeCell ref="C53:E53"/>
    <mergeCell ref="G53:H53"/>
    <mergeCell ref="L157:M157"/>
    <mergeCell ref="A162:B162"/>
    <mergeCell ref="A159:B159"/>
    <mergeCell ref="A160:B160"/>
    <mergeCell ref="L156:M156"/>
    <mergeCell ref="L153:M153"/>
    <mergeCell ref="L154:M154"/>
    <mergeCell ref="L155:M155"/>
    <mergeCell ref="A78:B78"/>
    <mergeCell ref="D149:D150"/>
    <mergeCell ref="E149:E150"/>
    <mergeCell ref="F115:H115"/>
    <mergeCell ref="E89:F89"/>
    <mergeCell ref="G89:H89"/>
    <mergeCell ref="A120:E120"/>
    <mergeCell ref="F120:H120"/>
    <mergeCell ref="A122:E122"/>
    <mergeCell ref="F117:H117"/>
    <mergeCell ref="A121:E121"/>
    <mergeCell ref="C135:D135"/>
    <mergeCell ref="E135:F135"/>
    <mergeCell ref="G135:H135"/>
    <mergeCell ref="A39:B39"/>
    <mergeCell ref="C39:H39"/>
    <mergeCell ref="F141:F142"/>
    <mergeCell ref="C129:D129"/>
    <mergeCell ref="E129:F129"/>
    <mergeCell ref="B141:B142"/>
    <mergeCell ref="A141:A142"/>
    <mergeCell ref="C149:C150"/>
    <mergeCell ref="G149:G150"/>
    <mergeCell ref="G138:H138"/>
    <mergeCell ref="A75:B75"/>
    <mergeCell ref="C72:H72"/>
    <mergeCell ref="A80:B80"/>
    <mergeCell ref="A67:C67"/>
    <mergeCell ref="D67:H67"/>
    <mergeCell ref="C74:H74"/>
    <mergeCell ref="A77:B77"/>
    <mergeCell ref="A79:B79"/>
    <mergeCell ref="E75:F75"/>
    <mergeCell ref="A102:B102"/>
    <mergeCell ref="F149:F150"/>
    <mergeCell ref="G141:G142"/>
    <mergeCell ref="A82:B82"/>
    <mergeCell ref="A72:B72"/>
    <mergeCell ref="A38:B38"/>
    <mergeCell ref="C38:H38"/>
    <mergeCell ref="A45:D45"/>
    <mergeCell ref="L147:M147"/>
    <mergeCell ref="L146:M146"/>
    <mergeCell ref="L145:M145"/>
    <mergeCell ref="L144:M144"/>
    <mergeCell ref="A83:B83"/>
    <mergeCell ref="C134:D134"/>
    <mergeCell ref="E134:F134"/>
    <mergeCell ref="G134:H134"/>
    <mergeCell ref="A115:E115"/>
    <mergeCell ref="A100:B100"/>
    <mergeCell ref="C100:H100"/>
    <mergeCell ref="A143:H143"/>
    <mergeCell ref="E141:E142"/>
    <mergeCell ref="A90:B90"/>
    <mergeCell ref="A46:D46"/>
    <mergeCell ref="A47:H47"/>
    <mergeCell ref="D61:H61"/>
    <mergeCell ref="A61:C61"/>
    <mergeCell ref="G50:H50"/>
    <mergeCell ref="A48:B48"/>
    <mergeCell ref="A37:H37"/>
    <mergeCell ref="A36:B36"/>
    <mergeCell ref="C36:E36"/>
    <mergeCell ref="G104:H113"/>
    <mergeCell ref="A41:D41"/>
    <mergeCell ref="E41:H41"/>
    <mergeCell ref="A40:H40"/>
    <mergeCell ref="A65:C65"/>
    <mergeCell ref="A66:C66"/>
    <mergeCell ref="D65:H65"/>
    <mergeCell ref="E76:F85"/>
    <mergeCell ref="G76:H85"/>
    <mergeCell ref="A84:B84"/>
    <mergeCell ref="A85:B85"/>
    <mergeCell ref="D66:H66"/>
    <mergeCell ref="A43:D43"/>
    <mergeCell ref="E43:H43"/>
    <mergeCell ref="E44:H44"/>
    <mergeCell ref="E45:H45"/>
    <mergeCell ref="A89:B89"/>
    <mergeCell ref="E46:H46"/>
    <mergeCell ref="A88:B88"/>
    <mergeCell ref="C88:H88"/>
    <mergeCell ref="A44:D44"/>
    <mergeCell ref="F36:H36"/>
    <mergeCell ref="E26:H26"/>
    <mergeCell ref="A28:D28"/>
    <mergeCell ref="E28:H28"/>
    <mergeCell ref="A25:D25"/>
    <mergeCell ref="E25:H25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C34:E34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F33:H33"/>
    <mergeCell ref="F34:H34"/>
    <mergeCell ref="E13:H13"/>
    <mergeCell ref="A14:D14"/>
    <mergeCell ref="A10:D10"/>
    <mergeCell ref="E10:H10"/>
    <mergeCell ref="A22:D23"/>
    <mergeCell ref="E22:H23"/>
    <mergeCell ref="E14:H14"/>
    <mergeCell ref="A15:B15"/>
    <mergeCell ref="C15:H15"/>
    <mergeCell ref="C16:H16"/>
    <mergeCell ref="A17:B17"/>
    <mergeCell ref="C17:H17"/>
    <mergeCell ref="A12:D12"/>
    <mergeCell ref="E12:H12"/>
    <mergeCell ref="A11:D11"/>
    <mergeCell ref="E11:H11"/>
    <mergeCell ref="A16:B16"/>
    <mergeCell ref="A13:D13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68:C68"/>
    <mergeCell ref="D68:H68"/>
    <mergeCell ref="A71:C71"/>
    <mergeCell ref="D71:H71"/>
    <mergeCell ref="A69:C69"/>
    <mergeCell ref="D70:H70"/>
    <mergeCell ref="A76:B76"/>
    <mergeCell ref="G75:H75"/>
    <mergeCell ref="D69:H69"/>
    <mergeCell ref="A70:C70"/>
    <mergeCell ref="A268:H271"/>
    <mergeCell ref="A267:B267"/>
    <mergeCell ref="E267:F267"/>
    <mergeCell ref="C267:D267"/>
    <mergeCell ref="G267:H267"/>
    <mergeCell ref="A127:H127"/>
    <mergeCell ref="A125:E125"/>
    <mergeCell ref="F125:H125"/>
    <mergeCell ref="A126:E126"/>
    <mergeCell ref="F126:H126"/>
    <mergeCell ref="A157:H157"/>
    <mergeCell ref="A134:B134"/>
    <mergeCell ref="A166:B166"/>
    <mergeCell ref="A129:B129"/>
    <mergeCell ref="A263:H263"/>
    <mergeCell ref="A132:H132"/>
    <mergeCell ref="A266:H266"/>
    <mergeCell ref="A264:H264"/>
    <mergeCell ref="A260:H260"/>
    <mergeCell ref="G133:H133"/>
    <mergeCell ref="A168:B168"/>
    <mergeCell ref="C141:C142"/>
    <mergeCell ref="B149:B150"/>
    <mergeCell ref="A261:H261"/>
    <mergeCell ref="C158:H158"/>
    <mergeCell ref="C162:H162"/>
    <mergeCell ref="A158:B158"/>
    <mergeCell ref="A107:B107"/>
    <mergeCell ref="A108:B108"/>
    <mergeCell ref="E90:F99"/>
    <mergeCell ref="A97:B97"/>
    <mergeCell ref="A98:B98"/>
    <mergeCell ref="E103:F103"/>
    <mergeCell ref="E104:F113"/>
    <mergeCell ref="A94:B94"/>
    <mergeCell ref="A95:B95"/>
    <mergeCell ref="A96:B96"/>
    <mergeCell ref="A110:B110"/>
    <mergeCell ref="A113:B113"/>
    <mergeCell ref="A154:B154"/>
    <mergeCell ref="A155:B155"/>
    <mergeCell ref="A156:B156"/>
    <mergeCell ref="A161:B161"/>
    <mergeCell ref="A230:B230"/>
    <mergeCell ref="A231:B231"/>
    <mergeCell ref="B248:H248"/>
    <mergeCell ref="A173:B173"/>
    <mergeCell ref="A174:B174"/>
    <mergeCell ref="B246:H246"/>
    <mergeCell ref="B247:H247"/>
    <mergeCell ref="A169:H169"/>
    <mergeCell ref="A163:H163"/>
    <mergeCell ref="A171:B171"/>
    <mergeCell ref="A195:H195"/>
    <mergeCell ref="A175:H175"/>
    <mergeCell ref="A167:B167"/>
    <mergeCell ref="A164:B164"/>
    <mergeCell ref="A170:B170"/>
    <mergeCell ref="A265:H265"/>
    <mergeCell ref="A262:H262"/>
    <mergeCell ref="B255:H255"/>
    <mergeCell ref="B254:H254"/>
    <mergeCell ref="B252:H252"/>
    <mergeCell ref="A198:B198"/>
    <mergeCell ref="A199:B199"/>
    <mergeCell ref="A200:B200"/>
    <mergeCell ref="A235:B235"/>
    <mergeCell ref="A236:B236"/>
    <mergeCell ref="A237:B237"/>
    <mergeCell ref="A238:B238"/>
    <mergeCell ref="C235:H235"/>
    <mergeCell ref="A232:B232"/>
    <mergeCell ref="A239:H239"/>
    <mergeCell ref="B249:H249"/>
    <mergeCell ref="B250:H250"/>
    <mergeCell ref="A245:H245"/>
    <mergeCell ref="A219:H219"/>
    <mergeCell ref="A220:H220"/>
    <mergeCell ref="A221:H221"/>
    <mergeCell ref="A227:H227"/>
    <mergeCell ref="A228:B228"/>
    <mergeCell ref="A229:B229"/>
    <mergeCell ref="F114:H114"/>
    <mergeCell ref="F119:H119"/>
    <mergeCell ref="A153:B153"/>
    <mergeCell ref="A147:B147"/>
    <mergeCell ref="A146:B146"/>
    <mergeCell ref="A148:H148"/>
    <mergeCell ref="E133:F133"/>
    <mergeCell ref="A139:H139"/>
    <mergeCell ref="A149:A150"/>
    <mergeCell ref="A151:H151"/>
    <mergeCell ref="C138:D138"/>
    <mergeCell ref="E138:F138"/>
    <mergeCell ref="G129:H129"/>
    <mergeCell ref="A133:B133"/>
    <mergeCell ref="F121:H121"/>
    <mergeCell ref="C128:D128"/>
    <mergeCell ref="C137:D137"/>
    <mergeCell ref="A152:H152"/>
    <mergeCell ref="A144:B144"/>
    <mergeCell ref="A138:B138"/>
    <mergeCell ref="E42:H42"/>
    <mergeCell ref="A42:D42"/>
    <mergeCell ref="A86:B86"/>
    <mergeCell ref="C86:H86"/>
    <mergeCell ref="A81:B81"/>
    <mergeCell ref="A49:B49"/>
    <mergeCell ref="C49:E49"/>
    <mergeCell ref="C52:E52"/>
    <mergeCell ref="G52:H52"/>
    <mergeCell ref="G49:H49"/>
    <mergeCell ref="G51:H51"/>
    <mergeCell ref="A50:B50"/>
    <mergeCell ref="A58:H58"/>
    <mergeCell ref="A59:C59"/>
    <mergeCell ref="A60:C60"/>
    <mergeCell ref="D60:H60"/>
    <mergeCell ref="G57:H57"/>
    <mergeCell ref="D64:H64"/>
    <mergeCell ref="C51:E51"/>
    <mergeCell ref="A62:C64"/>
    <mergeCell ref="D62:H62"/>
    <mergeCell ref="D63:H63"/>
    <mergeCell ref="C50:E50"/>
    <mergeCell ref="A74:B74"/>
    <mergeCell ref="I10:I13"/>
    <mergeCell ref="J10:M10"/>
    <mergeCell ref="J11:M11"/>
    <mergeCell ref="J12:M12"/>
    <mergeCell ref="J13:M13"/>
    <mergeCell ref="B256:H256"/>
    <mergeCell ref="I14:P14"/>
    <mergeCell ref="F124:H124"/>
    <mergeCell ref="F122:H122"/>
    <mergeCell ref="A165:B165"/>
    <mergeCell ref="A140:H140"/>
    <mergeCell ref="G128:H128"/>
    <mergeCell ref="A123:E123"/>
    <mergeCell ref="A145:B145"/>
    <mergeCell ref="A57:B57"/>
    <mergeCell ref="C57:E57"/>
    <mergeCell ref="D59:H59"/>
    <mergeCell ref="F123:H123"/>
    <mergeCell ref="E128:F128"/>
    <mergeCell ref="A128:B128"/>
    <mergeCell ref="A130:B130"/>
    <mergeCell ref="C133:D133"/>
    <mergeCell ref="A182:B182"/>
    <mergeCell ref="A183:B183"/>
    <mergeCell ref="A226:B226"/>
    <mergeCell ref="C222:H222"/>
    <mergeCell ref="A201:H201"/>
    <mergeCell ref="A202:B202"/>
    <mergeCell ref="A203:B203"/>
    <mergeCell ref="A204:B204"/>
    <mergeCell ref="A205:B205"/>
    <mergeCell ref="A206:B206"/>
    <mergeCell ref="A216:B216"/>
    <mergeCell ref="A217:B217"/>
    <mergeCell ref="A218:B218"/>
    <mergeCell ref="A208:B208"/>
    <mergeCell ref="A209:B209"/>
    <mergeCell ref="A210:B210"/>
    <mergeCell ref="A211:B211"/>
    <mergeCell ref="A212:B212"/>
    <mergeCell ref="C208:H209"/>
    <mergeCell ref="A191:B191"/>
    <mergeCell ref="A193:H193"/>
    <mergeCell ref="A194:H194"/>
    <mergeCell ref="C200:H200"/>
    <mergeCell ref="L221:M221"/>
    <mergeCell ref="A222:B222"/>
    <mergeCell ref="A223:B223"/>
    <mergeCell ref="A224:B224"/>
    <mergeCell ref="A225:B225"/>
    <mergeCell ref="C214:H215"/>
    <mergeCell ref="A215:B215"/>
    <mergeCell ref="A233:H233"/>
    <mergeCell ref="L233:M233"/>
    <mergeCell ref="A234:B234"/>
    <mergeCell ref="L175:M175"/>
    <mergeCell ref="A176:B176"/>
    <mergeCell ref="A177:B177"/>
    <mergeCell ref="A178:B178"/>
    <mergeCell ref="A179:B179"/>
    <mergeCell ref="A180:B180"/>
    <mergeCell ref="C179:H179"/>
    <mergeCell ref="A207:H207"/>
    <mergeCell ref="L207:M207"/>
    <mergeCell ref="A181:H181"/>
    <mergeCell ref="L181:M181"/>
    <mergeCell ref="L195:M195"/>
    <mergeCell ref="A196:B196"/>
    <mergeCell ref="A197:B197"/>
    <mergeCell ref="A190:B190"/>
    <mergeCell ref="A187:H187"/>
    <mergeCell ref="A188:B188"/>
    <mergeCell ref="A189:B189"/>
    <mergeCell ref="A192:B192"/>
    <mergeCell ref="C55:E55"/>
    <mergeCell ref="G55:H55"/>
    <mergeCell ref="C56:E56"/>
    <mergeCell ref="G56:H56"/>
    <mergeCell ref="B258:H258"/>
    <mergeCell ref="L239:M239"/>
    <mergeCell ref="A240:B240"/>
    <mergeCell ref="A241:B241"/>
    <mergeCell ref="C241:H241"/>
    <mergeCell ref="A242:B242"/>
    <mergeCell ref="A243:B243"/>
    <mergeCell ref="A244:B244"/>
    <mergeCell ref="A136:B136"/>
    <mergeCell ref="C136:D136"/>
    <mergeCell ref="E136:F136"/>
    <mergeCell ref="G136:H136"/>
    <mergeCell ref="A184:B184"/>
    <mergeCell ref="A185:B185"/>
    <mergeCell ref="C185:H185"/>
    <mergeCell ref="A186:B186"/>
    <mergeCell ref="A213:H213"/>
    <mergeCell ref="L213:M213"/>
    <mergeCell ref="A214:B214"/>
  </mergeCells>
  <dataValidations count="13">
    <dataValidation type="list" allowBlank="1" showInputMessage="1" showErrorMessage="1" sqref="E4:H4">
      <formula1>"Axis Goregaon,Axis Thane,Axis Badlapur,Axis Sanpada, PNB Thane,IBHF Vashi,IBHF Thane,IBHF Andheri"</formula1>
    </dataValidation>
    <dataValidation type="list" allowBlank="1" showInputMessage="1" showErrorMessage="1" sqref="A16:B16">
      <formula1>"CTS No,Survey No,Plot No,Gut No,FP No,"</formula1>
    </dataValidation>
    <dataValidation type="list" allowBlank="1" showInputMessage="1" showErrorMessage="1" sqref="G19:H19">
      <formula1>$S$12:$W$12</formula1>
    </dataValidation>
    <dataValidation type="list" allowBlank="1" showInputMessage="1" showErrorMessage="1" sqref="E141:E142">
      <formula1>"Attached Loft area,Attached Otla area,Attached Mezzanine area"</formula1>
    </dataValidation>
    <dataValidation type="list" allowBlank="1" showInputMessage="1" showErrorMessage="1" sqref="G267:H267">
      <formula1>"Kunal Kadam,Shruti Tathare,Pranita Mhatre,Shruti Fule,Pooja Kawale,Mansee Mohite,Anjali Kamble, Hitakshi Mhatre, Sachin Sawant"</formula1>
    </dataValidation>
    <dataValidation type="list" allowBlank="1" showInputMessage="1" showErrorMessage="1" sqref="F114:H114">
      <formula1>"On Saleable Area,On Builtup Area,On Carpet Area,On Plot Area"</formula1>
    </dataValidation>
    <dataValidation type="list" allowBlank="1" showInputMessage="1" showErrorMessage="1" sqref="F125:H125">
      <formula1>"100000,150000,200000,250000,300000,350000,400000,500000,600000,700000,800000,900000,1000000,1200000,1400000,1500000"</formula1>
    </dataValidation>
    <dataValidation type="list" allowBlank="1" showInputMessage="1" showErrorMessage="1" sqref="B141:B142">
      <formula1>"Shop No. (Sale Plan),Sale / Rehab,Sale / Mhada"</formula1>
    </dataValidation>
    <dataValidation type="list" allowBlank="1" showInputMessage="1" showErrorMessage="1" sqref="B149:B150">
      <formula1>"Flat No. (Sale Plan),Sale / Rehab,Sale / Mhada"</formula1>
    </dataValidation>
    <dataValidation type="list" allowBlank="1" showInputMessage="1" showErrorMessage="1" sqref="C20:D20">
      <formula1>OFFSET($S$12,1,MATCH($G19,$S$12:$W$12,0)-1,15,1)</formula1>
    </dataValidation>
    <dataValidation type="list" allowBlank="1" showInputMessage="1" showErrorMessage="1" sqref="Y12">
      <formula1>$D$4:$H$4</formula1>
    </dataValidation>
    <dataValidation type="list" allowBlank="1" showInputMessage="1" showErrorMessage="1" sqref="E149:E150">
      <formula1>"Fungible area,Balcony Area,Dry Yard Area,Cornice Area,AP Area,WS Area"</formula1>
    </dataValidation>
    <dataValidation type="list" allowBlank="1" showInputMessage="1" showErrorMessage="1" sqref="H142 H150">
      <formula1>"45%,50%,55%,60%"</formula1>
    </dataValidation>
  </dataValidations>
  <hyperlinks>
    <hyperlink ref="C39" r:id="rId1"/>
    <hyperlink ref="I68" r:id="rId2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3"/>
  <headerFooter>
    <oddHeader>&amp;C&amp;G</oddHeader>
    <oddFooter>&amp;L&amp;"Times New Roman,Bold"&amp;12Ref No: &amp;F&amp;C&amp;G&amp;R&amp;"Times New Roman,Bold"&amp;12&amp;P</oddFooter>
  </headerFooter>
  <rowBreaks count="4" manualBreakCount="4">
    <brk id="57" max="16383" man="1"/>
    <brk id="271" max="16383" man="1"/>
    <brk id="313" max="16383" man="1"/>
    <brk id="356" max="16383" man="1"/>
  </rowBreaks>
  <drawing r:id="rId4"/>
  <legacyDrawing r:id="rId5"/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K3" sqref="K3"/>
    </sheetView>
  </sheetViews>
  <sheetFormatPr defaultColWidth="8.7109375" defaultRowHeight="15" x14ac:dyDescent="0.25"/>
  <cols>
    <col min="1" max="1" width="8.7109375" style="1"/>
    <col min="2" max="2" width="22.28515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98" t="s">
        <v>107</v>
      </c>
      <c r="C3" s="198"/>
      <c r="D3" s="198"/>
      <c r="E3" s="198"/>
      <c r="F3" s="198"/>
      <c r="G3" s="198"/>
      <c r="H3" s="198"/>
    </row>
    <row r="4" spans="1:9" x14ac:dyDescent="0.25">
      <c r="A4" s="2"/>
      <c r="B4" s="3" t="s">
        <v>108</v>
      </c>
      <c r="C4" s="3" t="s">
        <v>109</v>
      </c>
      <c r="D4" s="3" t="s">
        <v>68</v>
      </c>
      <c r="E4" s="3" t="s">
        <v>110</v>
      </c>
      <c r="F4" s="3" t="s">
        <v>116</v>
      </c>
      <c r="G4" s="3" t="s">
        <v>117</v>
      </c>
      <c r="H4" s="3" t="s">
        <v>111</v>
      </c>
    </row>
    <row r="5" spans="1:9" ht="15" customHeight="1" x14ac:dyDescent="0.25">
      <c r="A5" s="2"/>
      <c r="B5" s="5" t="s">
        <v>112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112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112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112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112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113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113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114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115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K30"/>
  <sheetViews>
    <sheetView zoomScale="130" zoomScaleNormal="130" workbookViewId="0">
      <selection activeCell="C3" sqref="C3:K18"/>
    </sheetView>
  </sheetViews>
  <sheetFormatPr defaultRowHeight="15" x14ac:dyDescent="0.25"/>
  <cols>
    <col min="4" max="4" width="11" bestFit="1" customWidth="1"/>
    <col min="5" max="5" width="10.42578125" bestFit="1" customWidth="1"/>
    <col min="8" max="8" width="10.5703125" bestFit="1" customWidth="1"/>
  </cols>
  <sheetData>
    <row r="3" spans="2:11" x14ac:dyDescent="0.25">
      <c r="J3">
        <v>1</v>
      </c>
      <c r="K3">
        <v>2</v>
      </c>
    </row>
    <row r="4" spans="2:11" x14ac:dyDescent="0.25">
      <c r="B4" s="53"/>
      <c r="C4" s="53" t="s">
        <v>12</v>
      </c>
      <c r="D4" s="54" t="s">
        <v>185</v>
      </c>
      <c r="E4" s="54" t="s">
        <v>195</v>
      </c>
      <c r="F4" s="54" t="s">
        <v>178</v>
      </c>
      <c r="G4" s="54" t="s">
        <v>200</v>
      </c>
      <c r="H4" s="54" t="s">
        <v>218</v>
      </c>
      <c r="J4" t="s">
        <v>200</v>
      </c>
      <c r="K4" t="s">
        <v>216</v>
      </c>
    </row>
    <row r="5" spans="2:11" x14ac:dyDescent="0.25">
      <c r="B5" s="53"/>
      <c r="C5" s="53"/>
      <c r="D5" s="54" t="s">
        <v>186</v>
      </c>
      <c r="E5" s="54" t="s">
        <v>193</v>
      </c>
      <c r="F5" s="54" t="s">
        <v>215</v>
      </c>
      <c r="G5" s="54" t="s">
        <v>201</v>
      </c>
      <c r="H5" s="54" t="s">
        <v>219</v>
      </c>
    </row>
    <row r="6" spans="2:11" x14ac:dyDescent="0.25">
      <c r="B6" s="53"/>
      <c r="C6" s="53"/>
      <c r="D6" s="54" t="s">
        <v>187</v>
      </c>
      <c r="E6" s="54" t="s">
        <v>194</v>
      </c>
      <c r="F6" s="54" t="s">
        <v>216</v>
      </c>
      <c r="G6" s="54" t="s">
        <v>202</v>
      </c>
      <c r="H6" s="54" t="s">
        <v>232</v>
      </c>
    </row>
    <row r="7" spans="2:11" x14ac:dyDescent="0.25">
      <c r="B7" s="53"/>
      <c r="C7" s="53"/>
      <c r="D7" s="54" t="s">
        <v>188</v>
      </c>
      <c r="E7" s="54" t="s">
        <v>196</v>
      </c>
      <c r="F7" s="54" t="s">
        <v>217</v>
      </c>
      <c r="G7" s="54" t="s">
        <v>203</v>
      </c>
      <c r="H7" s="54" t="s">
        <v>220</v>
      </c>
    </row>
    <row r="8" spans="2:11" x14ac:dyDescent="0.25">
      <c r="B8" s="53"/>
      <c r="C8" s="53"/>
      <c r="D8" s="54" t="s">
        <v>189</v>
      </c>
      <c r="E8" s="54" t="s">
        <v>197</v>
      </c>
      <c r="F8" s="54"/>
      <c r="G8" s="54" t="s">
        <v>204</v>
      </c>
      <c r="H8" s="54" t="s">
        <v>221</v>
      </c>
    </row>
    <row r="9" spans="2:11" x14ac:dyDescent="0.25">
      <c r="B9" s="53"/>
      <c r="C9" s="53"/>
      <c r="D9" s="54" t="s">
        <v>190</v>
      </c>
      <c r="E9" s="54" t="s">
        <v>195</v>
      </c>
      <c r="F9" s="54"/>
      <c r="G9" s="54" t="s">
        <v>205</v>
      </c>
      <c r="H9" s="54" t="s">
        <v>222</v>
      </c>
    </row>
    <row r="10" spans="2:11" x14ac:dyDescent="0.25">
      <c r="B10" s="53"/>
      <c r="C10" s="53"/>
      <c r="D10" s="54" t="s">
        <v>191</v>
      </c>
      <c r="E10" s="54" t="s">
        <v>198</v>
      </c>
      <c r="F10" s="54"/>
      <c r="G10" s="54" t="s">
        <v>206</v>
      </c>
      <c r="H10" s="54" t="s">
        <v>223</v>
      </c>
    </row>
    <row r="11" spans="2:11" x14ac:dyDescent="0.25">
      <c r="B11" s="53"/>
      <c r="C11" s="53"/>
      <c r="D11" s="54" t="s">
        <v>192</v>
      </c>
      <c r="E11" s="54" t="s">
        <v>199</v>
      </c>
      <c r="F11" s="54"/>
      <c r="G11" s="54" t="s">
        <v>207</v>
      </c>
      <c r="H11" s="54" t="s">
        <v>224</v>
      </c>
    </row>
    <row r="12" spans="2:11" x14ac:dyDescent="0.25">
      <c r="B12" s="53"/>
      <c r="C12" s="53"/>
      <c r="D12" s="54"/>
      <c r="E12" s="54"/>
      <c r="F12" s="54"/>
      <c r="G12" s="54" t="s">
        <v>208</v>
      </c>
      <c r="H12" s="54" t="s">
        <v>225</v>
      </c>
    </row>
    <row r="13" spans="2:11" x14ac:dyDescent="0.25">
      <c r="B13" s="53"/>
      <c r="C13" s="53"/>
      <c r="D13" s="54"/>
      <c r="E13" s="54"/>
      <c r="F13" s="54"/>
      <c r="G13" s="54" t="s">
        <v>209</v>
      </c>
      <c r="H13" s="54" t="s">
        <v>226</v>
      </c>
    </row>
    <row r="14" spans="2:11" x14ac:dyDescent="0.25">
      <c r="B14" s="53"/>
      <c r="C14" s="53"/>
      <c r="D14" s="54"/>
      <c r="E14" s="54"/>
      <c r="F14" s="54"/>
      <c r="G14" s="54" t="s">
        <v>210</v>
      </c>
      <c r="H14" s="54" t="s">
        <v>227</v>
      </c>
    </row>
    <row r="15" spans="2:11" x14ac:dyDescent="0.25">
      <c r="B15" s="53"/>
      <c r="C15" s="53"/>
      <c r="D15" s="54"/>
      <c r="E15" s="54"/>
      <c r="F15" s="54"/>
      <c r="G15" s="54" t="s">
        <v>211</v>
      </c>
      <c r="H15" s="54" t="s">
        <v>228</v>
      </c>
    </row>
    <row r="16" spans="2:11" x14ac:dyDescent="0.25">
      <c r="B16" s="53"/>
      <c r="C16" s="53"/>
      <c r="D16" s="54"/>
      <c r="E16" s="54"/>
      <c r="F16" s="54"/>
      <c r="G16" s="54" t="s">
        <v>212</v>
      </c>
      <c r="H16" s="54" t="s">
        <v>229</v>
      </c>
    </row>
    <row r="17" spans="2:8" x14ac:dyDescent="0.25">
      <c r="B17" s="53"/>
      <c r="C17" s="53"/>
      <c r="D17" s="54"/>
      <c r="E17" s="54"/>
      <c r="F17" s="54"/>
      <c r="G17" s="54" t="s">
        <v>213</v>
      </c>
      <c r="H17" s="54" t="s">
        <v>230</v>
      </c>
    </row>
    <row r="18" spans="2:8" x14ac:dyDescent="0.25">
      <c r="B18" s="53"/>
      <c r="C18" s="53"/>
      <c r="D18" s="54"/>
      <c r="E18" s="54"/>
      <c r="F18" s="54"/>
      <c r="G18" s="54" t="s">
        <v>214</v>
      </c>
      <c r="H18" s="54" t="s">
        <v>231</v>
      </c>
    </row>
    <row r="24" spans="2:8" x14ac:dyDescent="0.25">
      <c r="C24" t="s">
        <v>176</v>
      </c>
    </row>
    <row r="25" spans="2:8" x14ac:dyDescent="0.25">
      <c r="C25" t="s">
        <v>233</v>
      </c>
    </row>
    <row r="26" spans="2:8" x14ac:dyDescent="0.25">
      <c r="C26" t="s">
        <v>234</v>
      </c>
    </row>
    <row r="27" spans="2:8" x14ac:dyDescent="0.25">
      <c r="C27" t="s">
        <v>235</v>
      </c>
    </row>
    <row r="28" spans="2:8" x14ac:dyDescent="0.25">
      <c r="C28" t="s">
        <v>236</v>
      </c>
    </row>
    <row r="29" spans="2:8" x14ac:dyDescent="0.25">
      <c r="C29" t="s">
        <v>237</v>
      </c>
    </row>
    <row r="30" spans="2:8" x14ac:dyDescent="0.25">
      <c r="C30" t="s">
        <v>176</v>
      </c>
    </row>
  </sheetData>
  <dataValidations count="2">
    <dataValidation type="list" allowBlank="1" showInputMessage="1" showErrorMessage="1" sqref="J4">
      <formula1>$D$4:$H$4</formula1>
    </dataValidation>
    <dataValidation type="list" allowBlank="1" showInputMessage="1" showErrorMessage="1" sqref="K4">
      <formula1>OFFSET($D$4,1,MATCH($J4,$D$4:$H$4,0)-1,15,1)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Research</vt:lpstr>
      <vt:lpstr>Report!Print_Area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Welcome</cp:lastModifiedBy>
  <cp:lastPrinted>2025-03-19T08:09:11Z</cp:lastPrinted>
  <dcterms:created xsi:type="dcterms:W3CDTF">2019-07-16T09:29:46Z</dcterms:created>
  <dcterms:modified xsi:type="dcterms:W3CDTF">2025-09-13T11:12:46Z</dcterms:modified>
</cp:coreProperties>
</file>