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8" i="1"/>
  <c r="B188" i="1" l="1"/>
  <c r="D145" i="1"/>
  <c r="D121" i="1" l="1"/>
  <c r="D120" i="1"/>
  <c r="D116" i="1"/>
  <c r="C100" i="1" s="1"/>
  <c r="D111" i="1"/>
  <c r="D110" i="1"/>
  <c r="D109" i="1"/>
  <c r="D108" i="1"/>
  <c r="E96" i="1" s="1"/>
  <c r="I118" i="1"/>
  <c r="I116" i="1"/>
  <c r="I111" i="1"/>
  <c r="I109" i="1"/>
  <c r="J108" i="1"/>
  <c r="I108" i="1"/>
  <c r="E95" i="1" l="1"/>
  <c r="E97" i="1" s="1"/>
  <c r="C95" i="1"/>
  <c r="E100" i="1"/>
  <c r="C96" i="1"/>
  <c r="C97" i="1" s="1"/>
  <c r="C14" i="1"/>
  <c r="F116" i="1" l="1"/>
  <c r="G116" i="1"/>
  <c r="F92" i="1" l="1"/>
  <c r="F109" i="1" l="1"/>
  <c r="F110" i="1"/>
  <c r="F111" i="1"/>
  <c r="F108" i="1"/>
  <c r="G96" i="1" s="1"/>
  <c r="G95" i="1" l="1"/>
  <c r="G97" i="1" s="1"/>
  <c r="B124" i="1"/>
  <c r="F121" i="1" l="1"/>
  <c r="F119" i="1"/>
  <c r="F118" i="1"/>
  <c r="F120" i="1"/>
  <c r="G100" i="1" l="1"/>
  <c r="B12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118" i="1"/>
  <c r="G119" i="1" s="1"/>
  <c r="G120" i="1" s="1"/>
  <c r="G121" i="1" s="1"/>
  <c r="A119" i="1"/>
  <c r="A120" i="1" s="1"/>
  <c r="A121" i="1" s="1"/>
  <c r="A109" i="1"/>
  <c r="A110" i="1" s="1"/>
  <c r="A111" i="1" s="1"/>
  <c r="G108" i="1"/>
  <c r="G109" i="1" s="1"/>
  <c r="G110" i="1" s="1"/>
  <c r="G111" i="1" s="1"/>
  <c r="J77" i="1"/>
  <c r="J76" i="1"/>
  <c r="J75" i="1"/>
  <c r="J74" i="1"/>
  <c r="C66" i="1"/>
  <c r="D55" i="1"/>
  <c r="G49" i="1"/>
  <c r="C49" i="1"/>
  <c r="E42" i="1"/>
  <c r="E43" i="1" s="1"/>
  <c r="E26" i="1"/>
  <c r="E24" i="1"/>
  <c r="E7" i="1"/>
  <c r="E3" i="1"/>
  <c r="H67" i="1"/>
  <c r="D60" i="1" l="1"/>
  <c r="D79" i="1"/>
  <c r="D77" i="1"/>
  <c r="D76" i="1"/>
  <c r="D75" i="1"/>
  <c r="D73" i="1"/>
  <c r="C72" i="1"/>
  <c r="J66" i="1" s="1"/>
  <c r="D78" i="1"/>
  <c r="D74" i="1"/>
  <c r="J70" i="1"/>
  <c r="J71" i="1"/>
  <c r="C70" i="1" s="1"/>
  <c r="J69" i="1"/>
  <c r="J72" i="1"/>
  <c r="J73" i="1" s="1"/>
  <c r="J78" i="1" s="1"/>
  <c r="J79" i="1" s="1"/>
  <c r="C71" i="1" s="1"/>
  <c r="D72" i="1" l="1"/>
  <c r="J68" i="1"/>
  <c r="E70" i="1"/>
  <c r="D71" i="1"/>
  <c r="G70" i="1"/>
  <c r="D64" i="1" s="1"/>
  <c r="D70" i="1"/>
  <c r="J67" i="1" s="1"/>
  <c r="I67" i="1" l="1"/>
  <c r="F65" i="1"/>
  <c r="D65" i="1"/>
  <c r="I68" i="1" l="1"/>
  <c r="I66" i="1" s="1"/>
  <c r="C68" i="1" s="1"/>
</calcChain>
</file>

<file path=xl/sharedStrings.xml><?xml version="1.0" encoding="utf-8"?>
<sst xmlns="http://schemas.openxmlformats.org/spreadsheetml/2006/main" count="272" uniqueCount="223">
  <si>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</si>
  <si>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</si>
  <si>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</si>
  <si>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</si>
  <si>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</si>
  <si>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</si>
  <si>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</si>
  <si>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</si>
  <si>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</si>
  <si>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</si>
  <si>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</si>
  <si>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</si>
  <si>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</si>
  <si>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</si>
  <si>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</si>
  <si>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</si>
  <si>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</si>
  <si>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</si>
  <si>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</si>
  <si>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</si>
  <si>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</si>
  <si>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</si>
  <si>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</si>
  <si>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</si>
  <si>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</si>
  <si>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</si>
  <si>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</si>
  <si>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</si>
  <si>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</si>
  <si>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</si>
  <si>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</si>
  <si>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</si>
  <si>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</si>
  <si>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</si>
  <si>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</si>
  <si>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</si>
  <si>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</si>
  <si>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</si>
  <si>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</si>
  <si>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</si>
  <si>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</si>
  <si>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</si>
  <si>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</si>
  <si>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</si>
  <si>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</si>
  <si>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</si>
  <si>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</si>
  <si>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</si>
  <si>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</si>
  <si>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</si>
  <si>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</si>
  <si>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</si>
  <si>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</si>
  <si>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</si>
  <si>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</si>
  <si>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</si>
  <si>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</si>
  <si>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</si>
  <si>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</si>
  <si>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</si>
  <si>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</si>
  <si>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</si>
  <si>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</si>
  <si>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</si>
  <si>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</si>
  <si>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</si>
  <si>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</si>
  <si>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</si>
  <si>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</si>
  <si>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</si>
  <si>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</si>
  <si>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</si>
  <si>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</si>
  <si>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</si>
  <si>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</si>
  <si>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</si>
  <si>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</si>
  <si>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</si>
  <si>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</si>
  <si>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</si>
  <si>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</si>
  <si>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</si>
  <si>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</si>
  <si>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</si>
  <si>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</si>
  <si>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</si>
  <si>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</si>
  <si>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</si>
  <si>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</si>
  <si>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</si>
  <si>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</si>
  <si>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</si>
  <si>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</si>
  <si>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</si>
  <si>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</si>
  <si>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</si>
  <si>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</si>
  <si>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</si>
  <si>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</si>
  <si>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</si>
  <si>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</si>
  <si>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</si>
  <si>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</si>
  <si>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</si>
  <si>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</si>
  <si>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</si>
  <si>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</si>
  <si>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</si>
  <si>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</si>
  <si>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</si>
  <si>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</si>
  <si>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</si>
  <si>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</si>
  <si>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</si>
  <si>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</si>
  <si>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</si>
  <si>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</si>
  <si>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</si>
  <si>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</si>
  <si>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</si>
  <si>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</si>
  <si>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</si>
  <si>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</si>
  <si>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</si>
  <si>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</si>
  <si>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</si>
  <si>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</si>
  <si>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</si>
  <si>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</si>
  <si>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</si>
  <si>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</si>
  <si>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</si>
  <si>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</si>
  <si>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</si>
  <si>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</si>
  <si>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</si>
  <si>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</si>
  <si>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</si>
  <si>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</si>
  <si>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</si>
  <si>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</si>
  <si>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</si>
  <si>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</si>
  <si>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</si>
  <si>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</si>
  <si>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</si>
  <si>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</si>
  <si>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</si>
  <si>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</si>
  <si>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</si>
  <si>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</si>
  <si>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</si>
  <si>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</si>
  <si>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</si>
  <si>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</si>
  <si>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</si>
  <si>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</si>
  <si>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</si>
  <si>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</si>
  <si>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</si>
  <si>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</si>
  <si>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</si>
  <si>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</si>
  <si>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</si>
  <si>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</si>
  <si>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</si>
  <si>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</si>
  <si>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</si>
  <si>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</si>
  <si>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</si>
  <si>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</si>
  <si>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</si>
  <si>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Thane</t>
  </si>
  <si>
    <t>Prestige Reality</t>
  </si>
  <si>
    <t>Naaz Plaza</t>
  </si>
  <si>
    <t>Site Person Contact Details ( Name &amp; Contact No.)</t>
  </si>
  <si>
    <t>1 Building</t>
  </si>
  <si>
    <t>Approved Plans, CC, Sale Plans</t>
  </si>
  <si>
    <t>P52000046744</t>
  </si>
  <si>
    <t>Survey No</t>
  </si>
  <si>
    <t>Mamdapur</t>
  </si>
  <si>
    <t>Raigad</t>
  </si>
  <si>
    <t>Karjat</t>
  </si>
  <si>
    <t>https://goo.gl/maps/4prm6NnpYWQxuqjh7</t>
  </si>
  <si>
    <t>Sadaf Residency</t>
  </si>
  <si>
    <t>1.6KM from Neral Railway Station</t>
  </si>
  <si>
    <t>G + 1st to 5th Floor</t>
  </si>
  <si>
    <t>Internal road</t>
  </si>
  <si>
    <t>Sadaf residency</t>
  </si>
  <si>
    <t>Raigad Zilha Parishad, Alibag</t>
  </si>
  <si>
    <t>In approved floor plans (G + 4th floor) and sale plans (G + 5th floor). 
As per the site visit dated (16/09/2022), we have observed that the construction work is done (G + 5th Floor).
The construction work neither match with the approved plan nor with the sale plan.</t>
  </si>
  <si>
    <t>Reference to Remark No.6 :</t>
  </si>
  <si>
    <t>Approved Floor Plan</t>
  </si>
  <si>
    <t>Sale Plan</t>
  </si>
  <si>
    <t>Bopele</t>
  </si>
  <si>
    <t>148, Plot No. 5</t>
  </si>
  <si>
    <t>Neral</t>
  </si>
  <si>
    <t xml:space="preserve">Uc Building </t>
  </si>
  <si>
    <t>Open Plot/Amar jyoth buiding</t>
  </si>
  <si>
    <t>Internal Road/Uc Building</t>
  </si>
  <si>
    <t>SSNR-RA/BP/Mauje.Mamdapur/ T.Karjat/S.No.148/P.No. 5/2253</t>
  </si>
  <si>
    <t>RJP/BP/NSVP/17/2023</t>
  </si>
  <si>
    <t>Shop</t>
  </si>
  <si>
    <t>Office</t>
  </si>
  <si>
    <t>Ground Floor For Residential , Lobby, U.G Tank &amp; Parking</t>
  </si>
  <si>
    <t>Ground Floor For Commercial, Lobby, U.G Tank, Residential &amp; Parking</t>
  </si>
  <si>
    <t>1BHK</t>
  </si>
  <si>
    <t>1st to 5th Floor For Residential</t>
  </si>
  <si>
    <t>1RK</t>
  </si>
  <si>
    <t>Flats</t>
  </si>
  <si>
    <t>We considered Gross carpet area = Net carpet + Enclose balcony.</t>
  </si>
  <si>
    <t>Please provide a revised approved CC.</t>
  </si>
  <si>
    <t xml:space="preserve">Layout : 
</t>
  </si>
  <si>
    <t>Gr + 1st to 5th Floor</t>
  </si>
  <si>
    <t>Flats - 29, Shop - 03, Office - 01</t>
  </si>
  <si>
    <t>3500 to 4000</t>
  </si>
  <si>
    <t>Sanket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</si>
  <si>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</si>
  <si>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Mr.Shakib Palte 9326236919</t>
  </si>
  <si>
    <t>Naynesh Lovanshi</t>
  </si>
  <si>
    <t>Shruti Tathare</t>
  </si>
  <si>
    <t>Some flats are occupied by tenants but Construction work was stopped at the time of visit. Work is same as last visit (15/03/2024).</t>
  </si>
  <si>
    <t>As per RERA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</si>
</sst>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hidden="1"/>
    </xf>
    <xf numFmtId="0" fontId="18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4" fillId="0" borderId="0" xfId="1" applyFont="1" applyFill="1"/>
    <xf numFmtId="0" fontId="7" fillId="0" borderId="7" xfId="1" applyFont="1" applyFill="1" applyBorder="1"/>
    <xf numFmtId="0" fontId="18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25" fillId="2" borderId="22" xfId="0" applyFont="1" applyFill="1" applyBorder="1"/>
    <xf numFmtId="0" fontId="26" fillId="0" borderId="23" xfId="0" applyFont="1" applyFill="1" applyBorder="1"/>
    <xf numFmtId="0" fontId="26" fillId="0" borderId="1" xfId="0" applyFont="1" applyFill="1" applyBorder="1"/>
    <xf numFmtId="0" fontId="26" fillId="0" borderId="4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69" fontId="7" fillId="0" borderId="0" xfId="1" applyNumberFormat="1" applyFont="1" applyFill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26" fillId="0" borderId="6" xfId="0" applyFont="1" applyFill="1" applyBorder="1"/>
    <xf numFmtId="0" fontId="28" fillId="0" borderId="0" xfId="1" applyFont="1" applyFill="1" applyAlignment="1" applyProtection="1">
      <alignment horizontal="center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14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4" fontId="8" fillId="0" borderId="5" xfId="1" applyNumberFormat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5" xfId="0" applyNumberFormat="1" applyFont="1" applyFill="1" applyBorder="1" applyAlignment="1" applyProtection="1">
      <alignment vertical="top" wrapText="1"/>
      <protection locked="0"/>
    </xf>
    <xf numFmtId="1" fontId="17" fillId="0" borderId="18" xfId="0" applyNumberFormat="1" applyFont="1" applyFill="1" applyBorder="1" applyAlignment="1" applyProtection="1">
      <alignment vertical="top" wrapText="1"/>
      <protection locked="0"/>
    </xf>
    <xf numFmtId="1" fontId="17" fillId="0" borderId="6" xfId="0" applyNumberFormat="1" applyFont="1" applyFill="1" applyBorder="1" applyAlignment="1" applyProtection="1">
      <alignment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7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232</xdr:row>
      <xdr:rowOff>19050</xdr:rowOff>
    </xdr:from>
    <xdr:to>
      <xdr:col>6</xdr:col>
      <xdr:colOff>404886</xdr:colOff>
      <xdr:row>246</xdr:row>
      <xdr:rowOff>98700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1" y="47244000"/>
          <a:ext cx="4348235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68430</xdr:colOff>
      <xdr:row>298</xdr:row>
      <xdr:rowOff>16207</xdr:rowOff>
    </xdr:from>
    <xdr:to>
      <xdr:col>7</xdr:col>
      <xdr:colOff>466921</xdr:colOff>
      <xdr:row>312</xdr:row>
      <xdr:rowOff>62573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68880" y="45107557"/>
          <a:ext cx="2913091" cy="28467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137443</xdr:colOff>
      <xdr:row>277</xdr:row>
      <xdr:rowOff>19050</xdr:rowOff>
    </xdr:from>
    <xdr:to>
      <xdr:col>7</xdr:col>
      <xdr:colOff>535933</xdr:colOff>
      <xdr:row>293</xdr:row>
      <xdr:rowOff>139575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37893" y="40795575"/>
          <a:ext cx="2913090" cy="33209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436500</xdr:colOff>
      <xdr:row>298</xdr:row>
      <xdr:rowOff>16207</xdr:rowOff>
    </xdr:from>
    <xdr:to>
      <xdr:col>3</xdr:col>
      <xdr:colOff>849483</xdr:colOff>
      <xdr:row>312</xdr:row>
      <xdr:rowOff>62573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6500" y="45107557"/>
          <a:ext cx="3003783" cy="28467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381000</xdr:colOff>
      <xdr:row>277</xdr:row>
      <xdr:rowOff>19051</xdr:rowOff>
    </xdr:from>
    <xdr:to>
      <xdr:col>3</xdr:col>
      <xdr:colOff>849483</xdr:colOff>
      <xdr:row>293</xdr:row>
      <xdr:rowOff>139575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40795576"/>
          <a:ext cx="3059283" cy="33209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400050</xdr:colOff>
      <xdr:row>190</xdr:row>
      <xdr:rowOff>19050</xdr:rowOff>
    </xdr:from>
    <xdr:to>
      <xdr:col>7</xdr:col>
      <xdr:colOff>429000</xdr:colOff>
      <xdr:row>211</xdr:row>
      <xdr:rowOff>148048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8852475"/>
          <a:ext cx="614400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733425</xdr:colOff>
      <xdr:row>247</xdr:row>
      <xdr:rowOff>0</xdr:rowOff>
    </xdr:from>
    <xdr:to>
      <xdr:col>7</xdr:col>
      <xdr:colOff>35764</xdr:colOff>
      <xdr:row>266</xdr:row>
      <xdr:rowOff>81414</xdr:rowOff>
    </xdr:to>
    <xdr:pic>
      <xdr:nvPicPr>
        <xdr:cNvPr id="21" name="Picture 20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3425" y="50225325"/>
          <a:ext cx="5417389" cy="38818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209550</xdr:colOff>
      <xdr:row>255</xdr:row>
      <xdr:rowOff>38099</xdr:rowOff>
    </xdr:from>
    <xdr:to>
      <xdr:col>5</xdr:col>
      <xdr:colOff>85725</xdr:colOff>
      <xdr:row>258</xdr:row>
      <xdr:rowOff>190499</xdr:rowOff>
    </xdr:to>
    <xdr:sp macro="" textlink="">
      <xdr:nvSpPr>
        <xdr:cNvPr id="2" name="Freeform 1"/>
        <xdr:cNvSpPr/>
      </xdr:nvSpPr>
      <xdr:spPr>
        <a:xfrm>
          <a:off x="3810000" y="51863624"/>
          <a:ext cx="714375" cy="752475"/>
        </a:xfrm>
        <a:custGeom>
          <a:avLst/>
          <a:gdLst>
            <a:gd name="connsiteX0" fmla="*/ 0 w 600075"/>
            <a:gd name="connsiteY0" fmla="*/ 152400 h 723900"/>
            <a:gd name="connsiteX1" fmla="*/ 495300 w 600075"/>
            <a:gd name="connsiteY1" fmla="*/ 0 h 723900"/>
            <a:gd name="connsiteX2" fmla="*/ 600075 w 600075"/>
            <a:gd name="connsiteY2" fmla="*/ 457200 h 723900"/>
            <a:gd name="connsiteX3" fmla="*/ 314325 w 600075"/>
            <a:gd name="connsiteY3" fmla="*/ 581025 h 723900"/>
            <a:gd name="connsiteX4" fmla="*/ 304800 w 600075"/>
            <a:gd name="connsiteY4" fmla="*/ 685800 h 723900"/>
            <a:gd name="connsiteX5" fmla="*/ 66675 w 600075"/>
            <a:gd name="connsiteY5" fmla="*/ 723900 h 723900"/>
            <a:gd name="connsiteX6" fmla="*/ 0 w 600075"/>
            <a:gd name="connsiteY6" fmla="*/ 152400 h 723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00075" h="723900">
              <a:moveTo>
                <a:pt x="0" y="152400"/>
              </a:moveTo>
              <a:lnTo>
                <a:pt x="495300" y="0"/>
              </a:lnTo>
              <a:lnTo>
                <a:pt x="600075" y="457200"/>
              </a:lnTo>
              <a:lnTo>
                <a:pt x="314325" y="581025"/>
              </a:lnTo>
              <a:lnTo>
                <a:pt x="304800" y="685800"/>
              </a:lnTo>
              <a:lnTo>
                <a:pt x="66675" y="723900"/>
              </a:lnTo>
              <a:lnTo>
                <a:pt x="0" y="152400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57150</xdr:colOff>
      <xdr:row>250</xdr:row>
      <xdr:rowOff>161925</xdr:rowOff>
    </xdr:from>
    <xdr:to>
      <xdr:col>6</xdr:col>
      <xdr:colOff>114300</xdr:colOff>
      <xdr:row>254</xdr:row>
      <xdr:rowOff>57150</xdr:rowOff>
    </xdr:to>
    <xdr:sp macro="" textlink="">
      <xdr:nvSpPr>
        <xdr:cNvPr id="3" name="Rectangle 2"/>
        <xdr:cNvSpPr/>
      </xdr:nvSpPr>
      <xdr:spPr>
        <a:xfrm>
          <a:off x="3657600" y="50987325"/>
          <a:ext cx="1733550" cy="695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>
              <a:solidFill>
                <a:srgbClr val="FFFF00"/>
              </a:solidFill>
            </a:rPr>
            <a:t>Naaz Plaza</a:t>
          </a:r>
        </a:p>
      </xdr:txBody>
    </xdr:sp>
    <xdr:clientData/>
  </xdr:twoCellAnchor>
  <xdr:twoCellAnchor>
    <xdr:from>
      <xdr:col>4</xdr:col>
      <xdr:colOff>514350</xdr:colOff>
      <xdr:row>251</xdr:row>
      <xdr:rowOff>171450</xdr:rowOff>
    </xdr:from>
    <xdr:to>
      <xdr:col>5</xdr:col>
      <xdr:colOff>0</xdr:colOff>
      <xdr:row>255</xdr:row>
      <xdr:rowOff>161925</xdr:rowOff>
    </xdr:to>
    <xdr:cxnSp macro="">
      <xdr:nvCxnSpPr>
        <xdr:cNvPr id="5" name="Straight Arrow Connector 4"/>
        <xdr:cNvCxnSpPr/>
      </xdr:nvCxnSpPr>
      <xdr:spPr>
        <a:xfrm flipH="1">
          <a:off x="4114800" y="51196875"/>
          <a:ext cx="323850" cy="7905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153546</xdr:colOff>
      <xdr:row>145</xdr:row>
      <xdr:rowOff>190500</xdr:rowOff>
    </xdr:from>
    <xdr:to>
      <xdr:col>7</xdr:col>
      <xdr:colOff>607516</xdr:colOff>
      <xdr:row>179</xdr:row>
      <xdr:rowOff>0</xdr:rowOff>
    </xdr:to>
    <xdr:grpSp>
      <xdr:nvGrpSpPr>
        <xdr:cNvPr id="8" name="Group 7"/>
        <xdr:cNvGrpSpPr/>
      </xdr:nvGrpSpPr>
      <xdr:grpSpPr>
        <a:xfrm>
          <a:off x="153546" y="30108525"/>
          <a:ext cx="6149920" cy="6600825"/>
          <a:chOff x="115446" y="29794200"/>
          <a:chExt cx="6149920" cy="6600825"/>
        </a:xfrm>
      </xdr:grpSpPr>
      <xdr:grpSp>
        <xdr:nvGrpSpPr>
          <xdr:cNvPr id="4" name="Group 3"/>
          <xdr:cNvGrpSpPr/>
        </xdr:nvGrpSpPr>
        <xdr:grpSpPr>
          <a:xfrm>
            <a:off x="295275" y="29794200"/>
            <a:ext cx="5970091" cy="6600825"/>
            <a:chOff x="295275" y="29794200"/>
            <a:chExt cx="5970091" cy="6600825"/>
          </a:xfrm>
        </xdr:grpSpPr>
        <xdr:pic>
          <xdr:nvPicPr>
            <xdr:cNvPr id="25" name="Picture 24" descr="https://vsjcllp.vsjadon.com/upload/insp-247625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67199" y="33728025"/>
              <a:ext cx="1998167" cy="2667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7625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275" y="29794200"/>
              <a:ext cx="2883070" cy="38481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47625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95650" y="29794200"/>
              <a:ext cx="2883070" cy="38481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47625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19325" y="33737549"/>
              <a:ext cx="1973790" cy="263446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9" name="Picture 38" descr="https://vsjcllp.vsjadon.com/upload/insp-24762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5446" y="33728025"/>
            <a:ext cx="1998167" cy="2667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prm6NnpYWQxuqjh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7"/>
  <sheetViews>
    <sheetView tabSelected="1" view="pageBreakPreview" zoomScaleNormal="100" zoomScaleSheetLayoutView="100" zoomScalePageLayoutView="55" workbookViewId="0">
      <selection activeCell="K11" sqref="K11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1.285156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34" t="s">
        <v>217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8" x14ac:dyDescent="0.25">
      <c r="A3" s="96" t="s">
        <v>1</v>
      </c>
      <c r="B3" s="96"/>
      <c r="C3" s="96"/>
      <c r="D3" s="96"/>
      <c r="E3" s="96" t="str">
        <f ca="1">TEXT(TODAY(),"DD/MM/YYYY")</f>
        <v>13/09/2025</v>
      </c>
      <c r="F3" s="96"/>
      <c r="G3" s="96"/>
      <c r="H3" s="96"/>
    </row>
    <row r="4" spans="1:8" ht="15" customHeight="1" x14ac:dyDescent="0.25">
      <c r="A4" s="96" t="s">
        <v>2</v>
      </c>
      <c r="B4" s="96"/>
      <c r="C4" s="96"/>
      <c r="D4" s="96"/>
      <c r="E4" s="96" t="s">
        <v>172</v>
      </c>
      <c r="F4" s="96"/>
      <c r="G4" s="96"/>
      <c r="H4" s="96"/>
    </row>
    <row r="5" spans="1:8" x14ac:dyDescent="0.25">
      <c r="A5" s="96" t="s">
        <v>3</v>
      </c>
      <c r="B5" s="96"/>
      <c r="C5" s="96"/>
      <c r="D5" s="96"/>
      <c r="E5" s="136">
        <v>45912</v>
      </c>
      <c r="F5" s="137"/>
      <c r="G5" s="137"/>
      <c r="H5" s="137"/>
    </row>
    <row r="6" spans="1:8" ht="16.5" customHeight="1" x14ac:dyDescent="0.25">
      <c r="A6" s="96" t="s">
        <v>4</v>
      </c>
      <c r="B6" s="96"/>
      <c r="C6" s="96"/>
      <c r="D6" s="96"/>
      <c r="E6" s="96" t="s">
        <v>173</v>
      </c>
      <c r="F6" s="96"/>
      <c r="G6" s="96"/>
      <c r="H6" s="96"/>
    </row>
    <row r="7" spans="1:8" ht="15" customHeight="1" x14ac:dyDescent="0.25">
      <c r="A7" s="96" t="s">
        <v>5</v>
      </c>
      <c r="B7" s="96"/>
      <c r="C7" s="96"/>
      <c r="D7" s="96"/>
      <c r="E7" s="96" t="str">
        <f>E6</f>
        <v>Prestige Reality</v>
      </c>
      <c r="F7" s="96"/>
      <c r="G7" s="96"/>
      <c r="H7" s="96"/>
    </row>
    <row r="8" spans="1:8" x14ac:dyDescent="0.25">
      <c r="A8" s="96" t="s">
        <v>6</v>
      </c>
      <c r="B8" s="96"/>
      <c r="C8" s="96"/>
      <c r="D8" s="96"/>
      <c r="E8" s="135" t="s">
        <v>174</v>
      </c>
      <c r="F8" s="135"/>
      <c r="G8" s="135"/>
      <c r="H8" s="135"/>
    </row>
    <row r="9" spans="1:8" x14ac:dyDescent="0.25">
      <c r="A9" s="96" t="s">
        <v>125</v>
      </c>
      <c r="B9" s="96"/>
      <c r="C9" s="96"/>
      <c r="D9" s="96"/>
      <c r="E9" s="96" t="s">
        <v>218</v>
      </c>
      <c r="F9" s="96"/>
      <c r="G9" s="96"/>
      <c r="H9" s="96"/>
    </row>
    <row r="10" spans="1:8" x14ac:dyDescent="0.25">
      <c r="A10" s="96" t="s">
        <v>175</v>
      </c>
      <c r="B10" s="96"/>
      <c r="C10" s="96"/>
      <c r="D10" s="96"/>
      <c r="E10" s="96" t="s">
        <v>30</v>
      </c>
      <c r="F10" s="96"/>
      <c r="G10" s="96"/>
      <c r="H10" s="96"/>
    </row>
    <row r="11" spans="1:8" x14ac:dyDescent="0.25">
      <c r="A11" s="96" t="s">
        <v>7</v>
      </c>
      <c r="B11" s="96"/>
      <c r="C11" s="96"/>
      <c r="D11" s="96"/>
      <c r="E11" s="96" t="s">
        <v>176</v>
      </c>
      <c r="F11" s="96"/>
      <c r="G11" s="96"/>
      <c r="H11" s="96"/>
    </row>
    <row r="12" spans="1:8" x14ac:dyDescent="0.25">
      <c r="A12" s="67" t="s">
        <v>8</v>
      </c>
      <c r="B12" s="67"/>
      <c r="C12" s="67"/>
      <c r="D12" s="67"/>
      <c r="E12" s="138" t="s">
        <v>177</v>
      </c>
      <c r="F12" s="138"/>
      <c r="G12" s="138"/>
      <c r="H12" s="138"/>
    </row>
    <row r="13" spans="1:8" x14ac:dyDescent="0.25">
      <c r="A13" s="67" t="s">
        <v>9</v>
      </c>
      <c r="B13" s="67"/>
      <c r="C13" s="67"/>
      <c r="D13" s="67"/>
      <c r="E13" s="138" t="s">
        <v>178</v>
      </c>
      <c r="F13" s="96"/>
      <c r="G13" s="96"/>
      <c r="H13" s="96"/>
    </row>
    <row r="14" spans="1:8" ht="32.25" customHeight="1" x14ac:dyDescent="0.25">
      <c r="A14" s="111" t="s">
        <v>10</v>
      </c>
      <c r="B14" s="111"/>
      <c r="C14" s="11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Naaz Plaza, Survey No.148, Plot No. 5, near Sadaf Residency, Internal road, Mamdapur, Bopele, Neral, Karjat, Raigad - 410101.</v>
      </c>
      <c r="D14" s="111"/>
      <c r="E14" s="111"/>
      <c r="F14" s="111"/>
      <c r="G14" s="111"/>
      <c r="H14" s="111"/>
    </row>
    <row r="15" spans="1:8" x14ac:dyDescent="0.25">
      <c r="A15" s="138" t="s">
        <v>179</v>
      </c>
      <c r="B15" s="138"/>
      <c r="C15" s="138" t="s">
        <v>195</v>
      </c>
      <c r="D15" s="138"/>
      <c r="E15" s="138"/>
      <c r="F15" s="138"/>
      <c r="G15" s="138"/>
      <c r="H15" s="138"/>
    </row>
    <row r="16" spans="1:8" ht="15.75" customHeight="1" x14ac:dyDescent="0.25">
      <c r="A16" s="167" t="s">
        <v>169</v>
      </c>
      <c r="B16" s="168"/>
      <c r="C16" s="167" t="s">
        <v>180</v>
      </c>
      <c r="D16" s="169"/>
      <c r="E16" s="169"/>
      <c r="F16" s="169"/>
      <c r="G16" s="169"/>
      <c r="H16" s="168"/>
    </row>
    <row r="17" spans="1:8" ht="15.75" customHeight="1" x14ac:dyDescent="0.25">
      <c r="A17" s="111" t="s">
        <v>11</v>
      </c>
      <c r="B17" s="111"/>
      <c r="C17" s="96" t="s">
        <v>187</v>
      </c>
      <c r="D17" s="96"/>
      <c r="E17" s="111" t="s">
        <v>170</v>
      </c>
      <c r="F17" s="111"/>
      <c r="G17" s="138" t="s">
        <v>194</v>
      </c>
      <c r="H17" s="138"/>
    </row>
    <row r="18" spans="1:8" x14ac:dyDescent="0.25">
      <c r="A18" s="67" t="s">
        <v>13</v>
      </c>
      <c r="B18" s="67"/>
      <c r="C18" s="138" t="s">
        <v>196</v>
      </c>
      <c r="D18" s="138"/>
      <c r="E18" s="111" t="s">
        <v>12</v>
      </c>
      <c r="F18" s="111"/>
      <c r="G18" s="139" t="s">
        <v>181</v>
      </c>
      <c r="H18" s="139"/>
    </row>
    <row r="19" spans="1:8" x14ac:dyDescent="0.25">
      <c r="A19" s="67" t="s">
        <v>75</v>
      </c>
      <c r="B19" s="67"/>
      <c r="C19" s="138" t="s">
        <v>182</v>
      </c>
      <c r="D19" s="138"/>
      <c r="E19" s="111" t="s">
        <v>14</v>
      </c>
      <c r="F19" s="111"/>
      <c r="G19" s="138">
        <v>410101</v>
      </c>
      <c r="H19" s="138"/>
    </row>
    <row r="20" spans="1:8" ht="32.25" customHeight="1" x14ac:dyDescent="0.25">
      <c r="A20" s="67" t="s">
        <v>126</v>
      </c>
      <c r="B20" s="67"/>
      <c r="C20" s="138" t="s">
        <v>184</v>
      </c>
      <c r="D20" s="138"/>
      <c r="E20" s="111" t="s">
        <v>15</v>
      </c>
      <c r="F20" s="111"/>
      <c r="G20" s="138" t="s">
        <v>185</v>
      </c>
      <c r="H20" s="138"/>
    </row>
    <row r="21" spans="1:8" ht="15" customHeight="1" x14ac:dyDescent="0.25">
      <c r="A21" s="111" t="s">
        <v>78</v>
      </c>
      <c r="B21" s="111"/>
      <c r="C21" s="111"/>
      <c r="D21" s="111"/>
      <c r="E21" s="96" t="s">
        <v>16</v>
      </c>
      <c r="F21" s="96"/>
      <c r="G21" s="96"/>
      <c r="H21" s="96"/>
    </row>
    <row r="22" spans="1:8" ht="18.75" customHeight="1" x14ac:dyDescent="0.25">
      <c r="A22" s="111"/>
      <c r="B22" s="111"/>
      <c r="C22" s="111"/>
      <c r="D22" s="111"/>
      <c r="E22" s="96"/>
      <c r="F22" s="96"/>
      <c r="G22" s="96"/>
      <c r="H22" s="96"/>
    </row>
    <row r="23" spans="1:8" ht="15" customHeight="1" x14ac:dyDescent="0.25">
      <c r="A23" s="111" t="s">
        <v>17</v>
      </c>
      <c r="B23" s="111"/>
      <c r="C23" s="111"/>
      <c r="D23" s="111"/>
      <c r="E23" s="138" t="s">
        <v>18</v>
      </c>
      <c r="F23" s="138"/>
      <c r="G23" s="138"/>
      <c r="H23" s="138"/>
    </row>
    <row r="24" spans="1:8" ht="15" customHeight="1" x14ac:dyDescent="0.25">
      <c r="A24" s="67" t="s">
        <v>19</v>
      </c>
      <c r="B24" s="67"/>
      <c r="C24" s="67"/>
      <c r="D24" s="67"/>
      <c r="E24" s="138" t="str">
        <f>IF(AND(G18="Mumbai"),"Upper Class","Middle Class")</f>
        <v>Middle Class</v>
      </c>
      <c r="F24" s="138"/>
      <c r="G24" s="138"/>
      <c r="H24" s="138"/>
    </row>
    <row r="25" spans="1:8" x14ac:dyDescent="0.25">
      <c r="A25" s="67" t="s">
        <v>20</v>
      </c>
      <c r="B25" s="67"/>
      <c r="C25" s="67"/>
      <c r="D25" s="67"/>
      <c r="E25" s="138" t="s">
        <v>21</v>
      </c>
      <c r="F25" s="138"/>
      <c r="G25" s="138"/>
      <c r="H25" s="138"/>
    </row>
    <row r="26" spans="1:8" ht="15.75" customHeight="1" x14ac:dyDescent="0.25">
      <c r="A26" s="67" t="s">
        <v>22</v>
      </c>
      <c r="B26" s="67"/>
      <c r="C26" s="67"/>
      <c r="D26" s="67"/>
      <c r="E26" s="138" t="str">
        <f>IF(AND(G18="Mumbai"),"Developed","Developing")</f>
        <v>Developing</v>
      </c>
      <c r="F26" s="138"/>
      <c r="G26" s="138"/>
      <c r="H26" s="138"/>
    </row>
    <row r="27" spans="1:8" x14ac:dyDescent="0.25">
      <c r="A27" s="67" t="s">
        <v>23</v>
      </c>
      <c r="B27" s="67"/>
      <c r="C27" s="67"/>
      <c r="D27" s="67"/>
      <c r="E27" s="138" t="s">
        <v>24</v>
      </c>
      <c r="F27" s="138"/>
      <c r="G27" s="138"/>
      <c r="H27" s="138"/>
    </row>
    <row r="28" spans="1:8" ht="15.75" customHeight="1" x14ac:dyDescent="0.25">
      <c r="A28" s="67" t="s">
        <v>83</v>
      </c>
      <c r="B28" s="67"/>
      <c r="C28" s="67"/>
      <c r="D28" s="67"/>
      <c r="E28" s="138" t="s">
        <v>84</v>
      </c>
      <c r="F28" s="138"/>
      <c r="G28" s="138"/>
      <c r="H28" s="138"/>
    </row>
    <row r="29" spans="1:8" ht="15" customHeight="1" x14ac:dyDescent="0.25">
      <c r="A29" s="67" t="s">
        <v>35</v>
      </c>
      <c r="B29" s="67"/>
      <c r="C29" s="67"/>
      <c r="D29" s="67"/>
      <c r="E29" s="138"/>
      <c r="F29" s="138"/>
      <c r="G29" s="138"/>
      <c r="H29" s="138"/>
    </row>
    <row r="30" spans="1:8" ht="15.75" customHeight="1" x14ac:dyDescent="0.25">
      <c r="A30" s="67" t="s">
        <v>95</v>
      </c>
      <c r="B30" s="67"/>
      <c r="C30" s="67"/>
      <c r="D30" s="67"/>
      <c r="E30" s="138" t="s">
        <v>36</v>
      </c>
      <c r="F30" s="138"/>
      <c r="G30" s="138"/>
      <c r="H30" s="138"/>
    </row>
    <row r="31" spans="1:8" s="23" customFormat="1" x14ac:dyDescent="0.25">
      <c r="A31" s="143" t="s">
        <v>96</v>
      </c>
      <c r="B31" s="143"/>
      <c r="C31" s="142" t="s">
        <v>29</v>
      </c>
      <c r="D31" s="142"/>
      <c r="E31" s="142"/>
      <c r="F31" s="142" t="s">
        <v>31</v>
      </c>
      <c r="G31" s="142"/>
      <c r="H31" s="142"/>
    </row>
    <row r="32" spans="1:8" s="23" customFormat="1" x14ac:dyDescent="0.25">
      <c r="A32" s="140" t="s">
        <v>25</v>
      </c>
      <c r="B32" s="140" t="s">
        <v>30</v>
      </c>
      <c r="C32" s="141" t="s">
        <v>30</v>
      </c>
      <c r="D32" s="141"/>
      <c r="E32" s="141"/>
      <c r="F32" s="141" t="s">
        <v>198</v>
      </c>
      <c r="G32" s="141"/>
      <c r="H32" s="141"/>
    </row>
    <row r="33" spans="1:10" x14ac:dyDescent="0.25">
      <c r="A33" s="140" t="s">
        <v>26</v>
      </c>
      <c r="B33" s="140" t="s">
        <v>30</v>
      </c>
      <c r="C33" s="141" t="s">
        <v>30</v>
      </c>
      <c r="D33" s="141"/>
      <c r="E33" s="141"/>
      <c r="F33" s="141" t="s">
        <v>199</v>
      </c>
      <c r="G33" s="141"/>
      <c r="H33" s="141"/>
    </row>
    <row r="34" spans="1:10" s="23" customFormat="1" x14ac:dyDescent="0.25">
      <c r="A34" s="140" t="s">
        <v>28</v>
      </c>
      <c r="B34" s="140" t="s">
        <v>30</v>
      </c>
      <c r="C34" s="141" t="s">
        <v>30</v>
      </c>
      <c r="D34" s="141"/>
      <c r="E34" s="141"/>
      <c r="F34" s="141" t="s">
        <v>197</v>
      </c>
      <c r="G34" s="141"/>
      <c r="H34" s="141"/>
    </row>
    <row r="35" spans="1:10" x14ac:dyDescent="0.25">
      <c r="A35" s="140" t="s">
        <v>27</v>
      </c>
      <c r="B35" s="140" t="s">
        <v>30</v>
      </c>
      <c r="C35" s="141" t="s">
        <v>30</v>
      </c>
      <c r="D35" s="141"/>
      <c r="E35" s="141"/>
      <c r="F35" s="141" t="s">
        <v>188</v>
      </c>
      <c r="G35" s="141"/>
      <c r="H35" s="141"/>
    </row>
    <row r="36" spans="1:10" x14ac:dyDescent="0.25">
      <c r="A36" s="67" t="s">
        <v>32</v>
      </c>
      <c r="B36" s="67"/>
      <c r="C36" s="67"/>
      <c r="D36" s="67"/>
      <c r="E36" s="67"/>
      <c r="F36" s="67"/>
      <c r="G36" s="67"/>
      <c r="H36" s="67"/>
    </row>
    <row r="37" spans="1:10" ht="15.75" customHeight="1" x14ac:dyDescent="0.25">
      <c r="A37" s="119" t="s">
        <v>33</v>
      </c>
      <c r="B37" s="119"/>
      <c r="C37" s="145">
        <v>19.033277999999999</v>
      </c>
      <c r="D37" s="145"/>
      <c r="E37" s="119" t="s">
        <v>34</v>
      </c>
      <c r="F37" s="119"/>
      <c r="G37" s="146">
        <v>73.308306000000002</v>
      </c>
      <c r="H37" s="146"/>
    </row>
    <row r="38" spans="1:10" x14ac:dyDescent="0.25">
      <c r="A38" s="119" t="s">
        <v>168</v>
      </c>
      <c r="B38" s="119"/>
      <c r="C38" s="170" t="s">
        <v>183</v>
      </c>
      <c r="D38" s="138"/>
      <c r="E38" s="138"/>
      <c r="F38" s="138"/>
      <c r="G38" s="138"/>
      <c r="H38" s="138"/>
    </row>
    <row r="39" spans="1:10" x14ac:dyDescent="0.25">
      <c r="A39" s="129" t="s">
        <v>37</v>
      </c>
      <c r="B39" s="129"/>
      <c r="C39" s="129"/>
      <c r="D39" s="129"/>
      <c r="E39" s="129"/>
      <c r="F39" s="129"/>
      <c r="G39" s="129"/>
      <c r="H39" s="129"/>
    </row>
    <row r="40" spans="1:10" x14ac:dyDescent="0.25">
      <c r="A40" s="67" t="s">
        <v>38</v>
      </c>
      <c r="B40" s="67"/>
      <c r="C40" s="67"/>
      <c r="D40" s="67"/>
      <c r="E40" s="144">
        <v>470</v>
      </c>
      <c r="F40" s="144"/>
      <c r="G40" s="144"/>
      <c r="H40" s="144"/>
    </row>
    <row r="41" spans="1:10" x14ac:dyDescent="0.25">
      <c r="A41" s="67" t="s">
        <v>39</v>
      </c>
      <c r="B41" s="67"/>
      <c r="C41" s="67"/>
      <c r="D41" s="67"/>
      <c r="E41" s="66">
        <v>1.1000000000000001</v>
      </c>
      <c r="F41" s="66"/>
      <c r="G41" s="66"/>
      <c r="H41" s="66"/>
      <c r="J41" s="53"/>
    </row>
    <row r="42" spans="1:10" x14ac:dyDescent="0.25">
      <c r="A42" s="67" t="s">
        <v>40</v>
      </c>
      <c r="B42" s="67"/>
      <c r="C42" s="67"/>
      <c r="D42" s="67"/>
      <c r="E42" s="66">
        <f>E44/E40-E41</f>
        <v>0.64785106382978719</v>
      </c>
      <c r="F42" s="66"/>
      <c r="G42" s="66"/>
      <c r="H42" s="66"/>
    </row>
    <row r="43" spans="1:10" x14ac:dyDescent="0.25">
      <c r="A43" s="67" t="s">
        <v>41</v>
      </c>
      <c r="B43" s="67"/>
      <c r="C43" s="67"/>
      <c r="D43" s="67"/>
      <c r="E43" s="66">
        <f>E41+E42</f>
        <v>1.7478510638297873</v>
      </c>
      <c r="F43" s="66"/>
      <c r="G43" s="66"/>
      <c r="H43" s="66"/>
    </row>
    <row r="44" spans="1:10" x14ac:dyDescent="0.25">
      <c r="A44" s="67" t="s">
        <v>94</v>
      </c>
      <c r="B44" s="67"/>
      <c r="C44" s="67"/>
      <c r="D44" s="67"/>
      <c r="E44" s="154">
        <v>821.49</v>
      </c>
      <c r="F44" s="154"/>
      <c r="G44" s="154"/>
      <c r="H44" s="154"/>
    </row>
    <row r="45" spans="1:10" x14ac:dyDescent="0.25">
      <c r="A45" s="96" t="s">
        <v>42</v>
      </c>
      <c r="B45" s="96"/>
      <c r="C45" s="96"/>
      <c r="D45" s="96"/>
      <c r="E45" s="96" t="s">
        <v>176</v>
      </c>
      <c r="F45" s="96"/>
      <c r="G45" s="96"/>
      <c r="H45" s="96"/>
    </row>
    <row r="46" spans="1:10" x14ac:dyDescent="0.25">
      <c r="A46" s="129" t="s">
        <v>43</v>
      </c>
      <c r="B46" s="129"/>
      <c r="C46" s="129"/>
      <c r="D46" s="129"/>
      <c r="E46" s="129"/>
      <c r="F46" s="129"/>
      <c r="G46" s="129"/>
      <c r="H46" s="129"/>
    </row>
    <row r="47" spans="1:10" ht="33.75" customHeight="1" x14ac:dyDescent="0.25">
      <c r="A47" s="83" t="s">
        <v>156</v>
      </c>
      <c r="B47" s="84"/>
      <c r="C47" s="171" t="s">
        <v>189</v>
      </c>
      <c r="D47" s="172"/>
      <c r="E47" s="172"/>
      <c r="F47" s="172"/>
      <c r="G47" s="172"/>
      <c r="H47" s="173"/>
    </row>
    <row r="48" spans="1:10" ht="30.75" customHeight="1" x14ac:dyDescent="0.25">
      <c r="A48" s="83" t="s">
        <v>44</v>
      </c>
      <c r="B48" s="84"/>
      <c r="C48" s="83" t="s">
        <v>200</v>
      </c>
      <c r="D48" s="85"/>
      <c r="E48" s="84"/>
      <c r="F48" s="20" t="s">
        <v>45</v>
      </c>
      <c r="G48" s="86">
        <v>44924</v>
      </c>
      <c r="H48" s="84"/>
    </row>
    <row r="49" spans="1:14" ht="30" customHeight="1" x14ac:dyDescent="0.25">
      <c r="A49" s="83" t="s">
        <v>46</v>
      </c>
      <c r="B49" s="84"/>
      <c r="C49" s="83" t="str">
        <f>C48</f>
        <v>SSNR-RA/BP/Mauje.Mamdapur/ T.Karjat/S.No.148/P.No. 5/2253</v>
      </c>
      <c r="D49" s="85"/>
      <c r="E49" s="84"/>
      <c r="F49" s="20" t="s">
        <v>45</v>
      </c>
      <c r="G49" s="86">
        <f>G48</f>
        <v>44924</v>
      </c>
      <c r="H49" s="87"/>
    </row>
    <row r="50" spans="1:14" s="24" customFormat="1" ht="15.75" customHeight="1" x14ac:dyDescent="0.25">
      <c r="A50" s="149" t="s">
        <v>160</v>
      </c>
      <c r="B50" s="150"/>
      <c r="C50" s="83" t="s">
        <v>201</v>
      </c>
      <c r="D50" s="85"/>
      <c r="E50" s="84"/>
      <c r="F50" s="20" t="s">
        <v>45</v>
      </c>
      <c r="G50" s="86">
        <v>44943</v>
      </c>
      <c r="H50" s="87"/>
    </row>
    <row r="51" spans="1:14" s="24" customFormat="1" x14ac:dyDescent="0.25">
      <c r="A51" s="151"/>
      <c r="B51" s="152"/>
      <c r="C51" s="83" t="s">
        <v>213</v>
      </c>
      <c r="D51" s="85"/>
      <c r="E51" s="85"/>
      <c r="F51" s="85"/>
      <c r="G51" s="85"/>
      <c r="H51" s="84"/>
    </row>
    <row r="52" spans="1:14" x14ac:dyDescent="0.25">
      <c r="A52" s="99" t="s">
        <v>171</v>
      </c>
      <c r="B52" s="100"/>
      <c r="C52" s="93" t="s">
        <v>30</v>
      </c>
      <c r="D52" s="94"/>
      <c r="E52" s="95"/>
      <c r="F52" s="50" t="s">
        <v>45</v>
      </c>
      <c r="G52" s="97" t="s">
        <v>30</v>
      </c>
      <c r="H52" s="98"/>
    </row>
    <row r="53" spans="1:14" hidden="1" x14ac:dyDescent="0.25">
      <c r="A53" s="101"/>
      <c r="B53" s="102"/>
      <c r="C53" s="93"/>
      <c r="D53" s="94"/>
      <c r="E53" s="94"/>
      <c r="F53" s="94"/>
      <c r="G53" s="94"/>
      <c r="H53" s="95"/>
    </row>
    <row r="54" spans="1:14" x14ac:dyDescent="0.25">
      <c r="A54" s="153" t="s">
        <v>48</v>
      </c>
      <c r="B54" s="153"/>
      <c r="C54" s="153"/>
      <c r="D54" s="153"/>
      <c r="E54" s="153"/>
      <c r="F54" s="153"/>
      <c r="G54" s="153"/>
      <c r="H54" s="153"/>
    </row>
    <row r="55" spans="1:14" x14ac:dyDescent="0.25">
      <c r="A55" s="111" t="s">
        <v>93</v>
      </c>
      <c r="B55" s="111"/>
      <c r="C55" s="111"/>
      <c r="D55" s="67">
        <f>E44</f>
        <v>821.49</v>
      </c>
      <c r="E55" s="67"/>
      <c r="F55" s="67"/>
      <c r="G55" s="67"/>
      <c r="H55" s="67"/>
    </row>
    <row r="56" spans="1:14" x14ac:dyDescent="0.25">
      <c r="A56" s="138" t="s">
        <v>49</v>
      </c>
      <c r="B56" s="96"/>
      <c r="C56" s="96"/>
      <c r="D56" s="96" t="s">
        <v>214</v>
      </c>
      <c r="E56" s="96"/>
      <c r="F56" s="96"/>
      <c r="G56" s="96"/>
      <c r="H56" s="96"/>
      <c r="I56" s="25"/>
    </row>
    <row r="57" spans="1:14" x14ac:dyDescent="0.25">
      <c r="A57" s="88" t="s">
        <v>50</v>
      </c>
      <c r="B57" s="89"/>
      <c r="C57" s="148"/>
      <c r="D57" s="113" t="s">
        <v>186</v>
      </c>
      <c r="E57" s="147"/>
      <c r="F57" s="147"/>
      <c r="G57" s="147"/>
      <c r="H57" s="147"/>
      <c r="I57" s="26"/>
    </row>
    <row r="58" spans="1:14" ht="15.75" customHeight="1" x14ac:dyDescent="0.25">
      <c r="A58" s="88" t="s">
        <v>91</v>
      </c>
      <c r="B58" s="89"/>
      <c r="C58" s="89"/>
      <c r="D58" s="90" t="s">
        <v>186</v>
      </c>
      <c r="E58" s="91"/>
      <c r="F58" s="91"/>
      <c r="G58" s="91"/>
      <c r="H58" s="92"/>
      <c r="I58" s="26"/>
    </row>
    <row r="59" spans="1:14" ht="15.75" customHeight="1" x14ac:dyDescent="0.25">
      <c r="A59" s="67" t="s">
        <v>47</v>
      </c>
      <c r="B59" s="67"/>
      <c r="C59" s="67"/>
      <c r="D59" s="174" t="s">
        <v>222</v>
      </c>
      <c r="E59" s="174"/>
      <c r="F59" s="174"/>
      <c r="G59" s="174"/>
      <c r="H59" s="174"/>
      <c r="J59" s="27"/>
      <c r="K59" s="25"/>
      <c r="N59" s="25"/>
    </row>
    <row r="60" spans="1:14" ht="15.75" customHeight="1" x14ac:dyDescent="0.25">
      <c r="A60" s="67" t="s">
        <v>89</v>
      </c>
      <c r="B60" s="67"/>
      <c r="C60" s="67"/>
      <c r="D60" s="176" t="str">
        <f>(IF(G52="NA","60 Years After Completion",IF(G52&lt;&gt;"NA",""&amp;60-ROUNDDOWN((E3-G52)/360,0)&amp;" Years"," ")))</f>
        <v>60 Years After Completion</v>
      </c>
      <c r="E60" s="176"/>
      <c r="F60" s="176"/>
      <c r="G60" s="176"/>
      <c r="H60" s="176"/>
      <c r="N60" s="25"/>
    </row>
    <row r="61" spans="1:14" ht="15.75" customHeight="1" x14ac:dyDescent="0.25">
      <c r="A61" s="67" t="s">
        <v>90</v>
      </c>
      <c r="B61" s="67"/>
      <c r="C61" s="67"/>
      <c r="D61" s="111" t="s">
        <v>24</v>
      </c>
      <c r="E61" s="111"/>
      <c r="F61" s="111"/>
      <c r="G61" s="111"/>
      <c r="H61" s="111"/>
      <c r="J61" s="28"/>
      <c r="K61" s="28"/>
    </row>
    <row r="62" spans="1:14" ht="15" hidden="1" customHeight="1" x14ac:dyDescent="0.25">
      <c r="A62" s="67" t="s">
        <v>76</v>
      </c>
      <c r="B62" s="67"/>
      <c r="C62" s="67"/>
      <c r="D62" s="138" t="s">
        <v>152</v>
      </c>
      <c r="E62" s="111"/>
      <c r="F62" s="111"/>
      <c r="G62" s="111"/>
      <c r="H62" s="111"/>
    </row>
    <row r="63" spans="1:14" x14ac:dyDescent="0.25">
      <c r="A63" s="111" t="s">
        <v>153</v>
      </c>
      <c r="B63" s="111"/>
      <c r="C63" s="111"/>
      <c r="D63" s="111" t="s">
        <v>30</v>
      </c>
      <c r="E63" s="111"/>
      <c r="F63" s="111"/>
      <c r="G63" s="111"/>
      <c r="H63" s="111"/>
      <c r="I63" s="29"/>
      <c r="J63" s="29"/>
      <c r="K63" s="29"/>
      <c r="L63" s="29"/>
      <c r="M63" s="29"/>
      <c r="N63" s="29"/>
    </row>
    <row r="64" spans="1:14" ht="15.75" customHeight="1" x14ac:dyDescent="0.25">
      <c r="A64" s="112" t="s">
        <v>88</v>
      </c>
      <c r="B64" s="112"/>
      <c r="C64" s="112"/>
      <c r="D64" s="113" t="str">
        <f ca="1">(IF(G70&gt;95%,"Nothing",IF(G70&gt;0%,"Cement, Aggregate, Steel, etc",IF(G70=0%,"Work not yet Started"))))</f>
        <v>Cement, Aggregate, Steel, etc</v>
      </c>
      <c r="E64" s="113"/>
      <c r="F64" s="113"/>
      <c r="G64" s="113"/>
      <c r="H64" s="113"/>
      <c r="J64" s="28"/>
    </row>
    <row r="65" spans="1:10" ht="33.75" customHeight="1" thickBot="1" x14ac:dyDescent="0.3">
      <c r="A65" s="161" t="s">
        <v>120</v>
      </c>
      <c r="B65" s="161"/>
      <c r="C65" s="161"/>
      <c r="D65" s="113" t="str">
        <f ca="1">(IF(D64="Nothing","Yes",IF(D64="Cement, Aggregate, Steel, etc","Under Construction",IF(D64="Work not yet Started","Work not yet Started"))))</f>
        <v>Under Construction</v>
      </c>
      <c r="E65" s="113"/>
      <c r="F65" s="113" t="str">
        <f ca="1">(IF(D64="Nothing","Yes",IF(D64="Cement, Aggregate, Steel, etc","Under Construction",IF(D64="Work not yet Started","Work not yet Started"))))</f>
        <v>Under Construction</v>
      </c>
      <c r="G65" s="113"/>
      <c r="H65" s="113"/>
    </row>
    <row r="66" spans="1:10" ht="15.75" customHeight="1" x14ac:dyDescent="0.25">
      <c r="A66" s="155" t="s">
        <v>144</v>
      </c>
      <c r="B66" s="156"/>
      <c r="C66" s="157" t="str">
        <f>D58</f>
        <v>G + 1st to 5th Floor</v>
      </c>
      <c r="D66" s="158"/>
      <c r="E66" s="158"/>
      <c r="F66" s="158"/>
      <c r="G66" s="158"/>
      <c r="H66" s="159"/>
      <c r="I66" s="46" t="str">
        <f ca="1">IF(D79=100%,"All work Completed. Possession granted to the Building.",IF(D78=100%,"All work Completed, Waiting for OC",I67&amp;""&amp;I68&amp;""&amp;J67&amp;""&amp;J66&amp;" "&amp;J68))</f>
        <v xml:space="preserve">Excavation, Plinth, RCC Slab, Brickwork, Internal Plaster, External Plaster, Flooring, Painting Completed 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18" t="s">
        <v>146</v>
      </c>
      <c r="B67" s="52">
        <v>0</v>
      </c>
      <c r="C67" s="52" t="s">
        <v>74</v>
      </c>
      <c r="D67" s="52">
        <v>1</v>
      </c>
      <c r="E67" s="52" t="s">
        <v>73</v>
      </c>
      <c r="F67" s="52">
        <v>0</v>
      </c>
      <c r="G67" s="52" t="s">
        <v>82</v>
      </c>
      <c r="H67" s="19">
        <f ca="1">--TRIM(RIGHT(SUBSTITUTE(LEFT(C66,_xlfn.AGGREGATE(16,6,FIND({0,1,2,3,4,5,6,7,8,9},C66,ROW(INDIRECT("1:"&amp;LEN(C66)))),1))," ",REPT(" ",LEN(C66))),LEN(C66)))</f>
        <v>5</v>
      </c>
      <c r="I67" s="4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4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25">
      <c r="A68" s="135" t="s">
        <v>92</v>
      </c>
      <c r="B68" s="135"/>
      <c r="C68" s="160" t="str">
        <f ca="1">(IF($C$53=C66,"All work Completed. OC Received.",I66))</f>
        <v xml:space="preserve">Excavation, Plinth, RCC Slab, Brickwork, Internal Plaster, External Plaster, Flooring, Painting Completed </v>
      </c>
      <c r="D68" s="160"/>
      <c r="E68" s="160"/>
      <c r="F68" s="160"/>
      <c r="G68" s="160"/>
      <c r="H68" s="160"/>
      <c r="I68" s="64" t="str">
        <f ca="1">IF(I67&lt;&gt;""," Completed","")</f>
        <v xml:space="preserve"> Completed</v>
      </c>
      <c r="J68" s="49" t="str">
        <f ca="1">IF(J66&lt;&gt;"","Completed","")</f>
        <v/>
      </c>
    </row>
    <row r="69" spans="1:10" ht="15.75" customHeight="1" x14ac:dyDescent="0.25">
      <c r="A69" s="114" t="s">
        <v>51</v>
      </c>
      <c r="B69" s="114"/>
      <c r="C69" s="63" t="s">
        <v>143</v>
      </c>
      <c r="D69" s="63" t="s">
        <v>85</v>
      </c>
      <c r="E69" s="114" t="s">
        <v>87</v>
      </c>
      <c r="F69" s="114"/>
      <c r="G69" s="114" t="s">
        <v>86</v>
      </c>
      <c r="H69" s="114"/>
      <c r="I69" s="16" t="s">
        <v>145</v>
      </c>
      <c r="J69" s="30">
        <f ca="1">H67*25%</f>
        <v>1.25</v>
      </c>
    </row>
    <row r="70" spans="1:10" x14ac:dyDescent="0.25">
      <c r="A70" s="79" t="s">
        <v>132</v>
      </c>
      <c r="B70" s="79"/>
      <c r="C70" s="62">
        <f ca="1">J71</f>
        <v>5</v>
      </c>
      <c r="D70" s="21">
        <f ca="1">((100/H67)*C70)/100</f>
        <v>1</v>
      </c>
      <c r="E70" s="175">
        <f ca="1">(((C71/H67*10)+(40/(D67+F67+H67)*C72)+(7.5/(H67)*C73)+(7.5/(H67)*C74)+(10/H67*C75)+(10/H67*C76)+(5/H67*C77)+(5/H67*C78)+(5/H67*C79))/100)</f>
        <v>0.9</v>
      </c>
      <c r="F70" s="175"/>
      <c r="G70" s="175">
        <f ca="1">((((C70/H67)*20)+((C71/H67)*25)+(30/(H67+F67+D67)*C72)+(5/H67*C73)+(5/H67*C74)+(5/H67*C75)+(5/H67*C76)+(0/H67*C77)+(0/H67*C78)+(5/H67*C79))/100)</f>
        <v>0.95</v>
      </c>
      <c r="H70" s="175"/>
      <c r="I70" s="16" t="s">
        <v>103</v>
      </c>
      <c r="J70" s="31">
        <f ca="1">H67*50%</f>
        <v>2.5</v>
      </c>
    </row>
    <row r="71" spans="1:10" x14ac:dyDescent="0.25">
      <c r="A71" s="79" t="s">
        <v>52</v>
      </c>
      <c r="B71" s="79"/>
      <c r="C71" s="62">
        <f ca="1">J79</f>
        <v>5</v>
      </c>
      <c r="D71" s="21">
        <f ca="1">((100/H67)*C71)/100</f>
        <v>1</v>
      </c>
      <c r="E71" s="175"/>
      <c r="F71" s="175"/>
      <c r="G71" s="175"/>
      <c r="H71" s="175"/>
      <c r="I71" s="16" t="s">
        <v>104</v>
      </c>
      <c r="J71" s="31">
        <f ca="1">H67</f>
        <v>5</v>
      </c>
    </row>
    <row r="72" spans="1:10" ht="15.75" customHeight="1" x14ac:dyDescent="0.25">
      <c r="A72" s="79" t="s">
        <v>133</v>
      </c>
      <c r="B72" s="79"/>
      <c r="C72" s="62">
        <f ca="1">D67+H67</f>
        <v>6</v>
      </c>
      <c r="D72" s="21">
        <f ca="1">((100/(D67+F67+H67))*C72)/100</f>
        <v>1</v>
      </c>
      <c r="E72" s="175"/>
      <c r="F72" s="175"/>
      <c r="G72" s="175"/>
      <c r="H72" s="175"/>
      <c r="I72" s="16" t="s">
        <v>105</v>
      </c>
      <c r="J72" s="32">
        <f ca="1">(IF(B67&gt;1,(H67/(B67+2)),H67/4))</f>
        <v>1.25</v>
      </c>
    </row>
    <row r="73" spans="1:10" ht="15.75" customHeight="1" x14ac:dyDescent="0.25">
      <c r="A73" s="79" t="s">
        <v>140</v>
      </c>
      <c r="B73" s="79" t="s">
        <v>134</v>
      </c>
      <c r="C73" s="62">
        <v>5</v>
      </c>
      <c r="D73" s="21">
        <f ca="1">((100/H67)*C73)/100</f>
        <v>1</v>
      </c>
      <c r="E73" s="175"/>
      <c r="F73" s="175"/>
      <c r="G73" s="175"/>
      <c r="H73" s="175"/>
      <c r="I73" s="16" t="s">
        <v>106</v>
      </c>
      <c r="J73" s="32">
        <f ca="1">(IF(B67&gt;1,(H67/(B67+2)+J72),H67/4+J72))</f>
        <v>2.5</v>
      </c>
    </row>
    <row r="74" spans="1:10" ht="15.75" customHeight="1" x14ac:dyDescent="0.25">
      <c r="A74" s="79" t="s">
        <v>141</v>
      </c>
      <c r="B74" s="79" t="s">
        <v>134</v>
      </c>
      <c r="C74" s="62">
        <v>5</v>
      </c>
      <c r="D74" s="21">
        <f ca="1">((100/H67)*C74)/100</f>
        <v>1</v>
      </c>
      <c r="E74" s="175"/>
      <c r="F74" s="175"/>
      <c r="G74" s="175"/>
      <c r="H74" s="175"/>
      <c r="I74" s="16" t="s">
        <v>150</v>
      </c>
      <c r="J74" s="32">
        <f>(IF(B67&gt;1,(H67/(B67+2)+J73),0))</f>
        <v>0</v>
      </c>
    </row>
    <row r="75" spans="1:10" ht="15" customHeight="1" x14ac:dyDescent="0.25">
      <c r="A75" s="79" t="s">
        <v>139</v>
      </c>
      <c r="B75" s="79" t="s">
        <v>136</v>
      </c>
      <c r="C75" s="62">
        <v>5</v>
      </c>
      <c r="D75" s="21">
        <f ca="1">((100/(H67))*C75)/100</f>
        <v>1</v>
      </c>
      <c r="E75" s="175"/>
      <c r="F75" s="175"/>
      <c r="G75" s="175"/>
      <c r="H75" s="175"/>
      <c r="I75" s="16" t="s">
        <v>147</v>
      </c>
      <c r="J75" s="32">
        <f>(IF(B67&gt;2,(H67/(B67+2)+J74),0))</f>
        <v>0</v>
      </c>
    </row>
    <row r="76" spans="1:10" ht="15.75" customHeight="1" x14ac:dyDescent="0.25">
      <c r="A76" s="79" t="s">
        <v>135</v>
      </c>
      <c r="B76" s="79" t="s">
        <v>135</v>
      </c>
      <c r="C76" s="62">
        <v>5</v>
      </c>
      <c r="D76" s="21">
        <f ca="1">((100/H67)*C76)/100</f>
        <v>1</v>
      </c>
      <c r="E76" s="175"/>
      <c r="F76" s="175"/>
      <c r="G76" s="175"/>
      <c r="H76" s="175"/>
      <c r="I76" s="16" t="s">
        <v>148</v>
      </c>
      <c r="J76" s="33">
        <f>(IF(B67&gt;3,(H67/(B67+2)+J75),0))</f>
        <v>0</v>
      </c>
    </row>
    <row r="77" spans="1:10" ht="15.75" customHeight="1" x14ac:dyDescent="0.25">
      <c r="A77" s="79" t="s">
        <v>142</v>
      </c>
      <c r="B77" s="79"/>
      <c r="C77" s="62">
        <v>5</v>
      </c>
      <c r="D77" s="21">
        <f ca="1">((100/H67)*C77)/100</f>
        <v>1</v>
      </c>
      <c r="E77" s="175"/>
      <c r="F77" s="175"/>
      <c r="G77" s="175"/>
      <c r="H77" s="175"/>
      <c r="I77" s="16" t="s">
        <v>149</v>
      </c>
      <c r="J77" s="32">
        <f>(IF(B67&gt;4,(H67/(B67+2)+J76),0))</f>
        <v>0</v>
      </c>
    </row>
    <row r="78" spans="1:10" ht="15.75" customHeight="1" x14ac:dyDescent="0.25">
      <c r="A78" s="79" t="s">
        <v>137</v>
      </c>
      <c r="B78" s="79" t="s">
        <v>137</v>
      </c>
      <c r="C78" s="62">
        <v>0</v>
      </c>
      <c r="D78" s="21">
        <f ca="1">((100/(H67))*C78)/100</f>
        <v>0</v>
      </c>
      <c r="E78" s="175"/>
      <c r="F78" s="175"/>
      <c r="G78" s="175"/>
      <c r="H78" s="175"/>
      <c r="I78" s="16" t="s">
        <v>151</v>
      </c>
      <c r="J78" s="32">
        <f ca="1">(IF(B67=1,(H67/(B67+3)+J73),IF(B67=0,(H67/4+J73),IF(B67&gt;1,0))))</f>
        <v>3.75</v>
      </c>
    </row>
    <row r="79" spans="1:10" ht="16.5" thickBot="1" x14ac:dyDescent="0.3">
      <c r="A79" s="79" t="s">
        <v>138</v>
      </c>
      <c r="B79" s="79"/>
      <c r="C79" s="62">
        <v>0</v>
      </c>
      <c r="D79" s="21">
        <f ca="1">((100/(H67))*C79)/100</f>
        <v>0</v>
      </c>
      <c r="E79" s="175"/>
      <c r="F79" s="175"/>
      <c r="G79" s="175"/>
      <c r="H79" s="175"/>
      <c r="I79" s="17" t="s">
        <v>107</v>
      </c>
      <c r="J79" s="34">
        <f ca="1">(IF(B67&gt;1.5,(H67/(B67+2)+J73+MAX(0,J74-J73)+MAX(0,J75-J74)+MAX(0,J76-J75)+MAX(0,J77-J76)+MAX(0,J78-J77)),IF(B67=1,(H67/(B67+3)+J78),IF(B67=0,H67/4+J78))))</f>
        <v>5</v>
      </c>
    </row>
    <row r="80" spans="1:10" x14ac:dyDescent="0.25">
      <c r="A80" s="126" t="s">
        <v>162</v>
      </c>
      <c r="B80" s="126"/>
      <c r="C80" s="126"/>
      <c r="D80" s="126"/>
      <c r="E80" s="126"/>
      <c r="F80" s="163" t="s">
        <v>166</v>
      </c>
      <c r="G80" s="163"/>
      <c r="H80" s="163"/>
    </row>
    <row r="81" spans="1:12" x14ac:dyDescent="0.25">
      <c r="A81" s="67" t="s">
        <v>164</v>
      </c>
      <c r="B81" s="67"/>
      <c r="C81" s="67"/>
      <c r="D81" s="67"/>
      <c r="E81" s="67"/>
      <c r="F81" s="80">
        <v>4000</v>
      </c>
      <c r="G81" s="80"/>
      <c r="H81" s="80"/>
      <c r="J81" s="58" t="s">
        <v>215</v>
      </c>
      <c r="K81" s="59">
        <v>45022</v>
      </c>
      <c r="L81" s="58" t="s">
        <v>216</v>
      </c>
    </row>
    <row r="82" spans="1:12" x14ac:dyDescent="0.25">
      <c r="A82" s="67" t="s">
        <v>163</v>
      </c>
      <c r="B82" s="67"/>
      <c r="C82" s="67"/>
      <c r="D82" s="67"/>
      <c r="E82" s="67"/>
      <c r="F82" s="80">
        <v>7000</v>
      </c>
      <c r="G82" s="80"/>
      <c r="H82" s="80"/>
    </row>
    <row r="83" spans="1:12" x14ac:dyDescent="0.25">
      <c r="A83" s="67" t="s">
        <v>165</v>
      </c>
      <c r="B83" s="67"/>
      <c r="C83" s="67"/>
      <c r="D83" s="67"/>
      <c r="E83" s="67"/>
      <c r="F83" s="80">
        <v>6000</v>
      </c>
      <c r="G83" s="80"/>
      <c r="H83" s="80"/>
    </row>
    <row r="84" spans="1:12" s="35" customFormat="1" x14ac:dyDescent="0.25">
      <c r="A84" s="67" t="s">
        <v>97</v>
      </c>
      <c r="B84" s="67"/>
      <c r="C84" s="67"/>
      <c r="D84" s="67"/>
      <c r="E84" s="67"/>
      <c r="F84" s="80">
        <v>100000</v>
      </c>
      <c r="G84" s="80"/>
      <c r="H84" s="80"/>
    </row>
    <row r="85" spans="1:12" s="35" customFormat="1" hidden="1" x14ac:dyDescent="0.25">
      <c r="A85" s="67" t="s">
        <v>98</v>
      </c>
      <c r="B85" s="67"/>
      <c r="C85" s="67"/>
      <c r="D85" s="67"/>
      <c r="E85" s="67"/>
      <c r="F85" s="80"/>
      <c r="G85" s="80"/>
      <c r="H85" s="80"/>
    </row>
    <row r="86" spans="1:12" s="35" customFormat="1" hidden="1" x14ac:dyDescent="0.25">
      <c r="A86" s="67" t="s">
        <v>167</v>
      </c>
      <c r="B86" s="67"/>
      <c r="C86" s="67"/>
      <c r="D86" s="67"/>
      <c r="E86" s="67"/>
      <c r="F86" s="80"/>
      <c r="G86" s="80"/>
      <c r="H86" s="80"/>
    </row>
    <row r="87" spans="1:12" s="35" customFormat="1" hidden="1" x14ac:dyDescent="0.25">
      <c r="A87" s="67" t="s">
        <v>99</v>
      </c>
      <c r="B87" s="67"/>
      <c r="C87" s="67"/>
      <c r="D87" s="67"/>
      <c r="E87" s="67"/>
      <c r="F87" s="80"/>
      <c r="G87" s="80"/>
      <c r="H87" s="80"/>
    </row>
    <row r="88" spans="1:12" s="35" customFormat="1" hidden="1" x14ac:dyDescent="0.25">
      <c r="A88" s="67" t="s">
        <v>100</v>
      </c>
      <c r="B88" s="67"/>
      <c r="C88" s="67"/>
      <c r="D88" s="67"/>
      <c r="E88" s="67"/>
      <c r="F88" s="80"/>
      <c r="G88" s="80"/>
      <c r="H88" s="80"/>
    </row>
    <row r="89" spans="1:12" s="35" customFormat="1" hidden="1" x14ac:dyDescent="0.25">
      <c r="A89" s="67" t="s">
        <v>101</v>
      </c>
      <c r="B89" s="67"/>
      <c r="C89" s="67"/>
      <c r="D89" s="67"/>
      <c r="E89" s="67"/>
      <c r="F89" s="80"/>
      <c r="G89" s="80"/>
      <c r="H89" s="80"/>
    </row>
    <row r="90" spans="1:12" s="35" customFormat="1" hidden="1" x14ac:dyDescent="0.25">
      <c r="A90" s="67" t="s">
        <v>102</v>
      </c>
      <c r="B90" s="67"/>
      <c r="C90" s="67"/>
      <c r="D90" s="67"/>
      <c r="E90" s="67"/>
      <c r="F90" s="80"/>
      <c r="G90" s="80"/>
      <c r="H90" s="80"/>
    </row>
    <row r="91" spans="1:12" x14ac:dyDescent="0.25">
      <c r="A91" s="67" t="s">
        <v>53</v>
      </c>
      <c r="B91" s="67"/>
      <c r="C91" s="67"/>
      <c r="D91" s="67"/>
      <c r="E91" s="67"/>
      <c r="F91" s="80">
        <v>100000</v>
      </c>
      <c r="G91" s="80"/>
      <c r="H91" s="80"/>
    </row>
    <row r="92" spans="1:12" s="36" customFormat="1" x14ac:dyDescent="0.25">
      <c r="A92" s="129" t="s">
        <v>54</v>
      </c>
      <c r="B92" s="129"/>
      <c r="C92" s="129"/>
      <c r="D92" s="129"/>
      <c r="E92" s="129"/>
      <c r="F92" s="80">
        <f>F81*0.8</f>
        <v>3200</v>
      </c>
      <c r="G92" s="80"/>
      <c r="H92" s="80"/>
    </row>
    <row r="93" spans="1:12" s="37" customFormat="1" ht="15.75" customHeight="1" x14ac:dyDescent="0.25">
      <c r="A93" s="110" t="s">
        <v>77</v>
      </c>
      <c r="B93" s="110"/>
      <c r="C93" s="110"/>
      <c r="D93" s="110"/>
      <c r="E93" s="110"/>
      <c r="F93" s="110"/>
      <c r="G93" s="110"/>
      <c r="H93" s="110"/>
    </row>
    <row r="94" spans="1:12" s="37" customFormat="1" ht="15.75" customHeight="1" x14ac:dyDescent="0.25">
      <c r="A94" s="70" t="s">
        <v>55</v>
      </c>
      <c r="B94" s="70"/>
      <c r="C94" s="115" t="s">
        <v>80</v>
      </c>
      <c r="D94" s="115"/>
      <c r="E94" s="103" t="s">
        <v>56</v>
      </c>
      <c r="F94" s="103"/>
      <c r="G94" s="70" t="s">
        <v>57</v>
      </c>
      <c r="H94" s="70"/>
    </row>
    <row r="95" spans="1:12" s="37" customFormat="1" x14ac:dyDescent="0.25">
      <c r="A95" s="124" t="s">
        <v>202</v>
      </c>
      <c r="B95" s="124"/>
      <c r="C95" s="120">
        <f>COUNT(D109:D111)</f>
        <v>3</v>
      </c>
      <c r="D95" s="121"/>
      <c r="E95" s="81">
        <f>SUM(D109:D111)</f>
        <v>408.49380000000002</v>
      </c>
      <c r="F95" s="82"/>
      <c r="G95" s="81">
        <f>SUM(F109:F111)</f>
        <v>653.59008000000006</v>
      </c>
      <c r="H95" s="82"/>
    </row>
    <row r="96" spans="1:12" s="37" customFormat="1" x14ac:dyDescent="0.25">
      <c r="A96" s="124" t="s">
        <v>203</v>
      </c>
      <c r="B96" s="124"/>
      <c r="C96" s="120">
        <f>COUNT(D108)</f>
        <v>1</v>
      </c>
      <c r="D96" s="121"/>
      <c r="E96" s="81">
        <f>SUM(D108)</f>
        <v>224.75232000000003</v>
      </c>
      <c r="F96" s="82"/>
      <c r="G96" s="81">
        <f>SUM(F108)</f>
        <v>359.60371200000009</v>
      </c>
      <c r="H96" s="82"/>
    </row>
    <row r="97" spans="1:14" s="37" customFormat="1" x14ac:dyDescent="0.25">
      <c r="A97" s="110" t="s">
        <v>155</v>
      </c>
      <c r="B97" s="110"/>
      <c r="C97" s="122">
        <f>SUM(C95:C96)</f>
        <v>4</v>
      </c>
      <c r="D97" s="115"/>
      <c r="E97" s="123">
        <f>SUM(E95:E96)</f>
        <v>633.24612000000002</v>
      </c>
      <c r="F97" s="103"/>
      <c r="G97" s="70">
        <f>SUM(G95:G96)</f>
        <v>1013.1937920000001</v>
      </c>
      <c r="H97" s="70"/>
    </row>
    <row r="98" spans="1:14" s="37" customFormat="1" x14ac:dyDescent="0.25">
      <c r="A98" s="110" t="s">
        <v>72</v>
      </c>
      <c r="B98" s="110"/>
      <c r="C98" s="110"/>
      <c r="D98" s="110"/>
      <c r="E98" s="110"/>
      <c r="F98" s="110"/>
      <c r="G98" s="110"/>
      <c r="H98" s="110"/>
    </row>
    <row r="99" spans="1:14" s="37" customFormat="1" ht="15.75" customHeight="1" x14ac:dyDescent="0.25">
      <c r="A99" s="70" t="s">
        <v>55</v>
      </c>
      <c r="B99" s="70"/>
      <c r="C99" s="115" t="s">
        <v>80</v>
      </c>
      <c r="D99" s="115"/>
      <c r="E99" s="103" t="s">
        <v>56</v>
      </c>
      <c r="F99" s="103"/>
      <c r="G99" s="70" t="s">
        <v>57</v>
      </c>
      <c r="H99" s="70"/>
    </row>
    <row r="100" spans="1:14" s="37" customFormat="1" x14ac:dyDescent="0.25">
      <c r="A100" s="124" t="s">
        <v>209</v>
      </c>
      <c r="B100" s="124"/>
      <c r="C100" s="120">
        <f>COUNT(D116)+COUNT(D118:D121)*5</f>
        <v>21</v>
      </c>
      <c r="D100" s="120"/>
      <c r="E100" s="81">
        <f>SUM(D116)+SUM(D118:D121)*5</f>
        <v>6850.3710600000004</v>
      </c>
      <c r="F100" s="81"/>
      <c r="G100" s="81">
        <f>SUM(F116)+SUM(F118:F121)*5</f>
        <v>10275.556590000002</v>
      </c>
      <c r="H100" s="81"/>
    </row>
    <row r="101" spans="1:14" s="37" customFormat="1" hidden="1" x14ac:dyDescent="0.25">
      <c r="A101" s="124"/>
      <c r="B101" s="124"/>
      <c r="C101" s="121"/>
      <c r="D101" s="121"/>
      <c r="E101" s="82"/>
      <c r="F101" s="82"/>
      <c r="G101" s="125"/>
      <c r="H101" s="125"/>
    </row>
    <row r="102" spans="1:14" s="37" customFormat="1" hidden="1" x14ac:dyDescent="0.25">
      <c r="A102" s="110" t="s">
        <v>155</v>
      </c>
      <c r="B102" s="110"/>
      <c r="C102" s="115"/>
      <c r="D102" s="115"/>
      <c r="E102" s="103"/>
      <c r="F102" s="103"/>
      <c r="G102" s="70"/>
      <c r="H102" s="70"/>
    </row>
    <row r="103" spans="1:14" s="36" customFormat="1" x14ac:dyDescent="0.25">
      <c r="A103" s="119" t="s">
        <v>58</v>
      </c>
      <c r="B103" s="119"/>
      <c r="C103" s="119"/>
      <c r="D103" s="119"/>
      <c r="E103" s="119"/>
      <c r="F103" s="119"/>
      <c r="G103" s="119"/>
      <c r="H103" s="119"/>
    </row>
    <row r="104" spans="1:14" x14ac:dyDescent="0.25">
      <c r="A104" s="119" t="s">
        <v>59</v>
      </c>
      <c r="B104" s="119"/>
      <c r="C104" s="119"/>
      <c r="D104" s="119"/>
      <c r="E104" s="119"/>
      <c r="F104" s="119"/>
      <c r="G104" s="119"/>
      <c r="H104" s="119"/>
    </row>
    <row r="105" spans="1:14" ht="47.25" customHeight="1" x14ac:dyDescent="0.25">
      <c r="A105" s="71" t="s">
        <v>122</v>
      </c>
      <c r="B105" s="71" t="s">
        <v>121</v>
      </c>
      <c r="C105" s="71" t="s">
        <v>60</v>
      </c>
      <c r="D105" s="71" t="s">
        <v>61</v>
      </c>
      <c r="E105" s="73" t="s">
        <v>161</v>
      </c>
      <c r="F105" s="44" t="s">
        <v>154</v>
      </c>
      <c r="G105" s="75" t="s">
        <v>63</v>
      </c>
      <c r="H105" s="76"/>
    </row>
    <row r="106" spans="1:14" s="45" customFormat="1" x14ac:dyDescent="0.25">
      <c r="A106" s="72"/>
      <c r="B106" s="72"/>
      <c r="C106" s="72"/>
      <c r="D106" s="72"/>
      <c r="E106" s="74"/>
      <c r="F106" s="15">
        <v>0.6</v>
      </c>
      <c r="G106" s="77"/>
      <c r="H106" s="78"/>
      <c r="J106" s="57">
        <v>10.763999999999999</v>
      </c>
    </row>
    <row r="107" spans="1:14" s="45" customFormat="1" x14ac:dyDescent="0.25">
      <c r="A107" s="116" t="s">
        <v>205</v>
      </c>
      <c r="B107" s="117"/>
      <c r="C107" s="117"/>
      <c r="D107" s="117"/>
      <c r="E107" s="117"/>
      <c r="F107" s="117"/>
      <c r="G107" s="117"/>
      <c r="H107" s="118"/>
      <c r="J107" s="38"/>
    </row>
    <row r="108" spans="1:14" s="45" customFormat="1" x14ac:dyDescent="0.25">
      <c r="A108" s="107">
        <v>1</v>
      </c>
      <c r="B108" s="108"/>
      <c r="C108" s="43" t="s">
        <v>203</v>
      </c>
      <c r="D108" s="57">
        <f>(2.6*4.8+3.05*2.4+1.2*0.9)*10.764</f>
        <v>224.75232000000003</v>
      </c>
      <c r="E108" s="43">
        <v>0</v>
      </c>
      <c r="F108" s="43">
        <f>(D108+E108)*(($F$106)+1)</f>
        <v>359.60371200000009</v>
      </c>
      <c r="G108" s="107" t="str">
        <f>A107</f>
        <v>Ground Floor For Commercial, Lobby, U.G Tank, Residential &amp; Parking</v>
      </c>
      <c r="H108" s="108"/>
      <c r="I108" s="38">
        <f>3.05*2.4+2.6*4.8+1.25*1.2*0.9</f>
        <v>21.150000000000002</v>
      </c>
      <c r="J108" s="45">
        <f>9.49+7.32</f>
        <v>16.810000000000002</v>
      </c>
      <c r="L108" s="162"/>
      <c r="M108" s="162"/>
      <c r="N108" s="38"/>
    </row>
    <row r="109" spans="1:14" s="45" customFormat="1" x14ac:dyDescent="0.25">
      <c r="A109" s="107">
        <f>A108+1</f>
        <v>2</v>
      </c>
      <c r="B109" s="108"/>
      <c r="C109" s="56" t="s">
        <v>202</v>
      </c>
      <c r="D109" s="57">
        <f>(12.65)*10.764</f>
        <v>136.16460000000001</v>
      </c>
      <c r="E109" s="43">
        <v>0</v>
      </c>
      <c r="F109" s="43">
        <f>(D109+E109)*(($F$106)+1)</f>
        <v>217.86336000000003</v>
      </c>
      <c r="G109" s="107" t="str">
        <f>G108</f>
        <v>Ground Floor For Commercial, Lobby, U.G Tank, Residential &amp; Parking</v>
      </c>
      <c r="H109" s="108"/>
      <c r="I109" s="38">
        <f>2.75*4.6</f>
        <v>12.649999999999999</v>
      </c>
      <c r="L109" s="162"/>
      <c r="M109" s="162"/>
      <c r="N109" s="38"/>
    </row>
    <row r="110" spans="1:14" s="45" customFormat="1" x14ac:dyDescent="0.25">
      <c r="A110" s="107">
        <f>A109+1</f>
        <v>3</v>
      </c>
      <c r="B110" s="108"/>
      <c r="C110" s="56" t="s">
        <v>202</v>
      </c>
      <c r="D110" s="57">
        <f>(12.65)*10.764</f>
        <v>136.16460000000001</v>
      </c>
      <c r="E110" s="43">
        <v>0</v>
      </c>
      <c r="F110" s="43">
        <f>(D110+E110)*(($F$106)+1)</f>
        <v>217.86336000000003</v>
      </c>
      <c r="G110" s="107" t="str">
        <f>G109</f>
        <v>Ground Floor For Commercial, Lobby, U.G Tank, Residential &amp; Parking</v>
      </c>
      <c r="H110" s="108"/>
      <c r="I110" s="38"/>
      <c r="L110" s="162"/>
      <c r="M110" s="162"/>
      <c r="N110" s="38"/>
    </row>
    <row r="111" spans="1:14" s="45" customFormat="1" x14ac:dyDescent="0.25">
      <c r="A111" s="107">
        <f>A110+1</f>
        <v>4</v>
      </c>
      <c r="B111" s="108"/>
      <c r="C111" s="56" t="s">
        <v>202</v>
      </c>
      <c r="D111" s="57">
        <f>(12.65)*10.764</f>
        <v>136.16460000000001</v>
      </c>
      <c r="E111" s="43">
        <v>0</v>
      </c>
      <c r="F111" s="43">
        <f>(D111+E111)*(($F$106)+1)</f>
        <v>217.86336000000003</v>
      </c>
      <c r="G111" s="107" t="str">
        <f>G110</f>
        <v>Ground Floor For Commercial, Lobby, U.G Tank, Residential &amp; Parking</v>
      </c>
      <c r="H111" s="108"/>
      <c r="I111" s="38">
        <f>2.75*4.6</f>
        <v>12.649999999999999</v>
      </c>
      <c r="L111" s="162"/>
      <c r="M111" s="162"/>
      <c r="N111" s="38"/>
    </row>
    <row r="112" spans="1:14" s="45" customFormat="1" x14ac:dyDescent="0.25">
      <c r="A112" s="107"/>
      <c r="B112" s="164"/>
      <c r="C112" s="164"/>
      <c r="D112" s="164"/>
      <c r="E112" s="164"/>
      <c r="F112" s="164"/>
      <c r="G112" s="164"/>
      <c r="H112" s="108"/>
      <c r="I112" s="38"/>
      <c r="N112" s="38"/>
    </row>
    <row r="113" spans="1:14" ht="47.25" customHeight="1" x14ac:dyDescent="0.25">
      <c r="A113" s="75" t="s">
        <v>123</v>
      </c>
      <c r="B113" s="75" t="s">
        <v>124</v>
      </c>
      <c r="C113" s="71" t="s">
        <v>60</v>
      </c>
      <c r="D113" s="71" t="s">
        <v>61</v>
      </c>
      <c r="E113" s="73" t="s">
        <v>62</v>
      </c>
      <c r="F113" s="44" t="s">
        <v>154</v>
      </c>
      <c r="G113" s="75" t="s">
        <v>63</v>
      </c>
      <c r="H113" s="76"/>
      <c r="I113" s="38"/>
    </row>
    <row r="114" spans="1:14" s="45" customFormat="1" x14ac:dyDescent="0.25">
      <c r="A114" s="77"/>
      <c r="B114" s="77"/>
      <c r="C114" s="72"/>
      <c r="D114" s="72"/>
      <c r="E114" s="74"/>
      <c r="F114" s="15">
        <v>0.5</v>
      </c>
      <c r="G114" s="77"/>
      <c r="H114" s="78"/>
      <c r="I114" s="38"/>
    </row>
    <row r="115" spans="1:14" s="45" customFormat="1" ht="15.75" customHeight="1" x14ac:dyDescent="0.25">
      <c r="A115" s="116" t="s">
        <v>204</v>
      </c>
      <c r="B115" s="117"/>
      <c r="C115" s="117"/>
      <c r="D115" s="117"/>
      <c r="E115" s="117"/>
      <c r="F115" s="117"/>
      <c r="G115" s="117"/>
      <c r="H115" s="118"/>
      <c r="J115" s="38"/>
    </row>
    <row r="116" spans="1:14" s="45" customFormat="1" x14ac:dyDescent="0.25">
      <c r="A116" s="107">
        <v>1</v>
      </c>
      <c r="B116" s="108"/>
      <c r="C116" s="51" t="s">
        <v>206</v>
      </c>
      <c r="D116" s="57">
        <f>(4.66*2.75+1.87*2.5+2.75*3+1.2*1.7+1.1*1.2+1.2*1.3+1.1*1.3)*10.764</f>
        <v>345.41676000000001</v>
      </c>
      <c r="E116" s="43">
        <v>0</v>
      </c>
      <c r="F116" s="43">
        <f>D116*(($F$114)+1)+(IF(E116&lt;101,E116,IF(E116&lt;201,E116/2,IF(E116&lt;=301,E116/3,E116/4))))</f>
        <v>518.12513999999999</v>
      </c>
      <c r="G116" s="107" t="str">
        <f>A115</f>
        <v>Ground Floor For Residential , Lobby, U.G Tank &amp; Parking</v>
      </c>
      <c r="H116" s="108"/>
      <c r="I116" s="38">
        <f>4.66*2.75+1.87*2.5+2.75*3+1.2*1.7+1.1*1.2+1.2*1.3+1.1*1.3</f>
        <v>32.090000000000003</v>
      </c>
      <c r="L116" s="162"/>
      <c r="M116" s="162"/>
      <c r="N116" s="38"/>
    </row>
    <row r="117" spans="1:14" s="45" customFormat="1" x14ac:dyDescent="0.25">
      <c r="A117" s="130" t="s">
        <v>207</v>
      </c>
      <c r="B117" s="130"/>
      <c r="C117" s="130"/>
      <c r="D117" s="130"/>
      <c r="E117" s="130"/>
      <c r="F117" s="130"/>
      <c r="G117" s="130"/>
      <c r="H117" s="130"/>
      <c r="I117" s="38"/>
      <c r="L117" s="162"/>
      <c r="M117" s="162"/>
    </row>
    <row r="118" spans="1:14" s="45" customFormat="1" x14ac:dyDescent="0.25">
      <c r="A118" s="69">
        <v>1</v>
      </c>
      <c r="B118" s="69"/>
      <c r="C118" s="51" t="s">
        <v>206</v>
      </c>
      <c r="D118" s="57">
        <f>(2.75*3.85+2.8*2.6+2.75*3.85+1.2*1.7+1.1*1.2+1.1*0.5+0.75*2.75)*10.764</f>
        <v>370.57760999999994</v>
      </c>
      <c r="E118" s="43">
        <v>0</v>
      </c>
      <c r="F118" s="43">
        <f>D118*(($F$114)+1)+(IF(E118&lt;101,E118,IF(E118&lt;201,E118/2,IF(E118&lt;=301,E118/3,E118/4))))</f>
        <v>555.86641499999996</v>
      </c>
      <c r="G118" s="69" t="str">
        <f>A117</f>
        <v>1st to 5th Floor For Residential</v>
      </c>
      <c r="H118" s="69"/>
      <c r="I118" s="38">
        <f>2.75*3.85+2.8*2.6+2.75*3.85+1.2*1.7+1.1*1.2+1.1*0.5</f>
        <v>32.364999999999995</v>
      </c>
      <c r="N118" s="38"/>
    </row>
    <row r="119" spans="1:14" s="45" customFormat="1" x14ac:dyDescent="0.25">
      <c r="A119" s="69">
        <f>A118+1</f>
        <v>2</v>
      </c>
      <c r="B119" s="69"/>
      <c r="C119" s="51" t="s">
        <v>206</v>
      </c>
      <c r="D119" s="57">
        <f>(2.75*3.85+2.6*2.55+3.05*2.4+1.2*1.7+1.1*1.2+0.9*2.15+0.25*1.2+1.2*0.8+0.75*2.75)*10.764</f>
        <v>356.88042000000002</v>
      </c>
      <c r="E119" s="43">
        <v>0</v>
      </c>
      <c r="F119" s="43">
        <f>D119*(($F$114)+1)+(IF(E119&lt;101,E119,IF(E119&lt;201,E119/2,IF(E119&lt;=301,E119/3,E119/4))))</f>
        <v>535.32063000000005</v>
      </c>
      <c r="G119" s="69" t="str">
        <f>G118</f>
        <v>1st to 5th Floor For Residential</v>
      </c>
      <c r="H119" s="69"/>
      <c r="I119" s="38"/>
      <c r="N119" s="38"/>
    </row>
    <row r="120" spans="1:14" s="45" customFormat="1" x14ac:dyDescent="0.25">
      <c r="A120" s="69">
        <f>A119+1</f>
        <v>3</v>
      </c>
      <c r="B120" s="69"/>
      <c r="C120" s="51" t="s">
        <v>206</v>
      </c>
      <c r="D120" s="57">
        <f>(4.66*2.75+1.87*2.5+2.75*3+1.2*1.7+1.1*1.2+1.2*1.3+1.1*1.3)*10.764</f>
        <v>345.41676000000001</v>
      </c>
      <c r="E120" s="43">
        <v>0</v>
      </c>
      <c r="F120" s="43">
        <f>D120*(($F$114)+1)+(IF(E120&lt;101,E120,IF(E120&lt;201,E120/2,IF(E120&lt;=301,E120/3,E120/4))))</f>
        <v>518.12513999999999</v>
      </c>
      <c r="G120" s="69" t="str">
        <f>G119</f>
        <v>1st to 5th Floor For Residential</v>
      </c>
      <c r="H120" s="69"/>
      <c r="I120" s="38"/>
      <c r="N120" s="38"/>
    </row>
    <row r="121" spans="1:14" s="45" customFormat="1" x14ac:dyDescent="0.25">
      <c r="A121" s="69">
        <f>A120+1</f>
        <v>4</v>
      </c>
      <c r="B121" s="69"/>
      <c r="C121" s="51" t="s">
        <v>208</v>
      </c>
      <c r="D121" s="57">
        <f>(4.45*2.75+2.25*2.3+1.2*1.8+0.9*1.8)*10.764</f>
        <v>228.11607000000001</v>
      </c>
      <c r="E121" s="43">
        <v>0</v>
      </c>
      <c r="F121" s="43">
        <f>D121*(($F$114)+1)+(IF(E121&lt;101,E121,IF(E121&lt;201,E121/2,IF(E121&lt;=301,E121/3,E121/4))))</f>
        <v>342.174105</v>
      </c>
      <c r="G121" s="69" t="str">
        <f>G120</f>
        <v>1st to 5th Floor For Residential</v>
      </c>
      <c r="H121" s="69"/>
      <c r="I121" s="38"/>
      <c r="N121" s="38"/>
    </row>
    <row r="122" spans="1:14" s="37" customFormat="1" x14ac:dyDescent="0.25">
      <c r="A122" s="166" t="s">
        <v>70</v>
      </c>
      <c r="B122" s="166"/>
      <c r="C122" s="166"/>
      <c r="D122" s="166"/>
      <c r="E122" s="166"/>
      <c r="F122" s="166"/>
      <c r="G122" s="166"/>
      <c r="H122" s="166"/>
    </row>
    <row r="123" spans="1:14" s="37" customFormat="1" ht="31.5" customHeight="1" x14ac:dyDescent="0.25">
      <c r="A123" s="61" t="s">
        <v>158</v>
      </c>
      <c r="B123" s="109" t="s">
        <v>221</v>
      </c>
      <c r="C123" s="109"/>
      <c r="D123" s="109"/>
      <c r="E123" s="109"/>
      <c r="F123" s="109"/>
      <c r="G123" s="109"/>
      <c r="H123" s="109"/>
    </row>
    <row r="124" spans="1:14" s="37" customFormat="1" x14ac:dyDescent="0.25">
      <c r="A124" s="61" t="s">
        <v>158</v>
      </c>
      <c r="B124" s="109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24" s="109"/>
      <c r="D124" s="109"/>
      <c r="E124" s="109"/>
      <c r="F124" s="109"/>
      <c r="G124" s="109"/>
      <c r="H124" s="109"/>
    </row>
    <row r="125" spans="1:14" s="37" customFormat="1" x14ac:dyDescent="0.25">
      <c r="A125" s="61" t="s">
        <v>158</v>
      </c>
      <c r="B125" s="109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5" s="109"/>
      <c r="D125" s="109"/>
      <c r="E125" s="109"/>
      <c r="F125" s="109"/>
      <c r="G125" s="109"/>
      <c r="H125" s="109"/>
    </row>
    <row r="126" spans="1:14" s="37" customFormat="1" x14ac:dyDescent="0.25">
      <c r="A126" s="61" t="s">
        <v>158</v>
      </c>
      <c r="B126" s="165" t="s">
        <v>127</v>
      </c>
      <c r="C126" s="165"/>
      <c r="D126" s="165"/>
      <c r="E126" s="165"/>
      <c r="F126" s="165"/>
      <c r="G126" s="165"/>
      <c r="H126" s="165"/>
    </row>
    <row r="127" spans="1:14" s="37" customFormat="1" x14ac:dyDescent="0.25">
      <c r="A127" s="61" t="s">
        <v>158</v>
      </c>
      <c r="B127" s="165" t="s">
        <v>210</v>
      </c>
      <c r="C127" s="165"/>
      <c r="D127" s="165"/>
      <c r="E127" s="165"/>
      <c r="F127" s="165"/>
      <c r="G127" s="165"/>
      <c r="H127" s="165"/>
    </row>
    <row r="128" spans="1:14" s="37" customFormat="1" x14ac:dyDescent="0.25">
      <c r="A128" s="60" t="s">
        <v>158</v>
      </c>
      <c r="B128" s="104" t="s">
        <v>157</v>
      </c>
      <c r="C128" s="105"/>
      <c r="D128" s="105"/>
      <c r="E128" s="105"/>
      <c r="F128" s="105"/>
      <c r="G128" s="105"/>
      <c r="H128" s="106"/>
    </row>
    <row r="129" spans="1:8" s="37" customFormat="1" x14ac:dyDescent="0.25">
      <c r="A129" s="60" t="s">
        <v>158</v>
      </c>
      <c r="B129" s="104" t="s">
        <v>128</v>
      </c>
      <c r="C129" s="105"/>
      <c r="D129" s="105"/>
      <c r="E129" s="105"/>
      <c r="F129" s="105"/>
      <c r="G129" s="105"/>
      <c r="H129" s="106"/>
    </row>
    <row r="130" spans="1:8" s="37" customFormat="1" ht="32.25" customHeight="1" x14ac:dyDescent="0.25">
      <c r="A130" s="60" t="s">
        <v>158</v>
      </c>
      <c r="B130" s="104" t="s">
        <v>159</v>
      </c>
      <c r="C130" s="105"/>
      <c r="D130" s="105"/>
      <c r="E130" s="105"/>
      <c r="F130" s="105"/>
      <c r="G130" s="105"/>
      <c r="H130" s="106"/>
    </row>
    <row r="131" spans="1:8" s="37" customFormat="1" x14ac:dyDescent="0.25">
      <c r="A131" s="60" t="s">
        <v>158</v>
      </c>
      <c r="B131" s="104" t="s">
        <v>129</v>
      </c>
      <c r="C131" s="105"/>
      <c r="D131" s="105"/>
      <c r="E131" s="105"/>
      <c r="F131" s="105"/>
      <c r="G131" s="105"/>
      <c r="H131" s="106"/>
    </row>
    <row r="132" spans="1:8" s="37" customFormat="1" ht="65.25" hidden="1" customHeight="1" x14ac:dyDescent="0.25">
      <c r="A132" s="54">
        <v>6</v>
      </c>
      <c r="B132" s="131" t="s">
        <v>190</v>
      </c>
      <c r="C132" s="132"/>
      <c r="D132" s="132"/>
      <c r="E132" s="132"/>
      <c r="F132" s="132"/>
      <c r="G132" s="132"/>
      <c r="H132" s="133"/>
    </row>
    <row r="133" spans="1:8" s="37" customFormat="1" hidden="1" x14ac:dyDescent="0.25">
      <c r="A133" s="54">
        <v>7</v>
      </c>
      <c r="B133" s="131" t="s">
        <v>211</v>
      </c>
      <c r="C133" s="132"/>
      <c r="D133" s="132"/>
      <c r="E133" s="132"/>
      <c r="F133" s="132"/>
      <c r="G133" s="132"/>
      <c r="H133" s="133"/>
    </row>
    <row r="134" spans="1:8" x14ac:dyDescent="0.25">
      <c r="A134" s="67" t="s">
        <v>64</v>
      </c>
      <c r="B134" s="67"/>
      <c r="C134" s="67"/>
      <c r="D134" s="67"/>
      <c r="E134" s="67"/>
      <c r="F134" s="67"/>
      <c r="G134" s="67"/>
      <c r="H134" s="67"/>
    </row>
    <row r="135" spans="1:8" ht="15.75" customHeight="1" x14ac:dyDescent="0.25">
      <c r="A135" s="68" t="s">
        <v>65</v>
      </c>
      <c r="B135" s="68"/>
      <c r="C135" s="68"/>
      <c r="D135" s="68"/>
      <c r="E135" s="68"/>
      <c r="F135" s="68"/>
      <c r="G135" s="68"/>
      <c r="H135" s="68"/>
    </row>
    <row r="136" spans="1:8" x14ac:dyDescent="0.25">
      <c r="A136" s="67" t="s">
        <v>66</v>
      </c>
      <c r="B136" s="67"/>
      <c r="C136" s="67"/>
      <c r="D136" s="67"/>
      <c r="E136" s="67"/>
      <c r="F136" s="67"/>
      <c r="G136" s="67"/>
      <c r="H136" s="67"/>
    </row>
    <row r="137" spans="1:8" x14ac:dyDescent="0.25">
      <c r="A137" s="67" t="s">
        <v>67</v>
      </c>
      <c r="B137" s="67"/>
      <c r="C137" s="67"/>
      <c r="D137" s="67"/>
      <c r="E137" s="67"/>
      <c r="F137" s="67"/>
      <c r="G137" s="67"/>
      <c r="H137" s="67"/>
    </row>
    <row r="138" spans="1:8" x14ac:dyDescent="0.25">
      <c r="A138" s="67" t="s">
        <v>130</v>
      </c>
      <c r="B138" s="67"/>
      <c r="C138" s="67"/>
      <c r="D138" s="67"/>
      <c r="E138" s="67"/>
      <c r="F138" s="67"/>
      <c r="G138" s="67"/>
      <c r="H138" s="67"/>
    </row>
    <row r="139" spans="1:8" ht="35.25" customHeight="1" x14ac:dyDescent="0.25">
      <c r="A139" s="111" t="s">
        <v>131</v>
      </c>
      <c r="B139" s="111"/>
      <c r="C139" s="111"/>
      <c r="D139" s="111"/>
      <c r="E139" s="111"/>
      <c r="F139" s="111"/>
      <c r="G139" s="111"/>
      <c r="H139" s="111"/>
    </row>
    <row r="140" spans="1:8" x14ac:dyDescent="0.25">
      <c r="A140" s="128" t="s">
        <v>79</v>
      </c>
      <c r="B140" s="128"/>
      <c r="C140" s="128" t="s">
        <v>219</v>
      </c>
      <c r="D140" s="128"/>
      <c r="E140" s="128" t="s">
        <v>108</v>
      </c>
      <c r="F140" s="128"/>
      <c r="G140" s="128" t="s">
        <v>220</v>
      </c>
      <c r="H140" s="128"/>
    </row>
    <row r="141" spans="1:8" x14ac:dyDescent="0.25">
      <c r="A141" s="127" t="s">
        <v>81</v>
      </c>
      <c r="B141" s="127"/>
      <c r="C141" s="127"/>
      <c r="D141" s="127"/>
      <c r="E141" s="127"/>
      <c r="F141" s="127"/>
      <c r="G141" s="127"/>
      <c r="H141" s="127"/>
    </row>
    <row r="142" spans="1:8" x14ac:dyDescent="0.25">
      <c r="A142" s="127"/>
      <c r="B142" s="127"/>
      <c r="C142" s="127"/>
      <c r="D142" s="127"/>
      <c r="E142" s="127"/>
      <c r="F142" s="127"/>
      <c r="G142" s="127"/>
      <c r="H142" s="127"/>
    </row>
    <row r="143" spans="1:8" x14ac:dyDescent="0.25">
      <c r="A143" s="127"/>
      <c r="B143" s="127"/>
      <c r="C143" s="127"/>
      <c r="D143" s="127"/>
      <c r="E143" s="127"/>
      <c r="F143" s="127"/>
      <c r="G143" s="127"/>
      <c r="H143" s="127"/>
    </row>
    <row r="144" spans="1:8" x14ac:dyDescent="0.25">
      <c r="A144" s="127"/>
      <c r="B144" s="127"/>
      <c r="C144" s="127"/>
      <c r="D144" s="127"/>
      <c r="E144" s="127"/>
      <c r="F144" s="127"/>
      <c r="G144" s="127"/>
      <c r="H144" s="127"/>
    </row>
    <row r="145" spans="1:8" x14ac:dyDescent="0.25">
      <c r="A145" s="39" t="s">
        <v>68</v>
      </c>
      <c r="B145" s="40"/>
      <c r="C145" s="40"/>
      <c r="D145" s="39" t="str">
        <f>E8</f>
        <v>Naaz Plaza</v>
      </c>
      <c r="F145" s="40"/>
      <c r="G145" s="40"/>
      <c r="H145" s="40"/>
    </row>
    <row r="146" spans="1:8" x14ac:dyDescent="0.25">
      <c r="A146" s="40"/>
      <c r="B146" s="40"/>
      <c r="C146" s="40"/>
      <c r="D146" s="40"/>
      <c r="E146" s="40"/>
      <c r="F146" s="40"/>
      <c r="G146" s="40"/>
      <c r="H146" s="40"/>
    </row>
    <row r="147" spans="1:8" x14ac:dyDescent="0.25">
      <c r="A147" s="40"/>
      <c r="B147" s="40"/>
      <c r="C147" s="40"/>
      <c r="D147" s="40"/>
      <c r="E147" s="40"/>
      <c r="F147" s="40"/>
      <c r="G147" s="40"/>
      <c r="H147" s="40"/>
    </row>
    <row r="148" spans="1:8" ht="15" customHeight="1" x14ac:dyDescent="0.25"/>
    <row r="188" spans="1:8" ht="16.5" customHeight="1" x14ac:dyDescent="0.25">
      <c r="A188" s="40" t="s">
        <v>212</v>
      </c>
      <c r="B188" s="40" t="str">
        <f>E8</f>
        <v>Naaz Plaza</v>
      </c>
      <c r="C188" s="40"/>
      <c r="D188" s="39"/>
      <c r="F188" s="40"/>
      <c r="G188" s="40"/>
      <c r="H188" s="40"/>
    </row>
    <row r="189" spans="1:8" ht="16.5" customHeight="1" x14ac:dyDescent="0.25">
      <c r="A189" s="40"/>
      <c r="B189" s="40"/>
      <c r="C189" s="40"/>
      <c r="D189" s="40"/>
      <c r="E189" s="40"/>
      <c r="F189" s="40"/>
      <c r="G189" s="40"/>
      <c r="H189" s="40"/>
    </row>
    <row r="190" spans="1:8" x14ac:dyDescent="0.25">
      <c r="A190" s="40"/>
      <c r="B190" s="40"/>
      <c r="C190" s="40"/>
      <c r="D190" s="40"/>
      <c r="E190" s="40"/>
      <c r="F190" s="40"/>
      <c r="G190" s="40"/>
      <c r="H190" s="40"/>
    </row>
    <row r="191" spans="1:8" ht="15" customHeight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spans="1:1" hidden="1" x14ac:dyDescent="0.25"/>
    <row r="226" spans="1:1" hidden="1" x14ac:dyDescent="0.25"/>
    <row r="227" spans="1:1" hidden="1" x14ac:dyDescent="0.25"/>
    <row r="228" spans="1:1" hidden="1" x14ac:dyDescent="0.25"/>
    <row r="232" spans="1:1" x14ac:dyDescent="0.25">
      <c r="A232" s="42" t="s">
        <v>69</v>
      </c>
    </row>
    <row r="275" spans="1:4" x14ac:dyDescent="0.25">
      <c r="A275" s="42" t="s">
        <v>191</v>
      </c>
    </row>
    <row r="276" spans="1:4" ht="20.25" x14ac:dyDescent="0.3">
      <c r="D276" s="55" t="s">
        <v>192</v>
      </c>
    </row>
    <row r="297" spans="4:5" ht="20.25" x14ac:dyDescent="0.3">
      <c r="D297" s="65" t="s">
        <v>193</v>
      </c>
      <c r="E297" s="65"/>
    </row>
  </sheetData>
  <mergeCells count="284">
    <mergeCell ref="A16:B16"/>
    <mergeCell ref="C16:H16"/>
    <mergeCell ref="A38:B38"/>
    <mergeCell ref="C38:H38"/>
    <mergeCell ref="B130:H130"/>
    <mergeCell ref="A47:B47"/>
    <mergeCell ref="C47:H47"/>
    <mergeCell ref="B128:H128"/>
    <mergeCell ref="F82:H82"/>
    <mergeCell ref="A82:E82"/>
    <mergeCell ref="G121:H121"/>
    <mergeCell ref="G118:H118"/>
    <mergeCell ref="D105:D106"/>
    <mergeCell ref="A108:B108"/>
    <mergeCell ref="A109:B109"/>
    <mergeCell ref="A110:B110"/>
    <mergeCell ref="F89:H89"/>
    <mergeCell ref="B126:H126"/>
    <mergeCell ref="A60:C60"/>
    <mergeCell ref="D59:H59"/>
    <mergeCell ref="E70:F79"/>
    <mergeCell ref="G70:H79"/>
    <mergeCell ref="D60:H60"/>
    <mergeCell ref="A42:D42"/>
    <mergeCell ref="L117:M117"/>
    <mergeCell ref="A112:H112"/>
    <mergeCell ref="A113:A114"/>
    <mergeCell ref="A119:B119"/>
    <mergeCell ref="A120:B120"/>
    <mergeCell ref="A121:B121"/>
    <mergeCell ref="G116:H116"/>
    <mergeCell ref="L116:M116"/>
    <mergeCell ref="B127:H127"/>
    <mergeCell ref="A122:H122"/>
    <mergeCell ref="A116:B116"/>
    <mergeCell ref="L111:M111"/>
    <mergeCell ref="L110:M110"/>
    <mergeCell ref="L109:M109"/>
    <mergeCell ref="L108:M108"/>
    <mergeCell ref="A77:B77"/>
    <mergeCell ref="C100:D100"/>
    <mergeCell ref="E100:F100"/>
    <mergeCell ref="G100:H100"/>
    <mergeCell ref="F86:H86"/>
    <mergeCell ref="A81:E81"/>
    <mergeCell ref="A107:H107"/>
    <mergeCell ref="E105:E106"/>
    <mergeCell ref="G105:H106"/>
    <mergeCell ref="F80:H80"/>
    <mergeCell ref="F84:H84"/>
    <mergeCell ref="F88:H88"/>
    <mergeCell ref="G94:H94"/>
    <mergeCell ref="A89:E89"/>
    <mergeCell ref="C95:D95"/>
    <mergeCell ref="E95:F95"/>
    <mergeCell ref="B105:B106"/>
    <mergeCell ref="A105:A106"/>
    <mergeCell ref="C102:D102"/>
    <mergeCell ref="E102:F102"/>
    <mergeCell ref="E42:H42"/>
    <mergeCell ref="E43:H43"/>
    <mergeCell ref="E44:H44"/>
    <mergeCell ref="E45:H45"/>
    <mergeCell ref="A43:D4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62:C62"/>
    <mergeCell ref="D62:H62"/>
    <mergeCell ref="A65:C65"/>
    <mergeCell ref="D65:H65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50:B51"/>
    <mergeCell ref="A54:H54"/>
    <mergeCell ref="A55:C55"/>
    <mergeCell ref="A56:C5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41:H144"/>
    <mergeCell ref="A140:B140"/>
    <mergeCell ref="E140:F140"/>
    <mergeCell ref="C140:D140"/>
    <mergeCell ref="G140:H140"/>
    <mergeCell ref="A93:H93"/>
    <mergeCell ref="A91:E91"/>
    <mergeCell ref="F91:H91"/>
    <mergeCell ref="A92:E92"/>
    <mergeCell ref="F92:H92"/>
    <mergeCell ref="A117:H117"/>
    <mergeCell ref="A100:B100"/>
    <mergeCell ref="A95:B95"/>
    <mergeCell ref="A136:H136"/>
    <mergeCell ref="A98:H98"/>
    <mergeCell ref="A139:H139"/>
    <mergeCell ref="A137:H137"/>
    <mergeCell ref="B123:H123"/>
    <mergeCell ref="B124:H124"/>
    <mergeCell ref="B132:H132"/>
    <mergeCell ref="B133:H133"/>
    <mergeCell ref="G120:H120"/>
    <mergeCell ref="A104:H104"/>
    <mergeCell ref="C99:D99"/>
    <mergeCell ref="G99:H99"/>
    <mergeCell ref="A96:B96"/>
    <mergeCell ref="F90:H90"/>
    <mergeCell ref="A80:E80"/>
    <mergeCell ref="A85:E85"/>
    <mergeCell ref="F85:H85"/>
    <mergeCell ref="A86:E86"/>
    <mergeCell ref="A88:E88"/>
    <mergeCell ref="F83:H83"/>
    <mergeCell ref="A87:E87"/>
    <mergeCell ref="A83:E83"/>
    <mergeCell ref="E94:F94"/>
    <mergeCell ref="A94:B94"/>
    <mergeCell ref="A111:B111"/>
    <mergeCell ref="F87:H87"/>
    <mergeCell ref="C94:D94"/>
    <mergeCell ref="A90:E90"/>
    <mergeCell ref="G102:H102"/>
    <mergeCell ref="G119:H119"/>
    <mergeCell ref="C113:C114"/>
    <mergeCell ref="A115:H115"/>
    <mergeCell ref="E69:F69"/>
    <mergeCell ref="A103:H103"/>
    <mergeCell ref="A84:E84"/>
    <mergeCell ref="C105:C106"/>
    <mergeCell ref="C96:D96"/>
    <mergeCell ref="E96:F96"/>
    <mergeCell ref="A73:B73"/>
    <mergeCell ref="G96:H96"/>
    <mergeCell ref="A97:B97"/>
    <mergeCell ref="C97:D97"/>
    <mergeCell ref="E97:F97"/>
    <mergeCell ref="G97:H97"/>
    <mergeCell ref="A101:B101"/>
    <mergeCell ref="C101:D101"/>
    <mergeCell ref="E101:F101"/>
    <mergeCell ref="G101:H101"/>
    <mergeCell ref="A78:B78"/>
    <mergeCell ref="A79:B79"/>
    <mergeCell ref="D56:H56"/>
    <mergeCell ref="G52:H52"/>
    <mergeCell ref="A52:B53"/>
    <mergeCell ref="C53:H53"/>
    <mergeCell ref="C51:H51"/>
    <mergeCell ref="A134:H134"/>
    <mergeCell ref="E99:F99"/>
    <mergeCell ref="B131:H131"/>
    <mergeCell ref="G110:H110"/>
    <mergeCell ref="G108:H108"/>
    <mergeCell ref="G109:H109"/>
    <mergeCell ref="G111:H111"/>
    <mergeCell ref="B129:H129"/>
    <mergeCell ref="B125:H125"/>
    <mergeCell ref="A102:B102"/>
    <mergeCell ref="A63:C63"/>
    <mergeCell ref="D63:H63"/>
    <mergeCell ref="A64:C64"/>
    <mergeCell ref="D64:H64"/>
    <mergeCell ref="A70:B70"/>
    <mergeCell ref="G69:H69"/>
    <mergeCell ref="B113:B114"/>
    <mergeCell ref="D297:E297"/>
    <mergeCell ref="E41:H41"/>
    <mergeCell ref="A41:D41"/>
    <mergeCell ref="A138:H138"/>
    <mergeCell ref="A135:H135"/>
    <mergeCell ref="A118:B118"/>
    <mergeCell ref="A99:B99"/>
    <mergeCell ref="D113:D114"/>
    <mergeCell ref="E113:E114"/>
    <mergeCell ref="G113:H114"/>
    <mergeCell ref="A75:B75"/>
    <mergeCell ref="F81:H81"/>
    <mergeCell ref="G95:H95"/>
    <mergeCell ref="A48:B48"/>
    <mergeCell ref="C48:E48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8" max="16383" man="1"/>
    <brk id="144" max="7" man="1"/>
    <brk id="187" max="16383" man="1"/>
    <brk id="2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77" t="s">
        <v>109</v>
      </c>
      <c r="C3" s="177"/>
      <c r="D3" s="177"/>
      <c r="E3" s="177"/>
      <c r="F3" s="177"/>
      <c r="G3" s="177"/>
      <c r="H3" s="177"/>
    </row>
    <row r="4" spans="1:9" x14ac:dyDescent="0.25">
      <c r="A4" s="3"/>
      <c r="B4" s="4" t="s">
        <v>110</v>
      </c>
      <c r="C4" s="4" t="s">
        <v>111</v>
      </c>
      <c r="D4" s="4" t="s">
        <v>71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25">
      <c r="A5" s="3"/>
      <c r="B5" s="6" t="s">
        <v>114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2025-09-13T17:08:59Z</cp:lastPrinted>
  <dcterms:created xsi:type="dcterms:W3CDTF">2019-07-16T09:29:46Z</dcterms:created>
  <dcterms:modified xsi:type="dcterms:W3CDTF">2025-09-13T17:10:36Z</dcterms:modified>
</cp:coreProperties>
</file>