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19200" windowHeight="6645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Report!$A$1:$H$267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5" i="1" l="1"/>
  <c r="O114" i="1"/>
  <c r="L114" i="1"/>
  <c r="D108" i="1" l="1"/>
  <c r="D115" i="1"/>
  <c r="P115" i="1" s="1"/>
  <c r="D114" i="1"/>
  <c r="P114" i="1" s="1"/>
  <c r="C66" i="1"/>
  <c r="N115" i="1" l="1"/>
  <c r="K115" i="1"/>
  <c r="C100" i="1" l="1"/>
  <c r="C101" i="1" s="1"/>
  <c r="E100" i="1"/>
  <c r="E101" i="1" s="1"/>
  <c r="E109" i="1"/>
  <c r="D109" i="1"/>
  <c r="C96" i="1" s="1"/>
  <c r="C97" i="1" s="1"/>
  <c r="E108" i="1"/>
  <c r="F108" i="1" s="1"/>
  <c r="L109" i="1"/>
  <c r="L108" i="1"/>
  <c r="I108" i="1"/>
  <c r="I114" i="1"/>
  <c r="K109" i="1"/>
  <c r="K108" i="1"/>
  <c r="E96" i="1" l="1"/>
  <c r="E97" i="1" s="1"/>
  <c r="I115" i="1"/>
  <c r="G114" i="1"/>
  <c r="G50" i="1"/>
  <c r="E42" i="1" l="1"/>
  <c r="Z12" i="1" l="1"/>
  <c r="I14" i="1"/>
  <c r="E102" i="1" l="1"/>
  <c r="C102" i="1"/>
  <c r="E43" i="1" l="1"/>
  <c r="E44" i="1" s="1"/>
  <c r="C15" i="1" l="1"/>
  <c r="E30" i="1" l="1"/>
  <c r="G100" i="1" l="1"/>
  <c r="G101" i="1" s="1"/>
  <c r="A115" i="1"/>
  <c r="F93" i="1" l="1"/>
  <c r="F109" i="1" l="1"/>
  <c r="G96" i="1" s="1"/>
  <c r="G97" i="1" s="1"/>
  <c r="G102" i="1" s="1"/>
  <c r="B118" i="1" l="1"/>
  <c r="B119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39" i="1"/>
  <c r="A109" i="1"/>
  <c r="G108" i="1"/>
  <c r="B67" i="1"/>
  <c r="D55" i="1"/>
  <c r="C50" i="1"/>
  <c r="E27" i="1"/>
  <c r="E25" i="1"/>
  <c r="E3" i="1"/>
  <c r="D60" i="1" l="1"/>
  <c r="H6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C70" i="1" s="1"/>
  <c r="D70" i="1" s="1"/>
  <c r="J69" i="1"/>
  <c r="J74" i="1"/>
  <c r="J75" i="1" s="1"/>
  <c r="J76" i="1" s="1"/>
  <c r="J77" i="1" s="1"/>
  <c r="D72" i="1"/>
  <c r="J79" i="1" l="1"/>
  <c r="C71" i="1" s="1"/>
  <c r="G70" i="1" s="1"/>
  <c r="D64" i="1" s="1"/>
  <c r="D65" i="1" s="1"/>
  <c r="J67" i="1" l="1"/>
  <c r="D71" i="1"/>
  <c r="I67" i="1" s="1"/>
  <c r="I68" i="1" s="1"/>
  <c r="E70" i="1"/>
  <c r="F65" i="1"/>
  <c r="I66" i="1" l="1"/>
  <c r="C68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<sst xmlns="http://schemas.openxmlformats.org/spreadsheetml/2006/main" count="378" uniqueCount="272">
  <si>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</si>
  <si>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</si>
  <si>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</si>
  <si>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</si>
  <si>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</si>
  <si>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</si>
  <si>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</si>
  <si>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</si>
  <si>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</si>
  <si>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</si>
  <si>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</si>
  <si>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</si>
  <si>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</si>
  <si>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</si>
  <si>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</si>
  <si>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</si>
  <si>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</si>
  <si>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</si>
  <si>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</si>
  <si>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</si>
  <si>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</si>
  <si>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</si>
  <si>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</si>
  <si>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</si>
  <si>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</si>
  <si>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</si>
  <si>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</si>
  <si>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</si>
  <si>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</si>
  <si>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</si>
  <si>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</si>
  <si>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</si>
  <si>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</si>
  <si>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</si>
  <si>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</si>
  <si>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</si>
  <si>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</si>
  <si>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</si>
  <si>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</si>
  <si>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</si>
  <si>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</si>
  <si>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</si>
  <si>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</si>
  <si>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</si>
  <si>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</si>
  <si>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</si>
  <si>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</si>
  <si>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</si>
  <si>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</si>
  <si>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</si>
  <si>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</si>
  <si>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</si>
  <si>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</si>
  <si>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</si>
  <si>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</si>
  <si>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</si>
  <si>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</si>
  <si>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</si>
  <si>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</si>
  <si>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</si>
  <si>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</si>
  <si>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</si>
  <si>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</si>
  <si>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</si>
  <si>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</si>
  <si>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</si>
  <si>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</si>
  <si>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</si>
  <si>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</si>
  <si>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</si>
  <si>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</si>
  <si>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</si>
  <si>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</si>
  <si>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</si>
  <si>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</si>
  <si>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</si>
  <si>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</si>
  <si>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</si>
  <si>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</si>
  <si>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</si>
  <si>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</si>
  <si>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</si>
  <si>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</si>
  <si>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</si>
  <si>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</si>
  <si>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</si>
  <si>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</si>
  <si>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</si>
  <si>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</si>
  <si>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</si>
  <si>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</si>
  <si>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</si>
  <si>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</si>
  <si>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</si>
  <si>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</si>
  <si>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</si>
  <si>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</si>
  <si>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</si>
  <si>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</si>
  <si>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</si>
  <si>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</si>
  <si>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</si>
  <si>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</si>
  <si>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</si>
  <si>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</si>
  <si>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</si>
  <si>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</si>
  <si>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</si>
  <si>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</si>
  <si>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</si>
  <si>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</si>
  <si>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</si>
  <si>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</si>
  <si>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</si>
  <si>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</si>
  <si>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</si>
  <si>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</si>
  <si>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</si>
  <si>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</si>
  <si>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</si>
  <si>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</si>
  <si>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</si>
  <si>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</si>
  <si>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</si>
  <si>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</si>
  <si>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</si>
  <si>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</si>
  <si>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</si>
  <si>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</si>
  <si>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</si>
  <si>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</si>
  <si>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</si>
  <si>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</si>
  <si>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</si>
  <si>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</si>
  <si>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</si>
  <si>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</si>
  <si>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</si>
  <si>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</si>
  <si>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</si>
  <si>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</si>
  <si>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</si>
  <si>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</si>
  <si>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</si>
  <si>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</si>
  <si>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</si>
  <si>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</si>
  <si>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</si>
  <si>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</si>
  <si>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</si>
  <si>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</si>
  <si>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</si>
  <si>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</si>
  <si>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</si>
  <si>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</si>
  <si>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</si>
  <si>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</si>
  <si>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</si>
  <si>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</si>
  <si>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</si>
  <si>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</si>
  <si>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</si>
  <si>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</si>
  <si>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</si>
  <si>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</si>
  <si>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</si>
  <si>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</si>
  <si>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</si>
  <si>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</si>
  <si>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</si>
  <si>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</si>
  <si>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</si>
  <si>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</si>
  <si>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</si>
  <si>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</si>
  <si>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</si>
  <si>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</si>
  <si>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</si>
  <si>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</si>
  <si>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</si>
  <si>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</si>
  <si>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</si>
  <si>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</si>
  <si>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</si>
  <si>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</si>
  <si>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</si>
  <si>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</si>
  <si>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</si>
  <si>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</si>
  <si>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</si>
  <si>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</si>
  <si>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</si>
  <si>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</si>
  <si>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</si>
  <si>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</si>
  <si>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</si>
  <si>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</si>
  <si>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</si>
  <si>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</si>
  <si>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</si>
  <si>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</si>
  <si>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</si>
  <si>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</si>
  <si>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</si>
  <si>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</si>
  <si>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</si>
  <si>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</si>
  <si>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</si>
  <si>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</si>
  <si>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</si>
  <si>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</si>
  <si>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</si>
  <si>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</si>
  <si>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</si>
  <si>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</si>
  <si>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</si>
  <si>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</si>
  <si>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</si>
  <si>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</si>
  <si>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</si>
  <si>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</si>
  <si>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</si>
  <si>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</si>
  <si>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</si>
  <si>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</si>
  <si>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</si>
  <si>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</si>
  <si>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</si>
  <si>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</si>
  <si>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</si>
  <si>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</si>
  <si>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</si>
  <si>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</si>
  <si>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</si>
  <si>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Axis Badlapur</t>
  </si>
  <si>
    <t>V.D Enterprises</t>
  </si>
  <si>
    <t>Marigold Residency</t>
  </si>
  <si>
    <t>BK No</t>
  </si>
  <si>
    <t>1273/A, R.No.4,5,6,7, C.T.S No.17441, 17442, 17443, 17473(b), 17473(c)</t>
  </si>
  <si>
    <t>Ulhasnagar municipal corporation</t>
  </si>
  <si>
    <t>UMP/NRV/BP/54/21/537</t>
  </si>
  <si>
    <t>Upper Ground Floor For Parking</t>
  </si>
  <si>
    <t>1st to 7th Floor For Residential</t>
  </si>
  <si>
    <t>2BHK</t>
  </si>
  <si>
    <t xml:space="preserve">measurement by plan photo </t>
  </si>
  <si>
    <t>3BHK</t>
  </si>
  <si>
    <t>Sudhir Bhosale</t>
  </si>
  <si>
    <t>Shop + Godown</t>
  </si>
  <si>
    <t>Shop+Godown</t>
  </si>
  <si>
    <t>Compound Wall, Solar water Heater, Bore Well, Terrace Garden, Jogging Track, 24 Hour Battery Backup, Lift, Parking etc.</t>
  </si>
  <si>
    <t>Lower Ground Floor For Commercial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</si>
  <si>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</si>
  <si>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 xml:space="preserve">Other Plot </t>
  </si>
  <si>
    <t>19.219562,73.157384</t>
  </si>
  <si>
    <t>https://maps.app.goo.gl/j7qHrsyjEh2Rmo6B7</t>
  </si>
  <si>
    <t>Krishna Nagar</t>
  </si>
  <si>
    <t>Internal Road</t>
  </si>
  <si>
    <t>Laxmi heights</t>
  </si>
  <si>
    <t>Laxmi Heights</t>
  </si>
  <si>
    <t>Ulhasnagar West</t>
  </si>
  <si>
    <t>550M from Ulhasnagar Railway Station</t>
  </si>
  <si>
    <t>Internal Road/Building</t>
  </si>
  <si>
    <t>Houses</t>
  </si>
  <si>
    <t>Approved Plans, CC, Cost Sheet, Sale Plan</t>
  </si>
  <si>
    <t>We considered Gross carpet area = Net carpet + Otla + Enclosed Balcony + A.P Area + W.S Area + Utility Area</t>
  </si>
  <si>
    <t xml:space="preserve">Not Registered </t>
  </si>
  <si>
    <t>Flats - 14, Shop + Godown - 2</t>
  </si>
  <si>
    <t>LGr + UGr + 1st to 7th Floor</t>
  </si>
  <si>
    <t>Basement + Gr + 1st to 7th Floor</t>
  </si>
  <si>
    <t>Builder Saleable area</t>
  </si>
  <si>
    <t xml:space="preserve">Construction work is in process at the time of Visit (labour found).
</t>
  </si>
  <si>
    <t>Shruti Tathare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</si>
</sst>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0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9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25" xfId="0" applyFont="1" applyBorder="1"/>
    <xf numFmtId="0" fontId="26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15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/>
      <protection locked="0"/>
    </xf>
    <xf numFmtId="1" fontId="7" fillId="0" borderId="1" xfId="1" applyNumberFormat="1" applyFont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168" fontId="7" fillId="0" borderId="0" xfId="1" applyNumberFormat="1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25" fillId="2" borderId="12" xfId="0" applyFont="1" applyFill="1" applyBorder="1"/>
    <xf numFmtId="0" fontId="26" fillId="0" borderId="8" xfId="0" applyFont="1" applyBorder="1"/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1" fontId="10" fillId="0" borderId="27" xfId="0" applyNumberFormat="1" applyFont="1" applyBorder="1" applyAlignment="1" applyProtection="1">
      <alignment horizontal="center" vertical="top" wrapText="1"/>
      <protection locked="0"/>
    </xf>
    <xf numFmtId="1" fontId="8" fillId="0" borderId="27" xfId="0" applyNumberFormat="1" applyFont="1" applyBorder="1" applyAlignment="1" applyProtection="1">
      <alignment horizontal="center" vertical="top" wrapText="1"/>
      <protection locked="0"/>
    </xf>
    <xf numFmtId="1" fontId="8" fillId="0" borderId="28" xfId="0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12" fillId="0" borderId="1" xfId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7" fillId="0" borderId="7" xfId="0" applyNumberFormat="1" applyFont="1" applyBorder="1" applyAlignment="1" applyProtection="1">
      <alignment vertical="top" wrapText="1"/>
      <protection locked="0"/>
    </xf>
    <xf numFmtId="1" fontId="17" fillId="0" borderId="18" xfId="0" applyNumberFormat="1" applyFont="1" applyBorder="1" applyAlignment="1" applyProtection="1">
      <alignment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1" fontId="10" fillId="0" borderId="1" xfId="0" applyNumberFormat="1" applyFont="1" applyBorder="1" applyAlignment="1" applyProtection="1">
      <alignment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7" fontId="7" fillId="0" borderId="1" xfId="1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9" fontId="7" fillId="0" borderId="14" xfId="8" applyFont="1" applyFill="1" applyBorder="1" applyAlignment="1" applyProtection="1">
      <alignment horizontal="center" vertical="center" wrapText="1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20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0" fillId="0" borderId="7" xfId="1" applyFont="1" applyBorder="1" applyAlignment="1" applyProtection="1">
      <alignment horizontal="left" vertical="top"/>
      <protection locked="0"/>
    </xf>
    <xf numFmtId="0" fontId="10" fillId="0" borderId="18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2.pn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11" Type="http://schemas.openxmlformats.org/officeDocument/2006/relationships/image" Target="../media/image10.jpeg"/><Relationship Id="rId5" Type="http://schemas.openxmlformats.org/officeDocument/2006/relationships/image" Target="../media/image4.jpeg"/><Relationship Id="rId10" Type="http://schemas.openxmlformats.org/officeDocument/2006/relationships/image" Target="../media/image9.jpeg"/><Relationship Id="rId4" Type="http://schemas.openxmlformats.org/officeDocument/2006/relationships/image" Target="../media/image3.png"/><Relationship Id="rId9" Type="http://schemas.openxmlformats.org/officeDocument/2006/relationships/image" Target="../media/image8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448236</xdr:colOff>
      <xdr:row>183</xdr:row>
      <xdr:rowOff>124554</xdr:rowOff>
    </xdr:from>
    <xdr:to>
      <xdr:col>6</xdr:col>
      <xdr:colOff>201618</xdr:colOff>
      <xdr:row>205</xdr:row>
      <xdr:rowOff>7024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40000"/>
                  </a14:imgEffect>
                </a14:imgLayer>
              </a14:imgProps>
            </a:ext>
          </a:extLst>
        </a:blip>
        <a:srcRect l="1040" t="17177" r="6480" b="31168"/>
        <a:stretch/>
      </xdr:blipFill>
      <xdr:spPr>
        <a:xfrm rot="16200000">
          <a:off x="1252148" y="40356583"/>
          <a:ext cx="4320000" cy="4291765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3</xdr:col>
      <xdr:colOff>11207</xdr:colOff>
      <xdr:row>196</xdr:row>
      <xdr:rowOff>22412</xdr:rowOff>
    </xdr:from>
    <xdr:to>
      <xdr:col>3</xdr:col>
      <xdr:colOff>481854</xdr:colOff>
      <xdr:row>196</xdr:row>
      <xdr:rowOff>134471</xdr:rowOff>
    </xdr:to>
    <xdr:sp macro="" textlink="">
      <xdr:nvSpPr>
        <xdr:cNvPr id="3" name="Rectangle 2"/>
        <xdr:cNvSpPr/>
      </xdr:nvSpPr>
      <xdr:spPr>
        <a:xfrm rot="19785102">
          <a:off x="2678207" y="42862500"/>
          <a:ext cx="470647" cy="112059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661147</xdr:colOff>
      <xdr:row>243</xdr:row>
      <xdr:rowOff>158003</xdr:rowOff>
    </xdr:from>
    <xdr:to>
      <xdr:col>6</xdr:col>
      <xdr:colOff>704735</xdr:colOff>
      <xdr:row>263</xdr:row>
      <xdr:rowOff>86285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8108" t="21498" r="24706" b="16918"/>
        <a:stretch/>
      </xdr:blipFill>
      <xdr:spPr>
        <a:xfrm>
          <a:off x="661147" y="52904091"/>
          <a:ext cx="5400000" cy="396240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3</xdr:col>
      <xdr:colOff>452545</xdr:colOff>
      <xdr:row>251</xdr:row>
      <xdr:rowOff>191031</xdr:rowOff>
    </xdr:from>
    <xdr:to>
      <xdr:col>4</xdr:col>
      <xdr:colOff>103476</xdr:colOff>
      <xdr:row>253</xdr:row>
      <xdr:rowOff>12586</xdr:rowOff>
    </xdr:to>
    <xdr:sp macro="" textlink="">
      <xdr:nvSpPr>
        <xdr:cNvPr id="5" name="Rectangle 4"/>
        <xdr:cNvSpPr/>
      </xdr:nvSpPr>
      <xdr:spPr>
        <a:xfrm rot="20081134">
          <a:off x="3119545" y="54550766"/>
          <a:ext cx="659460" cy="224967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 editAs="oneCell">
    <xdr:from>
      <xdr:col>1</xdr:col>
      <xdr:colOff>241218</xdr:colOff>
      <xdr:row>226</xdr:row>
      <xdr:rowOff>100853</xdr:rowOff>
    </xdr:from>
    <xdr:to>
      <xdr:col>6</xdr:col>
      <xdr:colOff>382835</xdr:colOff>
      <xdr:row>242</xdr:row>
      <xdr:rowOff>158068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1698" t="33073" r="28038" b="16666"/>
        <a:stretch/>
      </xdr:blipFill>
      <xdr:spPr>
        <a:xfrm>
          <a:off x="1059247" y="49417941"/>
          <a:ext cx="4680000" cy="328451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38101</xdr:colOff>
      <xdr:row>171</xdr:row>
      <xdr:rowOff>0</xdr:rowOff>
    </xdr:from>
    <xdr:to>
      <xdr:col>7</xdr:col>
      <xdr:colOff>59223</xdr:colOff>
      <xdr:row>179</xdr:row>
      <xdr:rowOff>167687</xdr:rowOff>
    </xdr:to>
    <xdr:pic>
      <xdr:nvPicPr>
        <xdr:cNvPr id="20" name="Picture 19" descr="https://vsjcllp.vsjadon.com/upload/insp-247626-1525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57576" y="35775900"/>
          <a:ext cx="2345222" cy="176788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438150</xdr:colOff>
      <xdr:row>158</xdr:row>
      <xdr:rowOff>138113</xdr:rowOff>
    </xdr:from>
    <xdr:to>
      <xdr:col>2</xdr:col>
      <xdr:colOff>657225</xdr:colOff>
      <xdr:row>170</xdr:row>
      <xdr:rowOff>106107</xdr:rowOff>
    </xdr:to>
    <xdr:pic>
      <xdr:nvPicPr>
        <xdr:cNvPr id="31" name="Picture 30" descr="https://vsjcllp.vsjadon.com/upload/insp-247626-843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" y="33313688"/>
          <a:ext cx="1781175" cy="236829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581026</xdr:colOff>
      <xdr:row>170</xdr:row>
      <xdr:rowOff>177800</xdr:rowOff>
    </xdr:from>
    <xdr:to>
      <xdr:col>2</xdr:col>
      <xdr:colOff>348540</xdr:colOff>
      <xdr:row>179</xdr:row>
      <xdr:rowOff>145462</xdr:rowOff>
    </xdr:to>
    <xdr:pic>
      <xdr:nvPicPr>
        <xdr:cNvPr id="32" name="Picture 31" descr="https://vsjcllp.vsjadon.com/upload/insp-247626-849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6" y="35753675"/>
          <a:ext cx="1329614" cy="176788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762000</xdr:colOff>
      <xdr:row>158</xdr:row>
      <xdr:rowOff>147638</xdr:rowOff>
    </xdr:from>
    <xdr:to>
      <xdr:col>4</xdr:col>
      <xdr:colOff>685800</xdr:colOff>
      <xdr:row>170</xdr:row>
      <xdr:rowOff>115632</xdr:rowOff>
    </xdr:to>
    <xdr:pic>
      <xdr:nvPicPr>
        <xdr:cNvPr id="35" name="Picture 34" descr="https://vsjcllp.vsjadon.com/upload/insp-247626-86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24100" y="33323213"/>
          <a:ext cx="1781175" cy="236829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771524</xdr:colOff>
      <xdr:row>139</xdr:row>
      <xdr:rowOff>52387</xdr:rowOff>
    </xdr:from>
    <xdr:to>
      <xdr:col>7</xdr:col>
      <xdr:colOff>366338</xdr:colOff>
      <xdr:row>158</xdr:row>
      <xdr:rowOff>66674</xdr:rowOff>
    </xdr:to>
    <xdr:pic>
      <xdr:nvPicPr>
        <xdr:cNvPr id="38" name="Picture 37" descr="https://vsjcllp.vsjadon.com/upload/insp-247626-880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48024" y="29437012"/>
          <a:ext cx="2861889" cy="380523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170</xdr:row>
      <xdr:rowOff>192087</xdr:rowOff>
    </xdr:from>
    <xdr:to>
      <xdr:col>3</xdr:col>
      <xdr:colOff>866873</xdr:colOff>
      <xdr:row>179</xdr:row>
      <xdr:rowOff>159749</xdr:rowOff>
    </xdr:to>
    <xdr:pic>
      <xdr:nvPicPr>
        <xdr:cNvPr id="39" name="Picture 38" descr="https://vsjcllp.vsjadon.com/upload/insp-247626-916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19300" y="35767962"/>
          <a:ext cx="1324073" cy="176788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304799</xdr:colOff>
      <xdr:row>139</xdr:row>
      <xdr:rowOff>42862</xdr:rowOff>
    </xdr:from>
    <xdr:to>
      <xdr:col>3</xdr:col>
      <xdr:colOff>690188</xdr:colOff>
      <xdr:row>158</xdr:row>
      <xdr:rowOff>57149</xdr:rowOff>
    </xdr:to>
    <xdr:pic>
      <xdr:nvPicPr>
        <xdr:cNvPr id="40" name="Picture 39" descr="https://vsjcllp.vsjadon.com/upload/insp-247626-851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799" y="29427487"/>
          <a:ext cx="2861889" cy="380523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158</xdr:row>
      <xdr:rowOff>152400</xdr:rowOff>
    </xdr:from>
    <xdr:to>
      <xdr:col>7</xdr:col>
      <xdr:colOff>243067</xdr:colOff>
      <xdr:row>170</xdr:row>
      <xdr:rowOff>114300</xdr:rowOff>
    </xdr:to>
    <xdr:pic>
      <xdr:nvPicPr>
        <xdr:cNvPr id="41" name="Picture 40" descr="https://vsjcllp.vsjadon.com/upload/insp-247626-845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10050" y="33518475"/>
          <a:ext cx="1776592" cy="23622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j7qHrsyjEh2Rmo6B7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26"/>
  <sheetViews>
    <sheetView tabSelected="1" view="pageBreakPreview" zoomScaleNormal="100" zoomScaleSheetLayoutView="100" zoomScalePageLayoutView="85" workbookViewId="0">
      <selection activeCell="I206" sqref="I206"/>
    </sheetView>
  </sheetViews>
  <sheetFormatPr defaultColWidth="9.140625" defaultRowHeight="15.75" x14ac:dyDescent="0.25"/>
  <cols>
    <col min="1" max="1" width="11.42578125" style="38" customWidth="1"/>
    <col min="2" max="2" width="12" style="38" customWidth="1"/>
    <col min="3" max="3" width="13.7109375" style="38" customWidth="1"/>
    <col min="4" max="4" width="14.140625" style="38" customWidth="1"/>
    <col min="5" max="6" width="11.7109375" style="38" customWidth="1"/>
    <col min="7" max="7" width="11.42578125" style="38" customWidth="1"/>
    <col min="8" max="8" width="10.5703125" style="38" customWidth="1"/>
    <col min="9" max="9" width="17.42578125" style="19" customWidth="1"/>
    <col min="10" max="10" width="11.42578125" style="19" customWidth="1"/>
    <col min="11" max="11" width="10.570312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7109375" style="19" customWidth="1"/>
    <col min="17" max="247" width="9.140625" style="19"/>
    <col min="248" max="248" width="8.7109375" style="19" customWidth="1"/>
    <col min="249" max="249" width="9.855468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7109375" style="19" customWidth="1"/>
    <col min="505" max="505" width="9.855468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7109375" style="19" customWidth="1"/>
    <col min="761" max="761" width="9.855468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7109375" style="19" customWidth="1"/>
    <col min="1017" max="1017" width="9.855468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7109375" style="19" customWidth="1"/>
    <col min="1273" max="1273" width="9.855468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7109375" style="19" customWidth="1"/>
    <col min="1529" max="1529" width="9.855468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7109375" style="19" customWidth="1"/>
    <col min="1785" max="1785" width="9.855468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7109375" style="19" customWidth="1"/>
    <col min="2041" max="2041" width="9.855468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7109375" style="19" customWidth="1"/>
    <col min="2297" max="2297" width="9.855468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7109375" style="19" customWidth="1"/>
    <col min="2553" max="2553" width="9.855468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7109375" style="19" customWidth="1"/>
    <col min="2809" max="2809" width="9.855468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7109375" style="19" customWidth="1"/>
    <col min="3065" max="3065" width="9.855468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7109375" style="19" customWidth="1"/>
    <col min="3321" max="3321" width="9.855468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7109375" style="19" customWidth="1"/>
    <col min="3577" max="3577" width="9.855468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7109375" style="19" customWidth="1"/>
    <col min="3833" max="3833" width="9.855468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7109375" style="19" customWidth="1"/>
    <col min="4089" max="4089" width="9.855468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7109375" style="19" customWidth="1"/>
    <col min="4345" max="4345" width="9.855468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7109375" style="19" customWidth="1"/>
    <col min="4601" max="4601" width="9.855468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7109375" style="19" customWidth="1"/>
    <col min="4857" max="4857" width="9.855468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7109375" style="19" customWidth="1"/>
    <col min="5113" max="5113" width="9.855468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7109375" style="19" customWidth="1"/>
    <col min="5369" max="5369" width="9.855468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7109375" style="19" customWidth="1"/>
    <col min="5625" max="5625" width="9.855468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7109375" style="19" customWidth="1"/>
    <col min="5881" max="5881" width="9.855468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7109375" style="19" customWidth="1"/>
    <col min="6137" max="6137" width="9.855468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7109375" style="19" customWidth="1"/>
    <col min="6393" max="6393" width="9.855468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7109375" style="19" customWidth="1"/>
    <col min="6649" max="6649" width="9.855468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7109375" style="19" customWidth="1"/>
    <col min="6905" max="6905" width="9.855468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7109375" style="19" customWidth="1"/>
    <col min="7161" max="7161" width="9.855468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7109375" style="19" customWidth="1"/>
    <col min="7417" max="7417" width="9.855468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7109375" style="19" customWidth="1"/>
    <col min="7673" max="7673" width="9.855468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7109375" style="19" customWidth="1"/>
    <col min="7929" max="7929" width="9.855468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7109375" style="19" customWidth="1"/>
    <col min="8185" max="8185" width="9.855468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7109375" style="19" customWidth="1"/>
    <col min="8441" max="8441" width="9.855468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7109375" style="19" customWidth="1"/>
    <col min="8697" max="8697" width="9.855468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7109375" style="19" customWidth="1"/>
    <col min="8953" max="8953" width="9.855468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7109375" style="19" customWidth="1"/>
    <col min="9209" max="9209" width="9.855468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7109375" style="19" customWidth="1"/>
    <col min="9465" max="9465" width="9.855468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7109375" style="19" customWidth="1"/>
    <col min="9721" max="9721" width="9.855468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7109375" style="19" customWidth="1"/>
    <col min="9977" max="9977" width="9.855468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7109375" style="19" customWidth="1"/>
    <col min="10233" max="10233" width="9.855468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7109375" style="19" customWidth="1"/>
    <col min="10489" max="10489" width="9.855468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7109375" style="19" customWidth="1"/>
    <col min="10745" max="10745" width="9.855468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7109375" style="19" customWidth="1"/>
    <col min="11001" max="11001" width="9.855468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7109375" style="19" customWidth="1"/>
    <col min="11257" max="11257" width="9.855468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7109375" style="19" customWidth="1"/>
    <col min="11513" max="11513" width="9.855468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7109375" style="19" customWidth="1"/>
    <col min="11769" max="11769" width="9.855468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7109375" style="19" customWidth="1"/>
    <col min="12025" max="12025" width="9.855468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7109375" style="19" customWidth="1"/>
    <col min="12281" max="12281" width="9.855468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7109375" style="19" customWidth="1"/>
    <col min="12537" max="12537" width="9.855468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7109375" style="19" customWidth="1"/>
    <col min="12793" max="12793" width="9.855468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7109375" style="19" customWidth="1"/>
    <col min="13049" max="13049" width="9.855468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7109375" style="19" customWidth="1"/>
    <col min="13305" max="13305" width="9.855468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7109375" style="19" customWidth="1"/>
    <col min="13561" max="13561" width="9.855468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7109375" style="19" customWidth="1"/>
    <col min="13817" max="13817" width="9.855468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7109375" style="19" customWidth="1"/>
    <col min="14073" max="14073" width="9.855468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7109375" style="19" customWidth="1"/>
    <col min="14329" max="14329" width="9.855468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7109375" style="19" customWidth="1"/>
    <col min="14585" max="14585" width="9.855468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7109375" style="19" customWidth="1"/>
    <col min="14841" max="14841" width="9.855468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7109375" style="19" customWidth="1"/>
    <col min="15097" max="15097" width="9.855468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7109375" style="19" customWidth="1"/>
    <col min="15353" max="15353" width="9.855468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7109375" style="19" customWidth="1"/>
    <col min="15609" max="15609" width="9.855468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7109375" style="19" customWidth="1"/>
    <col min="15865" max="15865" width="9.855468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7109375" style="19" customWidth="1"/>
    <col min="16121" max="16121" width="9.855468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26" ht="46.5" customHeight="1" x14ac:dyDescent="0.25">
      <c r="A1" s="136" t="s">
        <v>167</v>
      </c>
      <c r="B1" s="136"/>
      <c r="C1" s="136"/>
      <c r="D1" s="136"/>
      <c r="E1" s="136"/>
      <c r="F1" s="136"/>
      <c r="G1" s="136"/>
      <c r="H1" s="136"/>
    </row>
    <row r="2" spans="1:26" ht="16.5" customHeight="1" x14ac:dyDescent="0.25">
      <c r="A2" s="135" t="s">
        <v>0</v>
      </c>
      <c r="B2" s="135"/>
      <c r="C2" s="135"/>
      <c r="D2" s="135"/>
      <c r="E2" s="135"/>
      <c r="F2" s="135"/>
      <c r="G2" s="135"/>
      <c r="H2" s="135"/>
    </row>
    <row r="3" spans="1:26" x14ac:dyDescent="0.25">
      <c r="A3" s="104" t="s">
        <v>1</v>
      </c>
      <c r="B3" s="104"/>
      <c r="C3" s="104"/>
      <c r="D3" s="104"/>
      <c r="E3" s="104" t="str">
        <f ca="1">TEXT(TODAY(),"DD/MM/YYYY")</f>
        <v>13/09/2025</v>
      </c>
      <c r="F3" s="104"/>
      <c r="G3" s="104"/>
      <c r="H3" s="104"/>
    </row>
    <row r="4" spans="1:26" ht="15" customHeight="1" x14ac:dyDescent="0.25">
      <c r="A4" s="104" t="s">
        <v>2</v>
      </c>
      <c r="B4" s="104"/>
      <c r="C4" s="104"/>
      <c r="D4" s="104"/>
      <c r="E4" s="105" t="s">
        <v>234</v>
      </c>
      <c r="F4" s="105"/>
      <c r="G4" s="105"/>
      <c r="H4" s="105"/>
    </row>
    <row r="5" spans="1:26" x14ac:dyDescent="0.25">
      <c r="A5" s="104" t="s">
        <v>3</v>
      </c>
      <c r="B5" s="104"/>
      <c r="C5" s="104"/>
      <c r="D5" s="104"/>
      <c r="E5" s="138">
        <v>45911</v>
      </c>
      <c r="F5" s="104"/>
      <c r="G5" s="104"/>
      <c r="H5" s="104"/>
    </row>
    <row r="6" spans="1:26" ht="16.5" customHeight="1" x14ac:dyDescent="0.25">
      <c r="A6" s="104" t="s">
        <v>4</v>
      </c>
      <c r="B6" s="104"/>
      <c r="C6" s="104"/>
      <c r="D6" s="104"/>
      <c r="E6" s="104" t="s">
        <v>235</v>
      </c>
      <c r="F6" s="104"/>
      <c r="G6" s="104"/>
      <c r="H6" s="104"/>
    </row>
    <row r="7" spans="1:26" ht="15" customHeight="1" x14ac:dyDescent="0.25">
      <c r="A7" s="104" t="s">
        <v>5</v>
      </c>
      <c r="B7" s="104"/>
      <c r="C7" s="104"/>
      <c r="D7" s="104"/>
      <c r="E7" s="104" t="s">
        <v>235</v>
      </c>
      <c r="F7" s="104"/>
      <c r="G7" s="104"/>
      <c r="H7" s="104"/>
    </row>
    <row r="8" spans="1:26" x14ac:dyDescent="0.25">
      <c r="A8" s="104" t="s">
        <v>6</v>
      </c>
      <c r="B8" s="104"/>
      <c r="C8" s="104"/>
      <c r="D8" s="104"/>
      <c r="E8" s="137" t="s">
        <v>236</v>
      </c>
      <c r="F8" s="137"/>
      <c r="G8" s="137"/>
      <c r="H8" s="137"/>
    </row>
    <row r="9" spans="1:26" x14ac:dyDescent="0.25">
      <c r="A9" s="104" t="s">
        <v>170</v>
      </c>
      <c r="B9" s="104"/>
      <c r="C9" s="104"/>
      <c r="D9" s="104"/>
      <c r="E9" s="104">
        <v>9890164999</v>
      </c>
      <c r="F9" s="104"/>
      <c r="G9" s="104"/>
      <c r="H9" s="104"/>
    </row>
    <row r="10" spans="1:26" x14ac:dyDescent="0.25">
      <c r="A10" s="104" t="s">
        <v>171</v>
      </c>
      <c r="B10" s="104"/>
      <c r="C10" s="104"/>
      <c r="D10" s="104"/>
      <c r="E10" s="104" t="s">
        <v>29</v>
      </c>
      <c r="F10" s="104"/>
      <c r="G10" s="104"/>
      <c r="H10" s="104"/>
    </row>
    <row r="11" spans="1:26" x14ac:dyDescent="0.25">
      <c r="A11" s="104" t="s">
        <v>7</v>
      </c>
      <c r="B11" s="104"/>
      <c r="C11" s="104"/>
      <c r="D11" s="104"/>
      <c r="E11" s="104" t="s">
        <v>122</v>
      </c>
      <c r="F11" s="104"/>
      <c r="G11" s="104"/>
      <c r="H11" s="104"/>
    </row>
    <row r="12" spans="1:26" x14ac:dyDescent="0.25">
      <c r="A12" s="104" t="s">
        <v>173</v>
      </c>
      <c r="B12" s="104"/>
      <c r="C12" s="104"/>
      <c r="D12" s="104"/>
      <c r="E12" s="104" t="s">
        <v>29</v>
      </c>
      <c r="F12" s="104"/>
      <c r="G12" s="104"/>
      <c r="H12" s="104"/>
      <c r="S12" s="49" t="s">
        <v>181</v>
      </c>
      <c r="T12" s="49" t="s">
        <v>191</v>
      </c>
      <c r="U12" s="49" t="s">
        <v>174</v>
      </c>
      <c r="V12" s="49" t="s">
        <v>196</v>
      </c>
      <c r="W12" s="49" t="s">
        <v>214</v>
      </c>
      <c r="X12"/>
      <c r="Y12" t="s">
        <v>196</v>
      </c>
      <c r="Z12" t="e">
        <f ca="1">OFFSET($S$12,1,MATCH($G19,$S$12:$W$12,0)-1,15,1)</f>
        <v>#VALUE!</v>
      </c>
    </row>
    <row r="13" spans="1:26" x14ac:dyDescent="0.25">
      <c r="A13" s="69" t="s">
        <v>8</v>
      </c>
      <c r="B13" s="69"/>
      <c r="C13" s="69"/>
      <c r="D13" s="69"/>
      <c r="E13" s="96" t="s">
        <v>263</v>
      </c>
      <c r="F13" s="96"/>
      <c r="G13" s="96"/>
      <c r="H13" s="96"/>
      <c r="I13" s="20"/>
      <c r="S13" s="49" t="s">
        <v>182</v>
      </c>
      <c r="T13" s="49" t="s">
        <v>189</v>
      </c>
      <c r="U13" s="49" t="s">
        <v>211</v>
      </c>
      <c r="V13" s="49" t="s">
        <v>197</v>
      </c>
      <c r="W13" s="49" t="s">
        <v>215</v>
      </c>
      <c r="X13"/>
      <c r="Y13"/>
      <c r="Z13"/>
    </row>
    <row r="14" spans="1:26" x14ac:dyDescent="0.25">
      <c r="A14" s="69" t="s">
        <v>9</v>
      </c>
      <c r="B14" s="69"/>
      <c r="C14" s="69"/>
      <c r="D14" s="69"/>
      <c r="E14" s="98" t="s">
        <v>265</v>
      </c>
      <c r="F14" s="104"/>
      <c r="G14" s="104"/>
      <c r="H14" s="104"/>
      <c r="I14" s="92" t="e">
        <f ca="1">OFFSET($D$4,1,MATCH($J12,$D$4:$H$4,0)-1,15,1)</f>
        <v>#N/A</v>
      </c>
      <c r="J14" s="93"/>
      <c r="K14" s="93"/>
      <c r="L14" s="93"/>
      <c r="M14" s="93"/>
      <c r="N14" s="93"/>
      <c r="O14" s="93"/>
      <c r="P14" s="93"/>
      <c r="S14" s="49" t="s">
        <v>183</v>
      </c>
      <c r="T14" s="49" t="s">
        <v>190</v>
      </c>
      <c r="U14" s="49" t="s">
        <v>212</v>
      </c>
      <c r="V14" s="49" t="s">
        <v>198</v>
      </c>
      <c r="W14" s="49" t="s">
        <v>228</v>
      </c>
      <c r="X14"/>
      <c r="Y14"/>
      <c r="Z14"/>
    </row>
    <row r="15" spans="1:26" ht="51" customHeight="1" x14ac:dyDescent="0.25">
      <c r="A15" s="78" t="s">
        <v>10</v>
      </c>
      <c r="B15" s="78"/>
      <c r="C15" s="78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Marigold Residency, BK No.1273/A, R.No.4,5,6,7, C.T.S No.17441, 17442, 17443, 17473(b), 17473(c), near Laxmi Heights, Internal Road, Krishna Nagar, Ulhasnagar, Ulhasnagar West, Ulhasnagar, Thane  - 421004.</v>
      </c>
      <c r="D15" s="78"/>
      <c r="E15" s="78"/>
      <c r="F15" s="78"/>
      <c r="G15" s="78"/>
      <c r="H15" s="78"/>
      <c r="S15" s="49" t="s">
        <v>184</v>
      </c>
      <c r="T15" s="49" t="s">
        <v>192</v>
      </c>
      <c r="U15" s="49" t="s">
        <v>213</v>
      </c>
      <c r="V15" s="49" t="s">
        <v>199</v>
      </c>
      <c r="W15" s="49" t="s">
        <v>216</v>
      </c>
      <c r="X15"/>
      <c r="Y15"/>
      <c r="Z15"/>
    </row>
    <row r="16" spans="1:26" ht="16.5" customHeight="1" x14ac:dyDescent="0.25">
      <c r="A16" s="96" t="s">
        <v>237</v>
      </c>
      <c r="B16" s="96"/>
      <c r="C16" s="96" t="s">
        <v>238</v>
      </c>
      <c r="D16" s="96"/>
      <c r="E16" s="96"/>
      <c r="F16" s="96"/>
      <c r="G16" s="96"/>
      <c r="H16" s="96"/>
      <c r="S16" s="49" t="s">
        <v>185</v>
      </c>
      <c r="T16" s="49" t="s">
        <v>193</v>
      </c>
      <c r="U16" s="49"/>
      <c r="V16" s="49" t="s">
        <v>200</v>
      </c>
      <c r="W16" s="49" t="s">
        <v>217</v>
      </c>
      <c r="X16"/>
      <c r="Y16"/>
      <c r="Z16"/>
    </row>
    <row r="17" spans="1:26" ht="15.75" customHeight="1" x14ac:dyDescent="0.25">
      <c r="A17" s="98" t="s">
        <v>165</v>
      </c>
      <c r="B17" s="98"/>
      <c r="C17" s="98" t="s">
        <v>255</v>
      </c>
      <c r="D17" s="98"/>
      <c r="E17" s="98"/>
      <c r="F17" s="98"/>
      <c r="G17" s="98"/>
      <c r="H17" s="98"/>
      <c r="S17" s="49" t="s">
        <v>186</v>
      </c>
      <c r="T17" s="49" t="s">
        <v>191</v>
      </c>
      <c r="U17" s="49"/>
      <c r="V17" s="49" t="s">
        <v>201</v>
      </c>
      <c r="W17" s="49" t="s">
        <v>218</v>
      </c>
      <c r="X17"/>
      <c r="Y17"/>
      <c r="Z17"/>
    </row>
    <row r="18" spans="1:26" ht="15.75" customHeight="1" x14ac:dyDescent="0.25">
      <c r="A18" s="78" t="s">
        <v>11</v>
      </c>
      <c r="B18" s="78"/>
      <c r="C18" s="104" t="s">
        <v>256</v>
      </c>
      <c r="D18" s="104"/>
      <c r="E18" s="78" t="s">
        <v>73</v>
      </c>
      <c r="F18" s="78"/>
      <c r="G18" s="98" t="s">
        <v>186</v>
      </c>
      <c r="H18" s="98"/>
      <c r="S18" s="49" t="s">
        <v>187</v>
      </c>
      <c r="T18" s="49" t="s">
        <v>194</v>
      </c>
      <c r="U18" s="49"/>
      <c r="V18" s="49" t="s">
        <v>202</v>
      </c>
      <c r="W18" s="49" t="s">
        <v>219</v>
      </c>
      <c r="X18"/>
      <c r="Y18"/>
      <c r="Z18"/>
    </row>
    <row r="19" spans="1:26" x14ac:dyDescent="0.25">
      <c r="A19" s="69" t="s">
        <v>13</v>
      </c>
      <c r="B19" s="69"/>
      <c r="C19" s="96" t="s">
        <v>259</v>
      </c>
      <c r="D19" s="96"/>
      <c r="E19" s="96" t="s">
        <v>12</v>
      </c>
      <c r="F19" s="96"/>
      <c r="G19" s="97" t="s">
        <v>181</v>
      </c>
      <c r="H19" s="97"/>
      <c r="S19" s="49" t="s">
        <v>188</v>
      </c>
      <c r="T19" s="49" t="s">
        <v>195</v>
      </c>
      <c r="U19" s="49"/>
      <c r="V19" s="49" t="s">
        <v>203</v>
      </c>
      <c r="W19" s="49" t="s">
        <v>220</v>
      </c>
      <c r="X19"/>
      <c r="Y19"/>
      <c r="Z19"/>
    </row>
    <row r="20" spans="1:26" x14ac:dyDescent="0.25">
      <c r="A20" s="69" t="s">
        <v>74</v>
      </c>
      <c r="B20" s="69"/>
      <c r="C20" s="96" t="s">
        <v>186</v>
      </c>
      <c r="D20" s="96"/>
      <c r="E20" s="96" t="s">
        <v>14</v>
      </c>
      <c r="F20" s="96"/>
      <c r="G20" s="96">
        <v>421004</v>
      </c>
      <c r="H20" s="96"/>
      <c r="S20" s="49"/>
      <c r="T20" s="49"/>
      <c r="U20" s="49"/>
      <c r="V20" s="49" t="s">
        <v>204</v>
      </c>
      <c r="W20" s="49" t="s">
        <v>221</v>
      </c>
      <c r="X20"/>
      <c r="Y20"/>
      <c r="Z20"/>
    </row>
    <row r="21" spans="1:26" ht="48.75" customHeight="1" x14ac:dyDescent="0.25">
      <c r="A21" s="69" t="s">
        <v>123</v>
      </c>
      <c r="B21" s="69"/>
      <c r="C21" s="96" t="s">
        <v>258</v>
      </c>
      <c r="D21" s="96"/>
      <c r="E21" s="96" t="s">
        <v>15</v>
      </c>
      <c r="F21" s="96"/>
      <c r="G21" s="96" t="s">
        <v>260</v>
      </c>
      <c r="H21" s="96"/>
      <c r="S21" s="49"/>
      <c r="T21" s="49"/>
      <c r="U21" s="49"/>
      <c r="V21" s="49" t="s">
        <v>205</v>
      </c>
      <c r="W21" s="49" t="s">
        <v>222</v>
      </c>
      <c r="X21"/>
      <c r="Y21"/>
      <c r="Z21"/>
    </row>
    <row r="22" spans="1:26" ht="15" customHeight="1" x14ac:dyDescent="0.25">
      <c r="A22" s="78" t="s">
        <v>76</v>
      </c>
      <c r="B22" s="78"/>
      <c r="C22" s="78"/>
      <c r="D22" s="78"/>
      <c r="E22" s="104" t="s">
        <v>16</v>
      </c>
      <c r="F22" s="104"/>
      <c r="G22" s="104"/>
      <c r="H22" s="104"/>
      <c r="S22" s="49"/>
      <c r="T22" s="49"/>
      <c r="U22" s="49"/>
      <c r="V22" s="49" t="s">
        <v>206</v>
      </c>
      <c r="W22" s="49" t="s">
        <v>223</v>
      </c>
      <c r="X22"/>
      <c r="Y22"/>
      <c r="Z22"/>
    </row>
    <row r="23" spans="1:26" ht="18.75" customHeight="1" x14ac:dyDescent="0.25">
      <c r="A23" s="78"/>
      <c r="B23" s="78"/>
      <c r="C23" s="78"/>
      <c r="D23" s="78"/>
      <c r="E23" s="104"/>
      <c r="F23" s="104"/>
      <c r="G23" s="104"/>
      <c r="H23" s="104"/>
      <c r="S23" s="49"/>
      <c r="T23" s="49"/>
      <c r="U23" s="49"/>
      <c r="V23" s="49" t="s">
        <v>207</v>
      </c>
      <c r="W23" s="49" t="s">
        <v>224</v>
      </c>
      <c r="X23"/>
      <c r="Y23"/>
      <c r="Z23"/>
    </row>
    <row r="24" spans="1:26" ht="15" customHeight="1" x14ac:dyDescent="0.25">
      <c r="A24" s="78" t="s">
        <v>17</v>
      </c>
      <c r="B24" s="78"/>
      <c r="C24" s="78"/>
      <c r="D24" s="78"/>
      <c r="E24" s="98" t="s">
        <v>18</v>
      </c>
      <c r="F24" s="98"/>
      <c r="G24" s="98"/>
      <c r="H24" s="98"/>
      <c r="S24" s="49"/>
      <c r="T24" s="49"/>
      <c r="U24" s="49"/>
      <c r="V24" s="49" t="s">
        <v>208</v>
      </c>
      <c r="W24" s="49" t="s">
        <v>225</v>
      </c>
      <c r="X24"/>
      <c r="Y24"/>
      <c r="Z24"/>
    </row>
    <row r="25" spans="1:26" ht="15" customHeight="1" x14ac:dyDescent="0.25">
      <c r="A25" s="69" t="s">
        <v>19</v>
      </c>
      <c r="B25" s="69"/>
      <c r="C25" s="69"/>
      <c r="D25" s="69"/>
      <c r="E25" s="98" t="str">
        <f>IF(AND(G19="Mumbai"),"Upper Class","Middle Class")</f>
        <v>Middle Class</v>
      </c>
      <c r="F25" s="98"/>
      <c r="G25" s="98"/>
      <c r="H25" s="98"/>
      <c r="S25" s="49"/>
      <c r="T25" s="49"/>
      <c r="U25" s="49"/>
      <c r="V25" s="49" t="s">
        <v>209</v>
      </c>
      <c r="W25" s="49" t="s">
        <v>226</v>
      </c>
      <c r="X25"/>
      <c r="Y25"/>
      <c r="Z25"/>
    </row>
    <row r="26" spans="1:26" x14ac:dyDescent="0.25">
      <c r="A26" s="69" t="s">
        <v>20</v>
      </c>
      <c r="B26" s="69"/>
      <c r="C26" s="69"/>
      <c r="D26" s="69"/>
      <c r="E26" s="98" t="s">
        <v>21</v>
      </c>
      <c r="F26" s="98"/>
      <c r="G26" s="98"/>
      <c r="H26" s="98"/>
      <c r="S26" s="49"/>
      <c r="T26" s="49"/>
      <c r="U26" s="49"/>
      <c r="V26" s="49" t="s">
        <v>210</v>
      </c>
      <c r="W26" s="49" t="s">
        <v>227</v>
      </c>
      <c r="X26"/>
      <c r="Y26"/>
      <c r="Z26"/>
    </row>
    <row r="27" spans="1:26" ht="15.75" customHeight="1" x14ac:dyDescent="0.25">
      <c r="A27" s="69" t="s">
        <v>22</v>
      </c>
      <c r="B27" s="69"/>
      <c r="C27" s="69"/>
      <c r="D27" s="69"/>
      <c r="E27" s="98" t="str">
        <f>IF(AND(G19="Mumbai"),"Developed","Developing")</f>
        <v>Developing</v>
      </c>
      <c r="F27" s="98"/>
      <c r="G27" s="98"/>
      <c r="H27" s="98"/>
    </row>
    <row r="28" spans="1:26" x14ac:dyDescent="0.25">
      <c r="A28" s="69" t="s">
        <v>23</v>
      </c>
      <c r="B28" s="69"/>
      <c r="C28" s="69"/>
      <c r="D28" s="69"/>
      <c r="E28" s="98" t="s">
        <v>24</v>
      </c>
      <c r="F28" s="98"/>
      <c r="G28" s="98"/>
      <c r="H28" s="98"/>
    </row>
    <row r="29" spans="1:26" ht="15.75" customHeight="1" x14ac:dyDescent="0.25">
      <c r="A29" s="69" t="s">
        <v>81</v>
      </c>
      <c r="B29" s="69"/>
      <c r="C29" s="69"/>
      <c r="D29" s="69"/>
      <c r="E29" s="98" t="s">
        <v>82</v>
      </c>
      <c r="F29" s="98"/>
      <c r="G29" s="98"/>
      <c r="H29" s="98"/>
    </row>
    <row r="30" spans="1:26" ht="15" customHeight="1" x14ac:dyDescent="0.25">
      <c r="A30" s="69" t="s">
        <v>32</v>
      </c>
      <c r="B30" s="69"/>
      <c r="C30" s="69"/>
      <c r="D30" s="69"/>
      <c r="E30" s="98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98"/>
      <c r="G30" s="98"/>
      <c r="H30" s="98"/>
    </row>
    <row r="31" spans="1:26" ht="15.75" customHeight="1" x14ac:dyDescent="0.25">
      <c r="A31" s="69" t="s">
        <v>93</v>
      </c>
      <c r="B31" s="69"/>
      <c r="C31" s="69"/>
      <c r="D31" s="69"/>
      <c r="E31" s="98" t="s">
        <v>33</v>
      </c>
      <c r="F31" s="98"/>
      <c r="G31" s="98"/>
      <c r="H31" s="98"/>
    </row>
    <row r="32" spans="1:26" s="20" customFormat="1" x14ac:dyDescent="0.25">
      <c r="A32" s="142" t="s">
        <v>94</v>
      </c>
      <c r="B32" s="142"/>
      <c r="C32" s="141" t="s">
        <v>175</v>
      </c>
      <c r="D32" s="141"/>
      <c r="E32" s="141"/>
      <c r="F32" s="141" t="s">
        <v>30</v>
      </c>
      <c r="G32" s="141"/>
      <c r="H32" s="141"/>
    </row>
    <row r="33" spans="1:8" s="20" customFormat="1" x14ac:dyDescent="0.25">
      <c r="A33" s="139" t="s">
        <v>25</v>
      </c>
      <c r="B33" s="139" t="s">
        <v>29</v>
      </c>
      <c r="C33" s="140" t="s">
        <v>252</v>
      </c>
      <c r="D33" s="140"/>
      <c r="E33" s="140"/>
      <c r="F33" s="140" t="s">
        <v>262</v>
      </c>
      <c r="G33" s="140"/>
      <c r="H33" s="140"/>
    </row>
    <row r="34" spans="1:8" x14ac:dyDescent="0.25">
      <c r="A34" s="143" t="s">
        <v>26</v>
      </c>
      <c r="B34" s="143" t="s">
        <v>29</v>
      </c>
      <c r="C34" s="143" t="s">
        <v>252</v>
      </c>
      <c r="D34" s="143"/>
      <c r="E34" s="143"/>
      <c r="F34" s="94" t="s">
        <v>256</v>
      </c>
      <c r="G34" s="94"/>
      <c r="H34" s="94"/>
    </row>
    <row r="35" spans="1:8" s="20" customFormat="1" x14ac:dyDescent="0.25">
      <c r="A35" s="139" t="s">
        <v>28</v>
      </c>
      <c r="B35" s="139" t="s">
        <v>29</v>
      </c>
      <c r="C35" s="140" t="s">
        <v>252</v>
      </c>
      <c r="D35" s="140"/>
      <c r="E35" s="140"/>
      <c r="F35" s="140" t="s">
        <v>261</v>
      </c>
      <c r="G35" s="140"/>
      <c r="H35" s="140"/>
    </row>
    <row r="36" spans="1:8" x14ac:dyDescent="0.25">
      <c r="A36" s="139" t="s">
        <v>27</v>
      </c>
      <c r="B36" s="139" t="s">
        <v>29</v>
      </c>
      <c r="C36" s="140" t="s">
        <v>252</v>
      </c>
      <c r="D36" s="140"/>
      <c r="E36" s="140"/>
      <c r="F36" s="140" t="s">
        <v>257</v>
      </c>
      <c r="G36" s="140"/>
      <c r="H36" s="140"/>
    </row>
    <row r="37" spans="1:8" x14ac:dyDescent="0.25">
      <c r="A37" s="69" t="s">
        <v>31</v>
      </c>
      <c r="B37" s="69"/>
      <c r="C37" s="69"/>
      <c r="D37" s="69"/>
      <c r="E37" s="69"/>
      <c r="F37" s="69"/>
      <c r="G37" s="69"/>
      <c r="H37" s="69"/>
    </row>
    <row r="38" spans="1:8" ht="15.75" customHeight="1" x14ac:dyDescent="0.25">
      <c r="A38" s="69" t="s">
        <v>168</v>
      </c>
      <c r="B38" s="69"/>
      <c r="C38" s="145" t="s">
        <v>253</v>
      </c>
      <c r="D38" s="145"/>
      <c r="E38" s="145"/>
      <c r="F38" s="145"/>
      <c r="G38" s="145"/>
      <c r="H38" s="145"/>
    </row>
    <row r="39" spans="1:8" x14ac:dyDescent="0.25">
      <c r="A39" s="69" t="s">
        <v>164</v>
      </c>
      <c r="B39" s="69"/>
      <c r="C39" s="185" t="s">
        <v>254</v>
      </c>
      <c r="D39" s="98"/>
      <c r="E39" s="98"/>
      <c r="F39" s="98"/>
      <c r="G39" s="98"/>
      <c r="H39" s="98"/>
    </row>
    <row r="40" spans="1:8" x14ac:dyDescent="0.25">
      <c r="A40" s="145" t="s">
        <v>34</v>
      </c>
      <c r="B40" s="145"/>
      <c r="C40" s="145"/>
      <c r="D40" s="145"/>
      <c r="E40" s="145"/>
      <c r="F40" s="145"/>
      <c r="G40" s="145"/>
      <c r="H40" s="145"/>
    </row>
    <row r="41" spans="1:8" x14ac:dyDescent="0.25">
      <c r="A41" s="69" t="s">
        <v>35</v>
      </c>
      <c r="B41" s="69"/>
      <c r="C41" s="69"/>
      <c r="D41" s="69"/>
      <c r="E41" s="144">
        <v>365.7</v>
      </c>
      <c r="F41" s="144"/>
      <c r="G41" s="144"/>
      <c r="H41" s="144"/>
    </row>
    <row r="42" spans="1:8" x14ac:dyDescent="0.25">
      <c r="A42" s="69" t="s">
        <v>36</v>
      </c>
      <c r="B42" s="69"/>
      <c r="C42" s="69"/>
      <c r="D42" s="69"/>
      <c r="E42" s="95">
        <f>402.27/E41</f>
        <v>1.1000000000000001</v>
      </c>
      <c r="F42" s="95"/>
      <c r="G42" s="95"/>
      <c r="H42" s="95"/>
    </row>
    <row r="43" spans="1:8" x14ac:dyDescent="0.25">
      <c r="A43" s="69" t="s">
        <v>37</v>
      </c>
      <c r="B43" s="69"/>
      <c r="C43" s="69"/>
      <c r="D43" s="69"/>
      <c r="E43" s="95">
        <f>E45/E41-E42</f>
        <v>2.4398414000546897</v>
      </c>
      <c r="F43" s="95"/>
      <c r="G43" s="95"/>
      <c r="H43" s="95"/>
    </row>
    <row r="44" spans="1:8" x14ac:dyDescent="0.25">
      <c r="A44" s="69" t="s">
        <v>38</v>
      </c>
      <c r="B44" s="69"/>
      <c r="C44" s="69"/>
      <c r="D44" s="69"/>
      <c r="E44" s="95">
        <f>E42+E43</f>
        <v>3.5398414000546898</v>
      </c>
      <c r="F44" s="95"/>
      <c r="G44" s="95"/>
      <c r="H44" s="95"/>
    </row>
    <row r="45" spans="1:8" x14ac:dyDescent="0.25">
      <c r="A45" s="69" t="s">
        <v>92</v>
      </c>
      <c r="B45" s="69"/>
      <c r="C45" s="69"/>
      <c r="D45" s="69"/>
      <c r="E45" s="148">
        <v>1294.52</v>
      </c>
      <c r="F45" s="148"/>
      <c r="G45" s="148"/>
      <c r="H45" s="148"/>
    </row>
    <row r="46" spans="1:8" x14ac:dyDescent="0.25">
      <c r="A46" s="104" t="s">
        <v>39</v>
      </c>
      <c r="B46" s="104"/>
      <c r="C46" s="104"/>
      <c r="D46" s="104"/>
      <c r="E46" s="105" t="s">
        <v>122</v>
      </c>
      <c r="F46" s="105"/>
      <c r="G46" s="105"/>
      <c r="H46" s="105"/>
    </row>
    <row r="47" spans="1:8" x14ac:dyDescent="0.25">
      <c r="A47" s="145" t="s">
        <v>40</v>
      </c>
      <c r="B47" s="145"/>
      <c r="C47" s="145"/>
      <c r="D47" s="145"/>
      <c r="E47" s="145"/>
      <c r="F47" s="145"/>
      <c r="G47" s="145"/>
      <c r="H47" s="145"/>
    </row>
    <row r="48" spans="1:8" ht="33.75" customHeight="1" x14ac:dyDescent="0.25">
      <c r="A48" s="99" t="s">
        <v>152</v>
      </c>
      <c r="B48" s="100"/>
      <c r="C48" s="186" t="s">
        <v>239</v>
      </c>
      <c r="D48" s="187"/>
      <c r="E48" s="187"/>
      <c r="F48" s="187"/>
      <c r="G48" s="187"/>
      <c r="H48" s="188"/>
    </row>
    <row r="49" spans="1:14" ht="15.75" customHeight="1" x14ac:dyDescent="0.25">
      <c r="A49" s="99" t="s">
        <v>41</v>
      </c>
      <c r="B49" s="100"/>
      <c r="C49" s="99" t="s">
        <v>240</v>
      </c>
      <c r="D49" s="101"/>
      <c r="E49" s="100"/>
      <c r="F49" s="16" t="s">
        <v>42</v>
      </c>
      <c r="G49" s="102">
        <v>44945</v>
      </c>
      <c r="H49" s="100"/>
    </row>
    <row r="50" spans="1:14" x14ac:dyDescent="0.25">
      <c r="A50" s="99" t="s">
        <v>43</v>
      </c>
      <c r="B50" s="100"/>
      <c r="C50" s="99" t="str">
        <f>C49</f>
        <v>UMP/NRV/BP/54/21/537</v>
      </c>
      <c r="D50" s="101"/>
      <c r="E50" s="100"/>
      <c r="F50" s="16" t="s">
        <v>42</v>
      </c>
      <c r="G50" s="102">
        <f>G49</f>
        <v>44945</v>
      </c>
      <c r="H50" s="100"/>
    </row>
    <row r="51" spans="1:14" s="21" customFormat="1" ht="15.75" customHeight="1" x14ac:dyDescent="0.25">
      <c r="A51" s="150" t="s">
        <v>156</v>
      </c>
      <c r="B51" s="151"/>
      <c r="C51" s="99" t="s">
        <v>240</v>
      </c>
      <c r="D51" s="101"/>
      <c r="E51" s="100"/>
      <c r="F51" s="16" t="s">
        <v>42</v>
      </c>
      <c r="G51" s="102">
        <v>44945</v>
      </c>
      <c r="H51" s="100"/>
    </row>
    <row r="52" spans="1:14" s="21" customFormat="1" ht="15.75" customHeight="1" x14ac:dyDescent="0.25">
      <c r="A52" s="152"/>
      <c r="B52" s="153"/>
      <c r="C52" s="99" t="s">
        <v>268</v>
      </c>
      <c r="D52" s="101"/>
      <c r="E52" s="101"/>
      <c r="F52" s="101"/>
      <c r="G52" s="101"/>
      <c r="H52" s="100"/>
    </row>
    <row r="53" spans="1:14" x14ac:dyDescent="0.25">
      <c r="A53" s="72" t="s">
        <v>44</v>
      </c>
      <c r="B53" s="73"/>
      <c r="C53" s="72" t="s">
        <v>106</v>
      </c>
      <c r="D53" s="74"/>
      <c r="E53" s="73"/>
      <c r="F53" s="42" t="s">
        <v>42</v>
      </c>
      <c r="G53" s="106" t="s">
        <v>29</v>
      </c>
      <c r="H53" s="107"/>
    </row>
    <row r="54" spans="1:14" x14ac:dyDescent="0.25">
      <c r="A54" s="103" t="s">
        <v>46</v>
      </c>
      <c r="B54" s="103"/>
      <c r="C54" s="103"/>
      <c r="D54" s="103"/>
      <c r="E54" s="103"/>
      <c r="F54" s="103"/>
      <c r="G54" s="103"/>
      <c r="H54" s="103"/>
    </row>
    <row r="55" spans="1:14" x14ac:dyDescent="0.25">
      <c r="A55" s="78" t="s">
        <v>91</v>
      </c>
      <c r="B55" s="78"/>
      <c r="C55" s="78"/>
      <c r="D55" s="69">
        <f>E45</f>
        <v>1294.52</v>
      </c>
      <c r="E55" s="69"/>
      <c r="F55" s="69"/>
      <c r="G55" s="69"/>
      <c r="H55" s="69"/>
    </row>
    <row r="56" spans="1:14" x14ac:dyDescent="0.25">
      <c r="A56" s="98" t="s">
        <v>47</v>
      </c>
      <c r="B56" s="104"/>
      <c r="C56" s="104"/>
      <c r="D56" s="105" t="s">
        <v>266</v>
      </c>
      <c r="E56" s="105"/>
      <c r="F56" s="105"/>
      <c r="G56" s="105"/>
      <c r="H56" s="105"/>
      <c r="I56" s="22"/>
    </row>
    <row r="57" spans="1:14" x14ac:dyDescent="0.25">
      <c r="A57" s="108" t="s">
        <v>48</v>
      </c>
      <c r="B57" s="109"/>
      <c r="C57" s="149"/>
      <c r="D57" s="110" t="s">
        <v>267</v>
      </c>
      <c r="E57" s="111"/>
      <c r="F57" s="111"/>
      <c r="G57" s="111"/>
      <c r="H57" s="111"/>
    </row>
    <row r="58" spans="1:14" ht="15.75" customHeight="1" x14ac:dyDescent="0.25">
      <c r="A58" s="108" t="s">
        <v>89</v>
      </c>
      <c r="B58" s="109"/>
      <c r="C58" s="109"/>
      <c r="D58" s="110" t="s">
        <v>267</v>
      </c>
      <c r="E58" s="111"/>
      <c r="F58" s="111"/>
      <c r="G58" s="111"/>
      <c r="H58" s="111"/>
    </row>
    <row r="59" spans="1:14" ht="15.75" customHeight="1" x14ac:dyDescent="0.25">
      <c r="A59" s="69" t="s">
        <v>45</v>
      </c>
      <c r="B59" s="69"/>
      <c r="C59" s="69"/>
      <c r="D59" s="146">
        <v>45413</v>
      </c>
      <c r="E59" s="96"/>
      <c r="F59" s="96"/>
      <c r="G59" s="96"/>
      <c r="H59" s="96"/>
      <c r="J59" s="23"/>
      <c r="K59" s="22"/>
      <c r="N59" s="22"/>
    </row>
    <row r="60" spans="1:14" ht="15.75" customHeight="1" x14ac:dyDescent="0.25">
      <c r="A60" s="69" t="s">
        <v>87</v>
      </c>
      <c r="B60" s="69"/>
      <c r="C60" s="69"/>
      <c r="D60" s="147" t="str">
        <f>(IF(G53="NA","60 Years After Completion",IF(G53&lt;&gt;"NA",""&amp;60-ROUNDDOWN((E3-G53)/360,0)&amp;" Years"," ")))</f>
        <v>60 Years After Completion</v>
      </c>
      <c r="E60" s="147"/>
      <c r="F60" s="147"/>
      <c r="G60" s="147"/>
      <c r="H60" s="147"/>
      <c r="N60" s="22"/>
    </row>
    <row r="61" spans="1:14" ht="15.75" customHeight="1" x14ac:dyDescent="0.25">
      <c r="A61" s="69" t="s">
        <v>88</v>
      </c>
      <c r="B61" s="69"/>
      <c r="C61" s="69"/>
      <c r="D61" s="78" t="s">
        <v>24</v>
      </c>
      <c r="E61" s="78"/>
      <c r="F61" s="78"/>
      <c r="G61" s="78"/>
      <c r="H61" s="78"/>
      <c r="J61" s="24"/>
      <c r="K61" s="24"/>
    </row>
    <row r="62" spans="1:14" ht="38.450000000000003" customHeight="1" x14ac:dyDescent="0.25">
      <c r="A62" s="105" t="s">
        <v>251</v>
      </c>
      <c r="B62" s="105"/>
      <c r="C62" s="105"/>
      <c r="D62" s="96" t="s">
        <v>249</v>
      </c>
      <c r="E62" s="96"/>
      <c r="F62" s="96"/>
      <c r="G62" s="96"/>
      <c r="H62" s="96"/>
    </row>
    <row r="63" spans="1:14" x14ac:dyDescent="0.25">
      <c r="A63" s="78" t="s">
        <v>149</v>
      </c>
      <c r="B63" s="78"/>
      <c r="C63" s="78"/>
      <c r="D63" s="78" t="s">
        <v>29</v>
      </c>
      <c r="E63" s="78"/>
      <c r="F63" s="78"/>
      <c r="G63" s="78"/>
      <c r="H63" s="78"/>
      <c r="I63" s="25"/>
      <c r="J63" s="25"/>
      <c r="K63" s="25"/>
      <c r="L63" s="25"/>
      <c r="M63" s="25"/>
      <c r="N63" s="25"/>
    </row>
    <row r="64" spans="1:14" ht="15.75" customHeight="1" x14ac:dyDescent="0.25">
      <c r="A64" s="69" t="s">
        <v>86</v>
      </c>
      <c r="B64" s="69"/>
      <c r="C64" s="69"/>
      <c r="D64" s="98" t="str">
        <f ca="1">(IF(G70&gt;95%,"Nothing",IF(G70&gt;0%,"Cement, Aggregate, Steel, etc",IF(G70=0%,"Work not yet Started"))))</f>
        <v>Cement, Aggregate, Steel, etc</v>
      </c>
      <c r="E64" s="98"/>
      <c r="F64" s="98"/>
      <c r="G64" s="98"/>
      <c r="H64" s="98"/>
      <c r="J64" s="24"/>
    </row>
    <row r="65" spans="1:10" ht="33.75" customHeight="1" thickBot="1" x14ac:dyDescent="0.3">
      <c r="A65" s="78" t="s">
        <v>119</v>
      </c>
      <c r="B65" s="78"/>
      <c r="C65" s="78"/>
      <c r="D65" s="98" t="str">
        <f ca="1">(IF(D64="Nothing","Yes",IF(D64="Cement, Aggregate, Steel, etc","Under Construction",IF(D64="Work not yet Started","Work not yet Started"))))</f>
        <v>Under Construction</v>
      </c>
      <c r="E65" s="98"/>
      <c r="F65" s="98" t="str">
        <f ca="1">(IF(D64="Nothing","Yes",IF(D64="Cement, Aggregate, Steel, etc","Under Construction",IF(D64="Work not yet Started","Work not yet Started"))))</f>
        <v>Under Construction</v>
      </c>
      <c r="G65" s="98"/>
      <c r="H65" s="98"/>
    </row>
    <row r="66" spans="1:10" ht="15.75" customHeight="1" x14ac:dyDescent="0.25">
      <c r="A66" s="112" t="s">
        <v>141</v>
      </c>
      <c r="B66" s="112"/>
      <c r="C66" s="91" t="str">
        <f>D58</f>
        <v>LGr + UGr + 1st to 7th Floor</v>
      </c>
      <c r="D66" s="91"/>
      <c r="E66" s="91"/>
      <c r="F66" s="91"/>
      <c r="G66" s="91"/>
      <c r="H66" s="91"/>
      <c r="I66" s="62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 Completed, Flooring upto 6 Floor, Painting upto 4 Floor, Finishing upto 1 Floor Completed</v>
      </c>
      <c r="J66" s="44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Flooring upto 6 Floor, Painting upto 4 Floor, Finishing upto 1 Floor</v>
      </c>
    </row>
    <row r="67" spans="1:10" x14ac:dyDescent="0.25">
      <c r="A67" s="46" t="s">
        <v>143</v>
      </c>
      <c r="B67" s="46">
        <f>IF(AND(ISNUMBER(SEARCH("1B",C66))),1,IF(AND(ISNUMBER(SEARCH("2B",C66))),2,IF(AND(ISNUMBER(SEARCH("3B",C66))),3,IF(AND(ISNUMBER(SEARCH("4B",C66))),4,IF(ISNUMBER(SEARCH("5B",C66)),5,0)))))</f>
        <v>0</v>
      </c>
      <c r="C67" s="53" t="s">
        <v>72</v>
      </c>
      <c r="D67" s="53">
        <v>2</v>
      </c>
      <c r="E67" s="53" t="s">
        <v>71</v>
      </c>
      <c r="F67" s="53">
        <v>0</v>
      </c>
      <c r="G67" s="53" t="s">
        <v>80</v>
      </c>
      <c r="H67" s="53">
        <f ca="1">--TRIM(RIGHT(SUBSTITUTE(LEFT(C66,_xlfn.AGGREGATE(16,6,FIND({0,1,2,3,4,5,6,7,8,9},C66,ROW(INDIRECT("1:"&amp;LEN(C66)))),1))," ",REPT(" ",LEN(C66))),LEN(C66)))</f>
        <v>7</v>
      </c>
      <c r="I67" s="63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</v>
      </c>
      <c r="J67" s="45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49.5" customHeight="1" x14ac:dyDescent="0.25">
      <c r="A68" s="176" t="s">
        <v>90</v>
      </c>
      <c r="B68" s="176"/>
      <c r="C68" s="91" t="str">
        <f ca="1">I66</f>
        <v>Excavation, Plinth, RCC Slab, Brickwork, Internal Plaster, External Plaster Completed, Flooring upto 6 Floor, Painting upto 4 Floor, Finishing upto 1 Floor Completed</v>
      </c>
      <c r="D68" s="91"/>
      <c r="E68" s="91"/>
      <c r="F68" s="91"/>
      <c r="G68" s="91"/>
      <c r="H68" s="91"/>
      <c r="I68" s="63" t="str">
        <f ca="1">IF(I67&lt;&gt;""," Completed","")</f>
        <v xml:space="preserve"> Completed</v>
      </c>
      <c r="J68" s="45" t="str">
        <f ca="1">IF(J66&lt;&gt;"","Completed","")</f>
        <v>Completed</v>
      </c>
    </row>
    <row r="69" spans="1:10" ht="15.75" customHeight="1" x14ac:dyDescent="0.25">
      <c r="A69" s="90" t="s">
        <v>49</v>
      </c>
      <c r="B69" s="90"/>
      <c r="C69" s="61" t="s">
        <v>140</v>
      </c>
      <c r="D69" s="61" t="s">
        <v>83</v>
      </c>
      <c r="E69" s="90" t="s">
        <v>85</v>
      </c>
      <c r="F69" s="90"/>
      <c r="G69" s="90" t="s">
        <v>84</v>
      </c>
      <c r="H69" s="90"/>
      <c r="I69" s="14" t="s">
        <v>142</v>
      </c>
      <c r="J69" s="26">
        <f ca="1">H67*25%</f>
        <v>1.75</v>
      </c>
    </row>
    <row r="70" spans="1:10" x14ac:dyDescent="0.25">
      <c r="A70" s="89" t="s">
        <v>129</v>
      </c>
      <c r="B70" s="90"/>
      <c r="C70" s="51">
        <f ca="1">J71</f>
        <v>7</v>
      </c>
      <c r="D70" s="17">
        <f ca="1">((100/H67)*C70)/100</f>
        <v>1</v>
      </c>
      <c r="E70" s="165">
        <f ca="1">(((C71/H67*10)+(40/(D67+F67+H67)*C72)+(7.5/(H67)*C73)+(7.5/(H67)*C74)+(10/H67*C75)+(10/H67*C76)+(5/H67*C77)+(5/H67*C78)+(5/H67*C79))/100)</f>
        <v>0.87142857142857144</v>
      </c>
      <c r="F70" s="166"/>
      <c r="G70" s="165">
        <f ca="1">((((C70/H67)*20)+((C71/H67)*25)+(30/(H67+F67+D67)*C72)+(5/H67*C73)+(5/H67*C74)+(5/H67*C75)+(5/H67*C76)+(0/H67*C77)+(0/H67*C78)+(5/H67*C79))/100)</f>
        <v>0.94285714285714295</v>
      </c>
      <c r="H70" s="171"/>
      <c r="I70" s="14" t="s">
        <v>101</v>
      </c>
      <c r="J70" s="27">
        <f ca="1">H67*50%</f>
        <v>3.5</v>
      </c>
    </row>
    <row r="71" spans="1:10" x14ac:dyDescent="0.25">
      <c r="A71" s="89" t="s">
        <v>50</v>
      </c>
      <c r="B71" s="90"/>
      <c r="C71" s="51">
        <f ca="1">J79</f>
        <v>7</v>
      </c>
      <c r="D71" s="17">
        <f ca="1">((100/H67)*C71)/100</f>
        <v>1</v>
      </c>
      <c r="E71" s="167"/>
      <c r="F71" s="168"/>
      <c r="G71" s="167"/>
      <c r="H71" s="172"/>
      <c r="I71" s="14" t="s">
        <v>102</v>
      </c>
      <c r="J71" s="27">
        <f ca="1">H67</f>
        <v>7</v>
      </c>
    </row>
    <row r="72" spans="1:10" ht="15.75" customHeight="1" x14ac:dyDescent="0.25">
      <c r="A72" s="89" t="s">
        <v>130</v>
      </c>
      <c r="B72" s="90"/>
      <c r="C72" s="51">
        <v>9</v>
      </c>
      <c r="D72" s="17">
        <f ca="1">((100/(D67+F67+H67))*C72)/100</f>
        <v>1</v>
      </c>
      <c r="E72" s="167"/>
      <c r="F72" s="168"/>
      <c r="G72" s="167"/>
      <c r="H72" s="172"/>
      <c r="I72" s="14" t="s">
        <v>103</v>
      </c>
      <c r="J72" s="28">
        <f ca="1">(IF(B67&gt;1,(H67/(B67+2)),H67/4))</f>
        <v>1.75</v>
      </c>
    </row>
    <row r="73" spans="1:10" ht="15.75" customHeight="1" x14ac:dyDescent="0.25">
      <c r="A73" s="89" t="s">
        <v>137</v>
      </c>
      <c r="B73" s="90" t="s">
        <v>131</v>
      </c>
      <c r="C73" s="59">
        <v>7</v>
      </c>
      <c r="D73" s="17">
        <f ca="1">((100/H67)*C73)/100</f>
        <v>1</v>
      </c>
      <c r="E73" s="167"/>
      <c r="F73" s="168"/>
      <c r="G73" s="167"/>
      <c r="H73" s="172"/>
      <c r="I73" s="14" t="s">
        <v>104</v>
      </c>
      <c r="J73" s="28">
        <f ca="1">(IF(B67&gt;1,(H67/(B67+2)+J72),H67/4+J72))</f>
        <v>3.5</v>
      </c>
    </row>
    <row r="74" spans="1:10" ht="15.75" customHeight="1" x14ac:dyDescent="0.25">
      <c r="A74" s="89" t="s">
        <v>138</v>
      </c>
      <c r="B74" s="90" t="s">
        <v>131</v>
      </c>
      <c r="C74" s="51">
        <v>7</v>
      </c>
      <c r="D74" s="17">
        <f ca="1">((100/H67)*C74)/100</f>
        <v>1</v>
      </c>
      <c r="E74" s="167"/>
      <c r="F74" s="168"/>
      <c r="G74" s="167"/>
      <c r="H74" s="172"/>
      <c r="I74" s="14" t="s">
        <v>147</v>
      </c>
      <c r="J74" s="28">
        <f>(IF(B67&gt;1,(H67/(B67+2)+J73),0))</f>
        <v>0</v>
      </c>
    </row>
    <row r="75" spans="1:10" ht="15" customHeight="1" x14ac:dyDescent="0.25">
      <c r="A75" s="89" t="s">
        <v>136</v>
      </c>
      <c r="B75" s="90" t="s">
        <v>133</v>
      </c>
      <c r="C75" s="51">
        <v>7</v>
      </c>
      <c r="D75" s="17">
        <f ca="1">((100/(H67))*C75)/100</f>
        <v>1</v>
      </c>
      <c r="E75" s="167"/>
      <c r="F75" s="168"/>
      <c r="G75" s="167"/>
      <c r="H75" s="172"/>
      <c r="I75" s="14" t="s">
        <v>144</v>
      </c>
      <c r="J75" s="28">
        <f>(IF(B67&gt;2,(H67/(B67+2)+J74),0))</f>
        <v>0</v>
      </c>
    </row>
    <row r="76" spans="1:10" ht="15.75" customHeight="1" x14ac:dyDescent="0.25">
      <c r="A76" s="89" t="s">
        <v>132</v>
      </c>
      <c r="B76" s="90" t="s">
        <v>132</v>
      </c>
      <c r="C76" s="51">
        <v>6</v>
      </c>
      <c r="D76" s="17">
        <f ca="1">((100/H67)*C76)/100</f>
        <v>0.85714285714285721</v>
      </c>
      <c r="E76" s="167"/>
      <c r="F76" s="168"/>
      <c r="G76" s="167"/>
      <c r="H76" s="172"/>
      <c r="I76" s="14" t="s">
        <v>145</v>
      </c>
      <c r="J76" s="29">
        <f>(IF(B67&gt;3,(H67/(B67+2)+J75),0))</f>
        <v>0</v>
      </c>
    </row>
    <row r="77" spans="1:10" ht="15.75" customHeight="1" x14ac:dyDescent="0.25">
      <c r="A77" s="89" t="s">
        <v>139</v>
      </c>
      <c r="B77" s="90"/>
      <c r="C77" s="51">
        <v>4</v>
      </c>
      <c r="D77" s="17">
        <f ca="1">((100/H67)*C77)/100</f>
        <v>0.57142857142857151</v>
      </c>
      <c r="E77" s="167"/>
      <c r="F77" s="168"/>
      <c r="G77" s="167"/>
      <c r="H77" s="172"/>
      <c r="I77" s="14" t="s">
        <v>146</v>
      </c>
      <c r="J77" s="28">
        <f>(IF(B67&gt;4,(H67/(B67+2)+J76),0))</f>
        <v>0</v>
      </c>
    </row>
    <row r="78" spans="1:10" ht="15.75" customHeight="1" x14ac:dyDescent="0.25">
      <c r="A78" s="89" t="s">
        <v>134</v>
      </c>
      <c r="B78" s="90" t="s">
        <v>134</v>
      </c>
      <c r="C78" s="51">
        <v>1</v>
      </c>
      <c r="D78" s="17">
        <f ca="1">((100/(H67))*C78)/100</f>
        <v>0.14285714285714288</v>
      </c>
      <c r="E78" s="167"/>
      <c r="F78" s="168"/>
      <c r="G78" s="167"/>
      <c r="H78" s="172"/>
      <c r="I78" s="14" t="s">
        <v>148</v>
      </c>
      <c r="J78" s="28">
        <f ca="1">(IF(B67=1,(H67/(B67+3)+J73),IF(B67=0,(H67/4+J73),IF(B67&gt;1,0))))</f>
        <v>5.25</v>
      </c>
    </row>
    <row r="79" spans="1:10" ht="16.5" thickBot="1" x14ac:dyDescent="0.3">
      <c r="A79" s="174" t="s">
        <v>135</v>
      </c>
      <c r="B79" s="175"/>
      <c r="C79" s="50">
        <v>0</v>
      </c>
      <c r="D79" s="18">
        <f ca="1">((100/(H67))*C79)/100</f>
        <v>0</v>
      </c>
      <c r="E79" s="169"/>
      <c r="F79" s="170"/>
      <c r="G79" s="169"/>
      <c r="H79" s="173"/>
      <c r="I79" s="15" t="s">
        <v>105</v>
      </c>
      <c r="J79" s="30">
        <f ca="1">(IF(B67&gt;1.5,(H67/(B67+2)+J73+MAX(0,J74-J73)+MAX(0,J75-J74)+MAX(0,J76-J75)+MAX(0,J77-J76)+MAX(0,J78-J77)),IF(B67=1,(H67/(B67+3)+J78),IF(B67=0,H67/4+J78))))</f>
        <v>7</v>
      </c>
    </row>
    <row r="80" spans="1:10" x14ac:dyDescent="0.25">
      <c r="A80" s="189" t="s">
        <v>158</v>
      </c>
      <c r="B80" s="189"/>
      <c r="C80" s="189"/>
      <c r="D80" s="189"/>
      <c r="E80" s="189"/>
      <c r="F80" s="127" t="s">
        <v>162</v>
      </c>
      <c r="G80" s="127"/>
      <c r="H80" s="127"/>
    </row>
    <row r="81" spans="1:8" x14ac:dyDescent="0.25">
      <c r="A81" s="69" t="s">
        <v>160</v>
      </c>
      <c r="B81" s="69"/>
      <c r="C81" s="69"/>
      <c r="D81" s="69"/>
      <c r="E81" s="69"/>
      <c r="F81" s="75">
        <v>5500</v>
      </c>
      <c r="G81" s="75"/>
      <c r="H81" s="75"/>
    </row>
    <row r="82" spans="1:8" x14ac:dyDescent="0.25">
      <c r="A82" s="69" t="s">
        <v>159</v>
      </c>
      <c r="B82" s="69"/>
      <c r="C82" s="69"/>
      <c r="D82" s="69"/>
      <c r="E82" s="69"/>
      <c r="F82" s="75">
        <v>8000</v>
      </c>
      <c r="G82" s="75"/>
      <c r="H82" s="75"/>
    </row>
    <row r="83" spans="1:8" hidden="1" x14ac:dyDescent="0.25">
      <c r="A83" s="69" t="s">
        <v>161</v>
      </c>
      <c r="B83" s="69"/>
      <c r="C83" s="69"/>
      <c r="D83" s="69"/>
      <c r="E83" s="69"/>
      <c r="F83" s="75"/>
      <c r="G83" s="75"/>
      <c r="H83" s="75"/>
    </row>
    <row r="84" spans="1:8" s="31" customFormat="1" hidden="1" x14ac:dyDescent="0.25">
      <c r="A84" s="69" t="s">
        <v>177</v>
      </c>
      <c r="B84" s="69"/>
      <c r="C84" s="69"/>
      <c r="D84" s="69"/>
      <c r="E84" s="69"/>
      <c r="F84" s="75"/>
      <c r="G84" s="75"/>
      <c r="H84" s="75"/>
    </row>
    <row r="85" spans="1:8" s="31" customFormat="1" hidden="1" x14ac:dyDescent="0.25">
      <c r="A85" s="69" t="s">
        <v>95</v>
      </c>
      <c r="B85" s="69"/>
      <c r="C85" s="69"/>
      <c r="D85" s="69"/>
      <c r="E85" s="69"/>
      <c r="F85" s="75"/>
      <c r="G85" s="75"/>
      <c r="H85" s="75"/>
    </row>
    <row r="86" spans="1:8" s="31" customFormat="1" hidden="1" x14ac:dyDescent="0.25">
      <c r="A86" s="69" t="s">
        <v>96</v>
      </c>
      <c r="B86" s="69"/>
      <c r="C86" s="69"/>
      <c r="D86" s="69"/>
      <c r="E86" s="69"/>
      <c r="F86" s="75"/>
      <c r="G86" s="75"/>
      <c r="H86" s="75"/>
    </row>
    <row r="87" spans="1:8" s="31" customFormat="1" hidden="1" x14ac:dyDescent="0.25">
      <c r="A87" s="69" t="s">
        <v>163</v>
      </c>
      <c r="B87" s="69"/>
      <c r="C87" s="69"/>
      <c r="D87" s="69"/>
      <c r="E87" s="69"/>
      <c r="F87" s="75"/>
      <c r="G87" s="75"/>
      <c r="H87" s="75"/>
    </row>
    <row r="88" spans="1:8" s="31" customFormat="1" hidden="1" x14ac:dyDescent="0.25">
      <c r="A88" s="69" t="s">
        <v>97</v>
      </c>
      <c r="B88" s="69"/>
      <c r="C88" s="69"/>
      <c r="D88" s="69"/>
      <c r="E88" s="69"/>
      <c r="F88" s="75"/>
      <c r="G88" s="75"/>
      <c r="H88" s="75"/>
    </row>
    <row r="89" spans="1:8" s="31" customFormat="1" hidden="1" x14ac:dyDescent="0.25">
      <c r="A89" s="69" t="s">
        <v>98</v>
      </c>
      <c r="B89" s="69"/>
      <c r="C89" s="69"/>
      <c r="D89" s="69"/>
      <c r="E89" s="69"/>
      <c r="F89" s="75"/>
      <c r="G89" s="75"/>
      <c r="H89" s="75"/>
    </row>
    <row r="90" spans="1:8" s="31" customFormat="1" hidden="1" x14ac:dyDescent="0.25">
      <c r="A90" s="69" t="s">
        <v>99</v>
      </c>
      <c r="B90" s="69"/>
      <c r="C90" s="69"/>
      <c r="D90" s="69"/>
      <c r="E90" s="69"/>
      <c r="F90" s="75"/>
      <c r="G90" s="75"/>
      <c r="H90" s="75"/>
    </row>
    <row r="91" spans="1:8" s="31" customFormat="1" hidden="1" x14ac:dyDescent="0.25">
      <c r="A91" s="69" t="s">
        <v>100</v>
      </c>
      <c r="B91" s="69"/>
      <c r="C91" s="69"/>
      <c r="D91" s="69"/>
      <c r="E91" s="69"/>
      <c r="F91" s="75"/>
      <c r="G91" s="75"/>
      <c r="H91" s="75"/>
    </row>
    <row r="92" spans="1:8" x14ac:dyDescent="0.25">
      <c r="A92" s="69" t="s">
        <v>51</v>
      </c>
      <c r="B92" s="69"/>
      <c r="C92" s="69"/>
      <c r="D92" s="69"/>
      <c r="E92" s="69"/>
      <c r="F92" s="75">
        <v>200000</v>
      </c>
      <c r="G92" s="75"/>
      <c r="H92" s="75"/>
    </row>
    <row r="93" spans="1:8" s="32" customFormat="1" x14ac:dyDescent="0.25">
      <c r="A93" s="145" t="s">
        <v>52</v>
      </c>
      <c r="B93" s="145"/>
      <c r="C93" s="145"/>
      <c r="D93" s="145"/>
      <c r="E93" s="145"/>
      <c r="F93" s="75">
        <f>F81*0.8</f>
        <v>4400</v>
      </c>
      <c r="G93" s="75"/>
      <c r="H93" s="75"/>
    </row>
    <row r="94" spans="1:8" s="33" customFormat="1" ht="15.75" customHeight="1" x14ac:dyDescent="0.25">
      <c r="A94" s="178" t="s">
        <v>75</v>
      </c>
      <c r="B94" s="178"/>
      <c r="C94" s="178"/>
      <c r="D94" s="178"/>
      <c r="E94" s="178"/>
      <c r="F94" s="178"/>
      <c r="G94" s="178"/>
      <c r="H94" s="178"/>
    </row>
    <row r="95" spans="1:8" s="33" customFormat="1" ht="15.75" customHeight="1" x14ac:dyDescent="0.25">
      <c r="A95" s="68" t="s">
        <v>53</v>
      </c>
      <c r="B95" s="68"/>
      <c r="C95" s="77" t="s">
        <v>78</v>
      </c>
      <c r="D95" s="77"/>
      <c r="E95" s="76" t="s">
        <v>54</v>
      </c>
      <c r="F95" s="76"/>
      <c r="G95" s="68" t="s">
        <v>55</v>
      </c>
      <c r="H95" s="68"/>
    </row>
    <row r="96" spans="1:8" s="33" customFormat="1" x14ac:dyDescent="0.25">
      <c r="A96" s="184" t="s">
        <v>247</v>
      </c>
      <c r="B96" s="184"/>
      <c r="C96" s="181">
        <f>COUNT(D108:D109)</f>
        <v>2</v>
      </c>
      <c r="D96" s="155"/>
      <c r="E96" s="115">
        <f>SUM(D108:D109)</f>
        <v>1788.8261039999998</v>
      </c>
      <c r="F96" s="116"/>
      <c r="G96" s="115">
        <f>SUM(F108:F109)</f>
        <v>3199.7959811999999</v>
      </c>
      <c r="H96" s="116"/>
    </row>
    <row r="97" spans="1:14" s="33" customFormat="1" x14ac:dyDescent="0.25">
      <c r="A97" s="178" t="s">
        <v>151</v>
      </c>
      <c r="B97" s="178"/>
      <c r="C97" s="179">
        <f t="shared" ref="C97:G97" si="0">SUM(C96)</f>
        <v>2</v>
      </c>
      <c r="D97" s="77"/>
      <c r="E97" s="180">
        <f t="shared" si="0"/>
        <v>1788.8261039999998</v>
      </c>
      <c r="F97" s="76"/>
      <c r="G97" s="68">
        <f t="shared" si="0"/>
        <v>3199.7959811999999</v>
      </c>
      <c r="H97" s="68"/>
    </row>
    <row r="98" spans="1:14" s="33" customFormat="1" x14ac:dyDescent="0.25">
      <c r="A98" s="178" t="s">
        <v>70</v>
      </c>
      <c r="B98" s="178"/>
      <c r="C98" s="178"/>
      <c r="D98" s="178"/>
      <c r="E98" s="178"/>
      <c r="F98" s="178"/>
      <c r="G98" s="178"/>
      <c r="H98" s="178"/>
    </row>
    <row r="99" spans="1:14" s="33" customFormat="1" ht="15.75" customHeight="1" x14ac:dyDescent="0.25">
      <c r="A99" s="68" t="s">
        <v>53</v>
      </c>
      <c r="B99" s="68"/>
      <c r="C99" s="77" t="s">
        <v>78</v>
      </c>
      <c r="D99" s="77"/>
      <c r="E99" s="76" t="s">
        <v>54</v>
      </c>
      <c r="F99" s="76"/>
      <c r="G99" s="68" t="s">
        <v>55</v>
      </c>
      <c r="H99" s="68"/>
    </row>
    <row r="100" spans="1:14" s="33" customFormat="1" ht="16.5" thickBot="1" x14ac:dyDescent="0.3">
      <c r="A100" s="184" t="s">
        <v>69</v>
      </c>
      <c r="B100" s="184"/>
      <c r="C100" s="155">
        <f>COUNT(D114:D115)*7</f>
        <v>14</v>
      </c>
      <c r="D100" s="155"/>
      <c r="E100" s="115">
        <f>SUM(D114:D115)*7</f>
        <v>12245.798073599999</v>
      </c>
      <c r="F100" s="115"/>
      <c r="G100" s="115">
        <f>SUM(F114:F115)*7</f>
        <v>19985</v>
      </c>
      <c r="H100" s="115"/>
    </row>
    <row r="101" spans="1:14" s="33" customFormat="1" ht="16.5" hidden="1" thickBot="1" x14ac:dyDescent="0.3">
      <c r="A101" s="182" t="s">
        <v>151</v>
      </c>
      <c r="B101" s="182"/>
      <c r="C101" s="117">
        <f t="shared" ref="C101:G101" si="1">SUM(C100)</f>
        <v>14</v>
      </c>
      <c r="D101" s="117"/>
      <c r="E101" s="183">
        <f t="shared" si="1"/>
        <v>12245.798073599999</v>
      </c>
      <c r="F101" s="183"/>
      <c r="G101" s="177">
        <f t="shared" si="1"/>
        <v>19985</v>
      </c>
      <c r="H101" s="177"/>
    </row>
    <row r="102" spans="1:14" s="33" customFormat="1" ht="16.5" thickBot="1" x14ac:dyDescent="0.3">
      <c r="A102" s="83" t="s">
        <v>169</v>
      </c>
      <c r="B102" s="84"/>
      <c r="C102" s="85">
        <f>C97+C101</f>
        <v>16</v>
      </c>
      <c r="D102" s="85"/>
      <c r="E102" s="86">
        <f>E97+E101</f>
        <v>14034.624177599999</v>
      </c>
      <c r="F102" s="86"/>
      <c r="G102" s="87">
        <f>G97+G101</f>
        <v>23184.795981200001</v>
      </c>
      <c r="H102" s="88"/>
    </row>
    <row r="103" spans="1:14" s="32" customFormat="1" x14ac:dyDescent="0.25">
      <c r="A103" s="127" t="s">
        <v>56</v>
      </c>
      <c r="B103" s="127"/>
      <c r="C103" s="127"/>
      <c r="D103" s="127"/>
      <c r="E103" s="127"/>
      <c r="F103" s="127"/>
      <c r="G103" s="127"/>
      <c r="H103" s="127"/>
    </row>
    <row r="104" spans="1:14" x14ac:dyDescent="0.25">
      <c r="A104" s="135" t="s">
        <v>176</v>
      </c>
      <c r="B104" s="135"/>
      <c r="C104" s="135"/>
      <c r="D104" s="135"/>
      <c r="E104" s="135"/>
      <c r="F104" s="135"/>
      <c r="G104" s="135"/>
      <c r="H104" s="135"/>
      <c r="I104" s="57">
        <v>10.763999999999999</v>
      </c>
    </row>
    <row r="105" spans="1:14" ht="47.25" customHeight="1" x14ac:dyDescent="0.25">
      <c r="A105" s="129" t="s">
        <v>120</v>
      </c>
      <c r="B105" s="129" t="s">
        <v>178</v>
      </c>
      <c r="C105" s="129" t="s">
        <v>57</v>
      </c>
      <c r="D105" s="129" t="s">
        <v>58</v>
      </c>
      <c r="E105" s="159" t="s">
        <v>157</v>
      </c>
      <c r="F105" s="41" t="s">
        <v>150</v>
      </c>
      <c r="G105" s="161" t="s">
        <v>60</v>
      </c>
      <c r="H105" s="162"/>
    </row>
    <row r="106" spans="1:14" s="35" customFormat="1" x14ac:dyDescent="0.25">
      <c r="A106" s="130"/>
      <c r="B106" s="130"/>
      <c r="C106" s="130"/>
      <c r="D106" s="130"/>
      <c r="E106" s="160"/>
      <c r="F106" s="13">
        <v>0.55000000000000004</v>
      </c>
      <c r="G106" s="163"/>
      <c r="H106" s="164"/>
    </row>
    <row r="107" spans="1:14" s="35" customFormat="1" x14ac:dyDescent="0.25">
      <c r="A107" s="156" t="s">
        <v>250</v>
      </c>
      <c r="B107" s="157"/>
      <c r="C107" s="157"/>
      <c r="D107" s="157"/>
      <c r="E107" s="157"/>
      <c r="F107" s="157"/>
      <c r="G107" s="157"/>
      <c r="H107" s="158"/>
      <c r="I107" s="54" t="s">
        <v>244</v>
      </c>
      <c r="J107" s="34"/>
    </row>
    <row r="108" spans="1:14" s="35" customFormat="1" ht="15.75" customHeight="1" x14ac:dyDescent="0.25">
      <c r="A108" s="70">
        <v>1</v>
      </c>
      <c r="B108" s="71"/>
      <c r="C108" s="56" t="s">
        <v>248</v>
      </c>
      <c r="D108" s="57">
        <f>(3.35*8.7+3.35*12.69+3.35*0.9)*10.764</f>
        <v>803.76402599999994</v>
      </c>
      <c r="E108" s="57">
        <f>(3.35*4)*10.764</f>
        <v>144.23759999999999</v>
      </c>
      <c r="F108" s="40">
        <f>(D108+E108)*(($F$106)+1)</f>
        <v>1469.4025203000001</v>
      </c>
      <c r="G108" s="79" t="str">
        <f>A107</f>
        <v>Lower Ground Floor For Commercial</v>
      </c>
      <c r="H108" s="80"/>
      <c r="I108" s="55">
        <f>12.69-1.5</f>
        <v>11.19</v>
      </c>
      <c r="K108" s="34">
        <f>3216.14/10.764</f>
        <v>298.78669639539203</v>
      </c>
      <c r="L108" s="154">
        <f>75+52</f>
        <v>127</v>
      </c>
      <c r="M108" s="154"/>
      <c r="N108" s="34"/>
    </row>
    <row r="109" spans="1:14" s="35" customFormat="1" ht="15.75" customHeight="1" x14ac:dyDescent="0.25">
      <c r="A109" s="70">
        <f t="shared" ref="A109" si="2">A108+1</f>
        <v>2</v>
      </c>
      <c r="B109" s="71"/>
      <c r="C109" s="56" t="s">
        <v>248</v>
      </c>
      <c r="D109" s="57">
        <f>(3.05*8.7+3.05*12.69+0.6*1.3+3.5*6.5+(3.05*0.9))*10.764</f>
        <v>985.06207799999993</v>
      </c>
      <c r="E109" s="57">
        <f>(3.05*4)*10.764</f>
        <v>131.32079999999999</v>
      </c>
      <c r="F109" s="40">
        <f>(D109+E109)*(($F$106)+1)</f>
        <v>1730.3934608999998</v>
      </c>
      <c r="G109" s="81"/>
      <c r="H109" s="82"/>
      <c r="I109" s="34"/>
      <c r="K109" s="34">
        <f>2675.9/10.764</f>
        <v>248.59717577108884</v>
      </c>
      <c r="L109" s="154">
        <f>92+69</f>
        <v>161</v>
      </c>
      <c r="M109" s="154"/>
      <c r="N109" s="34"/>
    </row>
    <row r="110" spans="1:14" s="35" customFormat="1" x14ac:dyDescent="0.25">
      <c r="A110" s="122"/>
      <c r="B110" s="122"/>
      <c r="C110" s="122"/>
      <c r="D110" s="122"/>
      <c r="E110" s="122"/>
      <c r="F110" s="122"/>
      <c r="G110" s="122"/>
      <c r="H110" s="122"/>
      <c r="I110" s="34"/>
      <c r="N110" s="34"/>
    </row>
    <row r="111" spans="1:14" ht="47.25" customHeight="1" x14ac:dyDescent="0.25">
      <c r="A111" s="65" t="s">
        <v>121</v>
      </c>
      <c r="B111" s="65" t="s">
        <v>179</v>
      </c>
      <c r="C111" s="65" t="s">
        <v>57</v>
      </c>
      <c r="D111" s="65" t="s">
        <v>58</v>
      </c>
      <c r="E111" s="64" t="s">
        <v>59</v>
      </c>
      <c r="F111" s="65" t="s">
        <v>269</v>
      </c>
      <c r="G111" s="134" t="s">
        <v>60</v>
      </c>
      <c r="H111" s="134"/>
      <c r="I111" s="34"/>
    </row>
    <row r="112" spans="1:14" s="35" customFormat="1" x14ac:dyDescent="0.25">
      <c r="A112" s="118" t="s">
        <v>241</v>
      </c>
      <c r="B112" s="118"/>
      <c r="C112" s="118"/>
      <c r="D112" s="118"/>
      <c r="E112" s="118"/>
      <c r="F112" s="118"/>
      <c r="G112" s="118"/>
      <c r="H112" s="118"/>
      <c r="J112" s="34"/>
    </row>
    <row r="113" spans="1:16" s="35" customFormat="1" x14ac:dyDescent="0.25">
      <c r="A113" s="118" t="s">
        <v>242</v>
      </c>
      <c r="B113" s="118"/>
      <c r="C113" s="118"/>
      <c r="D113" s="118"/>
      <c r="E113" s="118"/>
      <c r="F113" s="118"/>
      <c r="G113" s="118"/>
      <c r="H113" s="118"/>
      <c r="I113" s="34"/>
      <c r="L113" s="154"/>
      <c r="M113" s="154"/>
      <c r="N113" s="34"/>
    </row>
    <row r="114" spans="1:16" s="35" customFormat="1" ht="15.75" customHeight="1" x14ac:dyDescent="0.25">
      <c r="A114" s="122">
        <v>1</v>
      </c>
      <c r="B114" s="122"/>
      <c r="C114" s="66" t="s">
        <v>245</v>
      </c>
      <c r="D114" s="57">
        <f>(3.9*3.15+2.53*2.4+2.88*2.1+2.83*2.7+2.83*2.76+0.8*1.7+3.78*2.76+0.9*0.7+1.55*2.4+1.55*2.13+1.95*1.5+0.9*6.3+(1.08*(2.83+3.78)+3.15*0.3+0.9*(3.78+3.91+2.76+2.7)+0.75*3.15+1.1*2.4))*10.764</f>
        <v>999.08649359999981</v>
      </c>
      <c r="E114" s="66">
        <v>0</v>
      </c>
      <c r="F114" s="66">
        <v>1630</v>
      </c>
      <c r="G114" s="122" t="str">
        <f>A113</f>
        <v>1st to 7th Floor For Residential</v>
      </c>
      <c r="H114" s="122"/>
      <c r="I114" s="34">
        <f>741.42/10.764</f>
        <v>68.879598662207357</v>
      </c>
      <c r="L114" s="154">
        <f>9500000/F114</f>
        <v>5828.2208588957055</v>
      </c>
      <c r="M114" s="154"/>
      <c r="N114" s="34"/>
      <c r="O114" s="35">
        <f>F114*5500</f>
        <v>8965000</v>
      </c>
      <c r="P114" s="35">
        <f>D114*1.5</f>
        <v>1498.6297403999997</v>
      </c>
    </row>
    <row r="115" spans="1:16" s="35" customFormat="1" ht="15.75" customHeight="1" x14ac:dyDescent="0.25">
      <c r="A115" s="122">
        <f t="shared" ref="A115" si="3">A114+1</f>
        <v>2</v>
      </c>
      <c r="B115" s="122"/>
      <c r="C115" s="66" t="s">
        <v>243</v>
      </c>
      <c r="D115" s="57">
        <f>(3.9*3.15+3.13*2.4+2.98*2.75+0.9*1.4+3.63*2.75+2.03*1.2+1.5*2.45+0.9*3.6+(1.08*(2.98+3.63)+0.3*3.15+0.75*3.15+0.9*(2.4+3.08+2.75+3.63)))*10.764</f>
        <v>750.31323120000002</v>
      </c>
      <c r="E115" s="66">
        <v>0</v>
      </c>
      <c r="F115" s="66">
        <v>1225</v>
      </c>
      <c r="G115" s="122"/>
      <c r="H115" s="122"/>
      <c r="I115" s="34">
        <f>1017.62/10.764</f>
        <v>94.539204756596064</v>
      </c>
      <c r="J115" s="52" t="s">
        <v>245</v>
      </c>
      <c r="K115" s="57">
        <f>(3.9*3.15+2.53*2.4+2.88*2.1+2.83*2.7+2.83*2.76+0.8*1.7+3.78*2.76+0.9*0.7+1.55*2.4+1.55*2.13+1.95*1.5+0.9*6.3+(1.08*(2.83+3.78)+3.15*0.3+0.9*(3.78+3.91+2.76+2.7)+0.75*3.15+1.1*2.4))*10.764</f>
        <v>999.08649359999981</v>
      </c>
      <c r="L115" s="154"/>
      <c r="M115" s="154"/>
      <c r="N115" s="60">
        <f>1225/D115</f>
        <v>1.6326514701610928</v>
      </c>
      <c r="O115" s="58">
        <f>F115*5500</f>
        <v>6737500</v>
      </c>
      <c r="P115" s="58">
        <f>D115*1.5</f>
        <v>1125.4698468000001</v>
      </c>
    </row>
    <row r="116" spans="1:16" s="33" customFormat="1" x14ac:dyDescent="0.25">
      <c r="A116" s="132" t="s">
        <v>68</v>
      </c>
      <c r="B116" s="132"/>
      <c r="C116" s="132"/>
      <c r="D116" s="132"/>
      <c r="E116" s="132"/>
      <c r="F116" s="132"/>
      <c r="G116" s="132"/>
      <c r="H116" s="132"/>
    </row>
    <row r="117" spans="1:16" s="33" customFormat="1" x14ac:dyDescent="0.25">
      <c r="A117" s="67" t="s">
        <v>154</v>
      </c>
      <c r="B117" s="128" t="s">
        <v>270</v>
      </c>
      <c r="C117" s="128"/>
      <c r="D117" s="128"/>
      <c r="E117" s="128"/>
      <c r="F117" s="128"/>
      <c r="G117" s="128"/>
      <c r="H117" s="128"/>
    </row>
    <row r="118" spans="1:16" s="33" customFormat="1" x14ac:dyDescent="0.25">
      <c r="A118" s="67" t="s">
        <v>154</v>
      </c>
      <c r="B118" s="126" t="str">
        <f>(IF(F111="Saleable area Loading :","We have considered Saleable area of Flats as per our Calculation.","We considered Saleable area of Flat as per Builder area Sheet."))</f>
        <v>We considered Saleable area of Flat as per Builder area Sheet.</v>
      </c>
      <c r="C118" s="126"/>
      <c r="D118" s="126"/>
      <c r="E118" s="126"/>
      <c r="F118" s="126"/>
      <c r="G118" s="126"/>
      <c r="H118" s="126"/>
    </row>
    <row r="119" spans="1:16" s="33" customFormat="1" x14ac:dyDescent="0.25">
      <c r="A119" s="67" t="s">
        <v>154</v>
      </c>
      <c r="B119" s="126" t="str">
        <f>(IF(F105="Saleable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19" s="126"/>
      <c r="D119" s="126"/>
      <c r="E119" s="126"/>
      <c r="F119" s="126"/>
      <c r="G119" s="126"/>
      <c r="H119" s="126"/>
    </row>
    <row r="120" spans="1:16" s="33" customFormat="1" x14ac:dyDescent="0.25">
      <c r="A120" s="67" t="s">
        <v>154</v>
      </c>
      <c r="B120" s="131" t="s">
        <v>124</v>
      </c>
      <c r="C120" s="131"/>
      <c r="D120" s="131"/>
      <c r="E120" s="131"/>
      <c r="F120" s="131"/>
      <c r="G120" s="131"/>
      <c r="H120" s="131"/>
    </row>
    <row r="121" spans="1:16" s="33" customFormat="1" ht="36" customHeight="1" x14ac:dyDescent="0.25">
      <c r="A121" s="67" t="s">
        <v>154</v>
      </c>
      <c r="B121" s="131" t="s">
        <v>264</v>
      </c>
      <c r="C121" s="131"/>
      <c r="D121" s="131"/>
      <c r="E121" s="131"/>
      <c r="F121" s="131"/>
      <c r="G121" s="131"/>
      <c r="H121" s="131"/>
    </row>
    <row r="122" spans="1:16" s="33" customFormat="1" x14ac:dyDescent="0.25">
      <c r="A122" s="43" t="s">
        <v>154</v>
      </c>
      <c r="B122" s="123" t="s">
        <v>153</v>
      </c>
      <c r="C122" s="124"/>
      <c r="D122" s="124"/>
      <c r="E122" s="124"/>
      <c r="F122" s="124"/>
      <c r="G122" s="124"/>
      <c r="H122" s="125"/>
    </row>
    <row r="123" spans="1:16" s="33" customFormat="1" x14ac:dyDescent="0.25">
      <c r="A123" s="43" t="s">
        <v>154</v>
      </c>
      <c r="B123" s="123" t="s">
        <v>125</v>
      </c>
      <c r="C123" s="124"/>
      <c r="D123" s="124"/>
      <c r="E123" s="124"/>
      <c r="F123" s="124"/>
      <c r="G123" s="124"/>
      <c r="H123" s="125"/>
    </row>
    <row r="124" spans="1:16" s="33" customFormat="1" ht="33.75" customHeight="1" x14ac:dyDescent="0.25">
      <c r="A124" s="43" t="s">
        <v>154</v>
      </c>
      <c r="B124" s="123" t="s">
        <v>155</v>
      </c>
      <c r="C124" s="124"/>
      <c r="D124" s="124"/>
      <c r="E124" s="124"/>
      <c r="F124" s="124"/>
      <c r="G124" s="124"/>
      <c r="H124" s="125"/>
    </row>
    <row r="125" spans="1:16" s="33" customFormat="1" x14ac:dyDescent="0.25">
      <c r="A125" s="43" t="s">
        <v>154</v>
      </c>
      <c r="B125" s="123" t="s">
        <v>126</v>
      </c>
      <c r="C125" s="124"/>
      <c r="D125" s="124"/>
      <c r="E125" s="124"/>
      <c r="F125" s="124"/>
      <c r="G125" s="124"/>
      <c r="H125" s="125"/>
    </row>
    <row r="126" spans="1:16" hidden="1" x14ac:dyDescent="0.25">
      <c r="A126" s="47" t="s">
        <v>154</v>
      </c>
      <c r="B126" s="119" t="s">
        <v>180</v>
      </c>
      <c r="C126" s="120"/>
      <c r="D126" s="120"/>
      <c r="E126" s="120"/>
      <c r="F126" s="120"/>
      <c r="G126" s="120"/>
      <c r="H126" s="121"/>
    </row>
    <row r="127" spans="1:16" x14ac:dyDescent="0.25">
      <c r="A127" s="103" t="s">
        <v>61</v>
      </c>
      <c r="B127" s="103"/>
      <c r="C127" s="103"/>
      <c r="D127" s="103"/>
      <c r="E127" s="103"/>
      <c r="F127" s="103"/>
      <c r="G127" s="103"/>
      <c r="H127" s="103"/>
    </row>
    <row r="128" spans="1:16" ht="15.75" customHeight="1" x14ac:dyDescent="0.25">
      <c r="A128" s="69" t="s">
        <v>62</v>
      </c>
      <c r="B128" s="69"/>
      <c r="C128" s="69"/>
      <c r="D128" s="69"/>
      <c r="E128" s="69"/>
      <c r="F128" s="69"/>
      <c r="G128" s="69"/>
      <c r="H128" s="69"/>
    </row>
    <row r="129" spans="1:8" x14ac:dyDescent="0.25">
      <c r="A129" s="133" t="s">
        <v>63</v>
      </c>
      <c r="B129" s="133"/>
      <c r="C129" s="133"/>
      <c r="D129" s="133"/>
      <c r="E129" s="133"/>
      <c r="F129" s="133"/>
      <c r="G129" s="133"/>
      <c r="H129" s="133"/>
    </row>
    <row r="130" spans="1:8" x14ac:dyDescent="0.25">
      <c r="A130" s="69" t="s">
        <v>64</v>
      </c>
      <c r="B130" s="69"/>
      <c r="C130" s="69"/>
      <c r="D130" s="69"/>
      <c r="E130" s="69"/>
      <c r="F130" s="69"/>
      <c r="G130" s="69"/>
      <c r="H130" s="69"/>
    </row>
    <row r="131" spans="1:8" x14ac:dyDescent="0.25">
      <c r="A131" s="69" t="s">
        <v>65</v>
      </c>
      <c r="B131" s="69"/>
      <c r="C131" s="69"/>
      <c r="D131" s="69"/>
      <c r="E131" s="69"/>
      <c r="F131" s="69"/>
      <c r="G131" s="69"/>
      <c r="H131" s="69"/>
    </row>
    <row r="132" spans="1:8" ht="33.950000000000003" customHeight="1" x14ac:dyDescent="0.25">
      <c r="A132" s="69" t="s">
        <v>127</v>
      </c>
      <c r="B132" s="69"/>
      <c r="C132" s="69"/>
      <c r="D132" s="69"/>
      <c r="E132" s="69"/>
      <c r="F132" s="69"/>
      <c r="G132" s="69"/>
      <c r="H132" s="69"/>
    </row>
    <row r="133" spans="1:8" x14ac:dyDescent="0.25">
      <c r="A133" s="78" t="s">
        <v>128</v>
      </c>
      <c r="B133" s="78"/>
      <c r="C133" s="78"/>
      <c r="D133" s="78"/>
      <c r="E133" s="78"/>
      <c r="F133" s="78"/>
      <c r="G133" s="78"/>
      <c r="H133" s="78"/>
    </row>
    <row r="134" spans="1:8" x14ac:dyDescent="0.25">
      <c r="A134" s="114" t="s">
        <v>77</v>
      </c>
      <c r="B134" s="114"/>
      <c r="C134" s="114" t="s">
        <v>246</v>
      </c>
      <c r="D134" s="114"/>
      <c r="E134" s="114" t="s">
        <v>107</v>
      </c>
      <c r="F134" s="114"/>
      <c r="G134" s="114" t="s">
        <v>271</v>
      </c>
      <c r="H134" s="114"/>
    </row>
    <row r="135" spans="1:8" x14ac:dyDescent="0.25">
      <c r="A135" s="113" t="s">
        <v>79</v>
      </c>
      <c r="B135" s="113"/>
      <c r="C135" s="113"/>
      <c r="D135" s="113"/>
      <c r="E135" s="113"/>
      <c r="F135" s="113"/>
      <c r="G135" s="113"/>
      <c r="H135" s="113"/>
    </row>
    <row r="136" spans="1:8" x14ac:dyDescent="0.25">
      <c r="A136" s="113"/>
      <c r="B136" s="113"/>
      <c r="C136" s="113"/>
      <c r="D136" s="113"/>
      <c r="E136" s="113"/>
      <c r="F136" s="113"/>
      <c r="G136" s="113"/>
      <c r="H136" s="113"/>
    </row>
    <row r="137" spans="1:8" x14ac:dyDescent="0.25">
      <c r="A137" s="113"/>
      <c r="B137" s="113"/>
      <c r="C137" s="113"/>
      <c r="D137" s="113"/>
      <c r="E137" s="113"/>
      <c r="F137" s="113"/>
      <c r="G137" s="113"/>
      <c r="H137" s="113"/>
    </row>
    <row r="138" spans="1:8" x14ac:dyDescent="0.25">
      <c r="A138" s="113"/>
      <c r="B138" s="113"/>
      <c r="C138" s="113"/>
      <c r="D138" s="113"/>
      <c r="E138" s="113"/>
      <c r="F138" s="113"/>
      <c r="G138" s="113"/>
      <c r="H138" s="113"/>
    </row>
    <row r="139" spans="1:8" x14ac:dyDescent="0.25">
      <c r="A139" s="36" t="s">
        <v>66</v>
      </c>
      <c r="B139" s="37"/>
      <c r="C139" s="37"/>
      <c r="D139" s="36" t="str">
        <f>E8</f>
        <v>Marigold Residency</v>
      </c>
      <c r="F139" s="37"/>
      <c r="G139" s="37"/>
      <c r="H139" s="37"/>
    </row>
    <row r="140" spans="1:8" x14ac:dyDescent="0.25">
      <c r="A140" s="37"/>
      <c r="B140" s="37"/>
      <c r="C140" s="37"/>
      <c r="D140" s="37"/>
      <c r="E140" s="37"/>
      <c r="F140" s="37"/>
      <c r="G140" s="37"/>
      <c r="H140" s="37"/>
    </row>
    <row r="141" spans="1:8" ht="15" customHeight="1" x14ac:dyDescent="0.25">
      <c r="A141" s="37"/>
      <c r="B141" s="37"/>
      <c r="C141" s="37"/>
      <c r="D141" s="37"/>
      <c r="E141" s="37"/>
      <c r="F141" s="37"/>
      <c r="G141" s="37"/>
      <c r="H141" s="37"/>
    </row>
    <row r="182" spans="1:1" x14ac:dyDescent="0.25">
      <c r="A182" s="39" t="s">
        <v>166</v>
      </c>
    </row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26" spans="1:1" x14ac:dyDescent="0.25">
      <c r="A226" s="39" t="s">
        <v>67</v>
      </c>
    </row>
  </sheetData>
  <mergeCells count="263">
    <mergeCell ref="A39:B39"/>
    <mergeCell ref="C39:H39"/>
    <mergeCell ref="B124:H124"/>
    <mergeCell ref="A48:B48"/>
    <mergeCell ref="C48:H48"/>
    <mergeCell ref="B122:H122"/>
    <mergeCell ref="F82:H82"/>
    <mergeCell ref="A82:E82"/>
    <mergeCell ref="D105:D106"/>
    <mergeCell ref="A84:E84"/>
    <mergeCell ref="A83:E83"/>
    <mergeCell ref="A80:E80"/>
    <mergeCell ref="F84:H84"/>
    <mergeCell ref="A62:C62"/>
    <mergeCell ref="D62:H62"/>
    <mergeCell ref="A65:C65"/>
    <mergeCell ref="D65:H65"/>
    <mergeCell ref="A63:C63"/>
    <mergeCell ref="D64:H64"/>
    <mergeCell ref="A70:B70"/>
    <mergeCell ref="G69:H69"/>
    <mergeCell ref="F80:H80"/>
    <mergeCell ref="F85:H85"/>
    <mergeCell ref="A86:E86"/>
    <mergeCell ref="L113:M113"/>
    <mergeCell ref="A115:B115"/>
    <mergeCell ref="A91:E91"/>
    <mergeCell ref="G101:H101"/>
    <mergeCell ref="A97:B97"/>
    <mergeCell ref="C97:D97"/>
    <mergeCell ref="E97:F97"/>
    <mergeCell ref="G97:H97"/>
    <mergeCell ref="C96:D96"/>
    <mergeCell ref="E96:F96"/>
    <mergeCell ref="L114:M114"/>
    <mergeCell ref="L115:M115"/>
    <mergeCell ref="A113:H113"/>
    <mergeCell ref="A101:B101"/>
    <mergeCell ref="E101:F101"/>
    <mergeCell ref="A114:B114"/>
    <mergeCell ref="A94:H94"/>
    <mergeCell ref="A92:E92"/>
    <mergeCell ref="F92:H92"/>
    <mergeCell ref="A93:E93"/>
    <mergeCell ref="F93:H93"/>
    <mergeCell ref="A100:B100"/>
    <mergeCell ref="A96:B96"/>
    <mergeCell ref="A98:H98"/>
    <mergeCell ref="C38:H38"/>
    <mergeCell ref="A45:D45"/>
    <mergeCell ref="L109:M109"/>
    <mergeCell ref="L108:M108"/>
    <mergeCell ref="A77:B77"/>
    <mergeCell ref="C100:D100"/>
    <mergeCell ref="E100:F100"/>
    <mergeCell ref="G100:H100"/>
    <mergeCell ref="F87:H87"/>
    <mergeCell ref="A81:E81"/>
    <mergeCell ref="A107:H107"/>
    <mergeCell ref="E105:E106"/>
    <mergeCell ref="G105:H106"/>
    <mergeCell ref="E70:F79"/>
    <mergeCell ref="G70:H79"/>
    <mergeCell ref="A78:B78"/>
    <mergeCell ref="A79:B79"/>
    <mergeCell ref="A76:B76"/>
    <mergeCell ref="A69:B69"/>
    <mergeCell ref="A72:B72"/>
    <mergeCell ref="A68:B68"/>
    <mergeCell ref="B105:B106"/>
    <mergeCell ref="A105:A106"/>
    <mergeCell ref="C52:H52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F36:H36"/>
    <mergeCell ref="A46:D46"/>
    <mergeCell ref="A47:H47"/>
    <mergeCell ref="D57:H57"/>
    <mergeCell ref="A57:C57"/>
    <mergeCell ref="G50:H50"/>
    <mergeCell ref="A51:B52"/>
    <mergeCell ref="A38:B38"/>
    <mergeCell ref="A25:D25"/>
    <mergeCell ref="E25:H25"/>
    <mergeCell ref="A24:D24"/>
    <mergeCell ref="E24:H24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27:H127"/>
    <mergeCell ref="G99:H99"/>
    <mergeCell ref="C105:C106"/>
    <mergeCell ref="B120:H120"/>
    <mergeCell ref="B121:H121"/>
    <mergeCell ref="A116:H116"/>
    <mergeCell ref="A132:H132"/>
    <mergeCell ref="A129:H129"/>
    <mergeCell ref="A99:B99"/>
    <mergeCell ref="G111:H111"/>
    <mergeCell ref="A128:H128"/>
    <mergeCell ref="A104:H104"/>
    <mergeCell ref="A110:H110"/>
    <mergeCell ref="A135:H138"/>
    <mergeCell ref="A134:B134"/>
    <mergeCell ref="E134:F134"/>
    <mergeCell ref="C134:D134"/>
    <mergeCell ref="G134:H134"/>
    <mergeCell ref="A133:H133"/>
    <mergeCell ref="A131:H131"/>
    <mergeCell ref="A130:H130"/>
    <mergeCell ref="F81:H81"/>
    <mergeCell ref="G96:H96"/>
    <mergeCell ref="F88:H88"/>
    <mergeCell ref="C95:D95"/>
    <mergeCell ref="C101:D101"/>
    <mergeCell ref="A112:H112"/>
    <mergeCell ref="A108:B108"/>
    <mergeCell ref="B126:H126"/>
    <mergeCell ref="G114:H115"/>
    <mergeCell ref="E99:F99"/>
    <mergeCell ref="B125:H125"/>
    <mergeCell ref="B123:H123"/>
    <mergeCell ref="B119:H119"/>
    <mergeCell ref="A103:H103"/>
    <mergeCell ref="B117:H117"/>
    <mergeCell ref="B118:H118"/>
    <mergeCell ref="A85:E85"/>
    <mergeCell ref="A75:B75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G53:H53"/>
    <mergeCell ref="C51:E51"/>
    <mergeCell ref="A58:C58"/>
    <mergeCell ref="D58:H58"/>
    <mergeCell ref="C50:E50"/>
    <mergeCell ref="A66:B66"/>
    <mergeCell ref="C66:H66"/>
    <mergeCell ref="I14:P14"/>
    <mergeCell ref="F91:H91"/>
    <mergeCell ref="F89:H89"/>
    <mergeCell ref="F34:H34"/>
    <mergeCell ref="E42:H42"/>
    <mergeCell ref="A42:D42"/>
    <mergeCell ref="F86:H86"/>
    <mergeCell ref="A87:E87"/>
    <mergeCell ref="A89:E89"/>
    <mergeCell ref="F83:H83"/>
    <mergeCell ref="A88:E88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G95:H95"/>
    <mergeCell ref="A90:E90"/>
    <mergeCell ref="A109:B109"/>
    <mergeCell ref="A53:B53"/>
    <mergeCell ref="C53:E53"/>
    <mergeCell ref="D55:H55"/>
    <mergeCell ref="F90:H90"/>
    <mergeCell ref="E95:F95"/>
    <mergeCell ref="A95:B95"/>
    <mergeCell ref="C99:D99"/>
    <mergeCell ref="D63:H63"/>
    <mergeCell ref="A64:C64"/>
    <mergeCell ref="G108:H109"/>
    <mergeCell ref="A102:B102"/>
    <mergeCell ref="C102:D102"/>
    <mergeCell ref="E102:F102"/>
    <mergeCell ref="G102:H102"/>
    <mergeCell ref="A74:B74"/>
    <mergeCell ref="A61:C61"/>
    <mergeCell ref="D61:H61"/>
    <mergeCell ref="C68:H68"/>
    <mergeCell ref="A71:B71"/>
    <mergeCell ref="A73:B73"/>
    <mergeCell ref="E69:F69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No,BK No"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05:E106">
      <formula1>"Attached Loft area,Attached Terrace area,Attached Mezzanine area"</formula1>
    </dataValidation>
    <dataValidation type="list" allowBlank="1" showInputMessage="1" showErrorMessage="1" sqref="F106">
      <formula1>"45%,50%,55%,60%"</formula1>
    </dataValidation>
    <dataValidation type="list" allowBlank="1" showInputMessage="1" showErrorMessage="1" sqref="G134:H134">
      <formula1>"Shruti Tathare,Kunal Kadam,Pranita Mhatre,Shruti Fule,Pooja Kawale,Mansee Mohite,Anjali Kamble, Hitakshi Mhatre, Sachin Sawant"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2:H92">
      <formula1>"100000,150000,200000,250000,300000,350000,400000,500000,600000,700000,800000,900000,1000000,1200000,1400000,1500000"</formula1>
    </dataValidation>
    <dataValidation type="list" allowBlank="1" showInputMessage="1" showErrorMessage="1" sqref="F105 F111">
      <formula1>"Saleable area Loading :,Builder Saleable area"</formula1>
    </dataValidation>
    <dataValidation type="list" allowBlank="1" showInputMessage="1" showErrorMessage="1" sqref="B105:B106">
      <formula1>"Shop No. (Sale Plan),Sale / Rehab,Sale / Mhada"</formula1>
    </dataValidation>
    <dataValidation type="list" allowBlank="1" showInputMessage="1" showErrorMessage="1" sqref="B111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5" max="16383" man="1"/>
    <brk id="112" max="7" man="1"/>
    <brk id="138" max="16383" man="1"/>
    <brk id="181" max="16383" man="1"/>
    <brk id="224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0" t="s">
        <v>108</v>
      </c>
      <c r="C3" s="190"/>
      <c r="D3" s="190"/>
      <c r="E3" s="190"/>
      <c r="F3" s="190"/>
      <c r="G3" s="190"/>
      <c r="H3" s="190"/>
    </row>
    <row r="4" spans="1:9" x14ac:dyDescent="0.25">
      <c r="A4" s="2"/>
      <c r="B4" s="3" t="s">
        <v>109</v>
      </c>
      <c r="C4" s="3" t="s">
        <v>110</v>
      </c>
      <c r="D4" s="3" t="s">
        <v>69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2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48"/>
      <c r="C4" s="48" t="s">
        <v>12</v>
      </c>
      <c r="D4" s="49" t="s">
        <v>181</v>
      </c>
      <c r="E4" s="49" t="s">
        <v>191</v>
      </c>
      <c r="F4" s="49" t="s">
        <v>174</v>
      </c>
      <c r="G4" s="49" t="s">
        <v>196</v>
      </c>
      <c r="H4" s="49" t="s">
        <v>214</v>
      </c>
      <c r="J4" t="s">
        <v>196</v>
      </c>
      <c r="K4" t="s">
        <v>212</v>
      </c>
    </row>
    <row r="5" spans="2:11" x14ac:dyDescent="0.25">
      <c r="B5" s="48"/>
      <c r="C5" s="48"/>
      <c r="D5" s="49" t="s">
        <v>182</v>
      </c>
      <c r="E5" s="49" t="s">
        <v>189</v>
      </c>
      <c r="F5" s="49" t="s">
        <v>211</v>
      </c>
      <c r="G5" s="49" t="s">
        <v>197</v>
      </c>
      <c r="H5" s="49" t="s">
        <v>215</v>
      </c>
    </row>
    <row r="6" spans="2:11" x14ac:dyDescent="0.25">
      <c r="B6" s="48"/>
      <c r="C6" s="48"/>
      <c r="D6" s="49" t="s">
        <v>183</v>
      </c>
      <c r="E6" s="49" t="s">
        <v>190</v>
      </c>
      <c r="F6" s="49" t="s">
        <v>212</v>
      </c>
      <c r="G6" s="49" t="s">
        <v>198</v>
      </c>
      <c r="H6" s="49" t="s">
        <v>228</v>
      </c>
    </row>
    <row r="7" spans="2:11" x14ac:dyDescent="0.25">
      <c r="B7" s="48"/>
      <c r="C7" s="48"/>
      <c r="D7" s="49" t="s">
        <v>184</v>
      </c>
      <c r="E7" s="49" t="s">
        <v>192</v>
      </c>
      <c r="F7" s="49" t="s">
        <v>213</v>
      </c>
      <c r="G7" s="49" t="s">
        <v>199</v>
      </c>
      <c r="H7" s="49" t="s">
        <v>216</v>
      </c>
    </row>
    <row r="8" spans="2:11" x14ac:dyDescent="0.25">
      <c r="B8" s="48"/>
      <c r="C8" s="48"/>
      <c r="D8" s="49" t="s">
        <v>185</v>
      </c>
      <c r="E8" s="49" t="s">
        <v>193</v>
      </c>
      <c r="F8" s="49"/>
      <c r="G8" s="49" t="s">
        <v>200</v>
      </c>
      <c r="H8" s="49" t="s">
        <v>217</v>
      </c>
    </row>
    <row r="9" spans="2:11" x14ac:dyDescent="0.25">
      <c r="B9" s="48"/>
      <c r="C9" s="48"/>
      <c r="D9" s="49" t="s">
        <v>186</v>
      </c>
      <c r="E9" s="49" t="s">
        <v>191</v>
      </c>
      <c r="F9" s="49"/>
      <c r="G9" s="49" t="s">
        <v>201</v>
      </c>
      <c r="H9" s="49" t="s">
        <v>218</v>
      </c>
    </row>
    <row r="10" spans="2:11" x14ac:dyDescent="0.25">
      <c r="B10" s="48"/>
      <c r="C10" s="48"/>
      <c r="D10" s="49" t="s">
        <v>187</v>
      </c>
      <c r="E10" s="49" t="s">
        <v>194</v>
      </c>
      <c r="F10" s="49"/>
      <c r="G10" s="49" t="s">
        <v>202</v>
      </c>
      <c r="H10" s="49" t="s">
        <v>219</v>
      </c>
    </row>
    <row r="11" spans="2:11" x14ac:dyDescent="0.25">
      <c r="B11" s="48"/>
      <c r="C11" s="48"/>
      <c r="D11" s="49" t="s">
        <v>188</v>
      </c>
      <c r="E11" s="49" t="s">
        <v>195</v>
      </c>
      <c r="F11" s="49"/>
      <c r="G11" s="49" t="s">
        <v>203</v>
      </c>
      <c r="H11" s="49" t="s">
        <v>220</v>
      </c>
    </row>
    <row r="12" spans="2:11" x14ac:dyDescent="0.25">
      <c r="B12" s="48"/>
      <c r="C12" s="48"/>
      <c r="D12" s="49"/>
      <c r="E12" s="49"/>
      <c r="F12" s="49"/>
      <c r="G12" s="49" t="s">
        <v>204</v>
      </c>
      <c r="H12" s="49" t="s">
        <v>221</v>
      </c>
    </row>
    <row r="13" spans="2:11" x14ac:dyDescent="0.25">
      <c r="B13" s="48"/>
      <c r="C13" s="48"/>
      <c r="D13" s="49"/>
      <c r="E13" s="49"/>
      <c r="F13" s="49"/>
      <c r="G13" s="49" t="s">
        <v>205</v>
      </c>
      <c r="H13" s="49" t="s">
        <v>222</v>
      </c>
    </row>
    <row r="14" spans="2:11" x14ac:dyDescent="0.25">
      <c r="B14" s="48"/>
      <c r="C14" s="48"/>
      <c r="D14" s="49"/>
      <c r="E14" s="49"/>
      <c r="F14" s="49"/>
      <c r="G14" s="49" t="s">
        <v>206</v>
      </c>
      <c r="H14" s="49" t="s">
        <v>223</v>
      </c>
    </row>
    <row r="15" spans="2:11" x14ac:dyDescent="0.25">
      <c r="B15" s="48"/>
      <c r="C15" s="48"/>
      <c r="D15" s="49"/>
      <c r="E15" s="49"/>
      <c r="F15" s="49"/>
      <c r="G15" s="49" t="s">
        <v>207</v>
      </c>
      <c r="H15" s="49" t="s">
        <v>224</v>
      </c>
    </row>
    <row r="16" spans="2:11" x14ac:dyDescent="0.25">
      <c r="B16" s="48"/>
      <c r="C16" s="48"/>
      <c r="D16" s="49"/>
      <c r="E16" s="49"/>
      <c r="F16" s="49"/>
      <c r="G16" s="49" t="s">
        <v>208</v>
      </c>
      <c r="H16" s="49" t="s">
        <v>225</v>
      </c>
    </row>
    <row r="17" spans="2:8" x14ac:dyDescent="0.25">
      <c r="B17" s="48"/>
      <c r="C17" s="48"/>
      <c r="D17" s="49"/>
      <c r="E17" s="49"/>
      <c r="F17" s="49"/>
      <c r="G17" s="49" t="s">
        <v>209</v>
      </c>
      <c r="H17" s="49" t="s">
        <v>226</v>
      </c>
    </row>
    <row r="18" spans="2:8" x14ac:dyDescent="0.25">
      <c r="B18" s="48"/>
      <c r="C18" s="48"/>
      <c r="D18" s="49"/>
      <c r="E18" s="49"/>
      <c r="F18" s="49"/>
      <c r="G18" s="49" t="s">
        <v>210</v>
      </c>
      <c r="H18" s="49" t="s">
        <v>227</v>
      </c>
    </row>
    <row r="24" spans="2:8" x14ac:dyDescent="0.25">
      <c r="C24" t="s">
        <v>172</v>
      </c>
    </row>
    <row r="25" spans="2:8" x14ac:dyDescent="0.25">
      <c r="C25" t="s">
        <v>229</v>
      </c>
    </row>
    <row r="26" spans="2:8" x14ac:dyDescent="0.25">
      <c r="C26" t="s">
        <v>230</v>
      </c>
    </row>
    <row r="27" spans="2:8" x14ac:dyDescent="0.25">
      <c r="C27" t="s">
        <v>231</v>
      </c>
    </row>
    <row r="28" spans="2:8" x14ac:dyDescent="0.25">
      <c r="C28" t="s">
        <v>232</v>
      </c>
    </row>
    <row r="29" spans="2:8" x14ac:dyDescent="0.25">
      <c r="C29" t="s">
        <v>233</v>
      </c>
    </row>
    <row r="30" spans="2:8" x14ac:dyDescent="0.25">
      <c r="C30" t="s">
        <v>172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2025-09-13T10:30:02Z</cp:lastPrinted>
  <dcterms:created xsi:type="dcterms:W3CDTF">2019-07-16T09:29:46Z</dcterms:created>
  <dcterms:modified xsi:type="dcterms:W3CDTF">2025-09-13T10:30:58Z</dcterms:modified>
</cp:coreProperties>
</file>