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June 2025\AXIS\OLD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E42" i="1" l="1"/>
  <c r="E43" i="1" s="1"/>
  <c r="I42" i="1"/>
  <c r="I113" i="1"/>
  <c r="I106" i="1"/>
  <c r="I146" i="1" l="1"/>
  <c r="I129" i="1"/>
  <c r="I122" i="1"/>
  <c r="I116" i="1"/>
  <c r="I115" i="1"/>
  <c r="I107" i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G159" i="1"/>
  <c r="D159" i="1"/>
  <c r="F159" i="1" s="1"/>
  <c r="D147" i="1"/>
  <c r="F147" i="1" s="1"/>
  <c r="D146" i="1"/>
  <c r="F146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G136" i="1"/>
  <c r="D136" i="1"/>
  <c r="F136" i="1" s="1"/>
  <c r="D129" i="1"/>
  <c r="F129" i="1" s="1"/>
  <c r="D130" i="1"/>
  <c r="F130" i="1" s="1"/>
  <c r="D131" i="1"/>
  <c r="F131" i="1" s="1"/>
  <c r="D128" i="1"/>
  <c r="F128" i="1" s="1"/>
  <c r="D132" i="1"/>
  <c r="F132" i="1" s="1"/>
  <c r="D127" i="1"/>
  <c r="F127" i="1" s="1"/>
  <c r="D126" i="1"/>
  <c r="F126" i="1" s="1"/>
  <c r="D125" i="1"/>
  <c r="F125" i="1" s="1"/>
  <c r="D122" i="1"/>
  <c r="F122" i="1" s="1"/>
  <c r="D121" i="1"/>
  <c r="F121" i="1" s="1"/>
  <c r="D117" i="1"/>
  <c r="F117" i="1" s="1"/>
  <c r="D118" i="1"/>
  <c r="F118" i="1" s="1"/>
  <c r="D119" i="1"/>
  <c r="F119" i="1" s="1"/>
  <c r="D116" i="1"/>
  <c r="F116" i="1" s="1"/>
  <c r="D120" i="1"/>
  <c r="F120" i="1" s="1"/>
  <c r="I120" i="1" s="1"/>
  <c r="D115" i="1"/>
  <c r="F115" i="1" s="1"/>
  <c r="D134" i="1"/>
  <c r="F134" i="1" s="1"/>
  <c r="D133" i="1"/>
  <c r="F133" i="1" s="1"/>
  <c r="D114" i="1"/>
  <c r="F114" i="1" s="1"/>
  <c r="D113" i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G113" i="1"/>
  <c r="D108" i="1"/>
  <c r="D109" i="1"/>
  <c r="D110" i="1"/>
  <c r="F110" i="1" s="1"/>
  <c r="I110" i="1" s="1"/>
  <c r="D107" i="1"/>
  <c r="D111" i="1"/>
  <c r="F111" i="1" s="1"/>
  <c r="D106" i="1"/>
  <c r="I44" i="1"/>
  <c r="C97" i="1" l="1"/>
  <c r="E97" i="1"/>
  <c r="F113" i="1"/>
  <c r="C98" i="1"/>
  <c r="E98" i="1"/>
  <c r="E99" i="1" s="1"/>
  <c r="G98" i="1"/>
  <c r="A127" i="1"/>
  <c r="A128" i="1" s="1"/>
  <c r="A129" i="1" s="1"/>
  <c r="A130" i="1" s="1"/>
  <c r="A131" i="1" s="1"/>
  <c r="A132" i="1" s="1"/>
  <c r="A133" i="1" s="1"/>
  <c r="A134" i="1" s="1"/>
  <c r="Z12" i="1"/>
  <c r="I14" i="1"/>
  <c r="C99" i="1" l="1"/>
  <c r="F106" i="1"/>
  <c r="E44" i="1" l="1"/>
  <c r="C15" i="1" l="1"/>
  <c r="E30" i="1" l="1"/>
  <c r="F107" i="1" l="1"/>
  <c r="F108" i="1"/>
  <c r="F109" i="1"/>
  <c r="G97" i="1" l="1"/>
  <c r="G99" i="1" s="1"/>
  <c r="B18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3" i="1"/>
  <c r="A107" i="1"/>
  <c r="A108" i="1" s="1"/>
  <c r="A109" i="1" s="1"/>
  <c r="A110" i="1" s="1"/>
  <c r="A111" i="1" s="1"/>
  <c r="G106" i="1"/>
  <c r="C66" i="1"/>
  <c r="B67" i="1" s="1"/>
  <c r="D55" i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J69" i="1"/>
  <c r="J74" i="1"/>
  <c r="J75" i="1" s="1"/>
  <c r="J76" i="1" s="1"/>
  <c r="J77" i="1" s="1"/>
  <c r="D72" i="1"/>
  <c r="J73" i="1" l="1"/>
  <c r="J78" i="1" s="1"/>
  <c r="J79" i="1" s="1"/>
  <c r="C71" i="1" s="1"/>
  <c r="D70" i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<sst xmlns="http://schemas.openxmlformats.org/spreadsheetml/2006/main" count="441" uniqueCount="284">
  <si>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</si>
  <si>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</si>
  <si>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</si>
  <si>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</si>
  <si>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</si>
  <si>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</si>
  <si>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</si>
  <si>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</si>
  <si>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</si>
  <si>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</si>
  <si>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</si>
  <si>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</si>
  <si>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</si>
  <si>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</si>
  <si>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</si>
  <si>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</si>
  <si>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</si>
  <si>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</si>
  <si>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</si>
  <si>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</si>
  <si>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</si>
  <si>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</si>
  <si>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</si>
  <si>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</si>
  <si>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</si>
  <si>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</si>
  <si>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</si>
  <si>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</si>
  <si>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</si>
  <si>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</si>
  <si>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</si>
  <si>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</si>
  <si>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</si>
  <si>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</si>
  <si>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</si>
  <si>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</si>
  <si>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</si>
  <si>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</si>
  <si>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</si>
  <si>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</si>
  <si>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</si>
  <si>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</si>
  <si>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</si>
  <si>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</si>
  <si>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</si>
  <si>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</si>
  <si>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</si>
  <si>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</si>
  <si>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</si>
  <si>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</si>
  <si>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</si>
  <si>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</si>
  <si>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</si>
  <si>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</si>
  <si>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</si>
  <si>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</si>
  <si>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</si>
  <si>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</si>
  <si>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</si>
  <si>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</si>
  <si>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</si>
  <si>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</si>
  <si>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</si>
  <si>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</si>
  <si>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</si>
  <si>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</si>
  <si>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</si>
  <si>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</si>
  <si>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</si>
  <si>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</si>
  <si>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</si>
  <si>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</si>
  <si>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</si>
  <si>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</si>
  <si>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</si>
  <si>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</si>
  <si>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</si>
  <si>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</si>
  <si>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</si>
  <si>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</si>
  <si>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</si>
  <si>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</si>
  <si>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</si>
  <si>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</si>
  <si>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</si>
  <si>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</si>
  <si>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</si>
  <si>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</si>
  <si>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</si>
  <si>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</si>
  <si>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</si>
  <si>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</si>
  <si>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</si>
  <si>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</si>
  <si>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</si>
  <si>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</si>
  <si>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</si>
  <si>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</si>
  <si>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</si>
  <si>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</si>
  <si>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</si>
  <si>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</si>
  <si>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</si>
  <si>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</si>
  <si>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</si>
  <si>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</si>
  <si>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</si>
  <si>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</si>
  <si>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</si>
  <si>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</si>
  <si>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</si>
  <si>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</si>
  <si>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</si>
  <si>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</si>
  <si>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</si>
  <si>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</si>
  <si>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</si>
  <si>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</si>
  <si>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</si>
  <si>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</si>
  <si>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</si>
  <si>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</si>
  <si>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</si>
  <si>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</si>
  <si>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</si>
  <si>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</si>
  <si>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</si>
  <si>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</si>
  <si>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</si>
  <si>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</si>
  <si>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</si>
  <si>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</si>
  <si>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</si>
  <si>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</si>
  <si>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</si>
  <si>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</si>
  <si>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</si>
  <si>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</si>
  <si>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</si>
  <si>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</si>
  <si>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</si>
  <si>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</si>
  <si>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</si>
  <si>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</si>
  <si>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</si>
  <si>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</si>
  <si>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</si>
  <si>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</si>
  <si>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</si>
  <si>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</si>
  <si>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</si>
  <si>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</si>
  <si>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</si>
  <si>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</si>
  <si>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</si>
  <si>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</si>
  <si>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</si>
  <si>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</si>
  <si>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</si>
  <si>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</si>
  <si>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</si>
  <si>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</si>
  <si>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</si>
  <si>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</si>
  <si>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</si>
  <si>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</si>
  <si>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</si>
  <si>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</si>
  <si>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</si>
  <si>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</si>
  <si>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</si>
  <si>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Shop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</si>
  <si>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</si>
  <si>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</si>
  <si>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</si>
  <si>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</si>
  <si>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</si>
  <si>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</si>
  <si>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</si>
  <si>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</si>
  <si>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</si>
  <si>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</si>
  <si>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</si>
  <si>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</si>
  <si>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</si>
  <si>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</si>
  <si>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</si>
  <si>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</si>
  <si>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</si>
  <si>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</si>
  <si>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</si>
  <si>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</si>
  <si>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</si>
  <si>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</si>
  <si>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</si>
  <si>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</si>
  <si>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</si>
  <si>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</si>
  <si>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</si>
  <si>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</si>
  <si>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</si>
  <si>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</si>
  <si>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</si>
  <si>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</si>
  <si>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</si>
  <si>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</si>
  <si>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</si>
  <si>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</si>
  <si>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</si>
  <si>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</si>
  <si>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</si>
  <si>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</si>
  <si>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</si>
  <si>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</si>
  <si>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</si>
  <si>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</si>
  <si>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</si>
  <si>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</si>
  <si>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</si>
  <si>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</si>
  <si>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</si>
  <si>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</si>
  <si>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</si>
  <si>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</si>
  <si>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</si>
  <si>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</si>
  <si>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</si>
  <si>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</si>
  <si>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Sanpada</t>
  </si>
  <si>
    <t>Dharti Dhan Realty</t>
  </si>
  <si>
    <t>NMS Midas</t>
  </si>
  <si>
    <t>Approved Plans &amp; CC</t>
  </si>
  <si>
    <t>P51700051539</t>
  </si>
  <si>
    <t>19.010386,73.034360</t>
  </si>
  <si>
    <t>https://goo.gl/maps/rYSqvtFCKstHgPMC8</t>
  </si>
  <si>
    <t>Plot No</t>
  </si>
  <si>
    <t>67, Sector No. 15</t>
  </si>
  <si>
    <t>Navi Mumbai</t>
  </si>
  <si>
    <t>C.B.D. Belapur</t>
  </si>
  <si>
    <t>Dausha Ram Mahatrey Marg</t>
  </si>
  <si>
    <t>The Great Eastern summit</t>
  </si>
  <si>
    <t>Plot No. 68</t>
  </si>
  <si>
    <t>Plot No. 55</t>
  </si>
  <si>
    <t>Plot No. 66</t>
  </si>
  <si>
    <t>30.00 M. Wide Road</t>
  </si>
  <si>
    <t>Citi Tower</t>
  </si>
  <si>
    <t>Jai Tower</t>
  </si>
  <si>
    <t xml:space="preserve">Navi Mumbai Municipal Corporation (NNMC)
</t>
  </si>
  <si>
    <t>NMMC/TPO/BP/17430/2023</t>
  </si>
  <si>
    <t>NRV/A-17430</t>
  </si>
  <si>
    <t>As per RERA - 31/12/2028</t>
  </si>
  <si>
    <t>Normal Park / Central Green, Fire Fighting Systems, 24 x 7 Security, CCTV / Video Surveillance, Power Backup, etc.</t>
  </si>
  <si>
    <t>https://www.squareyards.com/navi-mumbai-residential-property/nms-midas/226466/project#Amenities</t>
  </si>
  <si>
    <t>Shop</t>
  </si>
  <si>
    <t>Office</t>
  </si>
  <si>
    <t>2nd to 7th, 9th to 12th &amp; 14th Floor</t>
  </si>
  <si>
    <t>Shops</t>
  </si>
  <si>
    <t>Offices</t>
  </si>
  <si>
    <t>1B + Gr + 1st to 14th Floor</t>
  </si>
  <si>
    <t>Basement + Ground + 1st to 14th Floor</t>
  </si>
  <si>
    <t>Basement  Floor For Pump Room, Fire Tanks, Domestic Area &amp; Parking</t>
  </si>
  <si>
    <t>Double Height Entrance Lobby Below</t>
  </si>
  <si>
    <t>Refuge Area</t>
  </si>
  <si>
    <t>8th &amp; 13th Floor (Part Refuge Area)</t>
  </si>
  <si>
    <t>Construction work is in process at the time of Visit.</t>
  </si>
  <si>
    <t>We considered Gross carpet area = Net carpet.</t>
  </si>
  <si>
    <t>Shops - 06, Offices - 302</t>
  </si>
  <si>
    <t xml:space="preserve">Details of Commercials in Building   </t>
  </si>
  <si>
    <t>Mayur Ranvare</t>
  </si>
  <si>
    <t>Ground Floor For Society Office, Meter Room, Fire Control Room, Electric Substation &amp; Commercial</t>
  </si>
  <si>
    <t>1.90KM from CBD Belapur Railway Station</t>
  </si>
  <si>
    <t>Cantilever Podium provided only at 2nd Floor.</t>
  </si>
  <si>
    <t>Mr. Yogendra Pandey (9699727133)</t>
  </si>
  <si>
    <t>1st Floor for Commerical</t>
  </si>
  <si>
    <t xml:space="preserve"> Great Eastern Summit</t>
  </si>
  <si>
    <t>On saleable</t>
  </si>
  <si>
    <t xml:space="preserve">https://www.99acres.com/nms-midas-belapur-navi-mumbai-npxid-c413994 </t>
  </si>
  <si>
    <t xml:space="preserve">Visitor </t>
  </si>
  <si>
    <t xml:space="preserve">https://www.magicbricks.com/shops-for-sale-in-sector-15-cbd-belapur-navi-mumbai-pppfs </t>
  </si>
  <si>
    <t>CBD 61 Four</t>
  </si>
  <si>
    <t>14200, 20000</t>
  </si>
  <si>
    <t>Recommended rate of the Office Per Sq. Ft. (1st to 3rd Floor)</t>
  </si>
  <si>
    <t>Recommended rate of the Office Per Sq. Ft. (4th to 13th Floor)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</si>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</sst>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rgb="FF00B0F0"/>
      <name val="Times New Roman"/>
      <family val="1"/>
    </font>
    <font>
      <sz val="11"/>
      <color rgb="FF27272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5" fillId="0" borderId="0" xfId="1" applyNumberFormat="1" applyFont="1" applyAlignment="1">
      <alignment horizontal="left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1" applyNumberFormat="1" applyFont="1"/>
    <xf numFmtId="2" fontId="15" fillId="0" borderId="0" xfId="1" applyNumberFormat="1" applyFont="1"/>
    <xf numFmtId="168" fontId="15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31" fillId="3" borderId="0" xfId="0" applyFont="1" applyFill="1" applyBorder="1" applyAlignment="1">
      <alignment vertical="top" wrapText="1"/>
    </xf>
    <xf numFmtId="0" fontId="27" fillId="0" borderId="0" xfId="10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27" fillId="0" borderId="0" xfId="10"/>
    <xf numFmtId="0" fontId="10" fillId="0" borderId="0" xfId="0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30" fillId="0" borderId="0" xfId="1" applyFont="1" applyAlignment="1">
      <alignment horizontal="center" vertical="center" wrapText="1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2" fillId="0" borderId="25" xfId="1" applyNumberFormat="1" applyFont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7" fillId="0" borderId="21" xfId="1" applyFont="1" applyBorder="1" applyAlignment="1" applyProtection="1">
      <alignment horizontal="left" vertical="top"/>
      <protection locked="0"/>
    </xf>
    <xf numFmtId="0" fontId="17" fillId="0" borderId="9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161193</xdr:colOff>
      <xdr:row>247</xdr:row>
      <xdr:rowOff>36634</xdr:rowOff>
    </xdr:from>
    <xdr:to>
      <xdr:col>3</xdr:col>
      <xdr:colOff>464668</xdr:colOff>
      <xdr:row>267</xdr:row>
      <xdr:rowOff>40095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1193" y="51735403"/>
          <a:ext cx="2714033" cy="395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549625</xdr:colOff>
      <xdr:row>247</xdr:row>
      <xdr:rowOff>26133</xdr:rowOff>
    </xdr:from>
    <xdr:to>
      <xdr:col>7</xdr:col>
      <xdr:colOff>662741</xdr:colOff>
      <xdr:row>265</xdr:row>
      <xdr:rowOff>65248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3356" y="51541729"/>
          <a:ext cx="3615385" cy="360000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687445</xdr:colOff>
      <xdr:row>311</xdr:row>
      <xdr:rowOff>128308</xdr:rowOff>
    </xdr:from>
    <xdr:to>
      <xdr:col>7</xdr:col>
      <xdr:colOff>122872</xdr:colOff>
      <xdr:row>330</xdr:row>
      <xdr:rowOff>152400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7445" y="59818308"/>
          <a:ext cx="5391727" cy="37642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687444</xdr:colOff>
      <xdr:row>290</xdr:row>
      <xdr:rowOff>182217</xdr:rowOff>
    </xdr:from>
    <xdr:to>
      <xdr:col>7</xdr:col>
      <xdr:colOff>117326</xdr:colOff>
      <xdr:row>310</xdr:row>
      <xdr:rowOff>166566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7444" y="60421630"/>
          <a:ext cx="552588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25123</xdr:colOff>
      <xdr:row>318</xdr:row>
      <xdr:rowOff>18242</xdr:rowOff>
    </xdr:from>
    <xdr:to>
      <xdr:col>5</xdr:col>
      <xdr:colOff>20861</xdr:colOff>
      <xdr:row>323</xdr:row>
      <xdr:rowOff>129061</xdr:rowOff>
    </xdr:to>
    <xdr:sp macro="" textlink="">
      <xdr:nvSpPr>
        <xdr:cNvPr id="19" name="Rectangle 18"/>
        <xdr:cNvSpPr/>
      </xdr:nvSpPr>
      <xdr:spPr>
        <a:xfrm rot="20463948">
          <a:off x="2617580" y="65823568"/>
          <a:ext cx="1842759" cy="1104732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198783</xdr:colOff>
      <xdr:row>249</xdr:row>
      <xdr:rowOff>140804</xdr:rowOff>
    </xdr:from>
    <xdr:to>
      <xdr:col>5</xdr:col>
      <xdr:colOff>438979</xdr:colOff>
      <xdr:row>251</xdr:row>
      <xdr:rowOff>124239</xdr:rowOff>
    </xdr:to>
    <xdr:sp macro="" textlink="">
      <xdr:nvSpPr>
        <xdr:cNvPr id="2" name="Rectangle 1"/>
        <xdr:cNvSpPr/>
      </xdr:nvSpPr>
      <xdr:spPr>
        <a:xfrm>
          <a:off x="4638261" y="52188717"/>
          <a:ext cx="240196" cy="381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590550</xdr:colOff>
      <xdr:row>203</xdr:row>
      <xdr:rowOff>171450</xdr:rowOff>
    </xdr:from>
    <xdr:to>
      <xdr:col>6</xdr:col>
      <xdr:colOff>647700</xdr:colOff>
      <xdr:row>242</xdr:row>
      <xdr:rowOff>95250</xdr:rowOff>
    </xdr:to>
    <xdr:grpSp>
      <xdr:nvGrpSpPr>
        <xdr:cNvPr id="25" name="Group 24"/>
        <xdr:cNvGrpSpPr/>
      </xdr:nvGrpSpPr>
      <xdr:grpSpPr>
        <a:xfrm>
          <a:off x="590550" y="41738550"/>
          <a:ext cx="4972050" cy="7715250"/>
          <a:chOff x="1464634" y="630738"/>
          <a:chExt cx="4139823" cy="7482748"/>
        </a:xfrm>
      </xdr:grpSpPr>
      <xdr:pic>
        <xdr:nvPicPr>
          <xdr:cNvPr id="26" name="Picture 25" descr="https://vsjcllp.vsjadon.com/upload/insp-23726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25067" y="6424290"/>
            <a:ext cx="1270856" cy="16891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726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64634" y="630738"/>
            <a:ext cx="4139823" cy="311925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726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64634" y="6424291"/>
            <a:ext cx="1270856" cy="16891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7264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7530" y="3855907"/>
            <a:ext cx="1852625" cy="24624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7264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60403" y="3855907"/>
            <a:ext cx="1852625" cy="24624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7264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67276" y="6424290"/>
            <a:ext cx="1265577" cy="16891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235324</xdr:colOff>
      <xdr:row>13</xdr:row>
      <xdr:rowOff>67235</xdr:rowOff>
    </xdr:from>
    <xdr:to>
      <xdr:col>5</xdr:col>
      <xdr:colOff>188887</xdr:colOff>
      <xdr:row>28</xdr:row>
      <xdr:rowOff>28783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7206" y="2554941"/>
          <a:ext cx="3942857" cy="2819048"/>
        </a:xfrm>
        <a:prstGeom prst="rect">
          <a:avLst/>
        </a:prstGeom>
      </xdr:spPr>
    </xdr:pic>
    <xdr:clientData/>
  </xdr:twoCellAnchor>
  <xdr:twoCellAnchor editAs="oneCell">
    <xdr:from>
      <xdr:col>5</xdr:col>
      <xdr:colOff>459442</xdr:colOff>
      <xdr:row>13</xdr:row>
      <xdr:rowOff>168089</xdr:rowOff>
    </xdr:from>
    <xdr:to>
      <xdr:col>13</xdr:col>
      <xdr:colOff>487197</xdr:colOff>
      <xdr:row>23</xdr:row>
      <xdr:rowOff>63089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0618" y="2655795"/>
          <a:ext cx="630305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magicbricks.com/shops-for-sale-in-sector-15-cbd-belapur-navi-mumbai-pppf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99acres.com/nms-midas-belapur-navi-mumbai-npxid-c413994" TargetMode="External"/><Relationship Id="rId1" Type="http://schemas.openxmlformats.org/officeDocument/2006/relationships/hyperlink" Target="https://goo.gl/maps/rYSqvtFCKstHgPMC8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90"/>
  <sheetViews>
    <sheetView tabSelected="1" view="pageBreakPreview" topLeftCell="A74" zoomScaleNormal="100" zoomScaleSheetLayoutView="100" zoomScalePageLayoutView="115" workbookViewId="0">
      <selection activeCell="J82" sqref="J82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27.5703125" style="21" customWidth="1"/>
    <col min="11" max="11" width="18.85546875" style="2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68" t="s">
        <v>162</v>
      </c>
      <c r="B1" s="168"/>
      <c r="C1" s="168"/>
      <c r="D1" s="168"/>
      <c r="E1" s="168"/>
      <c r="F1" s="168"/>
      <c r="G1" s="168"/>
      <c r="H1" s="168"/>
    </row>
    <row r="2" spans="1:26" ht="16.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</row>
    <row r="3" spans="1:26" x14ac:dyDescent="0.25">
      <c r="A3" s="94" t="s">
        <v>1</v>
      </c>
      <c r="B3" s="94"/>
      <c r="C3" s="94"/>
      <c r="D3" s="94"/>
      <c r="E3" s="94" t="str">
        <f ca="1">TEXT(TODAY(),"DD/MM/YYYY")</f>
        <v>12/06/2025</v>
      </c>
      <c r="F3" s="94"/>
      <c r="G3" s="94"/>
      <c r="H3" s="94"/>
    </row>
    <row r="4" spans="1:26" ht="15" customHeight="1" x14ac:dyDescent="0.25">
      <c r="A4" s="94" t="s">
        <v>2</v>
      </c>
      <c r="B4" s="94"/>
      <c r="C4" s="94"/>
      <c r="D4" s="94"/>
      <c r="E4" s="94" t="s">
        <v>228</v>
      </c>
      <c r="F4" s="94"/>
      <c r="G4" s="94"/>
      <c r="H4" s="94"/>
    </row>
    <row r="5" spans="1:26" x14ac:dyDescent="0.25">
      <c r="A5" s="94" t="s">
        <v>3</v>
      </c>
      <c r="B5" s="94"/>
      <c r="C5" s="94"/>
      <c r="D5" s="94"/>
      <c r="E5" s="169">
        <v>45820</v>
      </c>
      <c r="F5" s="94"/>
      <c r="G5" s="94"/>
      <c r="H5" s="94"/>
    </row>
    <row r="6" spans="1:26" ht="16.5" customHeight="1" x14ac:dyDescent="0.25">
      <c r="A6" s="94" t="s">
        <v>4</v>
      </c>
      <c r="B6" s="94"/>
      <c r="C6" s="94"/>
      <c r="D6" s="94"/>
      <c r="E6" s="94" t="s">
        <v>229</v>
      </c>
      <c r="F6" s="94"/>
      <c r="G6" s="94"/>
      <c r="H6" s="94"/>
    </row>
    <row r="7" spans="1:26" ht="15" customHeight="1" x14ac:dyDescent="0.25">
      <c r="A7" s="94" t="s">
        <v>5</v>
      </c>
      <c r="B7" s="94"/>
      <c r="C7" s="94"/>
      <c r="D7" s="94"/>
      <c r="E7" s="94" t="str">
        <f>E6</f>
        <v>Dharti Dhan Realty</v>
      </c>
      <c r="F7" s="94"/>
      <c r="G7" s="94"/>
      <c r="H7" s="94"/>
    </row>
    <row r="8" spans="1:26" x14ac:dyDescent="0.25">
      <c r="A8" s="94" t="s">
        <v>6</v>
      </c>
      <c r="B8" s="94"/>
      <c r="C8" s="94"/>
      <c r="D8" s="94"/>
      <c r="E8" s="165" t="s">
        <v>230</v>
      </c>
      <c r="F8" s="165"/>
      <c r="G8" s="165"/>
      <c r="H8" s="165"/>
    </row>
    <row r="9" spans="1:26" x14ac:dyDescent="0.25">
      <c r="A9" s="94" t="s">
        <v>164</v>
      </c>
      <c r="B9" s="94"/>
      <c r="C9" s="94"/>
      <c r="D9" s="94"/>
      <c r="E9" s="94" t="s">
        <v>272</v>
      </c>
      <c r="F9" s="94"/>
      <c r="G9" s="94"/>
      <c r="H9" s="94"/>
    </row>
    <row r="10" spans="1:26" x14ac:dyDescent="0.25">
      <c r="A10" s="94" t="s">
        <v>165</v>
      </c>
      <c r="B10" s="94"/>
      <c r="C10" s="94"/>
      <c r="D10" s="94"/>
      <c r="E10" s="94" t="s">
        <v>29</v>
      </c>
      <c r="F10" s="94"/>
      <c r="G10" s="94"/>
      <c r="H10" s="94"/>
    </row>
    <row r="11" spans="1:26" x14ac:dyDescent="0.25">
      <c r="A11" s="94" t="s">
        <v>7</v>
      </c>
      <c r="B11" s="94"/>
      <c r="C11" s="94"/>
      <c r="D11" s="94"/>
      <c r="E11" s="94" t="s">
        <v>230</v>
      </c>
      <c r="F11" s="94"/>
      <c r="G11" s="94"/>
      <c r="H11" s="94"/>
    </row>
    <row r="12" spans="1:26" x14ac:dyDescent="0.25">
      <c r="A12" s="94" t="s">
        <v>167</v>
      </c>
      <c r="B12" s="94"/>
      <c r="C12" s="94"/>
      <c r="D12" s="94"/>
      <c r="E12" s="94" t="s">
        <v>29</v>
      </c>
      <c r="F12" s="94"/>
      <c r="G12" s="94"/>
      <c r="H12" s="94"/>
      <c r="S12" s="56" t="s">
        <v>172</v>
      </c>
      <c r="T12" s="56" t="s">
        <v>182</v>
      </c>
      <c r="U12" s="56" t="s">
        <v>168</v>
      </c>
      <c r="V12" s="56" t="s">
        <v>187</v>
      </c>
      <c r="W12" s="56" t="s">
        <v>205</v>
      </c>
      <c r="X12"/>
      <c r="Y12" t="s">
        <v>187</v>
      </c>
      <c r="Z12" t="e">
        <f ca="1">OFFSET($S$12,1,MATCH($G19,$S$12:$W$12,0)-1,15,1)</f>
        <v>#VALUE!</v>
      </c>
    </row>
    <row r="13" spans="1:26" x14ac:dyDescent="0.25">
      <c r="A13" s="136" t="s">
        <v>8</v>
      </c>
      <c r="B13" s="136"/>
      <c r="C13" s="136"/>
      <c r="D13" s="136"/>
      <c r="E13" s="109" t="s">
        <v>231</v>
      </c>
      <c r="F13" s="109"/>
      <c r="G13" s="109"/>
      <c r="H13" s="109"/>
      <c r="S13" s="56" t="s">
        <v>173</v>
      </c>
      <c r="T13" s="56" t="s">
        <v>180</v>
      </c>
      <c r="U13" s="56" t="s">
        <v>202</v>
      </c>
      <c r="V13" s="56" t="s">
        <v>188</v>
      </c>
      <c r="W13" s="56" t="s">
        <v>206</v>
      </c>
      <c r="X13"/>
      <c r="Y13"/>
      <c r="Z13"/>
    </row>
    <row r="14" spans="1:26" x14ac:dyDescent="0.25">
      <c r="A14" s="136" t="s">
        <v>9</v>
      </c>
      <c r="B14" s="136"/>
      <c r="C14" s="136"/>
      <c r="D14" s="136"/>
      <c r="E14" s="109" t="s">
        <v>232</v>
      </c>
      <c r="F14" s="94"/>
      <c r="G14" s="94"/>
      <c r="H14" s="94"/>
      <c r="I14" s="128" t="e">
        <f ca="1">OFFSET($D$4,1,MATCH($J12,$D$4:$H$4,0)-1,15,1)</f>
        <v>#N/A</v>
      </c>
      <c r="J14" s="129"/>
      <c r="K14" s="129"/>
      <c r="L14" s="129"/>
      <c r="M14" s="129"/>
      <c r="N14" s="129"/>
      <c r="O14" s="129"/>
      <c r="P14" s="129"/>
      <c r="S14" s="56" t="s">
        <v>174</v>
      </c>
      <c r="T14" s="56" t="s">
        <v>181</v>
      </c>
      <c r="U14" s="56" t="s">
        <v>203</v>
      </c>
      <c r="V14" s="56" t="s">
        <v>189</v>
      </c>
      <c r="W14" s="56" t="s">
        <v>219</v>
      </c>
      <c r="X14"/>
      <c r="Y14"/>
      <c r="Z14"/>
    </row>
    <row r="15" spans="1:26" ht="48.75" customHeight="1" x14ac:dyDescent="0.25">
      <c r="A15" s="103" t="s">
        <v>10</v>
      </c>
      <c r="B15" s="103"/>
      <c r="C15" s="10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NMS Midas, Plot No.67, Sector No. 15, near The Great Eastern summit, Dausha Ram Mahatrey Marg, Navi Mumbai, C.B.D. Belapur, C.B.D. Belapur, Thane, Thane  - 400614.</v>
      </c>
      <c r="D15" s="103"/>
      <c r="E15" s="103"/>
      <c r="F15" s="103"/>
      <c r="G15" s="103"/>
      <c r="H15" s="103"/>
      <c r="S15" s="56" t="s">
        <v>175</v>
      </c>
      <c r="T15" s="56" t="s">
        <v>183</v>
      </c>
      <c r="U15" s="56" t="s">
        <v>204</v>
      </c>
      <c r="V15" s="56" t="s">
        <v>190</v>
      </c>
      <c r="W15" s="56" t="s">
        <v>207</v>
      </c>
      <c r="X15"/>
      <c r="Y15"/>
      <c r="Z15"/>
    </row>
    <row r="16" spans="1:26" x14ac:dyDescent="0.25">
      <c r="A16" s="109" t="s">
        <v>235</v>
      </c>
      <c r="B16" s="109"/>
      <c r="C16" s="109" t="s">
        <v>236</v>
      </c>
      <c r="D16" s="109"/>
      <c r="E16" s="109"/>
      <c r="F16" s="109"/>
      <c r="G16" s="109"/>
      <c r="H16" s="109"/>
      <c r="S16" s="56" t="s">
        <v>176</v>
      </c>
      <c r="T16" s="56" t="s">
        <v>184</v>
      </c>
      <c r="U16" s="56"/>
      <c r="V16" s="56" t="s">
        <v>191</v>
      </c>
      <c r="W16" s="56" t="s">
        <v>208</v>
      </c>
      <c r="X16"/>
      <c r="Y16"/>
      <c r="Z16"/>
    </row>
    <row r="17" spans="1:26" ht="15.75" customHeight="1" x14ac:dyDescent="0.25">
      <c r="A17" s="109" t="s">
        <v>160</v>
      </c>
      <c r="B17" s="109"/>
      <c r="C17" s="109" t="s">
        <v>237</v>
      </c>
      <c r="D17" s="109"/>
      <c r="E17" s="109"/>
      <c r="F17" s="109"/>
      <c r="G17" s="109"/>
      <c r="H17" s="109"/>
      <c r="S17" s="56" t="s">
        <v>177</v>
      </c>
      <c r="T17" s="56" t="s">
        <v>182</v>
      </c>
      <c r="U17" s="56"/>
      <c r="V17" s="56" t="s">
        <v>192</v>
      </c>
      <c r="W17" s="56" t="s">
        <v>209</v>
      </c>
      <c r="X17"/>
      <c r="Y17"/>
      <c r="Z17"/>
    </row>
    <row r="18" spans="1:26" ht="15.75" customHeight="1" x14ac:dyDescent="0.25">
      <c r="A18" s="103" t="s">
        <v>11</v>
      </c>
      <c r="B18" s="103"/>
      <c r="C18" s="94" t="s">
        <v>239</v>
      </c>
      <c r="D18" s="94"/>
      <c r="E18" s="109" t="s">
        <v>71</v>
      </c>
      <c r="F18" s="109"/>
      <c r="G18" s="109" t="s">
        <v>238</v>
      </c>
      <c r="H18" s="109"/>
      <c r="S18" s="56" t="s">
        <v>178</v>
      </c>
      <c r="T18" s="56" t="s">
        <v>185</v>
      </c>
      <c r="U18" s="56"/>
      <c r="V18" s="56" t="s">
        <v>193</v>
      </c>
      <c r="W18" s="56" t="s">
        <v>210</v>
      </c>
      <c r="X18"/>
      <c r="Y18"/>
      <c r="Z18"/>
    </row>
    <row r="19" spans="1:26" x14ac:dyDescent="0.25">
      <c r="A19" s="136" t="s">
        <v>13</v>
      </c>
      <c r="B19" s="136"/>
      <c r="C19" s="109" t="s">
        <v>238</v>
      </c>
      <c r="D19" s="109"/>
      <c r="E19" s="109" t="s">
        <v>12</v>
      </c>
      <c r="F19" s="109"/>
      <c r="G19" s="170" t="s">
        <v>172</v>
      </c>
      <c r="H19" s="170"/>
      <c r="S19" s="56" t="s">
        <v>179</v>
      </c>
      <c r="T19" s="56" t="s">
        <v>186</v>
      </c>
      <c r="U19" s="56"/>
      <c r="V19" s="56" t="s">
        <v>194</v>
      </c>
      <c r="W19" s="56" t="s">
        <v>211</v>
      </c>
      <c r="X19"/>
      <c r="Y19"/>
      <c r="Z19"/>
    </row>
    <row r="20" spans="1:26" x14ac:dyDescent="0.25">
      <c r="A20" s="136" t="s">
        <v>72</v>
      </c>
      <c r="B20" s="136"/>
      <c r="C20" s="109" t="s">
        <v>173</v>
      </c>
      <c r="D20" s="109"/>
      <c r="E20" s="109" t="s">
        <v>14</v>
      </c>
      <c r="F20" s="109"/>
      <c r="G20" s="109">
        <v>400614</v>
      </c>
      <c r="H20" s="109"/>
      <c r="S20" s="56"/>
      <c r="T20" s="56"/>
      <c r="U20" s="56"/>
      <c r="V20" s="56" t="s">
        <v>195</v>
      </c>
      <c r="W20" s="56" t="s">
        <v>212</v>
      </c>
      <c r="X20"/>
      <c r="Y20"/>
      <c r="Z20"/>
    </row>
    <row r="21" spans="1:26" ht="32.25" customHeight="1" x14ac:dyDescent="0.25">
      <c r="A21" s="136" t="s">
        <v>120</v>
      </c>
      <c r="B21" s="136"/>
      <c r="C21" s="109" t="s">
        <v>240</v>
      </c>
      <c r="D21" s="109"/>
      <c r="E21" s="109" t="s">
        <v>15</v>
      </c>
      <c r="F21" s="109"/>
      <c r="G21" s="109" t="s">
        <v>270</v>
      </c>
      <c r="H21" s="109"/>
      <c r="S21" s="56"/>
      <c r="T21" s="56"/>
      <c r="U21" s="56"/>
      <c r="V21" s="56" t="s">
        <v>196</v>
      </c>
      <c r="W21" s="56" t="s">
        <v>213</v>
      </c>
      <c r="X21"/>
      <c r="Y21"/>
      <c r="Z21"/>
    </row>
    <row r="22" spans="1:26" ht="15" customHeight="1" x14ac:dyDescent="0.25">
      <c r="A22" s="103" t="s">
        <v>74</v>
      </c>
      <c r="B22" s="103"/>
      <c r="C22" s="103"/>
      <c r="D22" s="103"/>
      <c r="E22" s="94" t="s">
        <v>16</v>
      </c>
      <c r="F22" s="94"/>
      <c r="G22" s="94"/>
      <c r="H22" s="94"/>
      <c r="S22" s="56"/>
      <c r="T22" s="56"/>
      <c r="U22" s="56"/>
      <c r="V22" s="56" t="s">
        <v>197</v>
      </c>
      <c r="W22" s="56" t="s">
        <v>214</v>
      </c>
      <c r="X22"/>
      <c r="Y22"/>
      <c r="Z22"/>
    </row>
    <row r="23" spans="1:26" ht="18.75" customHeight="1" x14ac:dyDescent="0.25">
      <c r="A23" s="103"/>
      <c r="B23" s="103"/>
      <c r="C23" s="103"/>
      <c r="D23" s="103"/>
      <c r="E23" s="94"/>
      <c r="F23" s="94"/>
      <c r="G23" s="94"/>
      <c r="H23" s="94"/>
      <c r="S23" s="56"/>
      <c r="T23" s="56"/>
      <c r="U23" s="56"/>
      <c r="V23" s="56" t="s">
        <v>198</v>
      </c>
      <c r="W23" s="56" t="s">
        <v>215</v>
      </c>
      <c r="X23"/>
      <c r="Y23"/>
      <c r="Z23"/>
    </row>
    <row r="24" spans="1:26" ht="15" customHeight="1" x14ac:dyDescent="0.25">
      <c r="A24" s="103" t="s">
        <v>17</v>
      </c>
      <c r="B24" s="103"/>
      <c r="C24" s="103"/>
      <c r="D24" s="103"/>
      <c r="E24" s="109" t="s">
        <v>18</v>
      </c>
      <c r="F24" s="109"/>
      <c r="G24" s="109"/>
      <c r="H24" s="109"/>
      <c r="S24" s="56"/>
      <c r="T24" s="56"/>
      <c r="U24" s="56"/>
      <c r="V24" s="56" t="s">
        <v>199</v>
      </c>
      <c r="W24" s="56" t="s">
        <v>216</v>
      </c>
      <c r="X24"/>
      <c r="Y24"/>
      <c r="Z24"/>
    </row>
    <row r="25" spans="1:26" ht="15" customHeight="1" x14ac:dyDescent="0.25">
      <c r="A25" s="136" t="s">
        <v>19</v>
      </c>
      <c r="B25" s="136"/>
      <c r="C25" s="136"/>
      <c r="D25" s="136"/>
      <c r="E25" s="109" t="str">
        <f>IF(AND(G19="Mumbai"),"Upper Class","Middle Class")</f>
        <v>Middle Class</v>
      </c>
      <c r="F25" s="109"/>
      <c r="G25" s="109"/>
      <c r="H25" s="109"/>
      <c r="S25" s="56"/>
      <c r="T25" s="56"/>
      <c r="U25" s="56"/>
      <c r="V25" s="56" t="s">
        <v>200</v>
      </c>
      <c r="W25" s="56" t="s">
        <v>217</v>
      </c>
      <c r="X25"/>
      <c r="Y25"/>
      <c r="Z25"/>
    </row>
    <row r="26" spans="1:26" x14ac:dyDescent="0.25">
      <c r="A26" s="136" t="s">
        <v>20</v>
      </c>
      <c r="B26" s="136"/>
      <c r="C26" s="136"/>
      <c r="D26" s="136"/>
      <c r="E26" s="109" t="s">
        <v>21</v>
      </c>
      <c r="F26" s="109"/>
      <c r="G26" s="109"/>
      <c r="H26" s="109"/>
      <c r="S26" s="56"/>
      <c r="T26" s="56"/>
      <c r="U26" s="56"/>
      <c r="V26" s="56" t="s">
        <v>201</v>
      </c>
      <c r="W26" s="56" t="s">
        <v>218</v>
      </c>
      <c r="X26"/>
      <c r="Y26"/>
      <c r="Z26"/>
    </row>
    <row r="27" spans="1:26" ht="15.75" customHeight="1" x14ac:dyDescent="0.25">
      <c r="A27" s="136" t="s">
        <v>22</v>
      </c>
      <c r="B27" s="136"/>
      <c r="C27" s="136"/>
      <c r="D27" s="136"/>
      <c r="E27" s="109" t="str">
        <f>IF(AND(G19="Mumbai"),"Developed","Developing")</f>
        <v>Developing</v>
      </c>
      <c r="F27" s="109"/>
      <c r="G27" s="109"/>
      <c r="H27" s="109"/>
    </row>
    <row r="28" spans="1:26" x14ac:dyDescent="0.25">
      <c r="A28" s="136" t="s">
        <v>23</v>
      </c>
      <c r="B28" s="136"/>
      <c r="C28" s="136"/>
      <c r="D28" s="136"/>
      <c r="E28" s="109" t="s">
        <v>24</v>
      </c>
      <c r="F28" s="109"/>
      <c r="G28" s="109"/>
      <c r="H28" s="109"/>
    </row>
    <row r="29" spans="1:26" ht="15.75" customHeight="1" x14ac:dyDescent="0.25">
      <c r="A29" s="136" t="s">
        <v>79</v>
      </c>
      <c r="B29" s="136"/>
      <c r="C29" s="136"/>
      <c r="D29" s="136"/>
      <c r="E29" s="109" t="s">
        <v>80</v>
      </c>
      <c r="F29" s="109"/>
      <c r="G29" s="109"/>
      <c r="H29" s="109"/>
    </row>
    <row r="30" spans="1:26" ht="15" customHeight="1" x14ac:dyDescent="0.25">
      <c r="A30" s="136" t="s">
        <v>32</v>
      </c>
      <c r="B30" s="136"/>
      <c r="C30" s="136"/>
      <c r="D30" s="136"/>
      <c r="E30" s="10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Commercial</v>
      </c>
      <c r="F30" s="109"/>
      <c r="G30" s="109"/>
      <c r="H30" s="109"/>
    </row>
    <row r="31" spans="1:26" ht="15.75" customHeight="1" x14ac:dyDescent="0.25">
      <c r="A31" s="136" t="s">
        <v>91</v>
      </c>
      <c r="B31" s="136"/>
      <c r="C31" s="136"/>
      <c r="D31" s="136"/>
      <c r="E31" s="109" t="s">
        <v>33</v>
      </c>
      <c r="F31" s="109"/>
      <c r="G31" s="109"/>
      <c r="H31" s="109"/>
    </row>
    <row r="32" spans="1:26" s="22" customFormat="1" x14ac:dyDescent="0.25">
      <c r="A32" s="176" t="s">
        <v>92</v>
      </c>
      <c r="B32" s="176"/>
      <c r="C32" s="173" t="s">
        <v>169</v>
      </c>
      <c r="D32" s="174"/>
      <c r="E32" s="175"/>
      <c r="F32" s="173" t="s">
        <v>30</v>
      </c>
      <c r="G32" s="174"/>
      <c r="H32" s="175"/>
    </row>
    <row r="33" spans="1:9" s="22" customFormat="1" x14ac:dyDescent="0.25">
      <c r="A33" s="172" t="s">
        <v>25</v>
      </c>
      <c r="B33" s="172" t="s">
        <v>29</v>
      </c>
      <c r="C33" s="144" t="s">
        <v>244</v>
      </c>
      <c r="D33" s="145"/>
      <c r="E33" s="146"/>
      <c r="F33" s="144" t="s">
        <v>239</v>
      </c>
      <c r="G33" s="145"/>
      <c r="H33" s="146"/>
    </row>
    <row r="34" spans="1:9" x14ac:dyDescent="0.25">
      <c r="A34" s="172" t="s">
        <v>26</v>
      </c>
      <c r="B34" s="172" t="s">
        <v>29</v>
      </c>
      <c r="C34" s="144" t="s">
        <v>242</v>
      </c>
      <c r="D34" s="145"/>
      <c r="E34" s="146"/>
      <c r="F34" s="144" t="s">
        <v>245</v>
      </c>
      <c r="G34" s="145"/>
      <c r="H34" s="146"/>
    </row>
    <row r="35" spans="1:9" s="22" customFormat="1" x14ac:dyDescent="0.25">
      <c r="A35" s="172" t="s">
        <v>28</v>
      </c>
      <c r="B35" s="172" t="s">
        <v>29</v>
      </c>
      <c r="C35" s="144" t="s">
        <v>241</v>
      </c>
      <c r="D35" s="145"/>
      <c r="E35" s="146"/>
      <c r="F35" s="144" t="s">
        <v>246</v>
      </c>
      <c r="G35" s="145"/>
      <c r="H35" s="146"/>
    </row>
    <row r="36" spans="1:9" x14ac:dyDescent="0.25">
      <c r="A36" s="172" t="s">
        <v>27</v>
      </c>
      <c r="B36" s="172" t="s">
        <v>29</v>
      </c>
      <c r="C36" s="144" t="s">
        <v>243</v>
      </c>
      <c r="D36" s="145"/>
      <c r="E36" s="146"/>
      <c r="F36" s="144" t="s">
        <v>240</v>
      </c>
      <c r="G36" s="145"/>
      <c r="H36" s="146"/>
    </row>
    <row r="37" spans="1:9" x14ac:dyDescent="0.25">
      <c r="A37" s="136" t="s">
        <v>31</v>
      </c>
      <c r="B37" s="136"/>
      <c r="C37" s="136"/>
      <c r="D37" s="136"/>
      <c r="E37" s="136"/>
      <c r="F37" s="136"/>
      <c r="G37" s="136"/>
      <c r="H37" s="136"/>
    </row>
    <row r="38" spans="1:9" ht="15.75" customHeight="1" x14ac:dyDescent="0.25">
      <c r="A38" s="171" t="s">
        <v>163</v>
      </c>
      <c r="B38" s="171"/>
      <c r="C38" s="136" t="s">
        <v>233</v>
      </c>
      <c r="D38" s="136"/>
      <c r="E38" s="136"/>
      <c r="F38" s="136"/>
      <c r="G38" s="136"/>
      <c r="H38" s="136"/>
    </row>
    <row r="39" spans="1:9" x14ac:dyDescent="0.25">
      <c r="A39" s="171" t="s">
        <v>159</v>
      </c>
      <c r="B39" s="171"/>
      <c r="C39" s="200" t="s">
        <v>234</v>
      </c>
      <c r="D39" s="109"/>
      <c r="E39" s="109"/>
      <c r="F39" s="109"/>
      <c r="G39" s="109"/>
      <c r="H39" s="109"/>
    </row>
    <row r="40" spans="1:9" x14ac:dyDescent="0.25">
      <c r="A40" s="171" t="s">
        <v>34</v>
      </c>
      <c r="B40" s="171"/>
      <c r="C40" s="171"/>
      <c r="D40" s="171"/>
      <c r="E40" s="171"/>
      <c r="F40" s="171"/>
      <c r="G40" s="171"/>
      <c r="H40" s="171"/>
    </row>
    <row r="41" spans="1:9" x14ac:dyDescent="0.25">
      <c r="A41" s="136" t="s">
        <v>35</v>
      </c>
      <c r="B41" s="136"/>
      <c r="C41" s="136"/>
      <c r="D41" s="136"/>
      <c r="E41" s="177">
        <v>4069.88</v>
      </c>
      <c r="F41" s="177"/>
      <c r="G41" s="177"/>
      <c r="H41" s="177"/>
    </row>
    <row r="42" spans="1:9" x14ac:dyDescent="0.25">
      <c r="A42" s="136" t="s">
        <v>36</v>
      </c>
      <c r="B42" s="136"/>
      <c r="C42" s="136"/>
      <c r="D42" s="136"/>
      <c r="E42" s="147">
        <f>6104.82/E41</f>
        <v>1.4999999999999998</v>
      </c>
      <c r="F42" s="147"/>
      <c r="G42" s="147"/>
      <c r="H42" s="147"/>
      <c r="I42" s="21">
        <f>6104.82/E41</f>
        <v>1.4999999999999998</v>
      </c>
    </row>
    <row r="43" spans="1:9" x14ac:dyDescent="0.25">
      <c r="A43" s="136" t="s">
        <v>37</v>
      </c>
      <c r="B43" s="136"/>
      <c r="C43" s="136"/>
      <c r="D43" s="136"/>
      <c r="E43" s="147">
        <f>E45/E41-E42</f>
        <v>5.8683091393358024</v>
      </c>
      <c r="F43" s="147"/>
      <c r="G43" s="147"/>
      <c r="H43" s="147"/>
      <c r="I43" s="64"/>
    </row>
    <row r="44" spans="1:9" x14ac:dyDescent="0.25">
      <c r="A44" s="136" t="s">
        <v>38</v>
      </c>
      <c r="B44" s="136"/>
      <c r="C44" s="136"/>
      <c r="D44" s="136"/>
      <c r="E44" s="147">
        <f>E42+E43</f>
        <v>7.3683091393358024</v>
      </c>
      <c r="F44" s="147"/>
      <c r="G44" s="147"/>
      <c r="H44" s="147"/>
      <c r="I44" s="63">
        <f>E45/E41</f>
        <v>7.3683091393358024</v>
      </c>
    </row>
    <row r="45" spans="1:9" x14ac:dyDescent="0.25">
      <c r="A45" s="136" t="s">
        <v>90</v>
      </c>
      <c r="B45" s="136"/>
      <c r="C45" s="136"/>
      <c r="D45" s="136"/>
      <c r="E45" s="180">
        <v>29988.133999999998</v>
      </c>
      <c r="F45" s="180"/>
      <c r="G45" s="180"/>
      <c r="H45" s="180"/>
    </row>
    <row r="46" spans="1:9" x14ac:dyDescent="0.25">
      <c r="A46" s="94" t="s">
        <v>39</v>
      </c>
      <c r="B46" s="94"/>
      <c r="C46" s="94"/>
      <c r="D46" s="94"/>
      <c r="E46" s="94" t="s">
        <v>119</v>
      </c>
      <c r="F46" s="94"/>
      <c r="G46" s="94"/>
      <c r="H46" s="94"/>
    </row>
    <row r="47" spans="1:9" x14ac:dyDescent="0.25">
      <c r="A47" s="171" t="s">
        <v>40</v>
      </c>
      <c r="B47" s="171"/>
      <c r="C47" s="171"/>
      <c r="D47" s="171"/>
      <c r="E47" s="171"/>
      <c r="F47" s="171"/>
      <c r="G47" s="171"/>
      <c r="H47" s="171"/>
    </row>
    <row r="48" spans="1:9" ht="33.75" customHeight="1" x14ac:dyDescent="0.25">
      <c r="A48" s="104" t="s">
        <v>149</v>
      </c>
      <c r="B48" s="106"/>
      <c r="C48" s="201" t="s">
        <v>247</v>
      </c>
      <c r="D48" s="202"/>
      <c r="E48" s="202"/>
      <c r="F48" s="202"/>
      <c r="G48" s="202"/>
      <c r="H48" s="203"/>
    </row>
    <row r="49" spans="1:14" ht="15.75" customHeight="1" x14ac:dyDescent="0.25">
      <c r="A49" s="104" t="s">
        <v>41</v>
      </c>
      <c r="B49" s="106"/>
      <c r="C49" s="104" t="s">
        <v>249</v>
      </c>
      <c r="D49" s="105"/>
      <c r="E49" s="106"/>
      <c r="F49" s="18" t="s">
        <v>42</v>
      </c>
      <c r="G49" s="148">
        <v>45044</v>
      </c>
      <c r="H49" s="106"/>
    </row>
    <row r="50" spans="1:14" x14ac:dyDescent="0.25">
      <c r="A50" s="104" t="s">
        <v>43</v>
      </c>
      <c r="B50" s="106"/>
      <c r="C50" s="104" t="str">
        <f>C49</f>
        <v>NRV/A-17430</v>
      </c>
      <c r="D50" s="105"/>
      <c r="E50" s="106"/>
      <c r="F50" s="18" t="s">
        <v>42</v>
      </c>
      <c r="G50" s="148">
        <f>G49</f>
        <v>45044</v>
      </c>
      <c r="H50" s="149"/>
    </row>
    <row r="51" spans="1:14" s="23" customFormat="1" ht="15.75" customHeight="1" x14ac:dyDescent="0.25">
      <c r="A51" s="103" t="s">
        <v>225</v>
      </c>
      <c r="B51" s="103"/>
      <c r="C51" s="104" t="s">
        <v>248</v>
      </c>
      <c r="D51" s="105"/>
      <c r="E51" s="106"/>
      <c r="F51" s="18" t="s">
        <v>42</v>
      </c>
      <c r="G51" s="148">
        <f>G50</f>
        <v>45044</v>
      </c>
      <c r="H51" s="149"/>
    </row>
    <row r="52" spans="1:14" s="23" customFormat="1" x14ac:dyDescent="0.25">
      <c r="A52" s="103" t="s">
        <v>226</v>
      </c>
      <c r="B52" s="103"/>
      <c r="C52" s="104" t="s">
        <v>259</v>
      </c>
      <c r="D52" s="105"/>
      <c r="E52" s="105"/>
      <c r="F52" s="105"/>
      <c r="G52" s="105"/>
      <c r="H52" s="106"/>
    </row>
    <row r="53" spans="1:14" x14ac:dyDescent="0.25">
      <c r="A53" s="133" t="s">
        <v>44</v>
      </c>
      <c r="B53" s="134"/>
      <c r="C53" s="133" t="s">
        <v>104</v>
      </c>
      <c r="D53" s="135"/>
      <c r="E53" s="134"/>
      <c r="F53" s="45" t="s">
        <v>42</v>
      </c>
      <c r="G53" s="183" t="s">
        <v>29</v>
      </c>
      <c r="H53" s="184"/>
    </row>
    <row r="54" spans="1:14" x14ac:dyDescent="0.25">
      <c r="A54" s="150" t="s">
        <v>46</v>
      </c>
      <c r="B54" s="150"/>
      <c r="C54" s="150"/>
      <c r="D54" s="150"/>
      <c r="E54" s="150"/>
      <c r="F54" s="150"/>
      <c r="G54" s="150"/>
      <c r="H54" s="150"/>
    </row>
    <row r="55" spans="1:14" x14ac:dyDescent="0.25">
      <c r="A55" s="103" t="s">
        <v>89</v>
      </c>
      <c r="B55" s="103"/>
      <c r="C55" s="103"/>
      <c r="D55" s="136">
        <f>E45</f>
        <v>29988.133999999998</v>
      </c>
      <c r="E55" s="136"/>
      <c r="F55" s="136"/>
      <c r="G55" s="136"/>
      <c r="H55" s="136"/>
    </row>
    <row r="56" spans="1:14" x14ac:dyDescent="0.25">
      <c r="A56" s="109" t="s">
        <v>47</v>
      </c>
      <c r="B56" s="94"/>
      <c r="C56" s="94"/>
      <c r="D56" s="94" t="s">
        <v>266</v>
      </c>
      <c r="E56" s="94"/>
      <c r="F56" s="94"/>
      <c r="G56" s="94"/>
      <c r="H56" s="94"/>
      <c r="I56" s="24"/>
    </row>
    <row r="57" spans="1:14" x14ac:dyDescent="0.25">
      <c r="A57" s="107" t="s">
        <v>48</v>
      </c>
      <c r="B57" s="108"/>
      <c r="C57" s="182"/>
      <c r="D57" s="140" t="s">
        <v>258</v>
      </c>
      <c r="E57" s="181"/>
      <c r="F57" s="181"/>
      <c r="G57" s="181"/>
      <c r="H57" s="181"/>
    </row>
    <row r="58" spans="1:14" ht="15.75" customHeight="1" x14ac:dyDescent="0.25">
      <c r="A58" s="107" t="s">
        <v>87</v>
      </c>
      <c r="B58" s="108"/>
      <c r="C58" s="108"/>
      <c r="D58" s="109" t="s">
        <v>258</v>
      </c>
      <c r="E58" s="94"/>
      <c r="F58" s="94"/>
      <c r="G58" s="94"/>
      <c r="H58" s="94"/>
    </row>
    <row r="59" spans="1:14" ht="15.75" customHeight="1" x14ac:dyDescent="0.25">
      <c r="A59" s="136" t="s">
        <v>45</v>
      </c>
      <c r="B59" s="136"/>
      <c r="C59" s="136"/>
      <c r="D59" s="178" t="s">
        <v>250</v>
      </c>
      <c r="E59" s="178"/>
      <c r="F59" s="178"/>
      <c r="G59" s="178"/>
      <c r="H59" s="178"/>
      <c r="J59" s="25"/>
      <c r="K59" s="24"/>
      <c r="N59" s="24"/>
    </row>
    <row r="60" spans="1:14" ht="15.75" customHeight="1" x14ac:dyDescent="0.25">
      <c r="A60" s="136" t="s">
        <v>85</v>
      </c>
      <c r="B60" s="136"/>
      <c r="C60" s="136"/>
      <c r="D60" s="179" t="str">
        <f>(IF(G53="NA","60 Years After Completion",IF(G53&lt;&gt;"NA",""&amp;60-ROUNDDOWN((E3-G53)/360,0)&amp;" Years"," ")))</f>
        <v>60 Years After Completion</v>
      </c>
      <c r="E60" s="179"/>
      <c r="F60" s="179"/>
      <c r="G60" s="179"/>
      <c r="H60" s="179"/>
      <c r="N60" s="24"/>
    </row>
    <row r="61" spans="1:14" ht="15.75" customHeight="1" x14ac:dyDescent="0.25">
      <c r="A61" s="136" t="s">
        <v>86</v>
      </c>
      <c r="B61" s="136"/>
      <c r="C61" s="136"/>
      <c r="D61" s="103" t="s">
        <v>24</v>
      </c>
      <c r="E61" s="103"/>
      <c r="F61" s="103"/>
      <c r="G61" s="103"/>
      <c r="H61" s="103"/>
      <c r="J61" s="26"/>
      <c r="K61" s="26"/>
    </row>
    <row r="62" spans="1:14" ht="31.5" customHeight="1" x14ac:dyDescent="0.25">
      <c r="A62" s="94" t="s">
        <v>227</v>
      </c>
      <c r="B62" s="94"/>
      <c r="C62" s="94"/>
      <c r="D62" s="109" t="s">
        <v>251</v>
      </c>
      <c r="E62" s="103"/>
      <c r="F62" s="103"/>
      <c r="G62" s="103"/>
      <c r="H62" s="103"/>
      <c r="J62" s="143" t="s">
        <v>252</v>
      </c>
      <c r="K62" s="143"/>
    </row>
    <row r="63" spans="1:14" x14ac:dyDescent="0.25">
      <c r="A63" s="103" t="s">
        <v>146</v>
      </c>
      <c r="B63" s="103"/>
      <c r="C63" s="103"/>
      <c r="D63" s="103" t="s">
        <v>29</v>
      </c>
      <c r="E63" s="103"/>
      <c r="F63" s="103"/>
      <c r="G63" s="103"/>
      <c r="H63" s="103"/>
      <c r="I63" s="27"/>
      <c r="J63" s="27"/>
      <c r="K63" s="27"/>
      <c r="L63" s="27"/>
      <c r="M63" s="27"/>
      <c r="N63" s="27"/>
    </row>
    <row r="64" spans="1:14" ht="15.75" customHeight="1" x14ac:dyDescent="0.25">
      <c r="A64" s="139" t="s">
        <v>84</v>
      </c>
      <c r="B64" s="139"/>
      <c r="C64" s="139"/>
      <c r="D64" s="140" t="str">
        <f ca="1">(IF(G70&gt;95%,"Nothing",IF(G70&gt;0%,"Cement, Aggregate, Steel, etc",IF(G70=0%,"Work not yet Started"))))</f>
        <v>Cement, Aggregate, Steel, etc</v>
      </c>
      <c r="E64" s="140"/>
      <c r="F64" s="140"/>
      <c r="G64" s="140"/>
      <c r="H64" s="140"/>
      <c r="J64" s="26"/>
    </row>
    <row r="65" spans="1:10" ht="33.75" customHeight="1" thickBot="1" x14ac:dyDescent="0.3">
      <c r="A65" s="153" t="s">
        <v>117</v>
      </c>
      <c r="B65" s="153"/>
      <c r="C65" s="153"/>
      <c r="D65" s="140" t="str">
        <f ca="1">(IF(D64="Nothing","Yes",IF(D64="Cement, Aggregate, Steel, etc","Under Construction",IF(D64="Work not yet Started","Work not yet Started"))))</f>
        <v>Under Construction</v>
      </c>
      <c r="E65" s="140"/>
      <c r="F65" s="140" t="str">
        <f ca="1">(IF(D64="Nothing","Yes",IF(D64="Cement, Aggregate, Steel, etc","Under Construction",IF(D64="Work not yet Started","Work not yet Started"))))</f>
        <v>Under Construction</v>
      </c>
      <c r="G65" s="140"/>
      <c r="H65" s="140"/>
    </row>
    <row r="66" spans="1:10" ht="15.75" customHeight="1" x14ac:dyDescent="0.25">
      <c r="A66" s="194" t="s">
        <v>138</v>
      </c>
      <c r="B66" s="195"/>
      <c r="C66" s="196" t="str">
        <f>D58</f>
        <v>1B + Gr + 1st to 14th Floor</v>
      </c>
      <c r="D66" s="197"/>
      <c r="E66" s="197"/>
      <c r="F66" s="197"/>
      <c r="G66" s="197"/>
      <c r="H66" s="198"/>
      <c r="I66" s="49" t="str">
        <f ca="1">IF(D79=100%,"All work Completed. Possession granted to the Building.",IF(D78=100%,"All work Completed, Waiting for OC",I67&amp;""&amp;I68&amp;""&amp;J67&amp;""&amp;J66&amp;" "&amp;J68))</f>
        <v>Excavation, Plinth Completed, RCC upto 3 Slab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3 Slab</v>
      </c>
    </row>
    <row r="67" spans="1:10" x14ac:dyDescent="0.25">
      <c r="A67" s="16" t="s">
        <v>140</v>
      </c>
      <c r="B67" s="53">
        <f>IF(AND(ISNUMBER(SEARCH("1B",C66))),1,IF(AND(ISNUMBER(SEARCH("2B",C66))),2,IF(AND(ISNUMBER(SEARCH("3B",C66))),3,IF(AND(ISNUMBER(SEARCH("4B",C66))),4,IF(ISNUMBER(SEARCH("5B",C66)),5,0)))))</f>
        <v>1</v>
      </c>
      <c r="C67" s="47" t="s">
        <v>70</v>
      </c>
      <c r="D67" s="47">
        <v>1</v>
      </c>
      <c r="E67" s="47" t="s">
        <v>69</v>
      </c>
      <c r="F67" s="54">
        <v>0</v>
      </c>
      <c r="G67" s="48" t="s">
        <v>78</v>
      </c>
      <c r="H67" s="17">
        <f ca="1">--TRIM(RIGHT(SUBSTITUTE(LEFT(C66,_xlfn.AGGREGATE(16,6,FIND({0,1,2,3,4,5,6,7,8,9},C66,ROW(INDIRECT("1:"&amp;LEN(C66)))),1))," ",REPT(" ",LEN(C66))),LEN(C66)))</f>
        <v>14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x14ac:dyDescent="0.25">
      <c r="A68" s="193" t="s">
        <v>88</v>
      </c>
      <c r="B68" s="165"/>
      <c r="C68" s="151" t="str">
        <f ca="1">I66</f>
        <v>Excavation, Plinth Completed, RCC upto 3 Slab Completed</v>
      </c>
      <c r="D68" s="151"/>
      <c r="E68" s="151"/>
      <c r="F68" s="151"/>
      <c r="G68" s="151"/>
      <c r="H68" s="152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25">
      <c r="A69" s="122" t="s">
        <v>49</v>
      </c>
      <c r="B69" s="123"/>
      <c r="C69" s="43" t="s">
        <v>137</v>
      </c>
      <c r="D69" s="43" t="s">
        <v>81</v>
      </c>
      <c r="E69" s="123" t="s">
        <v>83</v>
      </c>
      <c r="F69" s="123"/>
      <c r="G69" s="123" t="s">
        <v>82</v>
      </c>
      <c r="H69" s="141"/>
      <c r="I69" s="14" t="s">
        <v>139</v>
      </c>
      <c r="J69" s="28">
        <f ca="1">H67*25%</f>
        <v>3.5</v>
      </c>
    </row>
    <row r="70" spans="1:10" x14ac:dyDescent="0.25">
      <c r="A70" s="122" t="s">
        <v>126</v>
      </c>
      <c r="B70" s="123"/>
      <c r="C70" s="43">
        <f ca="1">J71</f>
        <v>14</v>
      </c>
      <c r="D70" s="19">
        <f ca="1">((100/H67)*C70)/100</f>
        <v>1</v>
      </c>
      <c r="E70" s="113">
        <f ca="1">(((C71/H67*10)+(40/(D67+F67+H67)*C72)+(7.5/(H67)*C73)+(7.5/(H67)*C74)+(10/H67*C75)+(10/H67*C76)+(5/H67*C77)+(5/H67*C78)+(5/H67*C79))/100)</f>
        <v>0.18</v>
      </c>
      <c r="F70" s="114"/>
      <c r="G70" s="113">
        <f ca="1">((((C70/H67)*20)+((C71/H67)*25)+(30/(H67+F67+D67)*C72)+(5/H67*C73)+(5/H67*C74)+(5/H67*C75)+(5/H67*C76)+(0/H67*C77)+(0/H67*C78)+(5/H67*C79))/100)</f>
        <v>0.51</v>
      </c>
      <c r="H70" s="119"/>
      <c r="I70" s="14" t="s">
        <v>99</v>
      </c>
      <c r="J70" s="29">
        <f ca="1">H67*50%</f>
        <v>7</v>
      </c>
    </row>
    <row r="71" spans="1:10" x14ac:dyDescent="0.25">
      <c r="A71" s="122" t="s">
        <v>50</v>
      </c>
      <c r="B71" s="123"/>
      <c r="C71" s="72">
        <f ca="1">J79</f>
        <v>14</v>
      </c>
      <c r="D71" s="19">
        <f ca="1">((100/H67)*C71)/100</f>
        <v>1</v>
      </c>
      <c r="E71" s="115"/>
      <c r="F71" s="116"/>
      <c r="G71" s="115"/>
      <c r="H71" s="120"/>
      <c r="I71" s="14" t="s">
        <v>100</v>
      </c>
      <c r="J71" s="29">
        <f ca="1">H67</f>
        <v>14</v>
      </c>
    </row>
    <row r="72" spans="1:10" ht="15.75" customHeight="1" x14ac:dyDescent="0.25">
      <c r="A72" s="122" t="s">
        <v>127</v>
      </c>
      <c r="B72" s="123"/>
      <c r="C72" s="43">
        <v>3</v>
      </c>
      <c r="D72" s="19">
        <f ca="1">((100/(D67+F67+H67))*C72)/100</f>
        <v>0.2</v>
      </c>
      <c r="E72" s="115"/>
      <c r="F72" s="116"/>
      <c r="G72" s="115"/>
      <c r="H72" s="120"/>
      <c r="I72" s="14" t="s">
        <v>101</v>
      </c>
      <c r="J72" s="30">
        <f ca="1">(IF(B67&gt;1,(H67/(B67+2)),H67/4))</f>
        <v>3.5</v>
      </c>
    </row>
    <row r="73" spans="1:10" ht="15.75" customHeight="1" x14ac:dyDescent="0.25">
      <c r="A73" s="122" t="s">
        <v>134</v>
      </c>
      <c r="B73" s="123" t="s">
        <v>128</v>
      </c>
      <c r="C73" s="43">
        <v>0</v>
      </c>
      <c r="D73" s="19">
        <f ca="1">((100/H67)*C73)/100</f>
        <v>0</v>
      </c>
      <c r="E73" s="115"/>
      <c r="F73" s="116"/>
      <c r="G73" s="115"/>
      <c r="H73" s="120"/>
      <c r="I73" s="14" t="s">
        <v>102</v>
      </c>
      <c r="J73" s="30">
        <f ca="1">(IF(B67&gt;1,(H67/(B67+2)+J72),H67/4+J72))</f>
        <v>7</v>
      </c>
    </row>
    <row r="74" spans="1:10" ht="15.75" customHeight="1" x14ac:dyDescent="0.25">
      <c r="A74" s="122" t="s">
        <v>135</v>
      </c>
      <c r="B74" s="123" t="s">
        <v>128</v>
      </c>
      <c r="C74" s="43">
        <v>0</v>
      </c>
      <c r="D74" s="19">
        <f ca="1">((100/H67)*C74)/100</f>
        <v>0</v>
      </c>
      <c r="E74" s="115"/>
      <c r="F74" s="116"/>
      <c r="G74" s="115"/>
      <c r="H74" s="120"/>
      <c r="I74" s="14" t="s">
        <v>144</v>
      </c>
      <c r="J74" s="30">
        <f>(IF(B67&gt;1,(H67/(B67+2)+J73),0))</f>
        <v>0</v>
      </c>
    </row>
    <row r="75" spans="1:10" ht="15" customHeight="1" x14ac:dyDescent="0.25">
      <c r="A75" s="122" t="s">
        <v>133</v>
      </c>
      <c r="B75" s="123" t="s">
        <v>130</v>
      </c>
      <c r="C75" s="43">
        <v>0</v>
      </c>
      <c r="D75" s="19">
        <f ca="1">((100/(H67))*C75)/100</f>
        <v>0</v>
      </c>
      <c r="E75" s="115"/>
      <c r="F75" s="116"/>
      <c r="G75" s="115"/>
      <c r="H75" s="120"/>
      <c r="I75" s="14" t="s">
        <v>141</v>
      </c>
      <c r="J75" s="30">
        <f>(IF(B67&gt;2,(H67/(B67+2)+J74),0))</f>
        <v>0</v>
      </c>
    </row>
    <row r="76" spans="1:10" ht="15.75" customHeight="1" x14ac:dyDescent="0.25">
      <c r="A76" s="122" t="s">
        <v>129</v>
      </c>
      <c r="B76" s="123" t="s">
        <v>129</v>
      </c>
      <c r="C76" s="43">
        <v>0</v>
      </c>
      <c r="D76" s="19">
        <f ca="1">((100/H67)*C76)/100</f>
        <v>0</v>
      </c>
      <c r="E76" s="115"/>
      <c r="F76" s="116"/>
      <c r="G76" s="115"/>
      <c r="H76" s="120"/>
      <c r="I76" s="14" t="s">
        <v>142</v>
      </c>
      <c r="J76" s="31">
        <f>(IF(B67&gt;3,(H67/(B67+2)+J75),0))</f>
        <v>0</v>
      </c>
    </row>
    <row r="77" spans="1:10" ht="15.75" customHeight="1" x14ac:dyDescent="0.25">
      <c r="A77" s="122" t="s">
        <v>136</v>
      </c>
      <c r="B77" s="123"/>
      <c r="C77" s="43">
        <v>0</v>
      </c>
      <c r="D77" s="19">
        <f ca="1">((100/H67)*C77)/100</f>
        <v>0</v>
      </c>
      <c r="E77" s="115"/>
      <c r="F77" s="116"/>
      <c r="G77" s="115"/>
      <c r="H77" s="120"/>
      <c r="I77" s="14" t="s">
        <v>143</v>
      </c>
      <c r="J77" s="30">
        <f>(IF(B67&gt;4,(H67/(B67+2)+J76),0))</f>
        <v>0</v>
      </c>
    </row>
    <row r="78" spans="1:10" ht="15.75" customHeight="1" x14ac:dyDescent="0.25">
      <c r="A78" s="122" t="s">
        <v>131</v>
      </c>
      <c r="B78" s="123" t="s">
        <v>131</v>
      </c>
      <c r="C78" s="43">
        <v>0</v>
      </c>
      <c r="D78" s="19">
        <f ca="1">((100/(H67))*C78)/100</f>
        <v>0</v>
      </c>
      <c r="E78" s="115"/>
      <c r="F78" s="116"/>
      <c r="G78" s="115"/>
      <c r="H78" s="120"/>
      <c r="I78" s="14" t="s">
        <v>145</v>
      </c>
      <c r="J78" s="30">
        <f ca="1">(IF(B67=1,(H67/(B67+3)+J73),IF(B67=0,(H67/4+J73),IF(B67&gt;1,0))))</f>
        <v>10.5</v>
      </c>
    </row>
    <row r="79" spans="1:10" ht="16.5" thickBot="1" x14ac:dyDescent="0.3">
      <c r="A79" s="124" t="s">
        <v>132</v>
      </c>
      <c r="B79" s="125"/>
      <c r="C79" s="44">
        <v>0</v>
      </c>
      <c r="D79" s="20">
        <f ca="1">((100/(H67))*C79)/100</f>
        <v>0</v>
      </c>
      <c r="E79" s="117"/>
      <c r="F79" s="118"/>
      <c r="G79" s="117"/>
      <c r="H79" s="121"/>
      <c r="I79" s="15" t="s">
        <v>103</v>
      </c>
      <c r="J79" s="32">
        <f ca="1">(IF(B67&gt;1.5,(H67/(B67+2)+J73+MAX(0,J74-J73)+MAX(0,J75-J74)+MAX(0,J76-J75)+MAX(0,J77-J76)+MAX(0,J78-J77)),IF(B67=1,(H67/(B67+3)+J78),IF(B67=0,H67/4+J78))))</f>
        <v>14</v>
      </c>
    </row>
    <row r="80" spans="1:10" x14ac:dyDescent="0.25">
      <c r="A80" s="199" t="s">
        <v>154</v>
      </c>
      <c r="B80" s="199"/>
      <c r="C80" s="199"/>
      <c r="D80" s="199"/>
      <c r="E80" s="199"/>
      <c r="F80" s="142" t="s">
        <v>157</v>
      </c>
      <c r="G80" s="142"/>
      <c r="H80" s="142"/>
    </row>
    <row r="81" spans="1:10" hidden="1" x14ac:dyDescent="0.25">
      <c r="A81" s="136" t="s">
        <v>156</v>
      </c>
      <c r="B81" s="136"/>
      <c r="C81" s="136"/>
      <c r="D81" s="136"/>
      <c r="E81" s="136"/>
      <c r="F81" s="110"/>
      <c r="G81" s="110"/>
      <c r="H81" s="110"/>
    </row>
    <row r="82" spans="1:10" x14ac:dyDescent="0.25">
      <c r="A82" s="94" t="s">
        <v>155</v>
      </c>
      <c r="B82" s="94"/>
      <c r="C82" s="94"/>
      <c r="D82" s="94"/>
      <c r="E82" s="94"/>
      <c r="F82" s="204">
        <v>27000</v>
      </c>
      <c r="G82" s="204"/>
      <c r="H82" s="204"/>
    </row>
    <row r="83" spans="1:10" x14ac:dyDescent="0.25">
      <c r="A83" s="94" t="s">
        <v>281</v>
      </c>
      <c r="B83" s="94"/>
      <c r="C83" s="94"/>
      <c r="D83" s="94"/>
      <c r="E83" s="94"/>
      <c r="F83" s="110">
        <v>16000</v>
      </c>
      <c r="G83" s="110"/>
      <c r="H83" s="110"/>
    </row>
    <row r="84" spans="1:10" s="33" customFormat="1" hidden="1" x14ac:dyDescent="0.25">
      <c r="A84" s="94" t="s">
        <v>170</v>
      </c>
      <c r="B84" s="94"/>
      <c r="C84" s="94"/>
      <c r="D84" s="94"/>
      <c r="E84" s="94"/>
      <c r="F84" s="110"/>
      <c r="G84" s="110"/>
      <c r="H84" s="110"/>
    </row>
    <row r="85" spans="1:10" s="33" customFormat="1" hidden="1" x14ac:dyDescent="0.25">
      <c r="A85" s="94" t="s">
        <v>93</v>
      </c>
      <c r="B85" s="94"/>
      <c r="C85" s="94"/>
      <c r="D85" s="94"/>
      <c r="E85" s="94"/>
      <c r="F85" s="110"/>
      <c r="G85" s="110"/>
      <c r="H85" s="110"/>
    </row>
    <row r="86" spans="1:10" s="33" customFormat="1" hidden="1" x14ac:dyDescent="0.25">
      <c r="A86" s="94" t="s">
        <v>94</v>
      </c>
      <c r="B86" s="94"/>
      <c r="C86" s="94"/>
      <c r="D86" s="94"/>
      <c r="E86" s="94"/>
      <c r="F86" s="110"/>
      <c r="G86" s="110"/>
      <c r="H86" s="110"/>
    </row>
    <row r="87" spans="1:10" s="33" customFormat="1" hidden="1" x14ac:dyDescent="0.25">
      <c r="A87" s="94" t="s">
        <v>158</v>
      </c>
      <c r="B87" s="94"/>
      <c r="C87" s="94"/>
      <c r="D87" s="94"/>
      <c r="E87" s="94"/>
      <c r="F87" s="110"/>
      <c r="G87" s="110"/>
      <c r="H87" s="110"/>
    </row>
    <row r="88" spans="1:10" s="33" customFormat="1" hidden="1" x14ac:dyDescent="0.25">
      <c r="A88" s="94" t="s">
        <v>95</v>
      </c>
      <c r="B88" s="94"/>
      <c r="C88" s="94"/>
      <c r="D88" s="94"/>
      <c r="E88" s="94"/>
      <c r="F88" s="110">
        <v>1</v>
      </c>
      <c r="G88" s="110"/>
      <c r="H88" s="110"/>
    </row>
    <row r="89" spans="1:10" s="33" customFormat="1" hidden="1" x14ac:dyDescent="0.25">
      <c r="A89" s="94" t="s">
        <v>96</v>
      </c>
      <c r="B89" s="94"/>
      <c r="C89" s="94"/>
      <c r="D89" s="94"/>
      <c r="E89" s="94"/>
      <c r="F89" s="110"/>
      <c r="G89" s="110"/>
      <c r="H89" s="110"/>
    </row>
    <row r="90" spans="1:10" s="33" customFormat="1" hidden="1" x14ac:dyDescent="0.25">
      <c r="A90" s="94" t="s">
        <v>97</v>
      </c>
      <c r="B90" s="94"/>
      <c r="C90" s="94"/>
      <c r="D90" s="94"/>
      <c r="E90" s="94"/>
      <c r="F90" s="110"/>
      <c r="G90" s="110"/>
      <c r="H90" s="110"/>
    </row>
    <row r="91" spans="1:10" s="33" customFormat="1" hidden="1" x14ac:dyDescent="0.25">
      <c r="A91" s="94" t="s">
        <v>98</v>
      </c>
      <c r="B91" s="94"/>
      <c r="C91" s="94"/>
      <c r="D91" s="94"/>
      <c r="E91" s="94"/>
      <c r="F91" s="110"/>
      <c r="G91" s="110"/>
      <c r="H91" s="110"/>
    </row>
    <row r="92" spans="1:10" x14ac:dyDescent="0.25">
      <c r="A92" s="94" t="s">
        <v>282</v>
      </c>
      <c r="B92" s="94"/>
      <c r="C92" s="94"/>
      <c r="D92" s="94"/>
      <c r="E92" s="94"/>
      <c r="F92" s="110">
        <v>15000</v>
      </c>
      <c r="G92" s="110"/>
      <c r="H92" s="110"/>
    </row>
    <row r="93" spans="1:10" x14ac:dyDescent="0.25">
      <c r="A93" s="94" t="s">
        <v>51</v>
      </c>
      <c r="B93" s="94"/>
      <c r="C93" s="94"/>
      <c r="D93" s="94"/>
      <c r="E93" s="94"/>
      <c r="F93" s="110">
        <v>800000</v>
      </c>
      <c r="G93" s="110"/>
      <c r="H93" s="110"/>
    </row>
    <row r="94" spans="1:10" s="34" customFormat="1" x14ac:dyDescent="0.25">
      <c r="A94" s="165" t="s">
        <v>52</v>
      </c>
      <c r="B94" s="165"/>
      <c r="C94" s="165"/>
      <c r="D94" s="165"/>
      <c r="E94" s="165"/>
      <c r="F94" s="110">
        <f>F83*0.8</f>
        <v>12800</v>
      </c>
      <c r="G94" s="110"/>
      <c r="H94" s="110"/>
      <c r="I94" t="s">
        <v>279</v>
      </c>
      <c r="J94" s="34" t="s">
        <v>280</v>
      </c>
    </row>
    <row r="95" spans="1:10" s="35" customFormat="1" ht="15.75" customHeight="1" x14ac:dyDescent="0.25">
      <c r="A95" s="164" t="s">
        <v>73</v>
      </c>
      <c r="B95" s="164"/>
      <c r="C95" s="164"/>
      <c r="D95" s="164"/>
      <c r="E95" s="164"/>
      <c r="F95" s="164"/>
      <c r="G95" s="164"/>
      <c r="H95" s="164"/>
      <c r="I95" s="71" t="s">
        <v>277</v>
      </c>
      <c r="J95" s="71">
        <v>13500</v>
      </c>
    </row>
    <row r="96" spans="1:10" s="35" customFormat="1" ht="15.75" customHeight="1" x14ac:dyDescent="0.25">
      <c r="A96" s="131" t="s">
        <v>53</v>
      </c>
      <c r="B96" s="131"/>
      <c r="C96" s="167" t="s">
        <v>76</v>
      </c>
      <c r="D96" s="167"/>
      <c r="E96" s="137" t="s">
        <v>54</v>
      </c>
      <c r="F96" s="137"/>
      <c r="G96" s="131" t="s">
        <v>55</v>
      </c>
      <c r="H96" s="132"/>
      <c r="I96" s="67">
        <v>8742</v>
      </c>
      <c r="J96" s="58" t="s">
        <v>274</v>
      </c>
    </row>
    <row r="97" spans="1:14" s="35" customFormat="1" x14ac:dyDescent="0.25">
      <c r="A97" s="138" t="s">
        <v>256</v>
      </c>
      <c r="B97" s="138"/>
      <c r="C97" s="208">
        <f>COUNT(D106:D111)</f>
        <v>6</v>
      </c>
      <c r="D97" s="208"/>
      <c r="E97" s="126">
        <f>SUM(D106:D111)</f>
        <v>5363.7011999999995</v>
      </c>
      <c r="F97" s="127"/>
      <c r="G97" s="126">
        <f>SUM(F106:F111)</f>
        <v>8045.5517999999993</v>
      </c>
      <c r="H97" s="127"/>
      <c r="I97" s="67">
        <v>15000</v>
      </c>
      <c r="J97" s="35" t="s">
        <v>275</v>
      </c>
    </row>
    <row r="98" spans="1:14" s="35" customFormat="1" x14ac:dyDescent="0.25">
      <c r="A98" s="138" t="s">
        <v>257</v>
      </c>
      <c r="B98" s="138"/>
      <c r="C98" s="191">
        <f>COUNT(D113:D122,D125:D134)+COUNT(D136:D157)*11+COUNT(D159:D168,D171:D180)*2</f>
        <v>302</v>
      </c>
      <c r="D98" s="192"/>
      <c r="E98" s="111">
        <f>SUM(D113:D122,D125:D134)+SUM(D136:D157)*11+SUM(D159:D168,D171:D180)*2</f>
        <v>249967.57125600002</v>
      </c>
      <c r="F98" s="112"/>
      <c r="G98" s="111">
        <f>SUM(F113:F122,F125:F134)+SUM(F136:F157)*11+SUM(F159:F168,F171:F180)*2</f>
        <v>374951.35688399989</v>
      </c>
      <c r="H98" s="112"/>
    </row>
    <row r="99" spans="1:14" s="35" customFormat="1" x14ac:dyDescent="0.25">
      <c r="A99" s="209" t="s">
        <v>148</v>
      </c>
      <c r="B99" s="209"/>
      <c r="C99" s="167">
        <f>C97+C98</f>
        <v>308</v>
      </c>
      <c r="D99" s="167"/>
      <c r="E99" s="93">
        <f t="shared" ref="E99" si="0">E97+E98</f>
        <v>255331.27245600004</v>
      </c>
      <c r="F99" s="93"/>
      <c r="G99" s="93">
        <f t="shared" ref="G99" si="1">G97+G98</f>
        <v>382996.90868399991</v>
      </c>
      <c r="H99" s="93"/>
      <c r="I99" s="68" t="s">
        <v>276</v>
      </c>
    </row>
    <row r="100" spans="1:14" s="34" customFormat="1" x14ac:dyDescent="0.25">
      <c r="A100" s="142" t="s">
        <v>56</v>
      </c>
      <c r="B100" s="142"/>
      <c r="C100" s="142"/>
      <c r="D100" s="142"/>
      <c r="E100" s="142"/>
      <c r="F100" s="142"/>
      <c r="G100" s="142"/>
      <c r="H100" s="142"/>
      <c r="I100" s="70" t="s">
        <v>278</v>
      </c>
    </row>
    <row r="101" spans="1:14" x14ac:dyDescent="0.25">
      <c r="A101" s="130" t="s">
        <v>267</v>
      </c>
      <c r="B101" s="130"/>
      <c r="C101" s="130"/>
      <c r="D101" s="130"/>
      <c r="E101" s="130"/>
      <c r="F101" s="130"/>
      <c r="G101" s="130"/>
      <c r="H101" s="130"/>
    </row>
    <row r="102" spans="1:14" ht="47.25" customHeight="1" x14ac:dyDescent="0.25">
      <c r="A102" s="205" t="s">
        <v>118</v>
      </c>
      <c r="B102" s="205" t="s">
        <v>171</v>
      </c>
      <c r="C102" s="205" t="s">
        <v>57</v>
      </c>
      <c r="D102" s="205" t="s">
        <v>58</v>
      </c>
      <c r="E102" s="185" t="s">
        <v>153</v>
      </c>
      <c r="F102" s="42" t="s">
        <v>147</v>
      </c>
      <c r="G102" s="187" t="s">
        <v>59</v>
      </c>
      <c r="H102" s="188"/>
    </row>
    <row r="103" spans="1:14" s="37" customFormat="1" x14ac:dyDescent="0.25">
      <c r="A103" s="206"/>
      <c r="B103" s="206"/>
      <c r="C103" s="206"/>
      <c r="D103" s="206"/>
      <c r="E103" s="186"/>
      <c r="F103" s="13">
        <v>0.5</v>
      </c>
      <c r="G103" s="189"/>
      <c r="H103" s="190"/>
    </row>
    <row r="104" spans="1:14" s="58" customFormat="1" x14ac:dyDescent="0.25">
      <c r="A104" s="90" t="s">
        <v>260</v>
      </c>
      <c r="B104" s="91"/>
      <c r="C104" s="91"/>
      <c r="D104" s="91"/>
      <c r="E104" s="91"/>
      <c r="F104" s="91"/>
      <c r="G104" s="91"/>
      <c r="H104" s="92"/>
      <c r="J104" s="36"/>
    </row>
    <row r="105" spans="1:14" s="37" customFormat="1" ht="33" customHeight="1" x14ac:dyDescent="0.25">
      <c r="A105" s="90" t="s">
        <v>269</v>
      </c>
      <c r="B105" s="91"/>
      <c r="C105" s="91"/>
      <c r="D105" s="91"/>
      <c r="E105" s="91"/>
      <c r="F105" s="91"/>
      <c r="G105" s="91"/>
      <c r="H105" s="92"/>
      <c r="J105" s="36"/>
    </row>
    <row r="106" spans="1:14" s="37" customFormat="1" ht="15.75" customHeight="1" x14ac:dyDescent="0.25">
      <c r="A106" s="95">
        <v>1</v>
      </c>
      <c r="B106" s="96"/>
      <c r="C106" s="62" t="s">
        <v>253</v>
      </c>
      <c r="D106" s="62">
        <f>(88.1)*10.764</f>
        <v>948.30839999999989</v>
      </c>
      <c r="E106" s="62">
        <v>0</v>
      </c>
      <c r="F106" s="62">
        <f>(D106+E106)*(($F$103)+1)</f>
        <v>1422.4625999999998</v>
      </c>
      <c r="G106" s="97" t="str">
        <f>A105</f>
        <v>Ground Floor For Society Office, Meter Room, Fire Control Room, Electric Substation &amp; Commercial</v>
      </c>
      <c r="H106" s="98"/>
      <c r="I106" s="66">
        <f>(6*13.15+3.2*1.85+1.3*1.85)</f>
        <v>87.225000000000009</v>
      </c>
      <c r="L106" s="73"/>
      <c r="M106" s="73"/>
      <c r="N106" s="36"/>
    </row>
    <row r="107" spans="1:14" s="37" customFormat="1" ht="15.75" customHeight="1" x14ac:dyDescent="0.25">
      <c r="A107" s="95">
        <f t="shared" ref="A107:A111" si="2">A106+1</f>
        <v>2</v>
      </c>
      <c r="B107" s="96"/>
      <c r="C107" s="62" t="s">
        <v>253</v>
      </c>
      <c r="D107" s="62">
        <f>(80.525)*10.764</f>
        <v>866.77110000000005</v>
      </c>
      <c r="E107" s="62">
        <v>0</v>
      </c>
      <c r="F107" s="62">
        <f t="shared" ref="F107:F109" si="3">(D107+E107)*(($F$103)+1)</f>
        <v>1300.1566500000001</v>
      </c>
      <c r="G107" s="99"/>
      <c r="H107" s="100"/>
      <c r="I107" s="66">
        <f>(5.5*13.15+2.7*1.85+1.3*1.85)</f>
        <v>79.725000000000009</v>
      </c>
      <c r="L107" s="73"/>
      <c r="M107" s="73"/>
      <c r="N107" s="36"/>
    </row>
    <row r="108" spans="1:14" s="37" customFormat="1" ht="15.75" customHeight="1" x14ac:dyDescent="0.25">
      <c r="A108" s="95">
        <f t="shared" si="2"/>
        <v>3</v>
      </c>
      <c r="B108" s="96"/>
      <c r="C108" s="62" t="s">
        <v>253</v>
      </c>
      <c r="D108" s="62">
        <f t="shared" ref="D108:D110" si="4">(80.525)*10.764</f>
        <v>866.77110000000005</v>
      </c>
      <c r="E108" s="62">
        <v>0</v>
      </c>
      <c r="F108" s="62">
        <f t="shared" si="3"/>
        <v>1300.1566500000001</v>
      </c>
      <c r="G108" s="99"/>
      <c r="H108" s="100"/>
      <c r="I108" s="36"/>
      <c r="L108" s="73"/>
      <c r="M108" s="73"/>
      <c r="N108" s="36"/>
    </row>
    <row r="109" spans="1:14" s="37" customFormat="1" ht="15.75" customHeight="1" x14ac:dyDescent="0.25">
      <c r="A109" s="95">
        <f t="shared" si="2"/>
        <v>4</v>
      </c>
      <c r="B109" s="96"/>
      <c r="C109" s="62" t="s">
        <v>253</v>
      </c>
      <c r="D109" s="62">
        <f t="shared" si="4"/>
        <v>866.77110000000005</v>
      </c>
      <c r="E109" s="62">
        <v>0</v>
      </c>
      <c r="F109" s="62">
        <f t="shared" si="3"/>
        <v>1300.1566500000001</v>
      </c>
      <c r="G109" s="99"/>
      <c r="H109" s="100"/>
      <c r="I109" s="69" t="s">
        <v>256</v>
      </c>
      <c r="L109" s="73"/>
      <c r="M109" s="73"/>
      <c r="N109" s="36"/>
    </row>
    <row r="110" spans="1:14" s="58" customFormat="1" ht="15.75" customHeight="1" x14ac:dyDescent="0.25">
      <c r="A110" s="95">
        <f t="shared" si="2"/>
        <v>5</v>
      </c>
      <c r="B110" s="96"/>
      <c r="C110" s="62" t="s">
        <v>253</v>
      </c>
      <c r="D110" s="62">
        <f t="shared" si="4"/>
        <v>866.77110000000005</v>
      </c>
      <c r="E110" s="62">
        <v>0</v>
      </c>
      <c r="F110" s="62">
        <f t="shared" ref="F110:F111" si="5">(D110+E110)*(($F$103)+1)</f>
        <v>1300.1566500000001</v>
      </c>
      <c r="G110" s="99"/>
      <c r="H110" s="100"/>
      <c r="I110" s="36">
        <f>27300000/F110</f>
        <v>20997.469804888507</v>
      </c>
      <c r="L110" s="73"/>
      <c r="M110" s="73"/>
      <c r="N110" s="36"/>
    </row>
    <row r="111" spans="1:14" s="58" customFormat="1" ht="15.75" customHeight="1" x14ac:dyDescent="0.25">
      <c r="A111" s="95">
        <f t="shared" si="2"/>
        <v>6</v>
      </c>
      <c r="B111" s="96"/>
      <c r="C111" s="62" t="s">
        <v>253</v>
      </c>
      <c r="D111" s="62">
        <f>(88.1)*10.764</f>
        <v>948.30839999999989</v>
      </c>
      <c r="E111" s="62">
        <v>0</v>
      </c>
      <c r="F111" s="62">
        <f t="shared" si="5"/>
        <v>1422.4625999999998</v>
      </c>
      <c r="G111" s="101"/>
      <c r="H111" s="102"/>
      <c r="I111" s="36"/>
      <c r="L111" s="73"/>
      <c r="M111" s="73"/>
      <c r="N111" s="36"/>
    </row>
    <row r="112" spans="1:14" s="58" customFormat="1" x14ac:dyDescent="0.25">
      <c r="A112" s="90" t="s">
        <v>273</v>
      </c>
      <c r="B112" s="91"/>
      <c r="C112" s="91"/>
      <c r="D112" s="91"/>
      <c r="E112" s="91"/>
      <c r="F112" s="91"/>
      <c r="G112" s="91"/>
      <c r="H112" s="92"/>
      <c r="J112" s="36"/>
    </row>
    <row r="113" spans="1:14" s="58" customFormat="1" ht="15.75" customHeight="1" x14ac:dyDescent="0.25">
      <c r="A113" s="74">
        <v>1</v>
      </c>
      <c r="B113" s="75"/>
      <c r="C113" s="57" t="s">
        <v>254</v>
      </c>
      <c r="D113" s="60">
        <f>(60.51)*10.764</f>
        <v>651.32963999999993</v>
      </c>
      <c r="E113" s="57">
        <v>0</v>
      </c>
      <c r="F113" s="57">
        <f>(D113+E113)*(($F$103)+1)</f>
        <v>976.99445999999989</v>
      </c>
      <c r="G113" s="76" t="str">
        <f>A112</f>
        <v>1st Floor for Commerical</v>
      </c>
      <c r="H113" s="77"/>
      <c r="I113" s="66">
        <f>(11.45*3.9+4.45*2.5+1.5*1.3+1.5*1.3)</f>
        <v>59.68</v>
      </c>
      <c r="L113" s="73"/>
      <c r="M113" s="73"/>
      <c r="N113" s="36"/>
    </row>
    <row r="114" spans="1:14" s="58" customFormat="1" ht="15.75" customHeight="1" x14ac:dyDescent="0.25">
      <c r="A114" s="74">
        <f t="shared" ref="A114:A134" si="6">A113+1</f>
        <v>2</v>
      </c>
      <c r="B114" s="75"/>
      <c r="C114" s="57" t="s">
        <v>254</v>
      </c>
      <c r="D114" s="60">
        <f>(60.51)*10.764</f>
        <v>651.32963999999993</v>
      </c>
      <c r="E114" s="57">
        <v>0</v>
      </c>
      <c r="F114" s="57">
        <f t="shared" ref="F114:F118" si="7">(D114+E114)*(($F$103)+1)</f>
        <v>976.99445999999989</v>
      </c>
      <c r="G114" s="78"/>
      <c r="H114" s="79"/>
      <c r="I114" s="36"/>
      <c r="L114" s="73"/>
      <c r="M114" s="73"/>
      <c r="N114" s="36"/>
    </row>
    <row r="115" spans="1:14" s="58" customFormat="1" ht="15.75" customHeight="1" x14ac:dyDescent="0.25">
      <c r="A115" s="74">
        <f t="shared" si="6"/>
        <v>3</v>
      </c>
      <c r="B115" s="75"/>
      <c r="C115" s="57" t="s">
        <v>254</v>
      </c>
      <c r="D115" s="60">
        <f>(88.5)*10.764</f>
        <v>952.61399999999992</v>
      </c>
      <c r="E115" s="57">
        <v>0</v>
      </c>
      <c r="F115" s="57">
        <f t="shared" si="7"/>
        <v>1428.9209999999998</v>
      </c>
      <c r="G115" s="78"/>
      <c r="H115" s="79"/>
      <c r="I115" s="66">
        <f>(6*10.55+4.6*4.45+1.5*1.3+1.5*1.3)</f>
        <v>87.670000000000016</v>
      </c>
      <c r="L115" s="73"/>
      <c r="M115" s="73"/>
      <c r="N115" s="36"/>
    </row>
    <row r="116" spans="1:14" s="58" customFormat="1" ht="15.75" customHeight="1" x14ac:dyDescent="0.25">
      <c r="A116" s="74">
        <f t="shared" si="6"/>
        <v>4</v>
      </c>
      <c r="B116" s="75"/>
      <c r="C116" s="57" t="s">
        <v>254</v>
      </c>
      <c r="D116" s="60">
        <f>(81)*10.764</f>
        <v>871.8839999999999</v>
      </c>
      <c r="E116" s="57">
        <v>0</v>
      </c>
      <c r="F116" s="57">
        <f t="shared" si="7"/>
        <v>1307.8259999999998</v>
      </c>
      <c r="G116" s="78"/>
      <c r="H116" s="79"/>
      <c r="I116" s="66">
        <f>(5.5*10.55+4.1*4.45+1.5*1.3+1.5*1.3)</f>
        <v>80.170000000000016</v>
      </c>
      <c r="L116" s="73"/>
      <c r="M116" s="73"/>
      <c r="N116" s="36"/>
    </row>
    <row r="117" spans="1:14" s="58" customFormat="1" ht="15.75" customHeight="1" x14ac:dyDescent="0.25">
      <c r="A117" s="74">
        <f t="shared" si="6"/>
        <v>5</v>
      </c>
      <c r="B117" s="75"/>
      <c r="C117" s="57" t="s">
        <v>254</v>
      </c>
      <c r="D117" s="60">
        <f t="shared" ref="D117:D119" si="8">(81)*10.764</f>
        <v>871.8839999999999</v>
      </c>
      <c r="E117" s="57">
        <v>0</v>
      </c>
      <c r="F117" s="57">
        <f t="shared" si="7"/>
        <v>1307.8259999999998</v>
      </c>
      <c r="G117" s="78"/>
      <c r="H117" s="79"/>
      <c r="I117" s="36"/>
      <c r="L117" s="73"/>
      <c r="M117" s="73"/>
      <c r="N117" s="36"/>
    </row>
    <row r="118" spans="1:14" s="58" customFormat="1" ht="15.75" customHeight="1" x14ac:dyDescent="0.25">
      <c r="A118" s="74">
        <f t="shared" si="6"/>
        <v>6</v>
      </c>
      <c r="B118" s="75"/>
      <c r="C118" s="57" t="s">
        <v>254</v>
      </c>
      <c r="D118" s="60">
        <f t="shared" si="8"/>
        <v>871.8839999999999</v>
      </c>
      <c r="E118" s="57">
        <v>0</v>
      </c>
      <c r="F118" s="57">
        <f t="shared" si="7"/>
        <v>1307.8259999999998</v>
      </c>
      <c r="G118" s="78"/>
      <c r="H118" s="79"/>
      <c r="I118" s="36"/>
      <c r="L118" s="73"/>
      <c r="M118" s="73"/>
      <c r="N118" s="36"/>
    </row>
    <row r="119" spans="1:14" s="58" customFormat="1" ht="15.75" customHeight="1" x14ac:dyDescent="0.25">
      <c r="A119" s="74">
        <f t="shared" si="6"/>
        <v>7</v>
      </c>
      <c r="B119" s="75"/>
      <c r="C119" s="57" t="s">
        <v>254</v>
      </c>
      <c r="D119" s="60">
        <f t="shared" si="8"/>
        <v>871.8839999999999</v>
      </c>
      <c r="E119" s="57">
        <v>0</v>
      </c>
      <c r="F119" s="57">
        <f t="shared" ref="F119" si="9">(D119+E119)*(($F$103)+1)</f>
        <v>1307.8259999999998</v>
      </c>
      <c r="G119" s="78"/>
      <c r="H119" s="79"/>
      <c r="I119" s="36"/>
      <c r="L119" s="73"/>
      <c r="M119" s="73"/>
      <c r="N119" s="36"/>
    </row>
    <row r="120" spans="1:14" s="58" customFormat="1" ht="15.75" customHeight="1" x14ac:dyDescent="0.25">
      <c r="A120" s="74">
        <f t="shared" si="6"/>
        <v>8</v>
      </c>
      <c r="B120" s="75"/>
      <c r="C120" s="57" t="s">
        <v>254</v>
      </c>
      <c r="D120" s="60">
        <f>(88.5)*10.764</f>
        <v>952.61399999999992</v>
      </c>
      <c r="E120" s="57">
        <v>0</v>
      </c>
      <c r="F120" s="57">
        <f>(D120+E120)*(($F$103)+1)</f>
        <v>1428.9209999999998</v>
      </c>
      <c r="G120" s="78"/>
      <c r="H120" s="79"/>
      <c r="I120" s="36">
        <f>16000000/F120</f>
        <v>11197.260030470545</v>
      </c>
      <c r="L120" s="73"/>
      <c r="M120" s="73"/>
      <c r="N120" s="36"/>
    </row>
    <row r="121" spans="1:14" s="58" customFormat="1" ht="15.75" customHeight="1" x14ac:dyDescent="0.25">
      <c r="A121" s="74">
        <f t="shared" si="6"/>
        <v>9</v>
      </c>
      <c r="B121" s="75"/>
      <c r="C121" s="57" t="s">
        <v>254</v>
      </c>
      <c r="D121" s="60">
        <f>(81.18)*10.764</f>
        <v>873.82151999999996</v>
      </c>
      <c r="E121" s="57">
        <v>0</v>
      </c>
      <c r="F121" s="57">
        <f t="shared" ref="F121:F126" si="10">(D121+E121)*(($F$103)+1)</f>
        <v>1310.7322799999999</v>
      </c>
      <c r="G121" s="78"/>
      <c r="H121" s="79"/>
      <c r="I121" s="36"/>
      <c r="L121" s="73"/>
      <c r="M121" s="73"/>
      <c r="N121" s="36"/>
    </row>
    <row r="122" spans="1:14" s="58" customFormat="1" ht="15.75" customHeight="1" x14ac:dyDescent="0.25">
      <c r="A122" s="74">
        <f t="shared" si="6"/>
        <v>10</v>
      </c>
      <c r="B122" s="75"/>
      <c r="C122" s="57" t="s">
        <v>254</v>
      </c>
      <c r="D122" s="60">
        <f>(81.18)*10.764</f>
        <v>873.82151999999996</v>
      </c>
      <c r="E122" s="57">
        <v>0</v>
      </c>
      <c r="F122" s="57">
        <f t="shared" si="10"/>
        <v>1310.7322799999999</v>
      </c>
      <c r="G122" s="78"/>
      <c r="H122" s="79"/>
      <c r="I122" s="66">
        <f>11.45*5.2+4.45*3.8+1.5*1.3+1.5*1.3</f>
        <v>80.350000000000009</v>
      </c>
      <c r="L122" s="73"/>
      <c r="M122" s="73"/>
      <c r="N122" s="36"/>
    </row>
    <row r="123" spans="1:14" s="58" customFormat="1" ht="15.75" customHeight="1" x14ac:dyDescent="0.25">
      <c r="A123" s="82">
        <f t="shared" si="6"/>
        <v>11</v>
      </c>
      <c r="B123" s="83"/>
      <c r="C123" s="84" t="s">
        <v>261</v>
      </c>
      <c r="D123" s="85"/>
      <c r="E123" s="85"/>
      <c r="F123" s="86"/>
      <c r="G123" s="78"/>
      <c r="H123" s="79"/>
      <c r="I123" s="36"/>
      <c r="L123" s="73"/>
      <c r="M123" s="73"/>
      <c r="N123" s="36"/>
    </row>
    <row r="124" spans="1:14" s="58" customFormat="1" ht="15.75" customHeight="1" x14ac:dyDescent="0.25">
      <c r="A124" s="82">
        <f t="shared" si="6"/>
        <v>12</v>
      </c>
      <c r="B124" s="83"/>
      <c r="C124" s="87"/>
      <c r="D124" s="88"/>
      <c r="E124" s="88"/>
      <c r="F124" s="89"/>
      <c r="G124" s="78"/>
      <c r="H124" s="79"/>
      <c r="I124" s="36"/>
      <c r="L124" s="73"/>
      <c r="M124" s="73"/>
      <c r="N124" s="36"/>
    </row>
    <row r="125" spans="1:14" s="58" customFormat="1" ht="15.75" customHeight="1" x14ac:dyDescent="0.25">
      <c r="A125" s="74">
        <f t="shared" si="6"/>
        <v>13</v>
      </c>
      <c r="B125" s="75"/>
      <c r="C125" s="57" t="s">
        <v>254</v>
      </c>
      <c r="D125" s="60">
        <f>(81.18)*10.764</f>
        <v>873.82151999999996</v>
      </c>
      <c r="E125" s="57">
        <v>0</v>
      </c>
      <c r="F125" s="57">
        <f t="shared" si="10"/>
        <v>1310.7322799999999</v>
      </c>
      <c r="G125" s="78"/>
      <c r="H125" s="79"/>
      <c r="I125" s="36"/>
      <c r="L125" s="73"/>
      <c r="M125" s="73"/>
      <c r="N125" s="36"/>
    </row>
    <row r="126" spans="1:14" s="58" customFormat="1" ht="15.75" customHeight="1" x14ac:dyDescent="0.25">
      <c r="A126" s="74">
        <f t="shared" si="6"/>
        <v>14</v>
      </c>
      <c r="B126" s="75"/>
      <c r="C126" s="57" t="s">
        <v>254</v>
      </c>
      <c r="D126" s="60">
        <f>(81.18)*10.764</f>
        <v>873.82151999999996</v>
      </c>
      <c r="E126" s="57">
        <v>0</v>
      </c>
      <c r="F126" s="57">
        <f t="shared" si="10"/>
        <v>1310.7322799999999</v>
      </c>
      <c r="G126" s="78"/>
      <c r="H126" s="79"/>
      <c r="I126" s="36"/>
      <c r="L126" s="73"/>
      <c r="M126" s="73"/>
      <c r="N126" s="36"/>
    </row>
    <row r="127" spans="1:14" s="58" customFormat="1" ht="15.75" customHeight="1" x14ac:dyDescent="0.25">
      <c r="A127" s="74">
        <f t="shared" si="6"/>
        <v>15</v>
      </c>
      <c r="B127" s="75"/>
      <c r="C127" s="57" t="s">
        <v>254</v>
      </c>
      <c r="D127" s="60">
        <f>(82.2)*10.764</f>
        <v>884.80079999999998</v>
      </c>
      <c r="E127" s="57">
        <v>0</v>
      </c>
      <c r="F127" s="57">
        <f>(D127+E127)*(($F$103)+1)</f>
        <v>1327.2012</v>
      </c>
      <c r="G127" s="78"/>
      <c r="H127" s="79"/>
      <c r="I127" s="36"/>
      <c r="L127" s="73"/>
      <c r="M127" s="73"/>
      <c r="N127" s="36"/>
    </row>
    <row r="128" spans="1:14" s="58" customFormat="1" ht="15.75" customHeight="1" x14ac:dyDescent="0.25">
      <c r="A128" s="74">
        <f t="shared" si="6"/>
        <v>16</v>
      </c>
      <c r="B128" s="75"/>
      <c r="C128" s="57" t="s">
        <v>254</v>
      </c>
      <c r="D128" s="60">
        <f>(75.225)*10.764</f>
        <v>809.72189999999989</v>
      </c>
      <c r="E128" s="57">
        <v>0</v>
      </c>
      <c r="F128" s="57">
        <f t="shared" ref="F128:F132" si="11">(D128+E128)*(($F$103)+1)</f>
        <v>1214.5828499999998</v>
      </c>
      <c r="G128" s="78"/>
      <c r="H128" s="79"/>
      <c r="I128" s="36"/>
      <c r="L128" s="73"/>
      <c r="M128" s="73"/>
      <c r="N128" s="36"/>
    </row>
    <row r="129" spans="1:14" s="58" customFormat="1" ht="15.75" customHeight="1" x14ac:dyDescent="0.25">
      <c r="A129" s="74">
        <f t="shared" si="6"/>
        <v>17</v>
      </c>
      <c r="B129" s="75"/>
      <c r="C129" s="57" t="s">
        <v>254</v>
      </c>
      <c r="D129" s="60">
        <f t="shared" ref="D129:D131" si="12">(75.225)*10.764</f>
        <v>809.72189999999989</v>
      </c>
      <c r="E129" s="57">
        <v>0</v>
      </c>
      <c r="F129" s="57">
        <f t="shared" si="11"/>
        <v>1214.5828499999998</v>
      </c>
      <c r="G129" s="78"/>
      <c r="H129" s="79"/>
      <c r="I129" s="66">
        <f>5.5*9.5+4.1*4.45+1.5*1.3+1.5*1.3</f>
        <v>74.39500000000001</v>
      </c>
      <c r="L129" s="73"/>
      <c r="M129" s="73"/>
      <c r="N129" s="36"/>
    </row>
    <row r="130" spans="1:14" s="58" customFormat="1" ht="15.75" customHeight="1" x14ac:dyDescent="0.25">
      <c r="A130" s="74">
        <f t="shared" si="6"/>
        <v>18</v>
      </c>
      <c r="B130" s="75"/>
      <c r="C130" s="57" t="s">
        <v>254</v>
      </c>
      <c r="D130" s="60">
        <f t="shared" si="12"/>
        <v>809.72189999999989</v>
      </c>
      <c r="E130" s="57">
        <v>0</v>
      </c>
      <c r="F130" s="57">
        <f t="shared" si="11"/>
        <v>1214.5828499999998</v>
      </c>
      <c r="G130" s="78"/>
      <c r="H130" s="79"/>
      <c r="I130" s="36"/>
      <c r="L130" s="73"/>
      <c r="M130" s="73"/>
      <c r="N130" s="36"/>
    </row>
    <row r="131" spans="1:14" s="58" customFormat="1" ht="15.75" customHeight="1" x14ac:dyDescent="0.25">
      <c r="A131" s="74">
        <f t="shared" si="6"/>
        <v>19</v>
      </c>
      <c r="B131" s="75"/>
      <c r="C131" s="57" t="s">
        <v>254</v>
      </c>
      <c r="D131" s="60">
        <f t="shared" si="12"/>
        <v>809.72189999999989</v>
      </c>
      <c r="E131" s="57">
        <v>0</v>
      </c>
      <c r="F131" s="57">
        <f t="shared" si="11"/>
        <v>1214.5828499999998</v>
      </c>
      <c r="G131" s="78"/>
      <c r="H131" s="79"/>
      <c r="I131" s="36"/>
      <c r="L131" s="73"/>
      <c r="M131" s="73"/>
      <c r="N131" s="36"/>
    </row>
    <row r="132" spans="1:14" s="58" customFormat="1" ht="15.75" customHeight="1" x14ac:dyDescent="0.25">
      <c r="A132" s="74">
        <f t="shared" si="6"/>
        <v>20</v>
      </c>
      <c r="B132" s="75"/>
      <c r="C132" s="57" t="s">
        <v>254</v>
      </c>
      <c r="D132" s="60">
        <f>(82.2)*10.764</f>
        <v>884.80079999999998</v>
      </c>
      <c r="E132" s="57">
        <v>0</v>
      </c>
      <c r="F132" s="57">
        <f t="shared" si="11"/>
        <v>1327.2012</v>
      </c>
      <c r="G132" s="78"/>
      <c r="H132" s="79"/>
      <c r="I132" s="36"/>
      <c r="L132" s="73"/>
      <c r="M132" s="73"/>
      <c r="N132" s="36"/>
    </row>
    <row r="133" spans="1:14" s="58" customFormat="1" ht="15.75" customHeight="1" x14ac:dyDescent="0.25">
      <c r="A133" s="74">
        <f t="shared" si="6"/>
        <v>21</v>
      </c>
      <c r="B133" s="75"/>
      <c r="C133" s="57" t="s">
        <v>254</v>
      </c>
      <c r="D133" s="60">
        <f>(60.51)*10.764</f>
        <v>651.32963999999993</v>
      </c>
      <c r="E133" s="57">
        <v>0</v>
      </c>
      <c r="F133" s="57">
        <f t="shared" ref="F133:F134" si="13">(D133+E133)*(($F$103)+1)</f>
        <v>976.99445999999989</v>
      </c>
      <c r="G133" s="78"/>
      <c r="H133" s="79"/>
      <c r="I133" s="36"/>
      <c r="L133" s="73"/>
      <c r="M133" s="73"/>
      <c r="N133" s="36"/>
    </row>
    <row r="134" spans="1:14" s="58" customFormat="1" ht="15.75" customHeight="1" x14ac:dyDescent="0.25">
      <c r="A134" s="74">
        <f t="shared" si="6"/>
        <v>22</v>
      </c>
      <c r="B134" s="75"/>
      <c r="C134" s="57" t="s">
        <v>254</v>
      </c>
      <c r="D134" s="60">
        <f>(60.51)*10.764</f>
        <v>651.32963999999993</v>
      </c>
      <c r="E134" s="57">
        <v>0</v>
      </c>
      <c r="F134" s="57">
        <f t="shared" si="13"/>
        <v>976.99445999999989</v>
      </c>
      <c r="G134" s="80"/>
      <c r="H134" s="81"/>
      <c r="I134" s="36"/>
      <c r="L134" s="73"/>
      <c r="M134" s="73"/>
      <c r="N134" s="36"/>
    </row>
    <row r="135" spans="1:14" s="58" customFormat="1" x14ac:dyDescent="0.25">
      <c r="A135" s="90" t="s">
        <v>255</v>
      </c>
      <c r="B135" s="91"/>
      <c r="C135" s="91"/>
      <c r="D135" s="91"/>
      <c r="E135" s="91"/>
      <c r="F135" s="91"/>
      <c r="G135" s="91"/>
      <c r="H135" s="92"/>
      <c r="J135" s="36"/>
    </row>
    <row r="136" spans="1:14" s="58" customFormat="1" ht="15.75" customHeight="1" x14ac:dyDescent="0.25">
      <c r="A136" s="82">
        <v>1</v>
      </c>
      <c r="B136" s="83"/>
      <c r="C136" s="60" t="s">
        <v>254</v>
      </c>
      <c r="D136" s="60">
        <f>(60.51)*10.764</f>
        <v>651.32963999999993</v>
      </c>
      <c r="E136" s="60">
        <v>0</v>
      </c>
      <c r="F136" s="60">
        <f>(D136+E136)*(($F$103)+1)</f>
        <v>976.99445999999989</v>
      </c>
      <c r="G136" s="84" t="str">
        <f>A135</f>
        <v>2nd to 7th, 9th to 12th &amp; 14th Floor</v>
      </c>
      <c r="H136" s="86"/>
      <c r="I136" s="61"/>
      <c r="L136" s="73"/>
      <c r="M136" s="73"/>
      <c r="N136" s="36"/>
    </row>
    <row r="137" spans="1:14" s="58" customFormat="1" ht="15.75" customHeight="1" x14ac:dyDescent="0.25">
      <c r="A137" s="82">
        <f t="shared" ref="A137:A157" si="14">A136+1</f>
        <v>2</v>
      </c>
      <c r="B137" s="83"/>
      <c r="C137" s="60" t="s">
        <v>254</v>
      </c>
      <c r="D137" s="60">
        <f>(60.51)*10.764</f>
        <v>651.32963999999993</v>
      </c>
      <c r="E137" s="60">
        <v>0</v>
      </c>
      <c r="F137" s="60">
        <f t="shared" ref="F137:F142" si="15">(D137+E137)*(($F$103)+1)</f>
        <v>976.99445999999989</v>
      </c>
      <c r="G137" s="160"/>
      <c r="H137" s="161"/>
      <c r="I137" s="36"/>
      <c r="L137" s="73"/>
      <c r="M137" s="73"/>
      <c r="N137" s="36"/>
    </row>
    <row r="138" spans="1:14" s="58" customFormat="1" ht="15.75" customHeight="1" x14ac:dyDescent="0.25">
      <c r="A138" s="82">
        <f t="shared" si="14"/>
        <v>3</v>
      </c>
      <c r="B138" s="83"/>
      <c r="C138" s="60" t="s">
        <v>254</v>
      </c>
      <c r="D138" s="60">
        <f>(88.5)*10.764</f>
        <v>952.61399999999992</v>
      </c>
      <c r="E138" s="60">
        <v>0</v>
      </c>
      <c r="F138" s="60">
        <f t="shared" si="15"/>
        <v>1428.9209999999998</v>
      </c>
      <c r="G138" s="160"/>
      <c r="H138" s="161"/>
      <c r="I138" s="36"/>
      <c r="L138" s="73"/>
      <c r="M138" s="73"/>
      <c r="N138" s="36"/>
    </row>
    <row r="139" spans="1:14" s="58" customFormat="1" ht="15.75" customHeight="1" x14ac:dyDescent="0.25">
      <c r="A139" s="82">
        <f t="shared" si="14"/>
        <v>4</v>
      </c>
      <c r="B139" s="83"/>
      <c r="C139" s="60" t="s">
        <v>254</v>
      </c>
      <c r="D139" s="60">
        <f>(81)*10.764</f>
        <v>871.8839999999999</v>
      </c>
      <c r="E139" s="60">
        <v>0</v>
      </c>
      <c r="F139" s="60">
        <f t="shared" si="15"/>
        <v>1307.8259999999998</v>
      </c>
      <c r="G139" s="160"/>
      <c r="H139" s="161"/>
      <c r="I139" s="36"/>
      <c r="L139" s="73"/>
      <c r="M139" s="73"/>
      <c r="N139" s="36"/>
    </row>
    <row r="140" spans="1:14" s="58" customFormat="1" ht="15.75" customHeight="1" x14ac:dyDescent="0.25">
      <c r="A140" s="82">
        <f t="shared" si="14"/>
        <v>5</v>
      </c>
      <c r="B140" s="83"/>
      <c r="C140" s="60" t="s">
        <v>254</v>
      </c>
      <c r="D140" s="60">
        <f t="shared" ref="D140:D142" si="16">(81)*10.764</f>
        <v>871.8839999999999</v>
      </c>
      <c r="E140" s="60">
        <v>0</v>
      </c>
      <c r="F140" s="60">
        <f t="shared" si="15"/>
        <v>1307.8259999999998</v>
      </c>
      <c r="G140" s="160"/>
      <c r="H140" s="161"/>
      <c r="I140" s="36"/>
      <c r="L140" s="73"/>
      <c r="M140" s="73"/>
      <c r="N140" s="36"/>
    </row>
    <row r="141" spans="1:14" s="58" customFormat="1" ht="15.75" customHeight="1" x14ac:dyDescent="0.25">
      <c r="A141" s="82">
        <f t="shared" si="14"/>
        <v>6</v>
      </c>
      <c r="B141" s="83"/>
      <c r="C141" s="60" t="s">
        <v>254</v>
      </c>
      <c r="D141" s="60">
        <f t="shared" si="16"/>
        <v>871.8839999999999</v>
      </c>
      <c r="E141" s="60">
        <v>0</v>
      </c>
      <c r="F141" s="60">
        <f t="shared" si="15"/>
        <v>1307.8259999999998</v>
      </c>
      <c r="G141" s="160"/>
      <c r="H141" s="161"/>
      <c r="I141" s="36"/>
      <c r="L141" s="73"/>
      <c r="M141" s="73"/>
      <c r="N141" s="36"/>
    </row>
    <row r="142" spans="1:14" s="58" customFormat="1" ht="15.75" customHeight="1" x14ac:dyDescent="0.25">
      <c r="A142" s="82">
        <f t="shared" si="14"/>
        <v>7</v>
      </c>
      <c r="B142" s="83"/>
      <c r="C142" s="60" t="s">
        <v>254</v>
      </c>
      <c r="D142" s="60">
        <f t="shared" si="16"/>
        <v>871.8839999999999</v>
      </c>
      <c r="E142" s="60">
        <v>0</v>
      </c>
      <c r="F142" s="60">
        <f t="shared" si="15"/>
        <v>1307.8259999999998</v>
      </c>
      <c r="G142" s="160"/>
      <c r="H142" s="161"/>
      <c r="I142" s="36"/>
      <c r="L142" s="73"/>
      <c r="M142" s="73"/>
      <c r="N142" s="36"/>
    </row>
    <row r="143" spans="1:14" s="58" customFormat="1" ht="15.75" customHeight="1" x14ac:dyDescent="0.25">
      <c r="A143" s="82">
        <f t="shared" si="14"/>
        <v>8</v>
      </c>
      <c r="B143" s="83"/>
      <c r="C143" s="60" t="s">
        <v>254</v>
      </c>
      <c r="D143" s="60">
        <f>(88.5)*10.764</f>
        <v>952.61399999999992</v>
      </c>
      <c r="E143" s="60">
        <v>0</v>
      </c>
      <c r="F143" s="60">
        <f>(D143+E143)*(($F$103)+1)</f>
        <v>1428.9209999999998</v>
      </c>
      <c r="G143" s="160"/>
      <c r="H143" s="161"/>
      <c r="I143" s="36"/>
      <c r="L143" s="73"/>
      <c r="M143" s="73"/>
      <c r="N143" s="36"/>
    </row>
    <row r="144" spans="1:14" s="58" customFormat="1" ht="15.75" customHeight="1" x14ac:dyDescent="0.25">
      <c r="A144" s="82">
        <f t="shared" si="14"/>
        <v>9</v>
      </c>
      <c r="B144" s="83"/>
      <c r="C144" s="60" t="s">
        <v>254</v>
      </c>
      <c r="D144" s="60">
        <f>(81.18)*10.764</f>
        <v>873.82151999999996</v>
      </c>
      <c r="E144" s="60">
        <v>0</v>
      </c>
      <c r="F144" s="60">
        <f t="shared" ref="F144:F149" si="17">(D144+E144)*(($F$103)+1)</f>
        <v>1310.7322799999999</v>
      </c>
      <c r="G144" s="160"/>
      <c r="H144" s="161"/>
      <c r="I144" s="36"/>
      <c r="L144" s="73"/>
      <c r="M144" s="73"/>
      <c r="N144" s="36"/>
    </row>
    <row r="145" spans="1:14" s="58" customFormat="1" ht="15.75" customHeight="1" x14ac:dyDescent="0.25">
      <c r="A145" s="82">
        <f t="shared" si="14"/>
        <v>10</v>
      </c>
      <c r="B145" s="83"/>
      <c r="C145" s="60" t="s">
        <v>254</v>
      </c>
      <c r="D145" s="60">
        <f>(81.18)*10.764</f>
        <v>873.82151999999996</v>
      </c>
      <c r="E145" s="60">
        <v>0</v>
      </c>
      <c r="F145" s="60">
        <f t="shared" si="17"/>
        <v>1310.7322799999999</v>
      </c>
      <c r="G145" s="160"/>
      <c r="H145" s="161"/>
      <c r="I145" s="36"/>
      <c r="L145" s="73"/>
      <c r="M145" s="73"/>
      <c r="N145" s="36"/>
    </row>
    <row r="146" spans="1:14" s="58" customFormat="1" ht="15.75" customHeight="1" x14ac:dyDescent="0.25">
      <c r="A146" s="82">
        <f t="shared" si="14"/>
        <v>11</v>
      </c>
      <c r="B146" s="83"/>
      <c r="C146" s="60" t="s">
        <v>254</v>
      </c>
      <c r="D146" s="60">
        <f>(79.987)*10.764</f>
        <v>860.98006799999985</v>
      </c>
      <c r="E146" s="60">
        <v>0</v>
      </c>
      <c r="F146" s="60">
        <f t="shared" si="17"/>
        <v>1291.4701019999998</v>
      </c>
      <c r="G146" s="160"/>
      <c r="H146" s="161"/>
      <c r="I146" s="65">
        <f>11.45*5.125+4.45*3.725+1.5*1.3+1.5*1.3</f>
        <v>79.157499999999999</v>
      </c>
      <c r="L146" s="73"/>
      <c r="M146" s="73"/>
      <c r="N146" s="36"/>
    </row>
    <row r="147" spans="1:14" s="58" customFormat="1" ht="15.75" customHeight="1" x14ac:dyDescent="0.25">
      <c r="A147" s="82">
        <f t="shared" si="14"/>
        <v>12</v>
      </c>
      <c r="B147" s="83"/>
      <c r="C147" s="60" t="s">
        <v>254</v>
      </c>
      <c r="D147" s="60">
        <f>(79.987)*10.764</f>
        <v>860.98006799999985</v>
      </c>
      <c r="E147" s="60">
        <v>0</v>
      </c>
      <c r="F147" s="60">
        <f t="shared" si="17"/>
        <v>1291.4701019999998</v>
      </c>
      <c r="G147" s="160"/>
      <c r="H147" s="161"/>
      <c r="I147" s="36"/>
      <c r="L147" s="73"/>
      <c r="M147" s="73"/>
      <c r="N147" s="36"/>
    </row>
    <row r="148" spans="1:14" s="58" customFormat="1" ht="15.75" customHeight="1" x14ac:dyDescent="0.25">
      <c r="A148" s="82">
        <f t="shared" si="14"/>
        <v>13</v>
      </c>
      <c r="B148" s="83"/>
      <c r="C148" s="60" t="s">
        <v>254</v>
      </c>
      <c r="D148" s="60">
        <f>(81.18)*10.764</f>
        <v>873.82151999999996</v>
      </c>
      <c r="E148" s="60">
        <v>0</v>
      </c>
      <c r="F148" s="60">
        <f t="shared" si="17"/>
        <v>1310.7322799999999</v>
      </c>
      <c r="G148" s="160"/>
      <c r="H148" s="161"/>
      <c r="I148" s="36"/>
      <c r="L148" s="73"/>
      <c r="M148" s="73"/>
      <c r="N148" s="36"/>
    </row>
    <row r="149" spans="1:14" s="58" customFormat="1" ht="15.75" customHeight="1" x14ac:dyDescent="0.25">
      <c r="A149" s="82">
        <f t="shared" si="14"/>
        <v>14</v>
      </c>
      <c r="B149" s="83"/>
      <c r="C149" s="60" t="s">
        <v>254</v>
      </c>
      <c r="D149" s="60">
        <f>(81.18)*10.764</f>
        <v>873.82151999999996</v>
      </c>
      <c r="E149" s="60">
        <v>0</v>
      </c>
      <c r="F149" s="60">
        <f t="shared" si="17"/>
        <v>1310.7322799999999</v>
      </c>
      <c r="G149" s="160"/>
      <c r="H149" s="161"/>
      <c r="I149" s="36"/>
      <c r="L149" s="73"/>
      <c r="M149" s="73"/>
      <c r="N149" s="36"/>
    </row>
    <row r="150" spans="1:14" s="58" customFormat="1" ht="15.75" customHeight="1" x14ac:dyDescent="0.25">
      <c r="A150" s="82">
        <f t="shared" si="14"/>
        <v>15</v>
      </c>
      <c r="B150" s="83"/>
      <c r="C150" s="60" t="s">
        <v>254</v>
      </c>
      <c r="D150" s="60">
        <f>(82.2)*10.764</f>
        <v>884.80079999999998</v>
      </c>
      <c r="E150" s="60">
        <v>0</v>
      </c>
      <c r="F150" s="60">
        <f>(D150+E150)*(($F$103)+1)</f>
        <v>1327.2012</v>
      </c>
      <c r="G150" s="160"/>
      <c r="H150" s="161"/>
      <c r="I150" s="36"/>
      <c r="L150" s="73"/>
      <c r="M150" s="73"/>
      <c r="N150" s="36"/>
    </row>
    <row r="151" spans="1:14" s="58" customFormat="1" ht="15.75" customHeight="1" x14ac:dyDescent="0.25">
      <c r="A151" s="82">
        <f t="shared" si="14"/>
        <v>16</v>
      </c>
      <c r="B151" s="83"/>
      <c r="C151" s="60" t="s">
        <v>254</v>
      </c>
      <c r="D151" s="60">
        <f>(75.225)*10.764</f>
        <v>809.72189999999989</v>
      </c>
      <c r="E151" s="60">
        <v>0</v>
      </c>
      <c r="F151" s="60">
        <f t="shared" ref="F151:F157" si="18">(D151+E151)*(($F$103)+1)</f>
        <v>1214.5828499999998</v>
      </c>
      <c r="G151" s="160"/>
      <c r="H151" s="161"/>
      <c r="I151" s="36"/>
      <c r="L151" s="73"/>
      <c r="M151" s="73"/>
      <c r="N151" s="36"/>
    </row>
    <row r="152" spans="1:14" s="58" customFormat="1" ht="15.75" customHeight="1" x14ac:dyDescent="0.25">
      <c r="A152" s="82">
        <f t="shared" si="14"/>
        <v>17</v>
      </c>
      <c r="B152" s="83"/>
      <c r="C152" s="60" t="s">
        <v>254</v>
      </c>
      <c r="D152" s="60">
        <f t="shared" ref="D152:D154" si="19">(75.225)*10.764</f>
        <v>809.72189999999989</v>
      </c>
      <c r="E152" s="60">
        <v>0</v>
      </c>
      <c r="F152" s="60">
        <f t="shared" si="18"/>
        <v>1214.5828499999998</v>
      </c>
      <c r="G152" s="160"/>
      <c r="H152" s="161"/>
      <c r="I152" s="36"/>
      <c r="L152" s="73"/>
      <c r="M152" s="73"/>
      <c r="N152" s="36"/>
    </row>
    <row r="153" spans="1:14" s="58" customFormat="1" ht="15.75" customHeight="1" x14ac:dyDescent="0.25">
      <c r="A153" s="82">
        <f t="shared" si="14"/>
        <v>18</v>
      </c>
      <c r="B153" s="83"/>
      <c r="C153" s="60" t="s">
        <v>254</v>
      </c>
      <c r="D153" s="60">
        <f t="shared" si="19"/>
        <v>809.72189999999989</v>
      </c>
      <c r="E153" s="60">
        <v>0</v>
      </c>
      <c r="F153" s="60">
        <f t="shared" si="18"/>
        <v>1214.5828499999998</v>
      </c>
      <c r="G153" s="160"/>
      <c r="H153" s="161"/>
      <c r="I153" s="36"/>
      <c r="L153" s="73"/>
      <c r="M153" s="73"/>
      <c r="N153" s="36"/>
    </row>
    <row r="154" spans="1:14" s="58" customFormat="1" ht="15.75" customHeight="1" x14ac:dyDescent="0.25">
      <c r="A154" s="82">
        <f t="shared" si="14"/>
        <v>19</v>
      </c>
      <c r="B154" s="83"/>
      <c r="C154" s="60" t="s">
        <v>254</v>
      </c>
      <c r="D154" s="60">
        <f t="shared" si="19"/>
        <v>809.72189999999989</v>
      </c>
      <c r="E154" s="60">
        <v>0</v>
      </c>
      <c r="F154" s="60">
        <f t="shared" si="18"/>
        <v>1214.5828499999998</v>
      </c>
      <c r="G154" s="160"/>
      <c r="H154" s="161"/>
      <c r="I154" s="36"/>
      <c r="L154" s="73"/>
      <c r="M154" s="73"/>
      <c r="N154" s="36"/>
    </row>
    <row r="155" spans="1:14" s="58" customFormat="1" ht="15.75" customHeight="1" x14ac:dyDescent="0.25">
      <c r="A155" s="82">
        <f t="shared" si="14"/>
        <v>20</v>
      </c>
      <c r="B155" s="83"/>
      <c r="C155" s="60" t="s">
        <v>254</v>
      </c>
      <c r="D155" s="60">
        <f>(82.2)*10.764</f>
        <v>884.80079999999998</v>
      </c>
      <c r="E155" s="60">
        <v>0</v>
      </c>
      <c r="F155" s="60">
        <f t="shared" si="18"/>
        <v>1327.2012</v>
      </c>
      <c r="G155" s="160"/>
      <c r="H155" s="161"/>
      <c r="I155" s="36"/>
      <c r="L155" s="73"/>
      <c r="M155" s="73"/>
      <c r="N155" s="36"/>
    </row>
    <row r="156" spans="1:14" s="58" customFormat="1" ht="15.75" customHeight="1" x14ac:dyDescent="0.25">
      <c r="A156" s="82">
        <f t="shared" si="14"/>
        <v>21</v>
      </c>
      <c r="B156" s="83"/>
      <c r="C156" s="60" t="s">
        <v>254</v>
      </c>
      <c r="D156" s="60">
        <f>(60.51)*10.764</f>
        <v>651.32963999999993</v>
      </c>
      <c r="E156" s="60">
        <v>0</v>
      </c>
      <c r="F156" s="60">
        <f t="shared" si="18"/>
        <v>976.99445999999989</v>
      </c>
      <c r="G156" s="160"/>
      <c r="H156" s="161"/>
      <c r="I156" s="36"/>
      <c r="L156" s="73"/>
      <c r="M156" s="73"/>
      <c r="N156" s="36"/>
    </row>
    <row r="157" spans="1:14" s="58" customFormat="1" ht="15.75" customHeight="1" x14ac:dyDescent="0.25">
      <c r="A157" s="82">
        <f t="shared" si="14"/>
        <v>22</v>
      </c>
      <c r="B157" s="83"/>
      <c r="C157" s="60" t="s">
        <v>254</v>
      </c>
      <c r="D157" s="60">
        <f>(60.51)*10.764</f>
        <v>651.32963999999993</v>
      </c>
      <c r="E157" s="60">
        <v>0</v>
      </c>
      <c r="F157" s="60">
        <f t="shared" si="18"/>
        <v>976.99445999999989</v>
      </c>
      <c r="G157" s="87"/>
      <c r="H157" s="89"/>
      <c r="I157" s="36"/>
      <c r="L157" s="73"/>
      <c r="M157" s="73"/>
      <c r="N157" s="36"/>
    </row>
    <row r="158" spans="1:14" s="58" customFormat="1" x14ac:dyDescent="0.25">
      <c r="A158" s="90" t="s">
        <v>263</v>
      </c>
      <c r="B158" s="91"/>
      <c r="C158" s="91"/>
      <c r="D158" s="91"/>
      <c r="E158" s="91"/>
      <c r="F158" s="91"/>
      <c r="G158" s="91"/>
      <c r="H158" s="92"/>
      <c r="J158" s="36"/>
    </row>
    <row r="159" spans="1:14" s="58" customFormat="1" ht="15.75" customHeight="1" x14ac:dyDescent="0.25">
      <c r="A159" s="74">
        <v>1</v>
      </c>
      <c r="B159" s="75"/>
      <c r="C159" s="60" t="s">
        <v>254</v>
      </c>
      <c r="D159" s="60">
        <f>(60.51)*10.764</f>
        <v>651.32963999999993</v>
      </c>
      <c r="E159" s="60">
        <v>0</v>
      </c>
      <c r="F159" s="60">
        <f>(D159+E159)*(($F$103)+1)</f>
        <v>976.99445999999989</v>
      </c>
      <c r="G159" s="76" t="str">
        <f>A158</f>
        <v>8th &amp; 13th Floor (Part Refuge Area)</v>
      </c>
      <c r="H159" s="77"/>
      <c r="I159" s="36"/>
      <c r="L159" s="73"/>
      <c r="M159" s="73"/>
      <c r="N159" s="36"/>
    </row>
    <row r="160" spans="1:14" s="58" customFormat="1" ht="15.75" customHeight="1" x14ac:dyDescent="0.25">
      <c r="A160" s="74">
        <f t="shared" ref="A160:A180" si="20">A159+1</f>
        <v>2</v>
      </c>
      <c r="B160" s="75"/>
      <c r="C160" s="60" t="s">
        <v>254</v>
      </c>
      <c r="D160" s="60">
        <f>(60.51)*10.764</f>
        <v>651.32963999999993</v>
      </c>
      <c r="E160" s="60">
        <v>0</v>
      </c>
      <c r="F160" s="60">
        <f t="shared" ref="F160:F165" si="21">(D160+E160)*(($F$103)+1)</f>
        <v>976.99445999999989</v>
      </c>
      <c r="G160" s="78"/>
      <c r="H160" s="79"/>
      <c r="I160" s="36"/>
      <c r="L160" s="73"/>
      <c r="M160" s="73"/>
      <c r="N160" s="36"/>
    </row>
    <row r="161" spans="1:14" s="58" customFormat="1" ht="15.75" customHeight="1" x14ac:dyDescent="0.25">
      <c r="A161" s="74">
        <f t="shared" si="20"/>
        <v>3</v>
      </c>
      <c r="B161" s="75"/>
      <c r="C161" s="60" t="s">
        <v>254</v>
      </c>
      <c r="D161" s="60">
        <f>(88.5)*10.764</f>
        <v>952.61399999999992</v>
      </c>
      <c r="E161" s="60">
        <v>0</v>
      </c>
      <c r="F161" s="60">
        <f t="shared" si="21"/>
        <v>1428.9209999999998</v>
      </c>
      <c r="G161" s="78"/>
      <c r="H161" s="79"/>
      <c r="I161" s="36"/>
      <c r="L161" s="73"/>
      <c r="M161" s="73"/>
      <c r="N161" s="36"/>
    </row>
    <row r="162" spans="1:14" s="58" customFormat="1" ht="15.75" customHeight="1" x14ac:dyDescent="0.25">
      <c r="A162" s="74">
        <f t="shared" si="20"/>
        <v>4</v>
      </c>
      <c r="B162" s="75"/>
      <c r="C162" s="60" t="s">
        <v>254</v>
      </c>
      <c r="D162" s="60">
        <f>(81)*10.764</f>
        <v>871.8839999999999</v>
      </c>
      <c r="E162" s="60">
        <v>0</v>
      </c>
      <c r="F162" s="60">
        <f t="shared" si="21"/>
        <v>1307.8259999999998</v>
      </c>
      <c r="G162" s="78"/>
      <c r="H162" s="79"/>
      <c r="I162" s="36"/>
      <c r="L162" s="73"/>
      <c r="M162" s="73"/>
      <c r="N162" s="36"/>
    </row>
    <row r="163" spans="1:14" s="58" customFormat="1" ht="15.75" customHeight="1" x14ac:dyDescent="0.25">
      <c r="A163" s="74">
        <f t="shared" si="20"/>
        <v>5</v>
      </c>
      <c r="B163" s="75"/>
      <c r="C163" s="60" t="s">
        <v>254</v>
      </c>
      <c r="D163" s="60">
        <f t="shared" ref="D163:D165" si="22">(81)*10.764</f>
        <v>871.8839999999999</v>
      </c>
      <c r="E163" s="60">
        <v>0</v>
      </c>
      <c r="F163" s="60">
        <f t="shared" si="21"/>
        <v>1307.8259999999998</v>
      </c>
      <c r="G163" s="78"/>
      <c r="H163" s="79"/>
      <c r="I163" s="36"/>
      <c r="L163" s="73"/>
      <c r="M163" s="73"/>
      <c r="N163" s="36"/>
    </row>
    <row r="164" spans="1:14" s="58" customFormat="1" ht="15.75" customHeight="1" x14ac:dyDescent="0.25">
      <c r="A164" s="74">
        <f t="shared" si="20"/>
        <v>6</v>
      </c>
      <c r="B164" s="75"/>
      <c r="C164" s="60" t="s">
        <v>254</v>
      </c>
      <c r="D164" s="60">
        <f t="shared" si="22"/>
        <v>871.8839999999999</v>
      </c>
      <c r="E164" s="60">
        <v>0</v>
      </c>
      <c r="F164" s="60">
        <f t="shared" si="21"/>
        <v>1307.8259999999998</v>
      </c>
      <c r="G164" s="78"/>
      <c r="H164" s="79"/>
      <c r="I164" s="36"/>
      <c r="L164" s="73"/>
      <c r="M164" s="73"/>
      <c r="N164" s="36"/>
    </row>
    <row r="165" spans="1:14" s="58" customFormat="1" ht="15.75" customHeight="1" x14ac:dyDescent="0.25">
      <c r="A165" s="74">
        <f t="shared" si="20"/>
        <v>7</v>
      </c>
      <c r="B165" s="75"/>
      <c r="C165" s="60" t="s">
        <v>254</v>
      </c>
      <c r="D165" s="60">
        <f t="shared" si="22"/>
        <v>871.8839999999999</v>
      </c>
      <c r="E165" s="60">
        <v>0</v>
      </c>
      <c r="F165" s="60">
        <f t="shared" si="21"/>
        <v>1307.8259999999998</v>
      </c>
      <c r="G165" s="78"/>
      <c r="H165" s="79"/>
      <c r="I165" s="36"/>
      <c r="L165" s="73"/>
      <c r="M165" s="73"/>
      <c r="N165" s="36"/>
    </row>
    <row r="166" spans="1:14" s="58" customFormat="1" ht="15.75" customHeight="1" x14ac:dyDescent="0.25">
      <c r="A166" s="74">
        <f t="shared" si="20"/>
        <v>8</v>
      </c>
      <c r="B166" s="75"/>
      <c r="C166" s="60" t="s">
        <v>254</v>
      </c>
      <c r="D166" s="60">
        <f>(88.5)*10.764</f>
        <v>952.61399999999992</v>
      </c>
      <c r="E166" s="60">
        <v>0</v>
      </c>
      <c r="F166" s="60">
        <f>(D166+E166)*(($F$103)+1)</f>
        <v>1428.9209999999998</v>
      </c>
      <c r="G166" s="78"/>
      <c r="H166" s="79"/>
      <c r="I166" s="36"/>
      <c r="L166" s="73"/>
      <c r="M166" s="73"/>
      <c r="N166" s="36"/>
    </row>
    <row r="167" spans="1:14" s="58" customFormat="1" ht="15.75" customHeight="1" x14ac:dyDescent="0.25">
      <c r="A167" s="74">
        <f t="shared" si="20"/>
        <v>9</v>
      </c>
      <c r="B167" s="75"/>
      <c r="C167" s="60" t="s">
        <v>254</v>
      </c>
      <c r="D167" s="60">
        <f>(81.18)*10.764</f>
        <v>873.82151999999996</v>
      </c>
      <c r="E167" s="60">
        <v>0</v>
      </c>
      <c r="F167" s="60">
        <f t="shared" ref="F167:F172" si="23">(D167+E167)*(($F$103)+1)</f>
        <v>1310.7322799999999</v>
      </c>
      <c r="G167" s="78"/>
      <c r="H167" s="79"/>
      <c r="I167" s="36"/>
      <c r="L167" s="73"/>
      <c r="M167" s="73"/>
      <c r="N167" s="36"/>
    </row>
    <row r="168" spans="1:14" s="58" customFormat="1" ht="15.75" customHeight="1" x14ac:dyDescent="0.25">
      <c r="A168" s="74">
        <f t="shared" si="20"/>
        <v>10</v>
      </c>
      <c r="B168" s="75"/>
      <c r="C168" s="60" t="s">
        <v>254</v>
      </c>
      <c r="D168" s="60">
        <f>(81.18)*10.764</f>
        <v>873.82151999999996</v>
      </c>
      <c r="E168" s="60">
        <v>0</v>
      </c>
      <c r="F168" s="60">
        <f t="shared" si="23"/>
        <v>1310.7322799999999</v>
      </c>
      <c r="G168" s="78"/>
      <c r="H168" s="79"/>
      <c r="I168" s="36"/>
      <c r="L168" s="73"/>
      <c r="M168" s="73"/>
      <c r="N168" s="36"/>
    </row>
    <row r="169" spans="1:14" s="58" customFormat="1" ht="15.75" customHeight="1" x14ac:dyDescent="0.25">
      <c r="A169" s="82">
        <f t="shared" si="20"/>
        <v>11</v>
      </c>
      <c r="B169" s="83"/>
      <c r="C169" s="84" t="s">
        <v>262</v>
      </c>
      <c r="D169" s="85"/>
      <c r="E169" s="85"/>
      <c r="F169" s="86"/>
      <c r="G169" s="78"/>
      <c r="H169" s="79"/>
      <c r="I169" s="36"/>
      <c r="L169" s="73"/>
      <c r="M169" s="73"/>
      <c r="N169" s="36"/>
    </row>
    <row r="170" spans="1:14" s="58" customFormat="1" ht="15.75" customHeight="1" x14ac:dyDescent="0.25">
      <c r="A170" s="82">
        <f t="shared" si="20"/>
        <v>12</v>
      </c>
      <c r="B170" s="83"/>
      <c r="C170" s="87"/>
      <c r="D170" s="88"/>
      <c r="E170" s="88"/>
      <c r="F170" s="89"/>
      <c r="G170" s="78"/>
      <c r="H170" s="79"/>
      <c r="I170" s="36"/>
      <c r="L170" s="73"/>
      <c r="M170" s="73"/>
      <c r="N170" s="36"/>
    </row>
    <row r="171" spans="1:14" s="58" customFormat="1" ht="15.75" customHeight="1" x14ac:dyDescent="0.25">
      <c r="A171" s="74">
        <f t="shared" si="20"/>
        <v>13</v>
      </c>
      <c r="B171" s="75"/>
      <c r="C171" s="60" t="s">
        <v>254</v>
      </c>
      <c r="D171" s="60">
        <f>(81.18)*10.764</f>
        <v>873.82151999999996</v>
      </c>
      <c r="E171" s="60">
        <v>0</v>
      </c>
      <c r="F171" s="60">
        <f t="shared" si="23"/>
        <v>1310.7322799999999</v>
      </c>
      <c r="G171" s="78"/>
      <c r="H171" s="79"/>
      <c r="I171" s="36"/>
      <c r="L171" s="73"/>
      <c r="M171" s="73"/>
      <c r="N171" s="36"/>
    </row>
    <row r="172" spans="1:14" s="58" customFormat="1" ht="15.75" customHeight="1" x14ac:dyDescent="0.25">
      <c r="A172" s="74">
        <f t="shared" si="20"/>
        <v>14</v>
      </c>
      <c r="B172" s="75"/>
      <c r="C172" s="60" t="s">
        <v>254</v>
      </c>
      <c r="D172" s="60">
        <f>(81.18)*10.764</f>
        <v>873.82151999999996</v>
      </c>
      <c r="E172" s="60">
        <v>0</v>
      </c>
      <c r="F172" s="60">
        <f t="shared" si="23"/>
        <v>1310.7322799999999</v>
      </c>
      <c r="G172" s="78"/>
      <c r="H172" s="79"/>
      <c r="I172" s="36"/>
      <c r="L172" s="73"/>
      <c r="M172" s="73"/>
      <c r="N172" s="36"/>
    </row>
    <row r="173" spans="1:14" s="58" customFormat="1" ht="15.75" customHeight="1" x14ac:dyDescent="0.25">
      <c r="A173" s="74">
        <f t="shared" si="20"/>
        <v>15</v>
      </c>
      <c r="B173" s="75"/>
      <c r="C173" s="60" t="s">
        <v>254</v>
      </c>
      <c r="D173" s="60">
        <f>(82.2)*10.764</f>
        <v>884.80079999999998</v>
      </c>
      <c r="E173" s="60">
        <v>0</v>
      </c>
      <c r="F173" s="60">
        <f>(D173+E173)*(($F$103)+1)</f>
        <v>1327.2012</v>
      </c>
      <c r="G173" s="78"/>
      <c r="H173" s="79"/>
      <c r="I173" s="36"/>
      <c r="L173" s="73"/>
      <c r="M173" s="73"/>
      <c r="N173" s="36"/>
    </row>
    <row r="174" spans="1:14" s="58" customFormat="1" ht="15.75" customHeight="1" x14ac:dyDescent="0.25">
      <c r="A174" s="74">
        <f t="shared" si="20"/>
        <v>16</v>
      </c>
      <c r="B174" s="75"/>
      <c r="C174" s="60" t="s">
        <v>254</v>
      </c>
      <c r="D174" s="60">
        <f>(75.225)*10.764</f>
        <v>809.72189999999989</v>
      </c>
      <c r="E174" s="60">
        <v>0</v>
      </c>
      <c r="F174" s="60">
        <f t="shared" ref="F174:F180" si="24">(D174+E174)*(($F$103)+1)</f>
        <v>1214.5828499999998</v>
      </c>
      <c r="G174" s="78"/>
      <c r="H174" s="79"/>
      <c r="I174" s="36"/>
      <c r="L174" s="73"/>
      <c r="M174" s="73"/>
      <c r="N174" s="36"/>
    </row>
    <row r="175" spans="1:14" s="58" customFormat="1" ht="15.75" customHeight="1" x14ac:dyDescent="0.25">
      <c r="A175" s="74">
        <f t="shared" si="20"/>
        <v>17</v>
      </c>
      <c r="B175" s="75"/>
      <c r="C175" s="60" t="s">
        <v>254</v>
      </c>
      <c r="D175" s="60">
        <f t="shared" ref="D175:D177" si="25">(75.225)*10.764</f>
        <v>809.72189999999989</v>
      </c>
      <c r="E175" s="60">
        <v>0</v>
      </c>
      <c r="F175" s="60">
        <f t="shared" si="24"/>
        <v>1214.5828499999998</v>
      </c>
      <c r="G175" s="78"/>
      <c r="H175" s="79"/>
      <c r="I175" s="36"/>
      <c r="L175" s="73"/>
      <c r="M175" s="73"/>
      <c r="N175" s="36"/>
    </row>
    <row r="176" spans="1:14" s="58" customFormat="1" ht="15.75" customHeight="1" x14ac:dyDescent="0.25">
      <c r="A176" s="74">
        <f t="shared" si="20"/>
        <v>18</v>
      </c>
      <c r="B176" s="75"/>
      <c r="C176" s="60" t="s">
        <v>254</v>
      </c>
      <c r="D176" s="60">
        <f t="shared" si="25"/>
        <v>809.72189999999989</v>
      </c>
      <c r="E176" s="60">
        <v>0</v>
      </c>
      <c r="F176" s="60">
        <f t="shared" si="24"/>
        <v>1214.5828499999998</v>
      </c>
      <c r="G176" s="78"/>
      <c r="H176" s="79"/>
      <c r="I176" s="36"/>
      <c r="L176" s="73"/>
      <c r="M176" s="73"/>
      <c r="N176" s="36"/>
    </row>
    <row r="177" spans="1:14" s="58" customFormat="1" ht="15.75" customHeight="1" x14ac:dyDescent="0.25">
      <c r="A177" s="74">
        <f t="shared" si="20"/>
        <v>19</v>
      </c>
      <c r="B177" s="75"/>
      <c r="C177" s="60" t="s">
        <v>254</v>
      </c>
      <c r="D177" s="60">
        <f t="shared" si="25"/>
        <v>809.72189999999989</v>
      </c>
      <c r="E177" s="60">
        <v>0</v>
      </c>
      <c r="F177" s="60">
        <f t="shared" si="24"/>
        <v>1214.5828499999998</v>
      </c>
      <c r="G177" s="78"/>
      <c r="H177" s="79"/>
      <c r="I177" s="36"/>
      <c r="L177" s="73"/>
      <c r="M177" s="73"/>
      <c r="N177" s="36"/>
    </row>
    <row r="178" spans="1:14" s="58" customFormat="1" ht="15.75" customHeight="1" x14ac:dyDescent="0.25">
      <c r="A178" s="74">
        <f t="shared" si="20"/>
        <v>20</v>
      </c>
      <c r="B178" s="75"/>
      <c r="C178" s="60" t="s">
        <v>254</v>
      </c>
      <c r="D178" s="60">
        <f>(82.2)*10.764</f>
        <v>884.80079999999998</v>
      </c>
      <c r="E178" s="60">
        <v>0</v>
      </c>
      <c r="F178" s="60">
        <f t="shared" si="24"/>
        <v>1327.2012</v>
      </c>
      <c r="G178" s="78"/>
      <c r="H178" s="79"/>
      <c r="I178" s="36"/>
      <c r="L178" s="73"/>
      <c r="M178" s="73"/>
      <c r="N178" s="36"/>
    </row>
    <row r="179" spans="1:14" s="58" customFormat="1" ht="15.75" customHeight="1" x14ac:dyDescent="0.25">
      <c r="A179" s="74">
        <f t="shared" si="20"/>
        <v>21</v>
      </c>
      <c r="B179" s="75"/>
      <c r="C179" s="60" t="s">
        <v>254</v>
      </c>
      <c r="D179" s="60">
        <f>(60.51)*10.764</f>
        <v>651.32963999999993</v>
      </c>
      <c r="E179" s="60">
        <v>0</v>
      </c>
      <c r="F179" s="60">
        <f t="shared" si="24"/>
        <v>976.99445999999989</v>
      </c>
      <c r="G179" s="78"/>
      <c r="H179" s="79"/>
      <c r="I179" s="36"/>
      <c r="L179" s="73"/>
      <c r="M179" s="73"/>
      <c r="N179" s="36"/>
    </row>
    <row r="180" spans="1:14" s="58" customFormat="1" ht="15.75" customHeight="1" x14ac:dyDescent="0.25">
      <c r="A180" s="74">
        <f t="shared" si="20"/>
        <v>22</v>
      </c>
      <c r="B180" s="75"/>
      <c r="C180" s="60" t="s">
        <v>254</v>
      </c>
      <c r="D180" s="60">
        <f>(60.51)*10.764</f>
        <v>651.32963999999993</v>
      </c>
      <c r="E180" s="60">
        <v>0</v>
      </c>
      <c r="F180" s="60">
        <f t="shared" si="24"/>
        <v>976.99445999999989</v>
      </c>
      <c r="G180" s="80"/>
      <c r="H180" s="81"/>
      <c r="I180" s="36"/>
      <c r="L180" s="73"/>
      <c r="M180" s="73"/>
      <c r="N180" s="36"/>
    </row>
    <row r="181" spans="1:14" s="35" customFormat="1" x14ac:dyDescent="0.25">
      <c r="A181" s="207" t="s">
        <v>67</v>
      </c>
      <c r="B181" s="207"/>
      <c r="C181" s="207"/>
      <c r="D181" s="207"/>
      <c r="E181" s="207"/>
      <c r="F181" s="207"/>
      <c r="G181" s="207"/>
      <c r="H181" s="207"/>
    </row>
    <row r="182" spans="1:14" s="35" customFormat="1" x14ac:dyDescent="0.25">
      <c r="A182" s="46" t="s">
        <v>151</v>
      </c>
      <c r="B182" s="157" t="s">
        <v>264</v>
      </c>
      <c r="C182" s="158"/>
      <c r="D182" s="158"/>
      <c r="E182" s="158"/>
      <c r="F182" s="158"/>
      <c r="G182" s="158"/>
      <c r="H182" s="159"/>
    </row>
    <row r="183" spans="1:14" s="35" customFormat="1" x14ac:dyDescent="0.25">
      <c r="A183" s="46" t="s">
        <v>151</v>
      </c>
      <c r="B183" s="157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3" s="158"/>
      <c r="D183" s="158"/>
      <c r="E183" s="158"/>
      <c r="F183" s="158"/>
      <c r="G183" s="158"/>
      <c r="H183" s="159"/>
    </row>
    <row r="184" spans="1:14" s="35" customFormat="1" x14ac:dyDescent="0.25">
      <c r="A184" s="46" t="s">
        <v>151</v>
      </c>
      <c r="B184" s="154" t="s">
        <v>121</v>
      </c>
      <c r="C184" s="155"/>
      <c r="D184" s="155"/>
      <c r="E184" s="155"/>
      <c r="F184" s="155"/>
      <c r="G184" s="155"/>
      <c r="H184" s="156"/>
    </row>
    <row r="185" spans="1:14" s="35" customFormat="1" x14ac:dyDescent="0.25">
      <c r="A185" s="46" t="s">
        <v>151</v>
      </c>
      <c r="B185" s="154" t="s">
        <v>265</v>
      </c>
      <c r="C185" s="155"/>
      <c r="D185" s="155"/>
      <c r="E185" s="155"/>
      <c r="F185" s="155"/>
      <c r="G185" s="155"/>
      <c r="H185" s="156"/>
    </row>
    <row r="186" spans="1:14" s="35" customFormat="1" x14ac:dyDescent="0.25">
      <c r="A186" s="46" t="s">
        <v>151</v>
      </c>
      <c r="B186" s="154" t="s">
        <v>150</v>
      </c>
      <c r="C186" s="155"/>
      <c r="D186" s="155"/>
      <c r="E186" s="155"/>
      <c r="F186" s="155"/>
      <c r="G186" s="155"/>
      <c r="H186" s="156"/>
    </row>
    <row r="187" spans="1:14" s="35" customFormat="1" x14ac:dyDescent="0.25">
      <c r="A187" s="46" t="s">
        <v>151</v>
      </c>
      <c r="B187" s="154" t="s">
        <v>122</v>
      </c>
      <c r="C187" s="155"/>
      <c r="D187" s="155"/>
      <c r="E187" s="155"/>
      <c r="F187" s="155"/>
      <c r="G187" s="155"/>
      <c r="H187" s="156"/>
    </row>
    <row r="188" spans="1:14" s="35" customFormat="1" ht="34.5" customHeight="1" x14ac:dyDescent="0.25">
      <c r="A188" s="46" t="s">
        <v>151</v>
      </c>
      <c r="B188" s="154" t="s">
        <v>152</v>
      </c>
      <c r="C188" s="155"/>
      <c r="D188" s="155"/>
      <c r="E188" s="155"/>
      <c r="F188" s="155"/>
      <c r="G188" s="155"/>
      <c r="H188" s="156"/>
    </row>
    <row r="189" spans="1:14" s="35" customFormat="1" x14ac:dyDescent="0.25">
      <c r="A189" s="46" t="s">
        <v>151</v>
      </c>
      <c r="B189" s="154" t="s">
        <v>123</v>
      </c>
      <c r="C189" s="155"/>
      <c r="D189" s="155"/>
      <c r="E189" s="155"/>
      <c r="F189" s="155"/>
      <c r="G189" s="155"/>
      <c r="H189" s="156"/>
    </row>
    <row r="190" spans="1:14" s="35" customFormat="1" x14ac:dyDescent="0.25">
      <c r="A190" s="59" t="s">
        <v>151</v>
      </c>
      <c r="B190" s="157" t="s">
        <v>271</v>
      </c>
      <c r="C190" s="158"/>
      <c r="D190" s="158"/>
      <c r="E190" s="158"/>
      <c r="F190" s="158"/>
      <c r="G190" s="158"/>
      <c r="H190" s="159"/>
    </row>
    <row r="191" spans="1:14" x14ac:dyDescent="0.25">
      <c r="A191" s="150" t="s">
        <v>60</v>
      </c>
      <c r="B191" s="150"/>
      <c r="C191" s="150"/>
      <c r="D191" s="150"/>
      <c r="E191" s="150"/>
      <c r="F191" s="150"/>
      <c r="G191" s="150"/>
      <c r="H191" s="150"/>
    </row>
    <row r="192" spans="1:14" x14ac:dyDescent="0.25">
      <c r="A192" s="136" t="s">
        <v>61</v>
      </c>
      <c r="B192" s="136"/>
      <c r="C192" s="136"/>
      <c r="D192" s="136"/>
      <c r="E192" s="136"/>
      <c r="F192" s="136"/>
      <c r="G192" s="136"/>
      <c r="H192" s="136"/>
    </row>
    <row r="193" spans="1:8" ht="15.75" customHeight="1" x14ac:dyDescent="0.25">
      <c r="A193" s="166" t="s">
        <v>62</v>
      </c>
      <c r="B193" s="166"/>
      <c r="C193" s="166"/>
      <c r="D193" s="166"/>
      <c r="E193" s="166"/>
      <c r="F193" s="166"/>
      <c r="G193" s="166"/>
      <c r="H193" s="166"/>
    </row>
    <row r="194" spans="1:8" x14ac:dyDescent="0.25">
      <c r="A194" s="136" t="s">
        <v>63</v>
      </c>
      <c r="B194" s="136"/>
      <c r="C194" s="136"/>
      <c r="D194" s="136"/>
      <c r="E194" s="136"/>
      <c r="F194" s="136"/>
      <c r="G194" s="136"/>
      <c r="H194" s="136"/>
    </row>
    <row r="195" spans="1:8" x14ac:dyDescent="0.25">
      <c r="A195" s="136" t="s">
        <v>64</v>
      </c>
      <c r="B195" s="136"/>
      <c r="C195" s="136"/>
      <c r="D195" s="136"/>
      <c r="E195" s="136"/>
      <c r="F195" s="136"/>
      <c r="G195" s="136"/>
      <c r="H195" s="136"/>
    </row>
    <row r="196" spans="1:8" x14ac:dyDescent="0.25">
      <c r="A196" s="136" t="s">
        <v>124</v>
      </c>
      <c r="B196" s="136"/>
      <c r="C196" s="136"/>
      <c r="D196" s="136"/>
      <c r="E196" s="136"/>
      <c r="F196" s="136"/>
      <c r="G196" s="136"/>
      <c r="H196" s="136"/>
    </row>
    <row r="197" spans="1:8" ht="33.950000000000003" customHeight="1" x14ac:dyDescent="0.25">
      <c r="A197" s="103" t="s">
        <v>125</v>
      </c>
      <c r="B197" s="103"/>
      <c r="C197" s="103"/>
      <c r="D197" s="103"/>
      <c r="E197" s="103"/>
      <c r="F197" s="103"/>
      <c r="G197" s="103"/>
      <c r="H197" s="103"/>
    </row>
    <row r="198" spans="1:8" x14ac:dyDescent="0.25">
      <c r="A198" s="163" t="s">
        <v>75</v>
      </c>
      <c r="B198" s="163"/>
      <c r="C198" s="163" t="s">
        <v>268</v>
      </c>
      <c r="D198" s="163"/>
      <c r="E198" s="163" t="s">
        <v>105</v>
      </c>
      <c r="F198" s="163"/>
      <c r="G198" s="163" t="s">
        <v>283</v>
      </c>
      <c r="H198" s="163"/>
    </row>
    <row r="199" spans="1:8" x14ac:dyDescent="0.25">
      <c r="A199" s="162" t="s">
        <v>77</v>
      </c>
      <c r="B199" s="162"/>
      <c r="C199" s="162"/>
      <c r="D199" s="162"/>
      <c r="E199" s="162"/>
      <c r="F199" s="162"/>
      <c r="G199" s="162"/>
      <c r="H199" s="162"/>
    </row>
    <row r="200" spans="1:8" x14ac:dyDescent="0.25">
      <c r="A200" s="162"/>
      <c r="B200" s="162"/>
      <c r="C200" s="162"/>
      <c r="D200" s="162"/>
      <c r="E200" s="162"/>
      <c r="F200" s="162"/>
      <c r="G200" s="162"/>
      <c r="H200" s="162"/>
    </row>
    <row r="201" spans="1:8" x14ac:dyDescent="0.25">
      <c r="A201" s="162"/>
      <c r="B201" s="162"/>
      <c r="C201" s="162"/>
      <c r="D201" s="162"/>
      <c r="E201" s="162"/>
      <c r="F201" s="162"/>
      <c r="G201" s="162"/>
      <c r="H201" s="162"/>
    </row>
    <row r="202" spans="1:8" x14ac:dyDescent="0.25">
      <c r="A202" s="162"/>
      <c r="B202" s="162"/>
      <c r="C202" s="162"/>
      <c r="D202" s="162"/>
      <c r="E202" s="162"/>
      <c r="F202" s="162"/>
      <c r="G202" s="162"/>
      <c r="H202" s="162"/>
    </row>
    <row r="203" spans="1:8" x14ac:dyDescent="0.25">
      <c r="A203" s="38" t="s">
        <v>65</v>
      </c>
      <c r="B203" s="39"/>
      <c r="C203" s="39"/>
      <c r="D203" s="38" t="str">
        <f>E8</f>
        <v>NMS Midas</v>
      </c>
      <c r="F203" s="39"/>
      <c r="G203" s="39"/>
      <c r="H203" s="39"/>
    </row>
    <row r="204" spans="1:8" x14ac:dyDescent="0.25">
      <c r="A204" s="39"/>
      <c r="B204" s="39"/>
      <c r="C204" s="39"/>
      <c r="D204" s="39"/>
      <c r="E204" s="39"/>
      <c r="F204" s="39"/>
      <c r="G204" s="39"/>
      <c r="H204" s="39"/>
    </row>
    <row r="205" spans="1:8" x14ac:dyDescent="0.25">
      <c r="A205" s="39"/>
      <c r="B205" s="39"/>
      <c r="C205" s="39"/>
      <c r="D205" s="39"/>
      <c r="E205" s="39"/>
      <c r="F205" s="39"/>
      <c r="G205" s="39"/>
      <c r="H205" s="39"/>
    </row>
    <row r="206" spans="1:8" ht="15" customHeight="1" x14ac:dyDescent="0.25"/>
    <row r="246" spans="1:1" x14ac:dyDescent="0.25">
      <c r="A246" s="41" t="s">
        <v>161</v>
      </c>
    </row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90" spans="1:1" x14ac:dyDescent="0.25">
      <c r="A290" s="41" t="s">
        <v>66</v>
      </c>
    </row>
  </sheetData>
  <mergeCells count="392">
    <mergeCell ref="F92:H92"/>
    <mergeCell ref="A39:B39"/>
    <mergeCell ref="C39:H39"/>
    <mergeCell ref="B188:H188"/>
    <mergeCell ref="A48:B48"/>
    <mergeCell ref="C48:H48"/>
    <mergeCell ref="B186:H186"/>
    <mergeCell ref="F82:H82"/>
    <mergeCell ref="A82:E82"/>
    <mergeCell ref="D102:D103"/>
    <mergeCell ref="A84:E84"/>
    <mergeCell ref="B184:H184"/>
    <mergeCell ref="B185:H185"/>
    <mergeCell ref="A181:H181"/>
    <mergeCell ref="C97:D97"/>
    <mergeCell ref="E97:F97"/>
    <mergeCell ref="B102:B103"/>
    <mergeCell ref="A102:A103"/>
    <mergeCell ref="C102:C103"/>
    <mergeCell ref="G98:H98"/>
    <mergeCell ref="A99:B99"/>
    <mergeCell ref="C96:D96"/>
    <mergeCell ref="A112:H112"/>
    <mergeCell ref="A113:B113"/>
    <mergeCell ref="A106:B106"/>
    <mergeCell ref="C38:H38"/>
    <mergeCell ref="A45:D45"/>
    <mergeCell ref="L109:M109"/>
    <mergeCell ref="L108:M108"/>
    <mergeCell ref="L107:M107"/>
    <mergeCell ref="L106:M106"/>
    <mergeCell ref="A77:B77"/>
    <mergeCell ref="F87:H87"/>
    <mergeCell ref="A81:E81"/>
    <mergeCell ref="A105:H105"/>
    <mergeCell ref="E102:E103"/>
    <mergeCell ref="G102:H103"/>
    <mergeCell ref="A91:E91"/>
    <mergeCell ref="C98:D98"/>
    <mergeCell ref="A76:B76"/>
    <mergeCell ref="A69:B69"/>
    <mergeCell ref="A72:B72"/>
    <mergeCell ref="A68:B68"/>
    <mergeCell ref="A66:B66"/>
    <mergeCell ref="C66:H66"/>
    <mergeCell ref="A83:E83"/>
    <mergeCell ref="A80:E80"/>
    <mergeCell ref="F84:H84"/>
    <mergeCell ref="A85:E85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G53:H53"/>
    <mergeCell ref="A38:B38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9:H202"/>
    <mergeCell ref="A198:B198"/>
    <mergeCell ref="E198:F198"/>
    <mergeCell ref="C198:D198"/>
    <mergeCell ref="G198:H198"/>
    <mergeCell ref="A95:H95"/>
    <mergeCell ref="A93:E93"/>
    <mergeCell ref="F93:H93"/>
    <mergeCell ref="A94:E94"/>
    <mergeCell ref="F94:H94"/>
    <mergeCell ref="A97:B97"/>
    <mergeCell ref="A194:H194"/>
    <mergeCell ref="A197:H197"/>
    <mergeCell ref="A195:H195"/>
    <mergeCell ref="A191:H191"/>
    <mergeCell ref="A100:H100"/>
    <mergeCell ref="B182:H182"/>
    <mergeCell ref="A109:B109"/>
    <mergeCell ref="A108:B108"/>
    <mergeCell ref="B190:H190"/>
    <mergeCell ref="A196:H196"/>
    <mergeCell ref="A193:H193"/>
    <mergeCell ref="C99:D99"/>
    <mergeCell ref="E99:F99"/>
    <mergeCell ref="A192:H192"/>
    <mergeCell ref="B189:H189"/>
    <mergeCell ref="B187:H187"/>
    <mergeCell ref="B183:H183"/>
    <mergeCell ref="A110:B110"/>
    <mergeCell ref="A131:B131"/>
    <mergeCell ref="A135:H135"/>
    <mergeCell ref="A136:B136"/>
    <mergeCell ref="G136:H157"/>
    <mergeCell ref="A141:B141"/>
    <mergeCell ref="A146:B146"/>
    <mergeCell ref="A151:B151"/>
    <mergeCell ref="A156:B156"/>
    <mergeCell ref="A173:B173"/>
    <mergeCell ref="A129:B129"/>
    <mergeCell ref="A166:B166"/>
    <mergeCell ref="C169:F170"/>
    <mergeCell ref="A175:B175"/>
    <mergeCell ref="A128:B128"/>
    <mergeCell ref="A134:B134"/>
    <mergeCell ref="A177:B177"/>
    <mergeCell ref="A158:H158"/>
    <mergeCell ref="A159:B159"/>
    <mergeCell ref="A178:B178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C50:E50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I14:P14"/>
    <mergeCell ref="F91:H91"/>
    <mergeCell ref="F89:H89"/>
    <mergeCell ref="A101:H101"/>
    <mergeCell ref="G96:H96"/>
    <mergeCell ref="A90:E90"/>
    <mergeCell ref="A107:B107"/>
    <mergeCell ref="A53:B53"/>
    <mergeCell ref="C53:E53"/>
    <mergeCell ref="D55:H55"/>
    <mergeCell ref="F90:H90"/>
    <mergeCell ref="E96:F96"/>
    <mergeCell ref="A96:B96"/>
    <mergeCell ref="A98:B98"/>
    <mergeCell ref="D63:H63"/>
    <mergeCell ref="A64:C64"/>
    <mergeCell ref="D64:H64"/>
    <mergeCell ref="A70:B70"/>
    <mergeCell ref="G69:H69"/>
    <mergeCell ref="F80:H80"/>
    <mergeCell ref="C52:H52"/>
    <mergeCell ref="J62:K62"/>
    <mergeCell ref="F34:H34"/>
    <mergeCell ref="E42:H42"/>
    <mergeCell ref="L110:M110"/>
    <mergeCell ref="A111:B111"/>
    <mergeCell ref="L111:M111"/>
    <mergeCell ref="G106:H111"/>
    <mergeCell ref="A51:B51"/>
    <mergeCell ref="A52:B52"/>
    <mergeCell ref="C51:E51"/>
    <mergeCell ref="A58:C58"/>
    <mergeCell ref="D58:H58"/>
    <mergeCell ref="F85:H85"/>
    <mergeCell ref="A86:E86"/>
    <mergeCell ref="F86:H86"/>
    <mergeCell ref="A87:E87"/>
    <mergeCell ref="A89:E89"/>
    <mergeCell ref="F83:H83"/>
    <mergeCell ref="A88:E88"/>
    <mergeCell ref="E98:F98"/>
    <mergeCell ref="E70:F79"/>
    <mergeCell ref="G70:H79"/>
    <mergeCell ref="A78:B78"/>
    <mergeCell ref="A79:B79"/>
    <mergeCell ref="F81:H81"/>
    <mergeCell ref="G97:H97"/>
    <mergeCell ref="F88:H88"/>
    <mergeCell ref="A104:H104"/>
    <mergeCell ref="G99:H99"/>
    <mergeCell ref="A92:E92"/>
    <mergeCell ref="L129:M129"/>
    <mergeCell ref="A130:B130"/>
    <mergeCell ref="L130:M130"/>
    <mergeCell ref="A133:B133"/>
    <mergeCell ref="L133:M133"/>
    <mergeCell ref="L123:M123"/>
    <mergeCell ref="A124:B124"/>
    <mergeCell ref="L124:M124"/>
    <mergeCell ref="A125:B125"/>
    <mergeCell ref="L125:M125"/>
    <mergeCell ref="A126:B126"/>
    <mergeCell ref="L126:M126"/>
    <mergeCell ref="A127:B127"/>
    <mergeCell ref="L127:M127"/>
    <mergeCell ref="L113:M113"/>
    <mergeCell ref="A114:B114"/>
    <mergeCell ref="L114:M114"/>
    <mergeCell ref="A115:B115"/>
    <mergeCell ref="L115:M115"/>
    <mergeCell ref="A116:B116"/>
    <mergeCell ref="L116:M116"/>
    <mergeCell ref="L134:M134"/>
    <mergeCell ref="G113:H134"/>
    <mergeCell ref="L131:M131"/>
    <mergeCell ref="A132:B132"/>
    <mergeCell ref="L132:M132"/>
    <mergeCell ref="A118:B118"/>
    <mergeCell ref="L118:M118"/>
    <mergeCell ref="A119:B119"/>
    <mergeCell ref="L119:M119"/>
    <mergeCell ref="A120:B120"/>
    <mergeCell ref="L120:M120"/>
    <mergeCell ref="A121:B121"/>
    <mergeCell ref="L121:M121"/>
    <mergeCell ref="A122:B122"/>
    <mergeCell ref="L122:M122"/>
    <mergeCell ref="A123:B123"/>
    <mergeCell ref="C123:F124"/>
    <mergeCell ref="L128:M128"/>
    <mergeCell ref="A117:B117"/>
    <mergeCell ref="L117:M117"/>
    <mergeCell ref="L136:M136"/>
    <mergeCell ref="A137:B137"/>
    <mergeCell ref="L137:M137"/>
    <mergeCell ref="A138:B138"/>
    <mergeCell ref="L138:M138"/>
    <mergeCell ref="A139:B139"/>
    <mergeCell ref="L139:M139"/>
    <mergeCell ref="A140:B140"/>
    <mergeCell ref="L140:M140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L145:M145"/>
    <mergeCell ref="L164:M164"/>
    <mergeCell ref="A165:B165"/>
    <mergeCell ref="L165:M165"/>
    <mergeCell ref="L156:M156"/>
    <mergeCell ref="A157:B157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L157:M157"/>
    <mergeCell ref="L166:M166"/>
    <mergeCell ref="A167:B167"/>
    <mergeCell ref="L167:M167"/>
    <mergeCell ref="A168:B168"/>
    <mergeCell ref="G159:H180"/>
    <mergeCell ref="L159:M159"/>
    <mergeCell ref="A160:B160"/>
    <mergeCell ref="L160:M160"/>
    <mergeCell ref="A161:B161"/>
    <mergeCell ref="L173:M173"/>
    <mergeCell ref="A174:B174"/>
    <mergeCell ref="L174:M174"/>
    <mergeCell ref="L168:M168"/>
    <mergeCell ref="A169:B169"/>
    <mergeCell ref="L169:M169"/>
    <mergeCell ref="A170:B170"/>
    <mergeCell ref="A180:B180"/>
    <mergeCell ref="L180:M180"/>
    <mergeCell ref="L161:M161"/>
    <mergeCell ref="A162:B162"/>
    <mergeCell ref="L162:M162"/>
    <mergeCell ref="A163:B163"/>
    <mergeCell ref="L163:M163"/>
    <mergeCell ref="A164:B164"/>
    <mergeCell ref="L178:M178"/>
    <mergeCell ref="A179:B179"/>
    <mergeCell ref="L179:M179"/>
    <mergeCell ref="L175:M175"/>
    <mergeCell ref="A176:B176"/>
    <mergeCell ref="L176:M176"/>
    <mergeCell ref="L177:M177"/>
    <mergeCell ref="L170:M170"/>
    <mergeCell ref="A171:B171"/>
    <mergeCell ref="L171:M171"/>
    <mergeCell ref="A172:B172"/>
    <mergeCell ref="L172:M172"/>
  </mergeCells>
  <dataValidations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2:E103">
      <formula1>"Attached Loft area,Attached Terrace area,Attached Mezzanine area"</formula1>
    </dataValidation>
    <dataValidation type="list" allowBlank="1" showInputMessage="1" showErrorMessage="1" sqref="F103">
      <formula1>"45%,50%,55%,60%"</formula1>
    </dataValidation>
    <dataValidation type="list" allowBlank="1" showInputMessage="1" showErrorMessage="1" sqref="G198:H198">
      <formula1>"Kunal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  <dataValidation type="list" allowBlank="1" showInputMessage="1" showErrorMessage="1" sqref="F102">
      <formula1>"Saleable area Loading :,Builder Saleable area"</formula1>
    </dataValidation>
    <dataValidation type="list" allowBlank="1" showInputMessage="1" showErrorMessage="1" sqref="B102:B103">
      <formula1>"Shop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99" r:id="rId2"/>
    <hyperlink ref="I100" r:id="rId3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79" max="7" man="1"/>
    <brk id="202" max="16383" man="1"/>
    <brk id="245" max="16383" man="1"/>
    <brk id="289" max="16383" man="1"/>
  </rowBreaks>
  <drawing r:id="rId5"/>
  <legacy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L12" sqref="L1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0" t="s">
        <v>106</v>
      </c>
      <c r="C3" s="210"/>
      <c r="D3" s="210"/>
      <c r="E3" s="210"/>
      <c r="F3" s="210"/>
      <c r="G3" s="210"/>
      <c r="H3" s="210"/>
    </row>
    <row r="4" spans="1:9" x14ac:dyDescent="0.25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172</v>
      </c>
      <c r="E4" s="56" t="s">
        <v>182</v>
      </c>
      <c r="F4" s="56" t="s">
        <v>168</v>
      </c>
      <c r="G4" s="56" t="s">
        <v>187</v>
      </c>
      <c r="H4" s="56" t="s">
        <v>205</v>
      </c>
      <c r="J4" t="s">
        <v>187</v>
      </c>
      <c r="K4" t="s">
        <v>203</v>
      </c>
    </row>
    <row r="5" spans="2:11" x14ac:dyDescent="0.25">
      <c r="B5" s="55"/>
      <c r="C5" s="55"/>
      <c r="D5" s="56" t="s">
        <v>173</v>
      </c>
      <c r="E5" s="56" t="s">
        <v>180</v>
      </c>
      <c r="F5" s="56" t="s">
        <v>202</v>
      </c>
      <c r="G5" s="56" t="s">
        <v>188</v>
      </c>
      <c r="H5" s="56" t="s">
        <v>206</v>
      </c>
    </row>
    <row r="6" spans="2:11" x14ac:dyDescent="0.25">
      <c r="B6" s="55"/>
      <c r="C6" s="55"/>
      <c r="D6" s="56" t="s">
        <v>174</v>
      </c>
      <c r="E6" s="56" t="s">
        <v>181</v>
      </c>
      <c r="F6" s="56" t="s">
        <v>203</v>
      </c>
      <c r="G6" s="56" t="s">
        <v>189</v>
      </c>
      <c r="H6" s="56" t="s">
        <v>219</v>
      </c>
    </row>
    <row r="7" spans="2:11" x14ac:dyDescent="0.25">
      <c r="B7" s="55"/>
      <c r="C7" s="55"/>
      <c r="D7" s="56" t="s">
        <v>175</v>
      </c>
      <c r="E7" s="56" t="s">
        <v>183</v>
      </c>
      <c r="F7" s="56" t="s">
        <v>204</v>
      </c>
      <c r="G7" s="56" t="s">
        <v>190</v>
      </c>
      <c r="H7" s="56" t="s">
        <v>207</v>
      </c>
    </row>
    <row r="8" spans="2:11" x14ac:dyDescent="0.25">
      <c r="B8" s="55"/>
      <c r="C8" s="55"/>
      <c r="D8" s="56" t="s">
        <v>176</v>
      </c>
      <c r="E8" s="56" t="s">
        <v>184</v>
      </c>
      <c r="F8" s="56"/>
      <c r="G8" s="56" t="s">
        <v>191</v>
      </c>
      <c r="H8" s="56" t="s">
        <v>208</v>
      </c>
    </row>
    <row r="9" spans="2:11" x14ac:dyDescent="0.25">
      <c r="B9" s="55"/>
      <c r="C9" s="55"/>
      <c r="D9" s="56" t="s">
        <v>177</v>
      </c>
      <c r="E9" s="56" t="s">
        <v>182</v>
      </c>
      <c r="F9" s="56"/>
      <c r="G9" s="56" t="s">
        <v>192</v>
      </c>
      <c r="H9" s="56" t="s">
        <v>209</v>
      </c>
    </row>
    <row r="10" spans="2:11" x14ac:dyDescent="0.25">
      <c r="B10" s="55"/>
      <c r="C10" s="55"/>
      <c r="D10" s="56" t="s">
        <v>178</v>
      </c>
      <c r="E10" s="56" t="s">
        <v>185</v>
      </c>
      <c r="F10" s="56"/>
      <c r="G10" s="56" t="s">
        <v>193</v>
      </c>
      <c r="H10" s="56" t="s">
        <v>210</v>
      </c>
    </row>
    <row r="11" spans="2:11" x14ac:dyDescent="0.25">
      <c r="B11" s="55"/>
      <c r="C11" s="55"/>
      <c r="D11" s="56" t="s">
        <v>179</v>
      </c>
      <c r="E11" s="56" t="s">
        <v>186</v>
      </c>
      <c r="F11" s="56"/>
      <c r="G11" s="56" t="s">
        <v>194</v>
      </c>
      <c r="H11" s="56" t="s">
        <v>211</v>
      </c>
    </row>
    <row r="12" spans="2:11" x14ac:dyDescent="0.25">
      <c r="B12" s="55"/>
      <c r="C12" s="55"/>
      <c r="D12" s="56"/>
      <c r="E12" s="56"/>
      <c r="F12" s="56"/>
      <c r="G12" s="56" t="s">
        <v>195</v>
      </c>
      <c r="H12" s="56" t="s">
        <v>212</v>
      </c>
    </row>
    <row r="13" spans="2:11" x14ac:dyDescent="0.25">
      <c r="B13" s="55"/>
      <c r="C13" s="55"/>
      <c r="D13" s="56"/>
      <c r="E13" s="56"/>
      <c r="F13" s="56"/>
      <c r="G13" s="56" t="s">
        <v>196</v>
      </c>
      <c r="H13" s="56" t="s">
        <v>213</v>
      </c>
    </row>
    <row r="14" spans="2:11" x14ac:dyDescent="0.25">
      <c r="B14" s="55"/>
      <c r="C14" s="55"/>
      <c r="D14" s="56"/>
      <c r="E14" s="56"/>
      <c r="F14" s="56"/>
      <c r="G14" s="56" t="s">
        <v>197</v>
      </c>
      <c r="H14" s="56" t="s">
        <v>214</v>
      </c>
    </row>
    <row r="15" spans="2:11" x14ac:dyDescent="0.25">
      <c r="B15" s="55"/>
      <c r="C15" s="55"/>
      <c r="D15" s="56"/>
      <c r="E15" s="56"/>
      <c r="F15" s="56"/>
      <c r="G15" s="56" t="s">
        <v>198</v>
      </c>
      <c r="H15" s="56" t="s">
        <v>215</v>
      </c>
    </row>
    <row r="16" spans="2:11" x14ac:dyDescent="0.25">
      <c r="B16" s="55"/>
      <c r="C16" s="55"/>
      <c r="D16" s="56"/>
      <c r="E16" s="56"/>
      <c r="F16" s="56"/>
      <c r="G16" s="56" t="s">
        <v>199</v>
      </c>
      <c r="H16" s="56" t="s">
        <v>216</v>
      </c>
    </row>
    <row r="17" spans="2:8" x14ac:dyDescent="0.25">
      <c r="B17" s="55"/>
      <c r="C17" s="55"/>
      <c r="D17" s="56"/>
      <c r="E17" s="56"/>
      <c r="F17" s="56"/>
      <c r="G17" s="56" t="s">
        <v>200</v>
      </c>
      <c r="H17" s="56" t="s">
        <v>217</v>
      </c>
    </row>
    <row r="18" spans="2:8" x14ac:dyDescent="0.25">
      <c r="B18" s="55"/>
      <c r="C18" s="55"/>
      <c r="D18" s="56"/>
      <c r="E18" s="56"/>
      <c r="F18" s="56"/>
      <c r="G18" s="56" t="s">
        <v>201</v>
      </c>
      <c r="H18" s="56" t="s">
        <v>218</v>
      </c>
    </row>
    <row r="24" spans="2:8" x14ac:dyDescent="0.25">
      <c r="C24" t="s">
        <v>166</v>
      </c>
    </row>
    <row r="25" spans="2:8" x14ac:dyDescent="0.25">
      <c r="C25" t="s">
        <v>220</v>
      </c>
    </row>
    <row r="26" spans="2:8" x14ac:dyDescent="0.25">
      <c r="C26" t="s">
        <v>221</v>
      </c>
    </row>
    <row r="27" spans="2:8" x14ac:dyDescent="0.25">
      <c r="C27" t="s">
        <v>222</v>
      </c>
    </row>
    <row r="28" spans="2:8" x14ac:dyDescent="0.25">
      <c r="C28" t="s">
        <v>223</v>
      </c>
    </row>
    <row r="29" spans="2:8" x14ac:dyDescent="0.25">
      <c r="C29" t="s">
        <v>224</v>
      </c>
    </row>
    <row r="30" spans="2:8" x14ac:dyDescent="0.25">
      <c r="C30" t="s">
        <v>166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2025-06-12T11:11:06Z</cp:lastPrinted>
  <dcterms:created xsi:type="dcterms:W3CDTF">2019-07-16T09:29:46Z</dcterms:created>
  <dcterms:modified xsi:type="dcterms:W3CDTF">2025-06-12T11:12:40Z</dcterms:modified>
</cp:coreProperties>
</file>