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C:\Users\PC-51\Downloads\"/>
    </mc:Choice>
  </mc:AlternateContent>
  <bookViews>
    <workbookView xWindow="0" yWindow="0" windowWidth="20490" windowHeight="7755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Report!$A$1:$H$340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100" i="1" l="1"/>
  <c r="C97" i="1"/>
  <c r="C96" i="1"/>
  <c r="G100" i="1"/>
  <c r="E100" i="1"/>
  <c r="E97" i="1"/>
  <c r="E96" i="1"/>
  <c r="B191" i="1"/>
  <c r="B190" i="1"/>
  <c r="F171" i="1"/>
  <c r="H171" i="1" s="1"/>
  <c r="F172" i="1"/>
  <c r="H172" i="1" s="1"/>
  <c r="F173" i="1"/>
  <c r="H173" i="1" s="1"/>
  <c r="F174" i="1"/>
  <c r="H174" i="1" s="1"/>
  <c r="F175" i="1"/>
  <c r="H175" i="1" s="1"/>
  <c r="F177" i="1"/>
  <c r="H177" i="1" s="1"/>
  <c r="F178" i="1"/>
  <c r="H178" i="1" s="1"/>
  <c r="F179" i="1"/>
  <c r="H179" i="1" s="1"/>
  <c r="F180" i="1"/>
  <c r="H180" i="1" s="1"/>
  <c r="F181" i="1"/>
  <c r="H181" i="1" s="1"/>
  <c r="F183" i="1"/>
  <c r="H183" i="1" s="1"/>
  <c r="F184" i="1"/>
  <c r="H184" i="1" s="1"/>
  <c r="F185" i="1"/>
  <c r="H185" i="1" s="1"/>
  <c r="F186" i="1"/>
  <c r="H186" i="1" s="1"/>
  <c r="F187" i="1"/>
  <c r="H187" i="1" s="1"/>
  <c r="E166" i="1"/>
  <c r="D166" i="1"/>
  <c r="E165" i="1"/>
  <c r="D165" i="1"/>
  <c r="A166" i="1"/>
  <c r="A167" i="1" s="1"/>
  <c r="A168" i="1" s="1"/>
  <c r="A169" i="1" s="1"/>
  <c r="E163" i="1"/>
  <c r="D163" i="1"/>
  <c r="E162" i="1"/>
  <c r="D162" i="1"/>
  <c r="E161" i="1"/>
  <c r="D161" i="1"/>
  <c r="E160" i="1"/>
  <c r="D160" i="1"/>
  <c r="A161" i="1"/>
  <c r="A162" i="1" s="1"/>
  <c r="A163" i="1" s="1"/>
  <c r="E158" i="1"/>
  <c r="D158" i="1"/>
  <c r="E157" i="1"/>
  <c r="D157" i="1"/>
  <c r="E156" i="1"/>
  <c r="D156" i="1"/>
  <c r="E155" i="1"/>
  <c r="D155" i="1"/>
  <c r="A155" i="1"/>
  <c r="A156" i="1" s="1"/>
  <c r="A157" i="1" s="1"/>
  <c r="A158" i="1" s="1"/>
  <c r="E154" i="1"/>
  <c r="D154" i="1"/>
  <c r="E152" i="1"/>
  <c r="D152" i="1"/>
  <c r="E151" i="1"/>
  <c r="D151" i="1"/>
  <c r="E150" i="1"/>
  <c r="D150" i="1"/>
  <c r="E149" i="1"/>
  <c r="D149" i="1"/>
  <c r="A149" i="1"/>
  <c r="A150" i="1" s="1"/>
  <c r="A151" i="1" s="1"/>
  <c r="A152" i="1" s="1"/>
  <c r="E148" i="1"/>
  <c r="D148" i="1"/>
  <c r="E146" i="1"/>
  <c r="D146" i="1"/>
  <c r="E145" i="1"/>
  <c r="D145" i="1"/>
  <c r="E144" i="1"/>
  <c r="D144" i="1"/>
  <c r="E143" i="1"/>
  <c r="D143" i="1"/>
  <c r="A143" i="1"/>
  <c r="A144" i="1" s="1"/>
  <c r="A145" i="1" s="1"/>
  <c r="A146" i="1" s="1"/>
  <c r="E142" i="1"/>
  <c r="D142" i="1"/>
  <c r="E140" i="1"/>
  <c r="D140" i="1"/>
  <c r="E139" i="1"/>
  <c r="D139" i="1"/>
  <c r="E138" i="1"/>
  <c r="D138" i="1"/>
  <c r="E137" i="1"/>
  <c r="D137" i="1"/>
  <c r="A137" i="1"/>
  <c r="A138" i="1" s="1"/>
  <c r="A139" i="1" s="1"/>
  <c r="A140" i="1" s="1"/>
  <c r="E136" i="1"/>
  <c r="D136" i="1"/>
  <c r="E133" i="1"/>
  <c r="E132" i="1"/>
  <c r="E131" i="1"/>
  <c r="E130" i="1"/>
  <c r="E127" i="1"/>
  <c r="E126" i="1"/>
  <c r="E125" i="1"/>
  <c r="E124" i="1"/>
  <c r="D134" i="1"/>
  <c r="F134" i="1" s="1"/>
  <c r="H134" i="1" s="1"/>
  <c r="D133" i="1"/>
  <c r="D132" i="1"/>
  <c r="F132" i="1" s="1"/>
  <c r="H132" i="1" s="1"/>
  <c r="D131" i="1"/>
  <c r="A131" i="1"/>
  <c r="A132" i="1" s="1"/>
  <c r="A133" i="1" s="1"/>
  <c r="A134" i="1" s="1"/>
  <c r="D130" i="1"/>
  <c r="D127" i="1"/>
  <c r="D126" i="1"/>
  <c r="D125" i="1"/>
  <c r="D124" i="1"/>
  <c r="D128" i="1"/>
  <c r="F128" i="1" s="1"/>
  <c r="H128" i="1" s="1"/>
  <c r="E120" i="1"/>
  <c r="D120" i="1"/>
  <c r="D119" i="1"/>
  <c r="F119" i="1" s="1"/>
  <c r="H119" i="1" s="1"/>
  <c r="D118" i="1"/>
  <c r="F118" i="1" s="1"/>
  <c r="H118" i="1" s="1"/>
  <c r="D112" i="1"/>
  <c r="F112" i="1" s="1"/>
  <c r="H112" i="1" s="1"/>
  <c r="D111" i="1"/>
  <c r="F111" i="1" s="1"/>
  <c r="H111" i="1" s="1"/>
  <c r="G97" i="1" s="1"/>
  <c r="E109" i="1"/>
  <c r="E108" i="1"/>
  <c r="E107" i="1"/>
  <c r="E106" i="1"/>
  <c r="D109" i="1"/>
  <c r="D108" i="1"/>
  <c r="D107" i="1"/>
  <c r="D106" i="1"/>
  <c r="A112" i="1"/>
  <c r="A125" i="1"/>
  <c r="A126" i="1" s="1"/>
  <c r="A127" i="1" s="1"/>
  <c r="A128" i="1" s="1"/>
  <c r="A119" i="1"/>
  <c r="A120" i="1" s="1"/>
  <c r="A121" i="1" s="1"/>
  <c r="A122" i="1" s="1"/>
  <c r="A108" i="1"/>
  <c r="A109" i="1" s="1"/>
  <c r="A171" i="1"/>
  <c r="A183" i="1"/>
  <c r="A177" i="1"/>
  <c r="F136" i="1" l="1"/>
  <c r="H136" i="1" s="1"/>
  <c r="F145" i="1"/>
  <c r="H145" i="1" s="1"/>
  <c r="F106" i="1"/>
  <c r="H106" i="1" s="1"/>
  <c r="F154" i="1"/>
  <c r="H154" i="1" s="1"/>
  <c r="F107" i="1"/>
  <c r="H107" i="1" s="1"/>
  <c r="F143" i="1"/>
  <c r="H143" i="1" s="1"/>
  <c r="F157" i="1"/>
  <c r="H157" i="1" s="1"/>
  <c r="F137" i="1"/>
  <c r="H137" i="1" s="1"/>
  <c r="F150" i="1"/>
  <c r="H150" i="1" s="1"/>
  <c r="F163" i="1"/>
  <c r="H163" i="1" s="1"/>
  <c r="F146" i="1"/>
  <c r="H146" i="1" s="1"/>
  <c r="F149" i="1"/>
  <c r="H149" i="1" s="1"/>
  <c r="F133" i="1"/>
  <c r="H133" i="1" s="1"/>
  <c r="F138" i="1"/>
  <c r="H138" i="1" s="1"/>
  <c r="F158" i="1"/>
  <c r="H158" i="1" s="1"/>
  <c r="F162" i="1"/>
  <c r="H162" i="1" s="1"/>
  <c r="F120" i="1"/>
  <c r="H120" i="1" s="1"/>
  <c r="F156" i="1"/>
  <c r="H156" i="1" s="1"/>
  <c r="F144" i="1"/>
  <c r="H144" i="1" s="1"/>
  <c r="F165" i="1"/>
  <c r="H165" i="1" s="1"/>
  <c r="F166" i="1"/>
  <c r="H166" i="1" s="1"/>
  <c r="F148" i="1"/>
  <c r="H148" i="1" s="1"/>
  <c r="F151" i="1"/>
  <c r="H151" i="1" s="1"/>
  <c r="F140" i="1"/>
  <c r="H140" i="1" s="1"/>
  <c r="F161" i="1"/>
  <c r="H161" i="1" s="1"/>
  <c r="F142" i="1"/>
  <c r="H142" i="1" s="1"/>
  <c r="F139" i="1"/>
  <c r="H139" i="1" s="1"/>
  <c r="F155" i="1"/>
  <c r="H155" i="1" s="1"/>
  <c r="F160" i="1"/>
  <c r="H160" i="1" s="1"/>
  <c r="F152" i="1"/>
  <c r="H152" i="1" s="1"/>
  <c r="F126" i="1"/>
  <c r="H126" i="1" s="1"/>
  <c r="F127" i="1"/>
  <c r="H127" i="1" s="1"/>
  <c r="F130" i="1"/>
  <c r="H130" i="1" s="1"/>
  <c r="F131" i="1"/>
  <c r="H131" i="1" s="1"/>
  <c r="F125" i="1"/>
  <c r="H125" i="1" s="1"/>
  <c r="F124" i="1"/>
  <c r="H124" i="1" s="1"/>
  <c r="F108" i="1"/>
  <c r="H108" i="1" s="1"/>
  <c r="F109" i="1"/>
  <c r="H109" i="1" s="1"/>
  <c r="A178" i="1"/>
  <c r="A172" i="1"/>
  <c r="A184" i="1"/>
  <c r="G96" i="1" l="1"/>
  <c r="E43" i="1"/>
  <c r="E44" i="1" s="1"/>
  <c r="A185" i="1"/>
  <c r="A173" i="1"/>
  <c r="A179" i="1"/>
  <c r="E30" i="1" l="1"/>
  <c r="A174" i="1"/>
  <c r="A186" i="1"/>
  <c r="A180" i="1"/>
  <c r="F93" i="1" l="1"/>
  <c r="A187" i="1"/>
  <c r="A181" i="1"/>
  <c r="A175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215" i="1"/>
  <c r="J77" i="1"/>
  <c r="J76" i="1"/>
  <c r="J75" i="1"/>
  <c r="J74" i="1"/>
  <c r="C66" i="1"/>
  <c r="D55" i="1"/>
  <c r="G50" i="1"/>
  <c r="C50" i="1"/>
  <c r="E27" i="1"/>
  <c r="E25" i="1"/>
  <c r="E7" i="1"/>
  <c r="E3" i="1"/>
  <c r="H67" i="1"/>
  <c r="D60" i="1" l="1"/>
  <c r="D79" i="1"/>
  <c r="D77" i="1"/>
  <c r="D76" i="1"/>
  <c r="D75" i="1"/>
  <c r="D73" i="1"/>
  <c r="J66" i="1"/>
  <c r="D78" i="1"/>
  <c r="D74" i="1"/>
  <c r="J70" i="1"/>
  <c r="J71" i="1"/>
  <c r="C70" i="1" s="1"/>
  <c r="J69" i="1"/>
  <c r="J72" i="1"/>
  <c r="J73" i="1" l="1"/>
  <c r="J78" i="1" s="1"/>
  <c r="J79" i="1" s="1"/>
  <c r="C71" i="1" s="1"/>
  <c r="E70" i="1" s="1"/>
  <c r="D72" i="1"/>
  <c r="J68" i="1"/>
  <c r="D70" i="1"/>
  <c r="G70" i="1" l="1"/>
  <c r="D64" i="1" s="1"/>
  <c r="D65" i="1" s="1"/>
  <c r="D71" i="1"/>
  <c r="I67" i="1" s="1"/>
  <c r="J67" i="1"/>
  <c r="F65" i="1" l="1"/>
  <c r="I68" i="1"/>
  <c r="I66" i="1" s="1"/>
  <c r="C68" i="1" s="1"/>
</calcChain>
</file>

<file path=xl/comments1.xml><?xml version="1.0" encoding="utf-8"?>
<comments xmlns="http://schemas.openxmlformats.org/spreadsheetml/2006/main">
  <authors>
    <author>SACHIN</author>
  </authors>
  <commentList>
    <comment ref="H115" authorId="0" shapeId="0">
      <text>
        <r>
          <rPr>
            <b/>
            <sz val="9"/>
            <color indexed="81"/>
            <rFont val="Tahoma"/>
            <family val="2"/>
          </rPr>
          <t>SACHIN:</t>
        </r>
        <r>
          <rPr>
            <sz val="9"/>
            <color indexed="81"/>
            <rFont val="Tahoma"/>
            <family val="2"/>
          </rPr>
          <t xml:space="preserve">
Give loading of 50% for A Category</t>
        </r>
      </text>
    </comment>
  </commentList>
</comments>
</file>

<file path=xl/sharedStrings.xml><?xml version="1.0" encoding="utf-8"?>
<sst xmlns="http://schemas.openxmlformats.org/spreadsheetml/2006/main" count="334" uniqueCount="248">
  <si>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</si>
  <si>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</si>
  <si>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</si>
  <si>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</si>
  <si>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</si>
  <si>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</si>
  <si>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</si>
  <si>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</si>
  <si>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</si>
  <si>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</si>
  <si>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</si>
  <si>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</si>
  <si>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</si>
  <si>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</si>
  <si>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</si>
  <si>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</si>
  <si>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</si>
  <si>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</si>
  <si>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</si>
  <si>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</si>
  <si>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</si>
  <si>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</si>
  <si>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</si>
  <si>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</si>
  <si>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</si>
  <si>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</si>
  <si>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</si>
  <si>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</si>
  <si>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</si>
  <si>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</si>
  <si>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</si>
  <si>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</si>
  <si>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</si>
  <si>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</si>
  <si>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</si>
  <si>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</si>
  <si>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</si>
  <si>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</si>
  <si>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</si>
  <si>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</si>
  <si>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</si>
  <si>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</si>
  <si>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</si>
  <si>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</si>
  <si>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</si>
  <si>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</si>
  <si>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</si>
  <si>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</si>
  <si>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</si>
  <si>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</si>
  <si>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</si>
  <si>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</si>
  <si>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</si>
  <si>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</si>
  <si>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</si>
  <si>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</si>
  <si>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Description</t>
  </si>
  <si>
    <t>Gross Carpet area</t>
  </si>
  <si>
    <t>Attached Terrace area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</si>
  <si>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</si>
  <si>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</si>
  <si>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</si>
  <si>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</si>
  <si>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</si>
  <si>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</si>
  <si>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</si>
  <si>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</si>
  <si>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</si>
  <si>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</si>
  <si>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</si>
  <si>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</si>
  <si>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</si>
  <si>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</si>
  <si>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</si>
  <si>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</si>
  <si>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</si>
  <si>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</si>
  <si>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</si>
  <si>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</si>
  <si>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</si>
  <si>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</si>
  <si>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</si>
  <si>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</si>
  <si>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</si>
  <si>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</si>
  <si>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</si>
  <si>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</si>
  <si>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</si>
  <si>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</si>
  <si>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</si>
  <si>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</si>
  <si>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</si>
  <si>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</si>
  <si>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</si>
  <si>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</si>
  <si>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</si>
  <si>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</si>
  <si>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</si>
  <si>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</si>
  <si>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</si>
  <si>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</si>
  <si>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</si>
  <si>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</si>
  <si>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</si>
  <si>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</si>
  <si>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</si>
  <si>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</si>
  <si>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</si>
  <si>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</si>
  <si>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</si>
  <si>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</si>
  <si>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</si>
  <si>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</si>
  <si>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</si>
  <si>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</si>
  <si>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</si>
  <si>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</si>
  <si>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</si>
  <si>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01 Building</t>
  </si>
  <si>
    <t>Valid Upto 
Date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</si>
  <si>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</si>
  <si>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</si>
  <si>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</si>
  <si>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</si>
  <si>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</si>
  <si>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</si>
  <si>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</si>
  <si>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</si>
  <si>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</si>
  <si>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</si>
  <si>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</si>
  <si>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</si>
  <si>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</si>
  <si>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</si>
  <si>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</si>
  <si>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</si>
  <si>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</si>
  <si>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</si>
  <si>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</si>
  <si>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</si>
  <si>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</si>
  <si>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</si>
  <si>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</si>
  <si>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</si>
  <si>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</si>
  <si>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</si>
  <si>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 xml:space="preserve">Violations Observed if any : </t>
  </si>
  <si>
    <t>Saleable area Loading :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</si>
  <si>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</si>
  <si>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</si>
  <si>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</si>
  <si>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</si>
  <si>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</si>
  <si>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</si>
  <si>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</si>
  <si>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</si>
  <si>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</si>
  <si>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</si>
  <si>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</si>
  <si>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</si>
  <si>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</si>
  <si>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</si>
  <si>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</si>
  <si>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</si>
  <si>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</si>
  <si>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</si>
  <si>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Axis Goregaon</t>
  </si>
  <si>
    <t>Office No. 1031, Wing J, Akshar Business Park, Plot No. 03 Sector 25, Near APMC Market, Vashi, Navi Mumbai, Maharashtra 400703 TEL: 022-46090378/79/80                                                                       
E mail : vsjcapf@gmail.com. Web site : www.vsjadon.com</t>
  </si>
  <si>
    <t>JPV Realtors Private Limited</t>
  </si>
  <si>
    <t>Pratap Cress</t>
  </si>
  <si>
    <t>P51800048821</t>
  </si>
  <si>
    <t>CTS No</t>
  </si>
  <si>
    <t>Mamlatdar Wadi Road</t>
  </si>
  <si>
    <t>Malad (West)</t>
  </si>
  <si>
    <t>Malad</t>
  </si>
  <si>
    <t>Mumbai</t>
  </si>
  <si>
    <t>Borivali</t>
  </si>
  <si>
    <t>Nutan Ayojan Nagar</t>
  </si>
  <si>
    <t>BMC Play Ground</t>
  </si>
  <si>
    <t>https://goo.gl/maps/sG1TwphtguLxZco28</t>
  </si>
  <si>
    <t>Mamlatdar Wadi Main Road</t>
  </si>
  <si>
    <t>1.6 KM from Malad Railway Station</t>
  </si>
  <si>
    <t>Municipal Corporation of Greater Mumbai</t>
  </si>
  <si>
    <t>Gr/Stilt + 1st to 16th Floor</t>
  </si>
  <si>
    <t>As per RERA - 31/12/2026</t>
  </si>
  <si>
    <t>Approved Plans, CC</t>
  </si>
  <si>
    <t>Shop</t>
  </si>
  <si>
    <t>2BHK</t>
  </si>
  <si>
    <t>1BHK</t>
  </si>
  <si>
    <t>Society Office</t>
  </si>
  <si>
    <t>3rd Floor</t>
  </si>
  <si>
    <t>4th &amp; 5th Floor</t>
  </si>
  <si>
    <t>Terrace Area</t>
  </si>
  <si>
    <t>Construction work is in process at the time of Visit.</t>
  </si>
  <si>
    <t>Name of Existing Building</t>
  </si>
  <si>
    <t>Jay Anand CHSL</t>
  </si>
  <si>
    <t xml:space="preserve">Mr.Sudhir Hukum -9820038581 </t>
  </si>
  <si>
    <t>756 D &amp; Existing Building Name. Jay Anand CHSL</t>
  </si>
  <si>
    <t>Proposed Redevelopment of building known as " Jay Anand CHSL" on plot bearing CTS No. 756 D of Village Malad (w), At Mamlatdar Wadi Road, Malad (West), Mumbai - 400064 .</t>
  </si>
  <si>
    <t>Village</t>
  </si>
  <si>
    <t>1st Floor for Commercial &amp; Parking</t>
  </si>
  <si>
    <t>2nd Floor for Residential, Society Office &amp; Parking</t>
  </si>
  <si>
    <t>Jay Gopal CHS</t>
  </si>
  <si>
    <t>Houses</t>
  </si>
  <si>
    <t>Jai Kiran CHS</t>
  </si>
  <si>
    <t>P-10187/2022/(756D)/P/N Ward/Malad
North/FCC/1/Amend</t>
  </si>
  <si>
    <t>We have updated approved CC from MCGM site on 30/01/2024.</t>
  </si>
  <si>
    <t>We have updated Revised approved CC from MCGM site on 16/01/2025</t>
  </si>
  <si>
    <t>This C.C. is granted for the work of building comprising of Ground Floor (Pt.) for Shops, Space for Electric Meter Room, Double Height Entrance Lobby and Pit Cum Puzzle parking + 1st (Pt.) upper floor for offices + Service Floor + 2nd (Pt.) upper floor for Residential Use + 3rd to 15th upper floors + 16th (Pt.) upper floor for Residential use +LMR+OHT as per Approved Amended plan dated 16.12.2024.</t>
  </si>
  <si>
    <t>Pooja</t>
  </si>
  <si>
    <t>Sanket Salvi</t>
  </si>
  <si>
    <t>Existing Bldg</t>
  </si>
  <si>
    <t>Other Plot</t>
  </si>
  <si>
    <t>18.30 M.W. Mamledar Wadi Main Road</t>
  </si>
  <si>
    <t>Latitude &amp; Longitude</t>
  </si>
  <si>
    <t>19.187711,72.8398772</t>
  </si>
  <si>
    <t>Ground Floor for Commercial, Meter room &amp; Parking</t>
  </si>
  <si>
    <t>Office</t>
  </si>
  <si>
    <t>Parking</t>
  </si>
  <si>
    <t>6th Floor (Part Refuge Area at midlanding)</t>
  </si>
  <si>
    <t>7th Floor</t>
  </si>
  <si>
    <t>8th, 10th, 12th &amp; 14th Floor (Part Refuge Area at midlanding)</t>
  </si>
  <si>
    <t>9th, 11th &amp; 13th Floor</t>
  </si>
  <si>
    <t>15th Floor</t>
  </si>
  <si>
    <t>3.5BHK</t>
  </si>
  <si>
    <t>Fitness Center</t>
  </si>
  <si>
    <t>Service Floor between 1st &amp; 2nd Floor</t>
  </si>
  <si>
    <t>16th Floor for Residential &amp; Fitness Center (Part Terrace Area &amp; Refuge area at midlanding)</t>
  </si>
  <si>
    <t>We have updated latest approved floor plans (On 24/06/2025).</t>
  </si>
  <si>
    <t>Flats - 69, Shops - 04, Offices - 02</t>
  </si>
  <si>
    <t>We considered Gross carpet area = Net carpet + Deck Area.</t>
  </si>
  <si>
    <t xml:space="preserve">As the project is redevelopement project but rehab statement or rehab flats is not mentioned in approved layout plan &amp; floor plan.
</t>
  </si>
  <si>
    <t>P-10187/2022/(756D)/P/N
Ward/Malad North/337/3/Amend</t>
  </si>
  <si>
    <t>Recommended Rates/Other Charges of the Property have been revised as per market inquire on 24/06/2025.</t>
  </si>
  <si>
    <t>rate change by us on 24/06/2025.(Self changes)</t>
  </si>
  <si>
    <t>Building Details Floor Wise</t>
  </si>
  <si>
    <t xml:space="preserve">Details of Residential &amp; Commercials in Building   </t>
  </si>
  <si>
    <t>Shop No. (Sale Plan)</t>
  </si>
  <si>
    <t>Carpet area</t>
  </si>
  <si>
    <t>Flat No. (Sale Plan)</t>
  </si>
  <si>
    <t>Fungible area</t>
  </si>
  <si>
    <t>3rd, 5th, 7th, 9th, 11th, 13th, 15th Floor</t>
  </si>
  <si>
    <t>2nd to 5th Floor</t>
  </si>
  <si>
    <t>2nd &amp; 5th Floor</t>
  </si>
  <si>
    <r>
      <t xml:space="preserve">Shop No.
</t>
    </r>
    <r>
      <rPr>
        <b/>
        <sz val="11"/>
        <rFont val="Times New Roman"/>
        <family val="1"/>
      </rPr>
      <t>(Approved Plan)</t>
    </r>
  </si>
  <si>
    <r>
      <t xml:space="preserve">Flat No.
</t>
    </r>
    <r>
      <rPr>
        <b/>
        <sz val="11"/>
        <rFont val="Times New Roman"/>
        <family val="1"/>
      </rPr>
      <t>(Approved Plan)</t>
    </r>
  </si>
  <si>
    <t>As per Layout</t>
  </si>
  <si>
    <t xml:space="preserve">1. Vitrified tiles flooring 2. Granite Kitchen Platform 3. Decorative Enternace 4. Fitness Center etc.
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</si>
</sst>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43" formatCode="_ * #,##0.00_ ;_ * \-#,##0.00_ ;_ * &quot;-&quot;??_ ;_ @_ "/>
    <numFmt numFmtId="164" formatCode="_(* #,##0.00_);_(* \(#,##0.00\);_(* &quot;-&quot;??_);_(@_)"/>
    <numFmt numFmtId="165" formatCode="0.0"/>
    <numFmt numFmtId="166" formatCode="_(* #,##0_);_(* \(#,##0\);_(* &quot;-&quot;??_);_(@_)"/>
    <numFmt numFmtId="167" formatCode="_ * #,##0_ ;_ * \-#,##0_ ;_ * &quot;-&quot;??_ ;_ @_ "/>
  </numFmts>
  <fonts count="28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b/>
      <sz val="1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4" fillId="0" borderId="0"/>
    <xf numFmtId="0" fontId="2" fillId="0" borderId="0"/>
    <xf numFmtId="0" fontId="4" fillId="0" borderId="0"/>
    <xf numFmtId="0" fontId="1" fillId="0" borderId="0"/>
    <xf numFmtId="164" fontId="4" fillId="0" borderId="0" applyFont="0" applyFill="0" applyBorder="0" applyAlignment="0" applyProtection="0"/>
    <xf numFmtId="0" fontId="19" fillId="0" borderId="0"/>
    <xf numFmtId="9" fontId="20" fillId="0" borderId="0" applyFont="0" applyFill="0" applyBorder="0" applyAlignment="0" applyProtection="0"/>
    <xf numFmtId="43" fontId="20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73">
    <xf numFmtId="0" fontId="0" fillId="0" borderId="0" xfId="0"/>
    <xf numFmtId="0" fontId="4" fillId="0" borderId="0" xfId="4"/>
    <xf numFmtId="0" fontId="1" fillId="0" borderId="0" xfId="5"/>
    <xf numFmtId="0" fontId="8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8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4" fillId="0" borderId="1" xfId="4" applyBorder="1" applyAlignment="1">
      <alignment horizontal="center" vertical="center"/>
    </xf>
    <xf numFmtId="0" fontId="16" fillId="0" borderId="0" xfId="0" applyFont="1" applyProtection="1">
      <protection hidden="1"/>
    </xf>
    <xf numFmtId="0" fontId="16" fillId="0" borderId="8" xfId="0" applyFont="1" applyBorder="1" applyProtection="1">
      <protection hidden="1"/>
    </xf>
    <xf numFmtId="0" fontId="5" fillId="0" borderId="1" xfId="1" applyFont="1" applyBorder="1" applyAlignment="1" applyProtection="1">
      <alignment vertical="top" wrapText="1"/>
      <protection locked="0"/>
    </xf>
    <xf numFmtId="0" fontId="6" fillId="0" borderId="0" xfId="1" applyFont="1"/>
    <xf numFmtId="0" fontId="14" fillId="0" borderId="0" xfId="1" applyFont="1"/>
    <xf numFmtId="0" fontId="11" fillId="0" borderId="0" xfId="1" applyFont="1"/>
    <xf numFmtId="1" fontId="6" fillId="0" borderId="0" xfId="1" applyNumberFormat="1" applyFont="1"/>
    <xf numFmtId="14" fontId="6" fillId="0" borderId="0" xfId="1" applyNumberFormat="1" applyFont="1"/>
    <xf numFmtId="0" fontId="6" fillId="0" borderId="0" xfId="1" applyFont="1" applyProtection="1">
      <protection hidden="1"/>
    </xf>
    <xf numFmtId="0" fontId="21" fillId="0" borderId="0" xfId="1" applyFont="1"/>
    <xf numFmtId="0" fontId="6" fillId="0" borderId="7" xfId="1" applyFont="1" applyBorder="1"/>
    <xf numFmtId="0" fontId="16" fillId="0" borderId="7" xfId="0" applyFont="1" applyBorder="1" applyProtection="1">
      <protection hidden="1"/>
    </xf>
    <xf numFmtId="1" fontId="0" fillId="0" borderId="7" xfId="0" applyNumberFormat="1" applyBorder="1"/>
    <xf numFmtId="1" fontId="0" fillId="0" borderId="7" xfId="0" applyNumberFormat="1" applyBorder="1" applyAlignment="1">
      <alignment horizontal="right"/>
    </xf>
    <xf numFmtId="1" fontId="0" fillId="0" borderId="9" xfId="0" applyNumberFormat="1" applyBorder="1"/>
    <xf numFmtId="0" fontId="15" fillId="0" borderId="0" xfId="1" applyFont="1"/>
    <xf numFmtId="0" fontId="5" fillId="0" borderId="0" xfId="2" applyFont="1"/>
    <xf numFmtId="0" fontId="6" fillId="0" borderId="0" xfId="0" applyFont="1" applyAlignment="1">
      <alignment horizontal="center" vertical="center"/>
    </xf>
    <xf numFmtId="1" fontId="6" fillId="0" borderId="0" xfId="1" applyNumberFormat="1" applyFont="1" applyAlignment="1">
      <alignment horizontal="center" vertical="center"/>
    </xf>
    <xf numFmtId="0" fontId="7" fillId="0" borderId="0" xfId="1" applyFont="1" applyAlignment="1" applyProtection="1">
      <alignment vertical="top"/>
      <protection locked="0"/>
    </xf>
    <xf numFmtId="0" fontId="7" fillId="0" borderId="0" xfId="1" applyFont="1" applyAlignment="1" applyProtection="1">
      <alignment vertical="top" wrapText="1"/>
      <protection locked="0"/>
    </xf>
    <xf numFmtId="0" fontId="6" fillId="0" borderId="0" xfId="1" applyFont="1" applyProtection="1">
      <protection locked="0"/>
    </xf>
    <xf numFmtId="0" fontId="9" fillId="0" borderId="0" xfId="1" applyFont="1" applyProtection="1">
      <protection locked="0"/>
    </xf>
    <xf numFmtId="0" fontId="7" fillId="0" borderId="1" xfId="1" applyFont="1" applyBorder="1" applyAlignment="1" applyProtection="1">
      <alignment vertical="top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23" fillId="0" borderId="18" xfId="0" applyFont="1" applyBorder="1"/>
    <xf numFmtId="0" fontId="23" fillId="0" borderId="4" xfId="0" applyFont="1" applyBorder="1"/>
    <xf numFmtId="0" fontId="6" fillId="0" borderId="0" xfId="1" applyFont="1" applyAlignment="1">
      <alignment horizontal="center" vertical="center"/>
    </xf>
    <xf numFmtId="9" fontId="11" fillId="0" borderId="1" xfId="8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>
      <alignment horizontal="center" vertical="center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 applyProtection="1">
      <alignment horizontal="center" vertical="top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22" fillId="2" borderId="10" xfId="0" applyFont="1" applyFill="1" applyBorder="1"/>
    <xf numFmtId="0" fontId="23" fillId="0" borderId="6" xfId="0" applyFont="1" applyBorder="1"/>
    <xf numFmtId="0" fontId="6" fillId="0" borderId="0" xfId="1" applyFont="1" applyAlignment="1">
      <alignment horizontal="center" vertical="center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0" xfId="1" applyFont="1" applyAlignment="1">
      <alignment horizontal="center" vertical="center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1" fontId="5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3" xfId="1" applyNumberFormat="1" applyFont="1" applyBorder="1" applyAlignment="1" applyProtection="1">
      <alignment horizontal="center" vertical="top" wrapText="1"/>
      <protection locked="0"/>
    </xf>
    <xf numFmtId="9" fontId="12" fillId="0" borderId="11" xfId="8" applyFont="1" applyFill="1" applyBorder="1" applyAlignment="1" applyProtection="1">
      <alignment horizontal="center" vertical="top" wrapText="1"/>
      <protection locked="0"/>
    </xf>
    <xf numFmtId="1" fontId="11" fillId="0" borderId="1" xfId="1" applyNumberFormat="1" applyFont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>
      <alignment horizontal="center" vertical="center"/>
    </xf>
    <xf numFmtId="1" fontId="11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1" fontId="5" fillId="0" borderId="5" xfId="1" applyNumberFormat="1" applyFont="1" applyBorder="1" applyAlignment="1" applyProtection="1">
      <alignment horizontal="center" vertical="center" wrapText="1"/>
      <protection locked="0"/>
    </xf>
    <xf numFmtId="1" fontId="5" fillId="0" borderId="6" xfId="1" applyNumberFormat="1" applyFont="1" applyBorder="1" applyAlignment="1" applyProtection="1">
      <alignment horizontal="center" vertical="center" wrapText="1"/>
      <protection locked="0"/>
    </xf>
    <xf numFmtId="1" fontId="7" fillId="0" borderId="5" xfId="1" applyNumberFormat="1" applyFont="1" applyBorder="1" applyAlignment="1" applyProtection="1">
      <alignment horizontal="center" vertical="center" wrapText="1"/>
      <protection locked="0"/>
    </xf>
    <xf numFmtId="1" fontId="7" fillId="0" borderId="16" xfId="1" applyNumberFormat="1" applyFont="1" applyBorder="1" applyAlignment="1" applyProtection="1">
      <alignment horizontal="center" vertical="center" wrapText="1"/>
      <protection locked="0"/>
    </xf>
    <xf numFmtId="1" fontId="7" fillId="0" borderId="6" xfId="1" applyNumberFormat="1" applyFont="1" applyBorder="1" applyAlignment="1" applyProtection="1">
      <alignment horizontal="center" vertical="center" wrapText="1"/>
      <protection locked="0"/>
    </xf>
    <xf numFmtId="0" fontId="6" fillId="0" borderId="0" xfId="1" applyFont="1" applyAlignment="1">
      <alignment horizontal="center" vertical="center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1" fontId="5" fillId="0" borderId="16" xfId="1" applyNumberFormat="1" applyFont="1" applyBorder="1" applyAlignment="1" applyProtection="1">
      <alignment horizontal="center" vertical="center" wrapText="1"/>
      <protection locked="0"/>
    </xf>
    <xf numFmtId="1" fontId="5" fillId="0" borderId="12" xfId="1" applyNumberFormat="1" applyFont="1" applyBorder="1" applyAlignment="1" applyProtection="1">
      <alignment horizontal="center" vertical="center" wrapText="1"/>
      <protection locked="0"/>
    </xf>
    <xf numFmtId="1" fontId="5" fillId="0" borderId="17" xfId="1" applyNumberFormat="1" applyFont="1" applyBorder="1" applyAlignment="1" applyProtection="1">
      <alignment horizontal="center" vertical="center" wrapText="1"/>
      <protection locked="0"/>
    </xf>
    <xf numFmtId="1" fontId="5" fillId="0" borderId="13" xfId="1" applyNumberFormat="1" applyFont="1" applyBorder="1" applyAlignment="1" applyProtection="1">
      <alignment horizontal="center" vertical="center" wrapText="1"/>
      <protection locked="0"/>
    </xf>
    <xf numFmtId="1" fontId="5" fillId="0" borderId="14" xfId="1" applyNumberFormat="1" applyFont="1" applyBorder="1" applyAlignment="1" applyProtection="1">
      <alignment horizontal="center" vertical="center" wrapText="1"/>
      <protection locked="0"/>
    </xf>
    <xf numFmtId="1" fontId="5" fillId="0" borderId="2" xfId="1" applyNumberFormat="1" applyFont="1" applyBorder="1" applyAlignment="1" applyProtection="1">
      <alignment horizontal="center" vertical="center" wrapText="1"/>
      <protection locked="0"/>
    </xf>
    <xf numFmtId="1" fontId="5" fillId="0" borderId="15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27" fillId="0" borderId="1" xfId="1" applyNumberFormat="1" applyFont="1" applyBorder="1" applyAlignment="1" applyProtection="1">
      <alignment horizontal="center" vertical="top" wrapText="1"/>
      <protection locked="0"/>
    </xf>
    <xf numFmtId="14" fontId="5" fillId="0" borderId="5" xfId="1" applyNumberFormat="1" applyFont="1" applyBorder="1" applyAlignment="1" applyProtection="1">
      <alignment horizontal="left" vertical="top" wrapText="1"/>
      <protection locked="0"/>
    </xf>
    <xf numFmtId="0" fontId="5" fillId="0" borderId="6" xfId="1" applyFont="1" applyBorder="1" applyAlignment="1" applyProtection="1">
      <alignment horizontal="left" vertical="top" wrapText="1"/>
      <protection locked="0"/>
    </xf>
    <xf numFmtId="14" fontId="5" fillId="0" borderId="6" xfId="1" applyNumberFormat="1" applyFont="1" applyBorder="1" applyAlignment="1" applyProtection="1">
      <alignment horizontal="left" vertical="top" wrapText="1"/>
      <protection locked="0"/>
    </xf>
    <xf numFmtId="0" fontId="5" fillId="0" borderId="12" xfId="1" applyFont="1" applyBorder="1" applyAlignment="1" applyProtection="1">
      <alignment horizontal="left" vertical="top" wrapText="1"/>
      <protection locked="0"/>
    </xf>
    <xf numFmtId="0" fontId="5" fillId="0" borderId="13" xfId="1" applyFont="1" applyBorder="1" applyAlignment="1" applyProtection="1">
      <alignment horizontal="left" vertical="top" wrapText="1"/>
      <protection locked="0"/>
    </xf>
    <xf numFmtId="0" fontId="5" fillId="0" borderId="14" xfId="1" applyFont="1" applyBorder="1" applyAlignment="1" applyProtection="1">
      <alignment horizontal="left" vertical="top" wrapText="1"/>
      <protection locked="0"/>
    </xf>
    <xf numFmtId="0" fontId="5" fillId="0" borderId="15" xfId="1" applyFont="1" applyBorder="1" applyAlignment="1" applyProtection="1">
      <alignment horizontal="left" vertical="top" wrapText="1"/>
      <protection locked="0"/>
    </xf>
    <xf numFmtId="0" fontId="5" fillId="0" borderId="1" xfId="1" applyFont="1" applyBorder="1" applyAlignment="1" applyProtection="1">
      <alignment horizontal="left" vertical="top"/>
      <protection locked="0"/>
    </xf>
    <xf numFmtId="1" fontId="12" fillId="0" borderId="5" xfId="0" applyNumberFormat="1" applyFont="1" applyBorder="1" applyAlignment="1" applyProtection="1">
      <alignment vertical="top" wrapText="1"/>
      <protection locked="0"/>
    </xf>
    <xf numFmtId="1" fontId="12" fillId="0" borderId="16" xfId="0" applyNumberFormat="1" applyFont="1" applyBorder="1" applyAlignment="1" applyProtection="1">
      <alignment vertical="top" wrapText="1"/>
      <protection locked="0"/>
    </xf>
    <xf numFmtId="1" fontId="12" fillId="0" borderId="6" xfId="0" applyNumberFormat="1" applyFont="1" applyBorder="1" applyAlignment="1" applyProtection="1">
      <alignment vertical="top" wrapText="1"/>
      <protection locked="0"/>
    </xf>
    <xf numFmtId="0" fontId="7" fillId="0" borderId="5" xfId="1" applyFont="1" applyBorder="1" applyAlignment="1" applyProtection="1">
      <alignment horizontal="left" vertical="top" wrapText="1"/>
      <protection locked="0"/>
    </xf>
    <xf numFmtId="0" fontId="7" fillId="0" borderId="16" xfId="1" applyFont="1" applyBorder="1" applyAlignment="1" applyProtection="1">
      <alignment horizontal="left" vertical="top" wrapText="1"/>
      <protection locked="0"/>
    </xf>
    <xf numFmtId="0" fontId="7" fillId="0" borderId="6" xfId="1" applyFont="1" applyBorder="1" applyAlignment="1" applyProtection="1">
      <alignment horizontal="left" vertical="top" wrapText="1"/>
      <protection locked="0"/>
    </xf>
    <xf numFmtId="0" fontId="5" fillId="0" borderId="5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vertical="top"/>
      <protection locked="0"/>
    </xf>
    <xf numFmtId="0" fontId="5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0" fontId="7" fillId="0" borderId="5" xfId="1" applyFont="1" applyBorder="1" applyAlignment="1" applyProtection="1">
      <alignment horizontal="left" vertical="top"/>
      <protection locked="0"/>
    </xf>
    <xf numFmtId="0" fontId="7" fillId="0" borderId="6" xfId="1" applyFont="1" applyBorder="1" applyAlignment="1" applyProtection="1">
      <alignment horizontal="left" vertical="top"/>
      <protection locked="0"/>
    </xf>
    <xf numFmtId="0" fontId="11" fillId="0" borderId="5" xfId="1" applyFont="1" applyBorder="1" applyAlignment="1">
      <alignment horizontal="left" vertical="top" wrapText="1"/>
    </xf>
    <xf numFmtId="0" fontId="11" fillId="0" borderId="16" xfId="1" applyFont="1" applyBorder="1" applyAlignment="1">
      <alignment horizontal="left" vertical="top"/>
    </xf>
    <xf numFmtId="0" fontId="11" fillId="0" borderId="6" xfId="1" applyFont="1" applyBorder="1" applyAlignment="1">
      <alignment horizontal="left" vertical="top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1" fillId="0" borderId="12" xfId="1" applyFont="1" applyBorder="1" applyAlignment="1" applyProtection="1">
      <alignment horizontal="left" vertical="top" wrapText="1"/>
      <protection locked="0"/>
    </xf>
    <xf numFmtId="0" fontId="11" fillId="0" borderId="17" xfId="1" applyFont="1" applyBorder="1" applyAlignment="1" applyProtection="1">
      <alignment horizontal="left" vertical="top" wrapText="1"/>
      <protection locked="0"/>
    </xf>
    <xf numFmtId="0" fontId="11" fillId="0" borderId="13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7" fillId="0" borderId="1" xfId="0" applyNumberFormat="1" applyFont="1" applyBorder="1" applyAlignment="1" applyProtection="1">
      <alignment horizontal="left" vertical="top" wrapText="1"/>
      <protection locked="0"/>
    </xf>
    <xf numFmtId="0" fontId="12" fillId="0" borderId="11" xfId="1" applyFont="1" applyBorder="1" applyAlignment="1" applyProtection="1">
      <alignment horizontal="center" vertical="top"/>
      <protection locked="0"/>
    </xf>
    <xf numFmtId="167" fontId="11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0" fontId="6" fillId="0" borderId="1" xfId="0" applyFont="1" applyBorder="1" applyAlignment="1" applyProtection="1">
      <alignment horizontal="center" vertical="top" wrapText="1"/>
      <protection locked="0"/>
    </xf>
    <xf numFmtId="9" fontId="11" fillId="0" borderId="1" xfId="8" applyFont="1" applyFill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5" fillId="0" borderId="16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/>
      <protection locked="0"/>
    </xf>
    <xf numFmtId="165" fontId="5" fillId="0" borderId="1" xfId="1" applyNumberFormat="1" applyFont="1" applyBorder="1" applyAlignment="1" applyProtection="1">
      <alignment horizontal="left" vertical="top"/>
      <protection locked="0"/>
    </xf>
    <xf numFmtId="0" fontId="11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5" fillId="0" borderId="11" xfId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5" xfId="1" applyFont="1" applyBorder="1" applyAlignment="1" applyProtection="1">
      <alignment horizontal="left" vertical="top"/>
      <protection locked="0"/>
    </xf>
    <xf numFmtId="0" fontId="11" fillId="0" borderId="16" xfId="1" applyFont="1" applyBorder="1" applyAlignment="1" applyProtection="1">
      <alignment horizontal="left" vertical="top"/>
      <protection locked="0"/>
    </xf>
    <xf numFmtId="0" fontId="11" fillId="0" borderId="6" xfId="1" applyFont="1" applyBorder="1" applyAlignment="1" applyProtection="1">
      <alignment horizontal="left" vertical="top"/>
      <protection locked="0"/>
    </xf>
    <xf numFmtId="2" fontId="5" fillId="0" borderId="1" xfId="1" applyNumberFormat="1" applyFont="1" applyBorder="1" applyAlignment="1" applyProtection="1">
      <alignment horizontal="left" vertical="top"/>
      <protection locked="0"/>
    </xf>
    <xf numFmtId="0" fontId="9" fillId="0" borderId="1" xfId="0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12" fillId="0" borderId="3" xfId="1" applyNumberFormat="1" applyFont="1" applyBorder="1" applyAlignment="1" applyProtection="1">
      <alignment horizontal="center" vertical="top" wrapText="1"/>
      <protection locked="0"/>
    </xf>
    <xf numFmtId="1" fontId="12" fillId="0" borderId="11" xfId="1" applyNumberFormat="1" applyFont="1" applyBorder="1" applyAlignment="1" applyProtection="1">
      <alignment horizontal="center" vertical="top" wrapText="1"/>
      <protection locked="0"/>
    </xf>
    <xf numFmtId="1" fontId="27" fillId="0" borderId="3" xfId="1" applyNumberFormat="1" applyFont="1" applyBorder="1" applyAlignment="1" applyProtection="1">
      <alignment horizontal="center" vertical="top" wrapText="1"/>
      <protection locked="0"/>
    </xf>
    <xf numFmtId="1" fontId="27" fillId="0" borderId="11" xfId="1" applyNumberFormat="1" applyFont="1" applyBorder="1" applyAlignment="1" applyProtection="1">
      <alignment horizontal="center" vertical="top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5" xfId="0" applyNumberFormat="1" applyFont="1" applyBorder="1" applyAlignment="1" applyProtection="1">
      <alignment vertical="top" wrapText="1"/>
      <protection locked="0"/>
    </xf>
    <xf numFmtId="1" fontId="7" fillId="0" borderId="16" xfId="0" applyNumberFormat="1" applyFont="1" applyBorder="1" applyAlignment="1" applyProtection="1">
      <alignment vertical="top" wrapText="1"/>
      <protection locked="0"/>
    </xf>
    <xf numFmtId="1" fontId="7" fillId="0" borderId="6" xfId="0" applyNumberFormat="1" applyFont="1" applyBorder="1" applyAlignment="1" applyProtection="1">
      <alignment vertical="top" wrapText="1"/>
      <protection locked="0"/>
    </xf>
    <xf numFmtId="1" fontId="12" fillId="0" borderId="5" xfId="1" applyNumberFormat="1" applyFont="1" applyBorder="1" applyAlignment="1" applyProtection="1">
      <alignment horizontal="center" vertical="center" wrapText="1"/>
      <protection locked="0"/>
    </xf>
    <xf numFmtId="1" fontId="12" fillId="0" borderId="16" xfId="1" applyNumberFormat="1" applyFont="1" applyBorder="1" applyAlignment="1" applyProtection="1">
      <alignment horizontal="center" vertical="center" wrapText="1"/>
      <protection locked="0"/>
    </xf>
    <xf numFmtId="1" fontId="12" fillId="0" borderId="6" xfId="1" applyNumberFormat="1" applyFont="1" applyBorder="1" applyAlignment="1" applyProtection="1">
      <alignment horizontal="center" vertical="center" wrapText="1"/>
      <protection locked="0"/>
    </xf>
    <xf numFmtId="1" fontId="11" fillId="0" borderId="5" xfId="1" applyNumberFormat="1" applyFont="1" applyBorder="1" applyAlignment="1" applyProtection="1">
      <alignment horizontal="center" vertical="center" wrapText="1"/>
      <protection locked="0"/>
    </xf>
    <xf numFmtId="1" fontId="11" fillId="0" borderId="6" xfId="1" applyNumberFormat="1" applyFont="1" applyBorder="1" applyAlignment="1" applyProtection="1">
      <alignment horizontal="center" vertical="center" wrapText="1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5" fillId="0" borderId="1" xfId="1" applyFont="1" applyBorder="1" applyAlignment="1" applyProtection="1">
      <alignment vertical="top"/>
      <protection locked="0"/>
    </xf>
    <xf numFmtId="0" fontId="10" fillId="0" borderId="1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14" fontId="11" fillId="0" borderId="1" xfId="1" applyNumberFormat="1" applyFont="1" applyBorder="1" applyAlignment="1" applyProtection="1">
      <alignment horizontal="left" vertical="top"/>
      <protection locked="0"/>
    </xf>
    <xf numFmtId="0" fontId="12" fillId="0" borderId="5" xfId="1" applyFont="1" applyBorder="1" applyAlignment="1" applyProtection="1">
      <alignment horizontal="left" vertical="top"/>
      <protection locked="0"/>
    </xf>
    <xf numFmtId="0" fontId="12" fillId="0" borderId="16" xfId="1" applyFont="1" applyBorder="1" applyAlignment="1" applyProtection="1">
      <alignment horizontal="left" vertical="top"/>
      <protection locked="0"/>
    </xf>
    <xf numFmtId="0" fontId="12" fillId="0" borderId="6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vertical="top" wrapText="1"/>
      <protection locked="0"/>
    </xf>
    <xf numFmtId="167" fontId="6" fillId="0" borderId="1" xfId="9" applyNumberFormat="1" applyFont="1" applyFill="1" applyBorder="1" applyAlignment="1" applyProtection="1">
      <alignment horizontal="left" vertical="top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vertical="top" wrapText="1"/>
      <protection locked="0"/>
    </xf>
    <xf numFmtId="2" fontId="5" fillId="0" borderId="1" xfId="1" applyNumberFormat="1" applyFont="1" applyBorder="1" applyAlignment="1" applyProtection="1">
      <alignment horizontal="left" vertical="top" wrapText="1"/>
      <protection locked="0"/>
    </xf>
    <xf numFmtId="0" fontId="11" fillId="0" borderId="3" xfId="1" applyFont="1" applyBorder="1" applyAlignment="1" applyProtection="1">
      <alignment horizontal="left" vertical="top" wrapText="1"/>
      <protection locked="0"/>
    </xf>
    <xf numFmtId="0" fontId="11" fillId="0" borderId="3" xfId="1" applyFont="1" applyBorder="1" applyAlignment="1" applyProtection="1">
      <alignment horizontal="left" vertical="top"/>
      <protection locked="0"/>
    </xf>
    <xf numFmtId="0" fontId="7" fillId="0" borderId="11" xfId="1" applyFont="1" applyBorder="1" applyAlignment="1" applyProtection="1">
      <alignment horizontal="left" vertical="top"/>
      <protection locked="0"/>
    </xf>
    <xf numFmtId="1" fontId="5" fillId="0" borderId="1" xfId="1" applyNumberFormat="1" applyFont="1" applyBorder="1" applyAlignment="1" applyProtection="1">
      <alignment horizontal="left" vertical="top" wrapText="1"/>
      <protection locked="0"/>
    </xf>
    <xf numFmtId="1" fontId="9" fillId="0" borderId="5" xfId="0" applyNumberFormat="1" applyFont="1" applyBorder="1" applyAlignment="1" applyProtection="1">
      <alignment vertical="top" wrapText="1"/>
      <protection locked="0"/>
    </xf>
    <xf numFmtId="1" fontId="9" fillId="0" borderId="16" xfId="0" applyNumberFormat="1" applyFont="1" applyBorder="1" applyAlignment="1" applyProtection="1">
      <alignment vertical="top" wrapText="1"/>
      <protection locked="0"/>
    </xf>
    <xf numFmtId="1" fontId="9" fillId="0" borderId="6" xfId="0" applyNumberFormat="1" applyFont="1" applyBorder="1" applyAlignment="1" applyProtection="1">
      <alignment vertical="top" wrapText="1"/>
      <protection locked="0"/>
    </xf>
    <xf numFmtId="0" fontId="24" fillId="0" borderId="1" xfId="10" applyFill="1" applyBorder="1" applyAlignment="1" applyProtection="1">
      <alignment horizontal="left" vertical="center" wrapText="1"/>
      <protection locked="0"/>
    </xf>
    <xf numFmtId="0" fontId="11" fillId="0" borderId="1" xfId="1" applyFont="1" applyBorder="1" applyAlignment="1" applyProtection="1">
      <alignment horizontal="left" vertical="center" wrapText="1"/>
      <protection locked="0"/>
    </xf>
    <xf numFmtId="0" fontId="7" fillId="0" borderId="11" xfId="1" applyFont="1" applyBorder="1" applyAlignment="1" applyProtection="1">
      <alignment horizontal="center" vertical="top"/>
      <protection locked="0"/>
    </xf>
    <xf numFmtId="0" fontId="8" fillId="0" borderId="1" xfId="5" applyFont="1" applyBorder="1" applyAlignment="1">
      <alignment horizontal="left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4" Type="http://schemas.openxmlformats.org/officeDocument/2006/relationships/image" Target="../media/image20.png"/></Relationships>
</file>

<file path=xl/drawings/_rels/vmlDrawing2.v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760842</xdr:colOff>
      <xdr:row>321</xdr:row>
      <xdr:rowOff>139700</xdr:rowOff>
    </xdr:from>
    <xdr:to>
      <xdr:col>6</xdr:col>
      <xdr:colOff>439616</xdr:colOff>
      <xdr:row>338</xdr:row>
      <xdr:rowOff>156124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60842" y="58772669"/>
          <a:ext cx="4754866" cy="340439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199157</xdr:colOff>
      <xdr:row>299</xdr:row>
      <xdr:rowOff>86590</xdr:rowOff>
    </xdr:from>
    <xdr:to>
      <xdr:col>7</xdr:col>
      <xdr:colOff>538401</xdr:colOff>
      <xdr:row>321</xdr:row>
      <xdr:rowOff>6156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99157" y="61999090"/>
          <a:ext cx="6028267" cy="4301067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82550</xdr:colOff>
      <xdr:row>257</xdr:row>
      <xdr:rowOff>95250</xdr:rowOff>
    </xdr:from>
    <xdr:to>
      <xdr:col>6</xdr:col>
      <xdr:colOff>762748</xdr:colOff>
      <xdr:row>296</xdr:row>
      <xdr:rowOff>89552</xdr:rowOff>
    </xdr:to>
    <xdr:grpSp>
      <xdr:nvGrpSpPr>
        <xdr:cNvPr id="6" name="Group 5"/>
        <xdr:cNvGrpSpPr/>
      </xdr:nvGrpSpPr>
      <xdr:grpSpPr>
        <a:xfrm>
          <a:off x="844550" y="51835050"/>
          <a:ext cx="4842623" cy="7795277"/>
          <a:chOff x="882650" y="46723300"/>
          <a:chExt cx="5042648" cy="7671452"/>
        </a:xfrm>
      </xdr:grpSpPr>
      <xdr:pic>
        <xdr:nvPicPr>
          <xdr:cNvPr id="19" name="Picture 18"/>
          <xdr:cNvPicPr>
            <a:picLocks noChangeAspect="1"/>
          </xdr:cNvPicPr>
        </xdr:nvPicPr>
        <xdr:blipFill>
          <a:blip xmlns:r="http://schemas.openxmlformats.org/officeDocument/2006/relationships" r:embed="rId3"/>
          <a:stretch>
            <a:fillRect/>
          </a:stretch>
        </xdr:blipFill>
        <xdr:spPr>
          <a:xfrm>
            <a:off x="882650" y="46723300"/>
            <a:ext cx="5042648" cy="54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/>
          <xdr:cNvPicPr>
            <a:picLocks noChangeAspect="1"/>
          </xdr:cNvPicPr>
        </xdr:nvPicPr>
        <xdr:blipFill>
          <a:blip xmlns:r="http://schemas.openxmlformats.org/officeDocument/2006/relationships" r:embed="rId4"/>
          <a:stretch>
            <a:fillRect/>
          </a:stretch>
        </xdr:blipFill>
        <xdr:spPr>
          <a:xfrm>
            <a:off x="2504622" y="52234752"/>
            <a:ext cx="185953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8</xdr:col>
      <xdr:colOff>139700</xdr:colOff>
      <xdr:row>48</xdr:row>
      <xdr:rowOff>69850</xdr:rowOff>
    </xdr:from>
    <xdr:to>
      <xdr:col>13</xdr:col>
      <xdr:colOff>508050</xdr:colOff>
      <xdr:row>48</xdr:row>
      <xdr:rowOff>339274</xdr:rowOff>
    </xdr:to>
    <xdr:pic>
      <xdr:nvPicPr>
        <xdr:cNvPr id="27" name="Picture 2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991350" y="10769600"/>
          <a:ext cx="4680000" cy="26942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749300</xdr:colOff>
      <xdr:row>214</xdr:row>
      <xdr:rowOff>127000</xdr:rowOff>
    </xdr:from>
    <xdr:to>
      <xdr:col>16</xdr:col>
      <xdr:colOff>134114</xdr:colOff>
      <xdr:row>246</xdr:row>
      <xdr:rowOff>96425</xdr:rowOff>
    </xdr:to>
    <xdr:grpSp>
      <xdr:nvGrpSpPr>
        <xdr:cNvPr id="21" name="Group 20"/>
        <xdr:cNvGrpSpPr/>
      </xdr:nvGrpSpPr>
      <xdr:grpSpPr>
        <a:xfrm>
          <a:off x="7283450" y="43275250"/>
          <a:ext cx="5766564" cy="6360700"/>
          <a:chOff x="400050" y="38468300"/>
          <a:chExt cx="6071364" cy="6262275"/>
        </a:xfrm>
      </xdr:grpSpPr>
      <xdr:pic>
        <xdr:nvPicPr>
          <xdr:cNvPr id="28" name="Picture 27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68491" y="42570575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9" name="Picture 28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321" y="42570575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0" name="Picture 29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00050" y="384683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04507" y="3846830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89906" y="42570575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>
    <xdr:from>
      <xdr:col>0</xdr:col>
      <xdr:colOff>330200</xdr:colOff>
      <xdr:row>215</xdr:row>
      <xdr:rowOff>146050</xdr:rowOff>
    </xdr:from>
    <xdr:to>
      <xdr:col>7</xdr:col>
      <xdr:colOff>452718</xdr:colOff>
      <xdr:row>249</xdr:row>
      <xdr:rowOff>104738</xdr:rowOff>
    </xdr:to>
    <xdr:grpSp>
      <xdr:nvGrpSpPr>
        <xdr:cNvPr id="4" name="Group 3"/>
        <xdr:cNvGrpSpPr/>
      </xdr:nvGrpSpPr>
      <xdr:grpSpPr>
        <a:xfrm>
          <a:off x="330200" y="43494325"/>
          <a:ext cx="5827993" cy="6750013"/>
          <a:chOff x="330200" y="43033950"/>
          <a:chExt cx="6104218" cy="6645238"/>
        </a:xfrm>
      </xdr:grpSpPr>
      <xdr:pic>
        <xdr:nvPicPr>
          <xdr:cNvPr id="14" name="Picture 13"/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7511" y="47159188"/>
            <a:ext cx="1888032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" name="Picture 14"/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30200" y="430339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6" name="Picture 15"/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67511" y="43033950"/>
            <a:ext cx="2966907" cy="39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09076" y="47159188"/>
            <a:ext cx="1888032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14</xdr:row>
      <xdr:rowOff>0</xdr:rowOff>
    </xdr:from>
    <xdr:to>
      <xdr:col>4</xdr:col>
      <xdr:colOff>110824</xdr:colOff>
      <xdr:row>29</xdr:row>
      <xdr:rowOff>178518</xdr:rowOff>
    </xdr:to>
    <xdr:pic>
      <xdr:nvPicPr>
        <xdr:cNvPr id="2" name="Picture 1">
          <a:extLst>
            <a:ext uri="{FF2B5EF4-FFF2-40B4-BE49-F238E27FC236}">
              <a16:creationId xmlns=""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678206"/>
          <a:ext cx="5400000" cy="303601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400424</xdr:colOff>
      <xdr:row>14</xdr:row>
      <xdr:rowOff>0</xdr:rowOff>
    </xdr:from>
    <xdr:to>
      <xdr:col>10</xdr:col>
      <xdr:colOff>511247</xdr:colOff>
      <xdr:row>29</xdr:row>
      <xdr:rowOff>178518</xdr:rowOff>
    </xdr:to>
    <xdr:pic>
      <xdr:nvPicPr>
        <xdr:cNvPr id="3" name="Picture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89600" y="2678206"/>
          <a:ext cx="5400000" cy="3036018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644522</xdr:colOff>
      <xdr:row>30</xdr:row>
      <xdr:rowOff>87924</xdr:rowOff>
    </xdr:from>
    <xdr:to>
      <xdr:col>11</xdr:col>
      <xdr:colOff>545796</xdr:colOff>
      <xdr:row>47</xdr:row>
      <xdr:rowOff>89424</xdr:rowOff>
    </xdr:to>
    <xdr:pic>
      <xdr:nvPicPr>
        <xdr:cNvPr id="4" name="Picture 3">
          <a:extLst>
            <a:ext uri="{FF2B5EF4-FFF2-40B4-BE49-F238E27FC236}">
              <a16:creationId xmlns=""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34560" y="5810251"/>
          <a:ext cx="5762813" cy="3240000"/>
        </a:xfrm>
        <a:prstGeom prst="rect">
          <a:avLst/>
        </a:prstGeom>
      </xdr:spPr>
    </xdr:pic>
    <xdr:clientData/>
  </xdr:twoCellAnchor>
  <xdr:twoCellAnchor editAs="oneCell">
    <xdr:from>
      <xdr:col>0</xdr:col>
      <xdr:colOff>109905</xdr:colOff>
      <xdr:row>30</xdr:row>
      <xdr:rowOff>124558</xdr:rowOff>
    </xdr:from>
    <xdr:to>
      <xdr:col>4</xdr:col>
      <xdr:colOff>582680</xdr:colOff>
      <xdr:row>47</xdr:row>
      <xdr:rowOff>126058</xdr:rowOff>
    </xdr:to>
    <xdr:pic>
      <xdr:nvPicPr>
        <xdr:cNvPr id="5" name="Picture 4">
          <a:extLst>
            <a:ext uri="{FF2B5EF4-FFF2-40B4-BE49-F238E27FC236}">
              <a16:creationId xmlns=""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9905" y="5846885"/>
          <a:ext cx="5762813" cy="324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sG1TwphtguLxZco28" TargetMode="External"/><Relationship Id="rId6" Type="http://schemas.openxmlformats.org/officeDocument/2006/relationships/comments" Target="../comments1.xml"/><Relationship Id="rId5" Type="http://schemas.openxmlformats.org/officeDocument/2006/relationships/vmlDrawing" Target="../drawings/vmlDrawing2.v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codeName="Sheet1">
    <pageSetUpPr fitToPage="1"/>
  </sheetPr>
  <dimension ref="A1:T299"/>
  <sheetViews>
    <sheetView tabSelected="1" view="pageBreakPreview" topLeftCell="A58" zoomScaleNormal="100" zoomScaleSheetLayoutView="100" workbookViewId="0">
      <selection activeCell="I64" sqref="I64"/>
    </sheetView>
  </sheetViews>
  <sheetFormatPr defaultColWidth="9.28515625" defaultRowHeight="15.75" x14ac:dyDescent="0.25"/>
  <cols>
    <col min="1" max="1" width="11.42578125" style="34" customWidth="1"/>
    <col min="2" max="2" width="12" style="34" customWidth="1"/>
    <col min="3" max="3" width="12.7109375" style="34" customWidth="1"/>
    <col min="4" max="4" width="14.28515625" style="34" customWidth="1"/>
    <col min="5" max="7" width="11.7109375" style="34" customWidth="1"/>
    <col min="8" max="8" width="12.42578125" style="34" customWidth="1"/>
    <col min="9" max="9" width="17.42578125" style="16" customWidth="1"/>
    <col min="10" max="10" width="11.42578125" style="16" customWidth="1"/>
    <col min="11" max="11" width="10.5703125" style="16" bestFit="1" customWidth="1"/>
    <col min="12" max="12" width="10.5703125" style="16" customWidth="1"/>
    <col min="13" max="13" width="11.7109375" style="16" customWidth="1"/>
    <col min="14" max="14" width="12.5703125" style="16" customWidth="1"/>
    <col min="15" max="15" width="9.7109375" style="16" customWidth="1"/>
    <col min="16" max="16" width="11.7109375" style="16" customWidth="1"/>
    <col min="17" max="247" width="9.28515625" style="16"/>
    <col min="248" max="248" width="8.7109375" style="16" customWidth="1"/>
    <col min="249" max="249" width="9.7109375" style="16" customWidth="1"/>
    <col min="250" max="250" width="14.42578125" style="16" customWidth="1"/>
    <col min="251" max="251" width="7.28515625" style="16" customWidth="1"/>
    <col min="252" max="252" width="5.5703125" style="16" customWidth="1"/>
    <col min="253" max="253" width="9" style="16" customWidth="1"/>
    <col min="254" max="255" width="9.7109375" style="16" customWidth="1"/>
    <col min="256" max="256" width="11.28515625" style="16" customWidth="1"/>
    <col min="257" max="257" width="2.7109375" style="16" customWidth="1"/>
    <col min="258" max="258" width="3.5703125" style="16" customWidth="1"/>
    <col min="259" max="503" width="9.28515625" style="16"/>
    <col min="504" max="504" width="8.7109375" style="16" customWidth="1"/>
    <col min="505" max="505" width="9.7109375" style="16" customWidth="1"/>
    <col min="506" max="506" width="14.42578125" style="16" customWidth="1"/>
    <col min="507" max="507" width="7.28515625" style="16" customWidth="1"/>
    <col min="508" max="508" width="5.5703125" style="16" customWidth="1"/>
    <col min="509" max="509" width="9" style="16" customWidth="1"/>
    <col min="510" max="511" width="9.7109375" style="16" customWidth="1"/>
    <col min="512" max="512" width="11.28515625" style="16" customWidth="1"/>
    <col min="513" max="513" width="2.7109375" style="16" customWidth="1"/>
    <col min="514" max="514" width="3.5703125" style="16" customWidth="1"/>
    <col min="515" max="759" width="9.28515625" style="16"/>
    <col min="760" max="760" width="8.7109375" style="16" customWidth="1"/>
    <col min="761" max="761" width="9.7109375" style="16" customWidth="1"/>
    <col min="762" max="762" width="14.42578125" style="16" customWidth="1"/>
    <col min="763" max="763" width="7.28515625" style="16" customWidth="1"/>
    <col min="764" max="764" width="5.5703125" style="16" customWidth="1"/>
    <col min="765" max="765" width="9" style="16" customWidth="1"/>
    <col min="766" max="767" width="9.7109375" style="16" customWidth="1"/>
    <col min="768" max="768" width="11.28515625" style="16" customWidth="1"/>
    <col min="769" max="769" width="2.7109375" style="16" customWidth="1"/>
    <col min="770" max="770" width="3.5703125" style="16" customWidth="1"/>
    <col min="771" max="1015" width="9.28515625" style="16"/>
    <col min="1016" max="1016" width="8.7109375" style="16" customWidth="1"/>
    <col min="1017" max="1017" width="9.7109375" style="16" customWidth="1"/>
    <col min="1018" max="1018" width="14.42578125" style="16" customWidth="1"/>
    <col min="1019" max="1019" width="7.28515625" style="16" customWidth="1"/>
    <col min="1020" max="1020" width="5.5703125" style="16" customWidth="1"/>
    <col min="1021" max="1021" width="9" style="16" customWidth="1"/>
    <col min="1022" max="1023" width="9.7109375" style="16" customWidth="1"/>
    <col min="1024" max="1024" width="11.28515625" style="16" customWidth="1"/>
    <col min="1025" max="1025" width="2.7109375" style="16" customWidth="1"/>
    <col min="1026" max="1026" width="3.5703125" style="16" customWidth="1"/>
    <col min="1027" max="1271" width="9.28515625" style="16"/>
    <col min="1272" max="1272" width="8.7109375" style="16" customWidth="1"/>
    <col min="1273" max="1273" width="9.7109375" style="16" customWidth="1"/>
    <col min="1274" max="1274" width="14.42578125" style="16" customWidth="1"/>
    <col min="1275" max="1275" width="7.28515625" style="16" customWidth="1"/>
    <col min="1276" max="1276" width="5.5703125" style="16" customWidth="1"/>
    <col min="1277" max="1277" width="9" style="16" customWidth="1"/>
    <col min="1278" max="1279" width="9.7109375" style="16" customWidth="1"/>
    <col min="1280" max="1280" width="11.28515625" style="16" customWidth="1"/>
    <col min="1281" max="1281" width="2.7109375" style="16" customWidth="1"/>
    <col min="1282" max="1282" width="3.5703125" style="16" customWidth="1"/>
    <col min="1283" max="1527" width="9.28515625" style="16"/>
    <col min="1528" max="1528" width="8.7109375" style="16" customWidth="1"/>
    <col min="1529" max="1529" width="9.7109375" style="16" customWidth="1"/>
    <col min="1530" max="1530" width="14.42578125" style="16" customWidth="1"/>
    <col min="1531" max="1531" width="7.28515625" style="16" customWidth="1"/>
    <col min="1532" max="1532" width="5.5703125" style="16" customWidth="1"/>
    <col min="1533" max="1533" width="9" style="16" customWidth="1"/>
    <col min="1534" max="1535" width="9.7109375" style="16" customWidth="1"/>
    <col min="1536" max="1536" width="11.28515625" style="16" customWidth="1"/>
    <col min="1537" max="1537" width="2.7109375" style="16" customWidth="1"/>
    <col min="1538" max="1538" width="3.5703125" style="16" customWidth="1"/>
    <col min="1539" max="1783" width="9.28515625" style="16"/>
    <col min="1784" max="1784" width="8.7109375" style="16" customWidth="1"/>
    <col min="1785" max="1785" width="9.7109375" style="16" customWidth="1"/>
    <col min="1786" max="1786" width="14.42578125" style="16" customWidth="1"/>
    <col min="1787" max="1787" width="7.28515625" style="16" customWidth="1"/>
    <col min="1788" max="1788" width="5.5703125" style="16" customWidth="1"/>
    <col min="1789" max="1789" width="9" style="16" customWidth="1"/>
    <col min="1790" max="1791" width="9.7109375" style="16" customWidth="1"/>
    <col min="1792" max="1792" width="11.28515625" style="16" customWidth="1"/>
    <col min="1793" max="1793" width="2.7109375" style="16" customWidth="1"/>
    <col min="1794" max="1794" width="3.5703125" style="16" customWidth="1"/>
    <col min="1795" max="2039" width="9.28515625" style="16"/>
    <col min="2040" max="2040" width="8.7109375" style="16" customWidth="1"/>
    <col min="2041" max="2041" width="9.7109375" style="16" customWidth="1"/>
    <col min="2042" max="2042" width="14.42578125" style="16" customWidth="1"/>
    <col min="2043" max="2043" width="7.28515625" style="16" customWidth="1"/>
    <col min="2044" max="2044" width="5.5703125" style="16" customWidth="1"/>
    <col min="2045" max="2045" width="9" style="16" customWidth="1"/>
    <col min="2046" max="2047" width="9.7109375" style="16" customWidth="1"/>
    <col min="2048" max="2048" width="11.28515625" style="16" customWidth="1"/>
    <col min="2049" max="2049" width="2.7109375" style="16" customWidth="1"/>
    <col min="2050" max="2050" width="3.5703125" style="16" customWidth="1"/>
    <col min="2051" max="2295" width="9.28515625" style="16"/>
    <col min="2296" max="2296" width="8.7109375" style="16" customWidth="1"/>
    <col min="2297" max="2297" width="9.7109375" style="16" customWidth="1"/>
    <col min="2298" max="2298" width="14.42578125" style="16" customWidth="1"/>
    <col min="2299" max="2299" width="7.28515625" style="16" customWidth="1"/>
    <col min="2300" max="2300" width="5.5703125" style="16" customWidth="1"/>
    <col min="2301" max="2301" width="9" style="16" customWidth="1"/>
    <col min="2302" max="2303" width="9.7109375" style="16" customWidth="1"/>
    <col min="2304" max="2304" width="11.28515625" style="16" customWidth="1"/>
    <col min="2305" max="2305" width="2.7109375" style="16" customWidth="1"/>
    <col min="2306" max="2306" width="3.5703125" style="16" customWidth="1"/>
    <col min="2307" max="2551" width="9.28515625" style="16"/>
    <col min="2552" max="2552" width="8.7109375" style="16" customWidth="1"/>
    <col min="2553" max="2553" width="9.7109375" style="16" customWidth="1"/>
    <col min="2554" max="2554" width="14.42578125" style="16" customWidth="1"/>
    <col min="2555" max="2555" width="7.28515625" style="16" customWidth="1"/>
    <col min="2556" max="2556" width="5.5703125" style="16" customWidth="1"/>
    <col min="2557" max="2557" width="9" style="16" customWidth="1"/>
    <col min="2558" max="2559" width="9.7109375" style="16" customWidth="1"/>
    <col min="2560" max="2560" width="11.28515625" style="16" customWidth="1"/>
    <col min="2561" max="2561" width="2.7109375" style="16" customWidth="1"/>
    <col min="2562" max="2562" width="3.5703125" style="16" customWidth="1"/>
    <col min="2563" max="2807" width="9.28515625" style="16"/>
    <col min="2808" max="2808" width="8.7109375" style="16" customWidth="1"/>
    <col min="2809" max="2809" width="9.7109375" style="16" customWidth="1"/>
    <col min="2810" max="2810" width="14.42578125" style="16" customWidth="1"/>
    <col min="2811" max="2811" width="7.28515625" style="16" customWidth="1"/>
    <col min="2812" max="2812" width="5.5703125" style="16" customWidth="1"/>
    <col min="2813" max="2813" width="9" style="16" customWidth="1"/>
    <col min="2814" max="2815" width="9.7109375" style="16" customWidth="1"/>
    <col min="2816" max="2816" width="11.28515625" style="16" customWidth="1"/>
    <col min="2817" max="2817" width="2.7109375" style="16" customWidth="1"/>
    <col min="2818" max="2818" width="3.5703125" style="16" customWidth="1"/>
    <col min="2819" max="3063" width="9.28515625" style="16"/>
    <col min="3064" max="3064" width="8.7109375" style="16" customWidth="1"/>
    <col min="3065" max="3065" width="9.7109375" style="16" customWidth="1"/>
    <col min="3066" max="3066" width="14.42578125" style="16" customWidth="1"/>
    <col min="3067" max="3067" width="7.28515625" style="16" customWidth="1"/>
    <col min="3068" max="3068" width="5.5703125" style="16" customWidth="1"/>
    <col min="3069" max="3069" width="9" style="16" customWidth="1"/>
    <col min="3070" max="3071" width="9.7109375" style="16" customWidth="1"/>
    <col min="3072" max="3072" width="11.28515625" style="16" customWidth="1"/>
    <col min="3073" max="3073" width="2.7109375" style="16" customWidth="1"/>
    <col min="3074" max="3074" width="3.5703125" style="16" customWidth="1"/>
    <col min="3075" max="3319" width="9.28515625" style="16"/>
    <col min="3320" max="3320" width="8.7109375" style="16" customWidth="1"/>
    <col min="3321" max="3321" width="9.7109375" style="16" customWidth="1"/>
    <col min="3322" max="3322" width="14.42578125" style="16" customWidth="1"/>
    <col min="3323" max="3323" width="7.28515625" style="16" customWidth="1"/>
    <col min="3324" max="3324" width="5.5703125" style="16" customWidth="1"/>
    <col min="3325" max="3325" width="9" style="16" customWidth="1"/>
    <col min="3326" max="3327" width="9.7109375" style="16" customWidth="1"/>
    <col min="3328" max="3328" width="11.28515625" style="16" customWidth="1"/>
    <col min="3329" max="3329" width="2.7109375" style="16" customWidth="1"/>
    <col min="3330" max="3330" width="3.5703125" style="16" customWidth="1"/>
    <col min="3331" max="3575" width="9.28515625" style="16"/>
    <col min="3576" max="3576" width="8.7109375" style="16" customWidth="1"/>
    <col min="3577" max="3577" width="9.7109375" style="16" customWidth="1"/>
    <col min="3578" max="3578" width="14.42578125" style="16" customWidth="1"/>
    <col min="3579" max="3579" width="7.28515625" style="16" customWidth="1"/>
    <col min="3580" max="3580" width="5.5703125" style="16" customWidth="1"/>
    <col min="3581" max="3581" width="9" style="16" customWidth="1"/>
    <col min="3582" max="3583" width="9.7109375" style="16" customWidth="1"/>
    <col min="3584" max="3584" width="11.28515625" style="16" customWidth="1"/>
    <col min="3585" max="3585" width="2.7109375" style="16" customWidth="1"/>
    <col min="3586" max="3586" width="3.5703125" style="16" customWidth="1"/>
    <col min="3587" max="3831" width="9.28515625" style="16"/>
    <col min="3832" max="3832" width="8.7109375" style="16" customWidth="1"/>
    <col min="3833" max="3833" width="9.7109375" style="16" customWidth="1"/>
    <col min="3834" max="3834" width="14.42578125" style="16" customWidth="1"/>
    <col min="3835" max="3835" width="7.28515625" style="16" customWidth="1"/>
    <col min="3836" max="3836" width="5.5703125" style="16" customWidth="1"/>
    <col min="3837" max="3837" width="9" style="16" customWidth="1"/>
    <col min="3838" max="3839" width="9.7109375" style="16" customWidth="1"/>
    <col min="3840" max="3840" width="11.28515625" style="16" customWidth="1"/>
    <col min="3841" max="3841" width="2.7109375" style="16" customWidth="1"/>
    <col min="3842" max="3842" width="3.5703125" style="16" customWidth="1"/>
    <col min="3843" max="4087" width="9.28515625" style="16"/>
    <col min="4088" max="4088" width="8.7109375" style="16" customWidth="1"/>
    <col min="4089" max="4089" width="9.7109375" style="16" customWidth="1"/>
    <col min="4090" max="4090" width="14.42578125" style="16" customWidth="1"/>
    <col min="4091" max="4091" width="7.28515625" style="16" customWidth="1"/>
    <col min="4092" max="4092" width="5.5703125" style="16" customWidth="1"/>
    <col min="4093" max="4093" width="9" style="16" customWidth="1"/>
    <col min="4094" max="4095" width="9.7109375" style="16" customWidth="1"/>
    <col min="4096" max="4096" width="11.28515625" style="16" customWidth="1"/>
    <col min="4097" max="4097" width="2.7109375" style="16" customWidth="1"/>
    <col min="4098" max="4098" width="3.5703125" style="16" customWidth="1"/>
    <col min="4099" max="4343" width="9.28515625" style="16"/>
    <col min="4344" max="4344" width="8.7109375" style="16" customWidth="1"/>
    <col min="4345" max="4345" width="9.7109375" style="16" customWidth="1"/>
    <col min="4346" max="4346" width="14.42578125" style="16" customWidth="1"/>
    <col min="4347" max="4347" width="7.28515625" style="16" customWidth="1"/>
    <col min="4348" max="4348" width="5.5703125" style="16" customWidth="1"/>
    <col min="4349" max="4349" width="9" style="16" customWidth="1"/>
    <col min="4350" max="4351" width="9.7109375" style="16" customWidth="1"/>
    <col min="4352" max="4352" width="11.28515625" style="16" customWidth="1"/>
    <col min="4353" max="4353" width="2.7109375" style="16" customWidth="1"/>
    <col min="4354" max="4354" width="3.5703125" style="16" customWidth="1"/>
    <col min="4355" max="4599" width="9.28515625" style="16"/>
    <col min="4600" max="4600" width="8.7109375" style="16" customWidth="1"/>
    <col min="4601" max="4601" width="9.7109375" style="16" customWidth="1"/>
    <col min="4602" max="4602" width="14.42578125" style="16" customWidth="1"/>
    <col min="4603" max="4603" width="7.28515625" style="16" customWidth="1"/>
    <col min="4604" max="4604" width="5.5703125" style="16" customWidth="1"/>
    <col min="4605" max="4605" width="9" style="16" customWidth="1"/>
    <col min="4606" max="4607" width="9.7109375" style="16" customWidth="1"/>
    <col min="4608" max="4608" width="11.28515625" style="16" customWidth="1"/>
    <col min="4609" max="4609" width="2.7109375" style="16" customWidth="1"/>
    <col min="4610" max="4610" width="3.5703125" style="16" customWidth="1"/>
    <col min="4611" max="4855" width="9.28515625" style="16"/>
    <col min="4856" max="4856" width="8.7109375" style="16" customWidth="1"/>
    <col min="4857" max="4857" width="9.7109375" style="16" customWidth="1"/>
    <col min="4858" max="4858" width="14.42578125" style="16" customWidth="1"/>
    <col min="4859" max="4859" width="7.28515625" style="16" customWidth="1"/>
    <col min="4860" max="4860" width="5.5703125" style="16" customWidth="1"/>
    <col min="4861" max="4861" width="9" style="16" customWidth="1"/>
    <col min="4862" max="4863" width="9.7109375" style="16" customWidth="1"/>
    <col min="4864" max="4864" width="11.28515625" style="16" customWidth="1"/>
    <col min="4865" max="4865" width="2.7109375" style="16" customWidth="1"/>
    <col min="4866" max="4866" width="3.5703125" style="16" customWidth="1"/>
    <col min="4867" max="5111" width="9.28515625" style="16"/>
    <col min="5112" max="5112" width="8.7109375" style="16" customWidth="1"/>
    <col min="5113" max="5113" width="9.7109375" style="16" customWidth="1"/>
    <col min="5114" max="5114" width="14.42578125" style="16" customWidth="1"/>
    <col min="5115" max="5115" width="7.28515625" style="16" customWidth="1"/>
    <col min="5116" max="5116" width="5.5703125" style="16" customWidth="1"/>
    <col min="5117" max="5117" width="9" style="16" customWidth="1"/>
    <col min="5118" max="5119" width="9.7109375" style="16" customWidth="1"/>
    <col min="5120" max="5120" width="11.28515625" style="16" customWidth="1"/>
    <col min="5121" max="5121" width="2.7109375" style="16" customWidth="1"/>
    <col min="5122" max="5122" width="3.5703125" style="16" customWidth="1"/>
    <col min="5123" max="5367" width="9.28515625" style="16"/>
    <col min="5368" max="5368" width="8.7109375" style="16" customWidth="1"/>
    <col min="5369" max="5369" width="9.7109375" style="16" customWidth="1"/>
    <col min="5370" max="5370" width="14.42578125" style="16" customWidth="1"/>
    <col min="5371" max="5371" width="7.28515625" style="16" customWidth="1"/>
    <col min="5372" max="5372" width="5.5703125" style="16" customWidth="1"/>
    <col min="5373" max="5373" width="9" style="16" customWidth="1"/>
    <col min="5374" max="5375" width="9.7109375" style="16" customWidth="1"/>
    <col min="5376" max="5376" width="11.28515625" style="16" customWidth="1"/>
    <col min="5377" max="5377" width="2.7109375" style="16" customWidth="1"/>
    <col min="5378" max="5378" width="3.5703125" style="16" customWidth="1"/>
    <col min="5379" max="5623" width="9.28515625" style="16"/>
    <col min="5624" max="5624" width="8.7109375" style="16" customWidth="1"/>
    <col min="5625" max="5625" width="9.7109375" style="16" customWidth="1"/>
    <col min="5626" max="5626" width="14.42578125" style="16" customWidth="1"/>
    <col min="5627" max="5627" width="7.28515625" style="16" customWidth="1"/>
    <col min="5628" max="5628" width="5.5703125" style="16" customWidth="1"/>
    <col min="5629" max="5629" width="9" style="16" customWidth="1"/>
    <col min="5630" max="5631" width="9.7109375" style="16" customWidth="1"/>
    <col min="5632" max="5632" width="11.28515625" style="16" customWidth="1"/>
    <col min="5633" max="5633" width="2.7109375" style="16" customWidth="1"/>
    <col min="5634" max="5634" width="3.5703125" style="16" customWidth="1"/>
    <col min="5635" max="5879" width="9.28515625" style="16"/>
    <col min="5880" max="5880" width="8.7109375" style="16" customWidth="1"/>
    <col min="5881" max="5881" width="9.7109375" style="16" customWidth="1"/>
    <col min="5882" max="5882" width="14.42578125" style="16" customWidth="1"/>
    <col min="5883" max="5883" width="7.28515625" style="16" customWidth="1"/>
    <col min="5884" max="5884" width="5.5703125" style="16" customWidth="1"/>
    <col min="5885" max="5885" width="9" style="16" customWidth="1"/>
    <col min="5886" max="5887" width="9.7109375" style="16" customWidth="1"/>
    <col min="5888" max="5888" width="11.28515625" style="16" customWidth="1"/>
    <col min="5889" max="5889" width="2.7109375" style="16" customWidth="1"/>
    <col min="5890" max="5890" width="3.5703125" style="16" customWidth="1"/>
    <col min="5891" max="6135" width="9.28515625" style="16"/>
    <col min="6136" max="6136" width="8.7109375" style="16" customWidth="1"/>
    <col min="6137" max="6137" width="9.7109375" style="16" customWidth="1"/>
    <col min="6138" max="6138" width="14.42578125" style="16" customWidth="1"/>
    <col min="6139" max="6139" width="7.28515625" style="16" customWidth="1"/>
    <col min="6140" max="6140" width="5.5703125" style="16" customWidth="1"/>
    <col min="6141" max="6141" width="9" style="16" customWidth="1"/>
    <col min="6142" max="6143" width="9.7109375" style="16" customWidth="1"/>
    <col min="6144" max="6144" width="11.28515625" style="16" customWidth="1"/>
    <col min="6145" max="6145" width="2.7109375" style="16" customWidth="1"/>
    <col min="6146" max="6146" width="3.5703125" style="16" customWidth="1"/>
    <col min="6147" max="6391" width="9.28515625" style="16"/>
    <col min="6392" max="6392" width="8.7109375" style="16" customWidth="1"/>
    <col min="6393" max="6393" width="9.7109375" style="16" customWidth="1"/>
    <col min="6394" max="6394" width="14.42578125" style="16" customWidth="1"/>
    <col min="6395" max="6395" width="7.28515625" style="16" customWidth="1"/>
    <col min="6396" max="6396" width="5.5703125" style="16" customWidth="1"/>
    <col min="6397" max="6397" width="9" style="16" customWidth="1"/>
    <col min="6398" max="6399" width="9.7109375" style="16" customWidth="1"/>
    <col min="6400" max="6400" width="11.28515625" style="16" customWidth="1"/>
    <col min="6401" max="6401" width="2.7109375" style="16" customWidth="1"/>
    <col min="6402" max="6402" width="3.5703125" style="16" customWidth="1"/>
    <col min="6403" max="6647" width="9.28515625" style="16"/>
    <col min="6648" max="6648" width="8.7109375" style="16" customWidth="1"/>
    <col min="6649" max="6649" width="9.7109375" style="16" customWidth="1"/>
    <col min="6650" max="6650" width="14.42578125" style="16" customWidth="1"/>
    <col min="6651" max="6651" width="7.28515625" style="16" customWidth="1"/>
    <col min="6652" max="6652" width="5.5703125" style="16" customWidth="1"/>
    <col min="6653" max="6653" width="9" style="16" customWidth="1"/>
    <col min="6654" max="6655" width="9.7109375" style="16" customWidth="1"/>
    <col min="6656" max="6656" width="11.28515625" style="16" customWidth="1"/>
    <col min="6657" max="6657" width="2.7109375" style="16" customWidth="1"/>
    <col min="6658" max="6658" width="3.5703125" style="16" customWidth="1"/>
    <col min="6659" max="6903" width="9.28515625" style="16"/>
    <col min="6904" max="6904" width="8.7109375" style="16" customWidth="1"/>
    <col min="6905" max="6905" width="9.7109375" style="16" customWidth="1"/>
    <col min="6906" max="6906" width="14.42578125" style="16" customWidth="1"/>
    <col min="6907" max="6907" width="7.28515625" style="16" customWidth="1"/>
    <col min="6908" max="6908" width="5.5703125" style="16" customWidth="1"/>
    <col min="6909" max="6909" width="9" style="16" customWidth="1"/>
    <col min="6910" max="6911" width="9.7109375" style="16" customWidth="1"/>
    <col min="6912" max="6912" width="11.28515625" style="16" customWidth="1"/>
    <col min="6913" max="6913" width="2.7109375" style="16" customWidth="1"/>
    <col min="6914" max="6914" width="3.5703125" style="16" customWidth="1"/>
    <col min="6915" max="7159" width="9.28515625" style="16"/>
    <col min="7160" max="7160" width="8.7109375" style="16" customWidth="1"/>
    <col min="7161" max="7161" width="9.7109375" style="16" customWidth="1"/>
    <col min="7162" max="7162" width="14.42578125" style="16" customWidth="1"/>
    <col min="7163" max="7163" width="7.28515625" style="16" customWidth="1"/>
    <col min="7164" max="7164" width="5.5703125" style="16" customWidth="1"/>
    <col min="7165" max="7165" width="9" style="16" customWidth="1"/>
    <col min="7166" max="7167" width="9.7109375" style="16" customWidth="1"/>
    <col min="7168" max="7168" width="11.28515625" style="16" customWidth="1"/>
    <col min="7169" max="7169" width="2.7109375" style="16" customWidth="1"/>
    <col min="7170" max="7170" width="3.5703125" style="16" customWidth="1"/>
    <col min="7171" max="7415" width="9.28515625" style="16"/>
    <col min="7416" max="7416" width="8.7109375" style="16" customWidth="1"/>
    <col min="7417" max="7417" width="9.7109375" style="16" customWidth="1"/>
    <col min="7418" max="7418" width="14.42578125" style="16" customWidth="1"/>
    <col min="7419" max="7419" width="7.28515625" style="16" customWidth="1"/>
    <col min="7420" max="7420" width="5.5703125" style="16" customWidth="1"/>
    <col min="7421" max="7421" width="9" style="16" customWidth="1"/>
    <col min="7422" max="7423" width="9.7109375" style="16" customWidth="1"/>
    <col min="7424" max="7424" width="11.28515625" style="16" customWidth="1"/>
    <col min="7425" max="7425" width="2.7109375" style="16" customWidth="1"/>
    <col min="7426" max="7426" width="3.5703125" style="16" customWidth="1"/>
    <col min="7427" max="7671" width="9.28515625" style="16"/>
    <col min="7672" max="7672" width="8.7109375" style="16" customWidth="1"/>
    <col min="7673" max="7673" width="9.7109375" style="16" customWidth="1"/>
    <col min="7674" max="7674" width="14.42578125" style="16" customWidth="1"/>
    <col min="7675" max="7675" width="7.28515625" style="16" customWidth="1"/>
    <col min="7676" max="7676" width="5.5703125" style="16" customWidth="1"/>
    <col min="7677" max="7677" width="9" style="16" customWidth="1"/>
    <col min="7678" max="7679" width="9.7109375" style="16" customWidth="1"/>
    <col min="7680" max="7680" width="11.28515625" style="16" customWidth="1"/>
    <col min="7681" max="7681" width="2.7109375" style="16" customWidth="1"/>
    <col min="7682" max="7682" width="3.5703125" style="16" customWidth="1"/>
    <col min="7683" max="7927" width="9.28515625" style="16"/>
    <col min="7928" max="7928" width="8.7109375" style="16" customWidth="1"/>
    <col min="7929" max="7929" width="9.7109375" style="16" customWidth="1"/>
    <col min="7930" max="7930" width="14.42578125" style="16" customWidth="1"/>
    <col min="7931" max="7931" width="7.28515625" style="16" customWidth="1"/>
    <col min="7932" max="7932" width="5.5703125" style="16" customWidth="1"/>
    <col min="7933" max="7933" width="9" style="16" customWidth="1"/>
    <col min="7934" max="7935" width="9.7109375" style="16" customWidth="1"/>
    <col min="7936" max="7936" width="11.28515625" style="16" customWidth="1"/>
    <col min="7937" max="7937" width="2.7109375" style="16" customWidth="1"/>
    <col min="7938" max="7938" width="3.5703125" style="16" customWidth="1"/>
    <col min="7939" max="8183" width="9.28515625" style="16"/>
    <col min="8184" max="8184" width="8.7109375" style="16" customWidth="1"/>
    <col min="8185" max="8185" width="9.7109375" style="16" customWidth="1"/>
    <col min="8186" max="8186" width="14.42578125" style="16" customWidth="1"/>
    <col min="8187" max="8187" width="7.28515625" style="16" customWidth="1"/>
    <col min="8188" max="8188" width="5.5703125" style="16" customWidth="1"/>
    <col min="8189" max="8189" width="9" style="16" customWidth="1"/>
    <col min="8190" max="8191" width="9.7109375" style="16" customWidth="1"/>
    <col min="8192" max="8192" width="11.28515625" style="16" customWidth="1"/>
    <col min="8193" max="8193" width="2.7109375" style="16" customWidth="1"/>
    <col min="8194" max="8194" width="3.5703125" style="16" customWidth="1"/>
    <col min="8195" max="8439" width="9.28515625" style="16"/>
    <col min="8440" max="8440" width="8.7109375" style="16" customWidth="1"/>
    <col min="8441" max="8441" width="9.7109375" style="16" customWidth="1"/>
    <col min="8442" max="8442" width="14.42578125" style="16" customWidth="1"/>
    <col min="8443" max="8443" width="7.28515625" style="16" customWidth="1"/>
    <col min="8444" max="8444" width="5.5703125" style="16" customWidth="1"/>
    <col min="8445" max="8445" width="9" style="16" customWidth="1"/>
    <col min="8446" max="8447" width="9.7109375" style="16" customWidth="1"/>
    <col min="8448" max="8448" width="11.28515625" style="16" customWidth="1"/>
    <col min="8449" max="8449" width="2.7109375" style="16" customWidth="1"/>
    <col min="8450" max="8450" width="3.5703125" style="16" customWidth="1"/>
    <col min="8451" max="8695" width="9.28515625" style="16"/>
    <col min="8696" max="8696" width="8.7109375" style="16" customWidth="1"/>
    <col min="8697" max="8697" width="9.7109375" style="16" customWidth="1"/>
    <col min="8698" max="8698" width="14.42578125" style="16" customWidth="1"/>
    <col min="8699" max="8699" width="7.28515625" style="16" customWidth="1"/>
    <col min="8700" max="8700" width="5.5703125" style="16" customWidth="1"/>
    <col min="8701" max="8701" width="9" style="16" customWidth="1"/>
    <col min="8702" max="8703" width="9.7109375" style="16" customWidth="1"/>
    <col min="8704" max="8704" width="11.28515625" style="16" customWidth="1"/>
    <col min="8705" max="8705" width="2.7109375" style="16" customWidth="1"/>
    <col min="8706" max="8706" width="3.5703125" style="16" customWidth="1"/>
    <col min="8707" max="8951" width="9.28515625" style="16"/>
    <col min="8952" max="8952" width="8.7109375" style="16" customWidth="1"/>
    <col min="8953" max="8953" width="9.7109375" style="16" customWidth="1"/>
    <col min="8954" max="8954" width="14.42578125" style="16" customWidth="1"/>
    <col min="8955" max="8955" width="7.28515625" style="16" customWidth="1"/>
    <col min="8956" max="8956" width="5.5703125" style="16" customWidth="1"/>
    <col min="8957" max="8957" width="9" style="16" customWidth="1"/>
    <col min="8958" max="8959" width="9.7109375" style="16" customWidth="1"/>
    <col min="8960" max="8960" width="11.28515625" style="16" customWidth="1"/>
    <col min="8961" max="8961" width="2.7109375" style="16" customWidth="1"/>
    <col min="8962" max="8962" width="3.5703125" style="16" customWidth="1"/>
    <col min="8963" max="9207" width="9.28515625" style="16"/>
    <col min="9208" max="9208" width="8.7109375" style="16" customWidth="1"/>
    <col min="9209" max="9209" width="9.7109375" style="16" customWidth="1"/>
    <col min="9210" max="9210" width="14.42578125" style="16" customWidth="1"/>
    <col min="9211" max="9211" width="7.28515625" style="16" customWidth="1"/>
    <col min="9212" max="9212" width="5.5703125" style="16" customWidth="1"/>
    <col min="9213" max="9213" width="9" style="16" customWidth="1"/>
    <col min="9214" max="9215" width="9.7109375" style="16" customWidth="1"/>
    <col min="9216" max="9216" width="11.28515625" style="16" customWidth="1"/>
    <col min="9217" max="9217" width="2.7109375" style="16" customWidth="1"/>
    <col min="9218" max="9218" width="3.5703125" style="16" customWidth="1"/>
    <col min="9219" max="9463" width="9.28515625" style="16"/>
    <col min="9464" max="9464" width="8.7109375" style="16" customWidth="1"/>
    <col min="9465" max="9465" width="9.7109375" style="16" customWidth="1"/>
    <col min="9466" max="9466" width="14.42578125" style="16" customWidth="1"/>
    <col min="9467" max="9467" width="7.28515625" style="16" customWidth="1"/>
    <col min="9468" max="9468" width="5.5703125" style="16" customWidth="1"/>
    <col min="9469" max="9469" width="9" style="16" customWidth="1"/>
    <col min="9470" max="9471" width="9.7109375" style="16" customWidth="1"/>
    <col min="9472" max="9472" width="11.28515625" style="16" customWidth="1"/>
    <col min="9473" max="9473" width="2.7109375" style="16" customWidth="1"/>
    <col min="9474" max="9474" width="3.5703125" style="16" customWidth="1"/>
    <col min="9475" max="9719" width="9.28515625" style="16"/>
    <col min="9720" max="9720" width="8.7109375" style="16" customWidth="1"/>
    <col min="9721" max="9721" width="9.7109375" style="16" customWidth="1"/>
    <col min="9722" max="9722" width="14.42578125" style="16" customWidth="1"/>
    <col min="9723" max="9723" width="7.28515625" style="16" customWidth="1"/>
    <col min="9724" max="9724" width="5.5703125" style="16" customWidth="1"/>
    <col min="9725" max="9725" width="9" style="16" customWidth="1"/>
    <col min="9726" max="9727" width="9.7109375" style="16" customWidth="1"/>
    <col min="9728" max="9728" width="11.28515625" style="16" customWidth="1"/>
    <col min="9729" max="9729" width="2.7109375" style="16" customWidth="1"/>
    <col min="9730" max="9730" width="3.5703125" style="16" customWidth="1"/>
    <col min="9731" max="9975" width="9.28515625" style="16"/>
    <col min="9976" max="9976" width="8.7109375" style="16" customWidth="1"/>
    <col min="9977" max="9977" width="9.7109375" style="16" customWidth="1"/>
    <col min="9978" max="9978" width="14.42578125" style="16" customWidth="1"/>
    <col min="9979" max="9979" width="7.28515625" style="16" customWidth="1"/>
    <col min="9980" max="9980" width="5.5703125" style="16" customWidth="1"/>
    <col min="9981" max="9981" width="9" style="16" customWidth="1"/>
    <col min="9982" max="9983" width="9.7109375" style="16" customWidth="1"/>
    <col min="9984" max="9984" width="11.28515625" style="16" customWidth="1"/>
    <col min="9985" max="9985" width="2.7109375" style="16" customWidth="1"/>
    <col min="9986" max="9986" width="3.5703125" style="16" customWidth="1"/>
    <col min="9987" max="10231" width="9.28515625" style="16"/>
    <col min="10232" max="10232" width="8.7109375" style="16" customWidth="1"/>
    <col min="10233" max="10233" width="9.7109375" style="16" customWidth="1"/>
    <col min="10234" max="10234" width="14.42578125" style="16" customWidth="1"/>
    <col min="10235" max="10235" width="7.28515625" style="16" customWidth="1"/>
    <col min="10236" max="10236" width="5.5703125" style="16" customWidth="1"/>
    <col min="10237" max="10237" width="9" style="16" customWidth="1"/>
    <col min="10238" max="10239" width="9.7109375" style="16" customWidth="1"/>
    <col min="10240" max="10240" width="11.28515625" style="16" customWidth="1"/>
    <col min="10241" max="10241" width="2.7109375" style="16" customWidth="1"/>
    <col min="10242" max="10242" width="3.5703125" style="16" customWidth="1"/>
    <col min="10243" max="10487" width="9.28515625" style="16"/>
    <col min="10488" max="10488" width="8.7109375" style="16" customWidth="1"/>
    <col min="10489" max="10489" width="9.7109375" style="16" customWidth="1"/>
    <col min="10490" max="10490" width="14.42578125" style="16" customWidth="1"/>
    <col min="10491" max="10491" width="7.28515625" style="16" customWidth="1"/>
    <col min="10492" max="10492" width="5.5703125" style="16" customWidth="1"/>
    <col min="10493" max="10493" width="9" style="16" customWidth="1"/>
    <col min="10494" max="10495" width="9.7109375" style="16" customWidth="1"/>
    <col min="10496" max="10496" width="11.28515625" style="16" customWidth="1"/>
    <col min="10497" max="10497" width="2.7109375" style="16" customWidth="1"/>
    <col min="10498" max="10498" width="3.5703125" style="16" customWidth="1"/>
    <col min="10499" max="10743" width="9.28515625" style="16"/>
    <col min="10744" max="10744" width="8.7109375" style="16" customWidth="1"/>
    <col min="10745" max="10745" width="9.7109375" style="16" customWidth="1"/>
    <col min="10746" max="10746" width="14.42578125" style="16" customWidth="1"/>
    <col min="10747" max="10747" width="7.28515625" style="16" customWidth="1"/>
    <col min="10748" max="10748" width="5.5703125" style="16" customWidth="1"/>
    <col min="10749" max="10749" width="9" style="16" customWidth="1"/>
    <col min="10750" max="10751" width="9.7109375" style="16" customWidth="1"/>
    <col min="10752" max="10752" width="11.28515625" style="16" customWidth="1"/>
    <col min="10753" max="10753" width="2.7109375" style="16" customWidth="1"/>
    <col min="10754" max="10754" width="3.5703125" style="16" customWidth="1"/>
    <col min="10755" max="10999" width="9.28515625" style="16"/>
    <col min="11000" max="11000" width="8.7109375" style="16" customWidth="1"/>
    <col min="11001" max="11001" width="9.7109375" style="16" customWidth="1"/>
    <col min="11002" max="11002" width="14.42578125" style="16" customWidth="1"/>
    <col min="11003" max="11003" width="7.28515625" style="16" customWidth="1"/>
    <col min="11004" max="11004" width="5.5703125" style="16" customWidth="1"/>
    <col min="11005" max="11005" width="9" style="16" customWidth="1"/>
    <col min="11006" max="11007" width="9.7109375" style="16" customWidth="1"/>
    <col min="11008" max="11008" width="11.28515625" style="16" customWidth="1"/>
    <col min="11009" max="11009" width="2.7109375" style="16" customWidth="1"/>
    <col min="11010" max="11010" width="3.5703125" style="16" customWidth="1"/>
    <col min="11011" max="11255" width="9.28515625" style="16"/>
    <col min="11256" max="11256" width="8.7109375" style="16" customWidth="1"/>
    <col min="11257" max="11257" width="9.7109375" style="16" customWidth="1"/>
    <col min="11258" max="11258" width="14.42578125" style="16" customWidth="1"/>
    <col min="11259" max="11259" width="7.28515625" style="16" customWidth="1"/>
    <col min="11260" max="11260" width="5.5703125" style="16" customWidth="1"/>
    <col min="11261" max="11261" width="9" style="16" customWidth="1"/>
    <col min="11262" max="11263" width="9.7109375" style="16" customWidth="1"/>
    <col min="11264" max="11264" width="11.28515625" style="16" customWidth="1"/>
    <col min="11265" max="11265" width="2.7109375" style="16" customWidth="1"/>
    <col min="11266" max="11266" width="3.5703125" style="16" customWidth="1"/>
    <col min="11267" max="11511" width="9.28515625" style="16"/>
    <col min="11512" max="11512" width="8.7109375" style="16" customWidth="1"/>
    <col min="11513" max="11513" width="9.7109375" style="16" customWidth="1"/>
    <col min="11514" max="11514" width="14.42578125" style="16" customWidth="1"/>
    <col min="11515" max="11515" width="7.28515625" style="16" customWidth="1"/>
    <col min="11516" max="11516" width="5.5703125" style="16" customWidth="1"/>
    <col min="11517" max="11517" width="9" style="16" customWidth="1"/>
    <col min="11518" max="11519" width="9.7109375" style="16" customWidth="1"/>
    <col min="11520" max="11520" width="11.28515625" style="16" customWidth="1"/>
    <col min="11521" max="11521" width="2.7109375" style="16" customWidth="1"/>
    <col min="11522" max="11522" width="3.5703125" style="16" customWidth="1"/>
    <col min="11523" max="11767" width="9.28515625" style="16"/>
    <col min="11768" max="11768" width="8.7109375" style="16" customWidth="1"/>
    <col min="11769" max="11769" width="9.7109375" style="16" customWidth="1"/>
    <col min="11770" max="11770" width="14.42578125" style="16" customWidth="1"/>
    <col min="11771" max="11771" width="7.28515625" style="16" customWidth="1"/>
    <col min="11772" max="11772" width="5.5703125" style="16" customWidth="1"/>
    <col min="11773" max="11773" width="9" style="16" customWidth="1"/>
    <col min="11774" max="11775" width="9.7109375" style="16" customWidth="1"/>
    <col min="11776" max="11776" width="11.28515625" style="16" customWidth="1"/>
    <col min="11777" max="11777" width="2.7109375" style="16" customWidth="1"/>
    <col min="11778" max="11778" width="3.5703125" style="16" customWidth="1"/>
    <col min="11779" max="12023" width="9.28515625" style="16"/>
    <col min="12024" max="12024" width="8.7109375" style="16" customWidth="1"/>
    <col min="12025" max="12025" width="9.7109375" style="16" customWidth="1"/>
    <col min="12026" max="12026" width="14.42578125" style="16" customWidth="1"/>
    <col min="12027" max="12027" width="7.28515625" style="16" customWidth="1"/>
    <col min="12028" max="12028" width="5.5703125" style="16" customWidth="1"/>
    <col min="12029" max="12029" width="9" style="16" customWidth="1"/>
    <col min="12030" max="12031" width="9.7109375" style="16" customWidth="1"/>
    <col min="12032" max="12032" width="11.28515625" style="16" customWidth="1"/>
    <col min="12033" max="12033" width="2.7109375" style="16" customWidth="1"/>
    <col min="12034" max="12034" width="3.5703125" style="16" customWidth="1"/>
    <col min="12035" max="12279" width="9.28515625" style="16"/>
    <col min="12280" max="12280" width="8.7109375" style="16" customWidth="1"/>
    <col min="12281" max="12281" width="9.7109375" style="16" customWidth="1"/>
    <col min="12282" max="12282" width="14.42578125" style="16" customWidth="1"/>
    <col min="12283" max="12283" width="7.28515625" style="16" customWidth="1"/>
    <col min="12284" max="12284" width="5.5703125" style="16" customWidth="1"/>
    <col min="12285" max="12285" width="9" style="16" customWidth="1"/>
    <col min="12286" max="12287" width="9.7109375" style="16" customWidth="1"/>
    <col min="12288" max="12288" width="11.28515625" style="16" customWidth="1"/>
    <col min="12289" max="12289" width="2.7109375" style="16" customWidth="1"/>
    <col min="12290" max="12290" width="3.5703125" style="16" customWidth="1"/>
    <col min="12291" max="12535" width="9.28515625" style="16"/>
    <col min="12536" max="12536" width="8.7109375" style="16" customWidth="1"/>
    <col min="12537" max="12537" width="9.7109375" style="16" customWidth="1"/>
    <col min="12538" max="12538" width="14.42578125" style="16" customWidth="1"/>
    <col min="12539" max="12539" width="7.28515625" style="16" customWidth="1"/>
    <col min="12540" max="12540" width="5.5703125" style="16" customWidth="1"/>
    <col min="12541" max="12541" width="9" style="16" customWidth="1"/>
    <col min="12542" max="12543" width="9.7109375" style="16" customWidth="1"/>
    <col min="12544" max="12544" width="11.28515625" style="16" customWidth="1"/>
    <col min="12545" max="12545" width="2.7109375" style="16" customWidth="1"/>
    <col min="12546" max="12546" width="3.5703125" style="16" customWidth="1"/>
    <col min="12547" max="12791" width="9.28515625" style="16"/>
    <col min="12792" max="12792" width="8.7109375" style="16" customWidth="1"/>
    <col min="12793" max="12793" width="9.7109375" style="16" customWidth="1"/>
    <col min="12794" max="12794" width="14.42578125" style="16" customWidth="1"/>
    <col min="12795" max="12795" width="7.28515625" style="16" customWidth="1"/>
    <col min="12796" max="12796" width="5.5703125" style="16" customWidth="1"/>
    <col min="12797" max="12797" width="9" style="16" customWidth="1"/>
    <col min="12798" max="12799" width="9.7109375" style="16" customWidth="1"/>
    <col min="12800" max="12800" width="11.28515625" style="16" customWidth="1"/>
    <col min="12801" max="12801" width="2.7109375" style="16" customWidth="1"/>
    <col min="12802" max="12802" width="3.5703125" style="16" customWidth="1"/>
    <col min="12803" max="13047" width="9.28515625" style="16"/>
    <col min="13048" max="13048" width="8.7109375" style="16" customWidth="1"/>
    <col min="13049" max="13049" width="9.7109375" style="16" customWidth="1"/>
    <col min="13050" max="13050" width="14.42578125" style="16" customWidth="1"/>
    <col min="13051" max="13051" width="7.28515625" style="16" customWidth="1"/>
    <col min="13052" max="13052" width="5.5703125" style="16" customWidth="1"/>
    <col min="13053" max="13053" width="9" style="16" customWidth="1"/>
    <col min="13054" max="13055" width="9.7109375" style="16" customWidth="1"/>
    <col min="13056" max="13056" width="11.28515625" style="16" customWidth="1"/>
    <col min="13057" max="13057" width="2.7109375" style="16" customWidth="1"/>
    <col min="13058" max="13058" width="3.5703125" style="16" customWidth="1"/>
    <col min="13059" max="13303" width="9.28515625" style="16"/>
    <col min="13304" max="13304" width="8.7109375" style="16" customWidth="1"/>
    <col min="13305" max="13305" width="9.7109375" style="16" customWidth="1"/>
    <col min="13306" max="13306" width="14.42578125" style="16" customWidth="1"/>
    <col min="13307" max="13307" width="7.28515625" style="16" customWidth="1"/>
    <col min="13308" max="13308" width="5.5703125" style="16" customWidth="1"/>
    <col min="13309" max="13309" width="9" style="16" customWidth="1"/>
    <col min="13310" max="13311" width="9.7109375" style="16" customWidth="1"/>
    <col min="13312" max="13312" width="11.28515625" style="16" customWidth="1"/>
    <col min="13313" max="13313" width="2.7109375" style="16" customWidth="1"/>
    <col min="13314" max="13314" width="3.5703125" style="16" customWidth="1"/>
    <col min="13315" max="13559" width="9.28515625" style="16"/>
    <col min="13560" max="13560" width="8.7109375" style="16" customWidth="1"/>
    <col min="13561" max="13561" width="9.7109375" style="16" customWidth="1"/>
    <col min="13562" max="13562" width="14.42578125" style="16" customWidth="1"/>
    <col min="13563" max="13563" width="7.28515625" style="16" customWidth="1"/>
    <col min="13564" max="13564" width="5.5703125" style="16" customWidth="1"/>
    <col min="13565" max="13565" width="9" style="16" customWidth="1"/>
    <col min="13566" max="13567" width="9.7109375" style="16" customWidth="1"/>
    <col min="13568" max="13568" width="11.28515625" style="16" customWidth="1"/>
    <col min="13569" max="13569" width="2.7109375" style="16" customWidth="1"/>
    <col min="13570" max="13570" width="3.5703125" style="16" customWidth="1"/>
    <col min="13571" max="13815" width="9.28515625" style="16"/>
    <col min="13816" max="13816" width="8.7109375" style="16" customWidth="1"/>
    <col min="13817" max="13817" width="9.7109375" style="16" customWidth="1"/>
    <col min="13818" max="13818" width="14.42578125" style="16" customWidth="1"/>
    <col min="13819" max="13819" width="7.28515625" style="16" customWidth="1"/>
    <col min="13820" max="13820" width="5.5703125" style="16" customWidth="1"/>
    <col min="13821" max="13821" width="9" style="16" customWidth="1"/>
    <col min="13822" max="13823" width="9.7109375" style="16" customWidth="1"/>
    <col min="13824" max="13824" width="11.28515625" style="16" customWidth="1"/>
    <col min="13825" max="13825" width="2.7109375" style="16" customWidth="1"/>
    <col min="13826" max="13826" width="3.5703125" style="16" customWidth="1"/>
    <col min="13827" max="14071" width="9.28515625" style="16"/>
    <col min="14072" max="14072" width="8.7109375" style="16" customWidth="1"/>
    <col min="14073" max="14073" width="9.7109375" style="16" customWidth="1"/>
    <col min="14074" max="14074" width="14.42578125" style="16" customWidth="1"/>
    <col min="14075" max="14075" width="7.28515625" style="16" customWidth="1"/>
    <col min="14076" max="14076" width="5.5703125" style="16" customWidth="1"/>
    <col min="14077" max="14077" width="9" style="16" customWidth="1"/>
    <col min="14078" max="14079" width="9.7109375" style="16" customWidth="1"/>
    <col min="14080" max="14080" width="11.28515625" style="16" customWidth="1"/>
    <col min="14081" max="14081" width="2.7109375" style="16" customWidth="1"/>
    <col min="14082" max="14082" width="3.5703125" style="16" customWidth="1"/>
    <col min="14083" max="14327" width="9.28515625" style="16"/>
    <col min="14328" max="14328" width="8.7109375" style="16" customWidth="1"/>
    <col min="14329" max="14329" width="9.7109375" style="16" customWidth="1"/>
    <col min="14330" max="14330" width="14.42578125" style="16" customWidth="1"/>
    <col min="14331" max="14331" width="7.28515625" style="16" customWidth="1"/>
    <col min="14332" max="14332" width="5.5703125" style="16" customWidth="1"/>
    <col min="14333" max="14333" width="9" style="16" customWidth="1"/>
    <col min="14334" max="14335" width="9.7109375" style="16" customWidth="1"/>
    <col min="14336" max="14336" width="11.28515625" style="16" customWidth="1"/>
    <col min="14337" max="14337" width="2.7109375" style="16" customWidth="1"/>
    <col min="14338" max="14338" width="3.5703125" style="16" customWidth="1"/>
    <col min="14339" max="14583" width="9.28515625" style="16"/>
    <col min="14584" max="14584" width="8.7109375" style="16" customWidth="1"/>
    <col min="14585" max="14585" width="9.7109375" style="16" customWidth="1"/>
    <col min="14586" max="14586" width="14.42578125" style="16" customWidth="1"/>
    <col min="14587" max="14587" width="7.28515625" style="16" customWidth="1"/>
    <col min="14588" max="14588" width="5.5703125" style="16" customWidth="1"/>
    <col min="14589" max="14589" width="9" style="16" customWidth="1"/>
    <col min="14590" max="14591" width="9.7109375" style="16" customWidth="1"/>
    <col min="14592" max="14592" width="11.28515625" style="16" customWidth="1"/>
    <col min="14593" max="14593" width="2.7109375" style="16" customWidth="1"/>
    <col min="14594" max="14594" width="3.5703125" style="16" customWidth="1"/>
    <col min="14595" max="14839" width="9.28515625" style="16"/>
    <col min="14840" max="14840" width="8.7109375" style="16" customWidth="1"/>
    <col min="14841" max="14841" width="9.7109375" style="16" customWidth="1"/>
    <col min="14842" max="14842" width="14.42578125" style="16" customWidth="1"/>
    <col min="14843" max="14843" width="7.28515625" style="16" customWidth="1"/>
    <col min="14844" max="14844" width="5.5703125" style="16" customWidth="1"/>
    <col min="14845" max="14845" width="9" style="16" customWidth="1"/>
    <col min="14846" max="14847" width="9.7109375" style="16" customWidth="1"/>
    <col min="14848" max="14848" width="11.28515625" style="16" customWidth="1"/>
    <col min="14849" max="14849" width="2.7109375" style="16" customWidth="1"/>
    <col min="14850" max="14850" width="3.5703125" style="16" customWidth="1"/>
    <col min="14851" max="15095" width="9.28515625" style="16"/>
    <col min="15096" max="15096" width="8.7109375" style="16" customWidth="1"/>
    <col min="15097" max="15097" width="9.7109375" style="16" customWidth="1"/>
    <col min="15098" max="15098" width="14.42578125" style="16" customWidth="1"/>
    <col min="15099" max="15099" width="7.28515625" style="16" customWidth="1"/>
    <col min="15100" max="15100" width="5.5703125" style="16" customWidth="1"/>
    <col min="15101" max="15101" width="9" style="16" customWidth="1"/>
    <col min="15102" max="15103" width="9.7109375" style="16" customWidth="1"/>
    <col min="15104" max="15104" width="11.28515625" style="16" customWidth="1"/>
    <col min="15105" max="15105" width="2.7109375" style="16" customWidth="1"/>
    <col min="15106" max="15106" width="3.5703125" style="16" customWidth="1"/>
    <col min="15107" max="15351" width="9.28515625" style="16"/>
    <col min="15352" max="15352" width="8.7109375" style="16" customWidth="1"/>
    <col min="15353" max="15353" width="9.7109375" style="16" customWidth="1"/>
    <col min="15354" max="15354" width="14.42578125" style="16" customWidth="1"/>
    <col min="15355" max="15355" width="7.28515625" style="16" customWidth="1"/>
    <col min="15356" max="15356" width="5.5703125" style="16" customWidth="1"/>
    <col min="15357" max="15357" width="9" style="16" customWidth="1"/>
    <col min="15358" max="15359" width="9.7109375" style="16" customWidth="1"/>
    <col min="15360" max="15360" width="11.28515625" style="16" customWidth="1"/>
    <col min="15361" max="15361" width="2.7109375" style="16" customWidth="1"/>
    <col min="15362" max="15362" width="3.5703125" style="16" customWidth="1"/>
    <col min="15363" max="15607" width="9.28515625" style="16"/>
    <col min="15608" max="15608" width="8.7109375" style="16" customWidth="1"/>
    <col min="15609" max="15609" width="9.7109375" style="16" customWidth="1"/>
    <col min="15610" max="15610" width="14.42578125" style="16" customWidth="1"/>
    <col min="15611" max="15611" width="7.28515625" style="16" customWidth="1"/>
    <col min="15612" max="15612" width="5.5703125" style="16" customWidth="1"/>
    <col min="15613" max="15613" width="9" style="16" customWidth="1"/>
    <col min="15614" max="15615" width="9.7109375" style="16" customWidth="1"/>
    <col min="15616" max="15616" width="11.28515625" style="16" customWidth="1"/>
    <col min="15617" max="15617" width="2.7109375" style="16" customWidth="1"/>
    <col min="15618" max="15618" width="3.5703125" style="16" customWidth="1"/>
    <col min="15619" max="15863" width="9.28515625" style="16"/>
    <col min="15864" max="15864" width="8.7109375" style="16" customWidth="1"/>
    <col min="15865" max="15865" width="9.7109375" style="16" customWidth="1"/>
    <col min="15866" max="15866" width="14.42578125" style="16" customWidth="1"/>
    <col min="15867" max="15867" width="7.28515625" style="16" customWidth="1"/>
    <col min="15868" max="15868" width="5.5703125" style="16" customWidth="1"/>
    <col min="15869" max="15869" width="9" style="16" customWidth="1"/>
    <col min="15870" max="15871" width="9.7109375" style="16" customWidth="1"/>
    <col min="15872" max="15872" width="11.28515625" style="16" customWidth="1"/>
    <col min="15873" max="15873" width="2.7109375" style="16" customWidth="1"/>
    <col min="15874" max="15874" width="3.5703125" style="16" customWidth="1"/>
    <col min="15875" max="16119" width="9.28515625" style="16"/>
    <col min="16120" max="16120" width="8.7109375" style="16" customWidth="1"/>
    <col min="16121" max="16121" width="9.7109375" style="16" customWidth="1"/>
    <col min="16122" max="16122" width="14.42578125" style="16" customWidth="1"/>
    <col min="16123" max="16123" width="7.28515625" style="16" customWidth="1"/>
    <col min="16124" max="16124" width="5.5703125" style="16" customWidth="1"/>
    <col min="16125" max="16125" width="9" style="16" customWidth="1"/>
    <col min="16126" max="16127" width="9.7109375" style="16" customWidth="1"/>
    <col min="16128" max="16128" width="11.28515625" style="16" customWidth="1"/>
    <col min="16129" max="16129" width="2.7109375" style="16" customWidth="1"/>
    <col min="16130" max="16130" width="3.5703125" style="16" customWidth="1"/>
    <col min="16131" max="16384" width="9.28515625" style="16"/>
  </cols>
  <sheetData>
    <row r="1" spans="1:12" ht="46.5" customHeight="1" x14ac:dyDescent="0.25">
      <c r="A1" s="151" t="s">
        <v>167</v>
      </c>
      <c r="B1" s="151"/>
      <c r="C1" s="151"/>
      <c r="D1" s="151"/>
      <c r="E1" s="151"/>
      <c r="F1" s="151"/>
      <c r="G1" s="151"/>
      <c r="H1" s="151"/>
    </row>
    <row r="2" spans="1:12" ht="16.5" customHeight="1" x14ac:dyDescent="0.25">
      <c r="A2" s="152" t="s">
        <v>0</v>
      </c>
      <c r="B2" s="152"/>
      <c r="C2" s="152"/>
      <c r="D2" s="152"/>
      <c r="E2" s="152"/>
      <c r="F2" s="152"/>
      <c r="G2" s="152"/>
      <c r="H2" s="152"/>
    </row>
    <row r="3" spans="1:12" x14ac:dyDescent="0.25">
      <c r="A3" s="101" t="s">
        <v>1</v>
      </c>
      <c r="B3" s="101"/>
      <c r="C3" s="101"/>
      <c r="D3" s="101"/>
      <c r="E3" s="101" t="str">
        <f ca="1">TEXT(TODAY(),"DD/MM/YYYY")</f>
        <v>25/06/2025</v>
      </c>
      <c r="F3" s="101"/>
      <c r="G3" s="101"/>
      <c r="H3" s="101"/>
    </row>
    <row r="4" spans="1:12" ht="15" customHeight="1" x14ac:dyDescent="0.25">
      <c r="A4" s="101" t="s">
        <v>2</v>
      </c>
      <c r="B4" s="101"/>
      <c r="C4" s="101"/>
      <c r="D4" s="101"/>
      <c r="E4" s="101" t="s">
        <v>166</v>
      </c>
      <c r="F4" s="101"/>
      <c r="G4" s="101"/>
      <c r="H4" s="101"/>
    </row>
    <row r="5" spans="1:12" x14ac:dyDescent="0.25">
      <c r="A5" s="101" t="s">
        <v>3</v>
      </c>
      <c r="B5" s="101"/>
      <c r="C5" s="101"/>
      <c r="D5" s="101"/>
      <c r="E5" s="153">
        <v>45832</v>
      </c>
      <c r="F5" s="101"/>
      <c r="G5" s="101"/>
      <c r="H5" s="101"/>
    </row>
    <row r="6" spans="1:12" ht="16.5" customHeight="1" x14ac:dyDescent="0.25">
      <c r="A6" s="101" t="s">
        <v>4</v>
      </c>
      <c r="B6" s="101"/>
      <c r="C6" s="101"/>
      <c r="D6" s="101"/>
      <c r="E6" s="101" t="s">
        <v>168</v>
      </c>
      <c r="F6" s="101"/>
      <c r="G6" s="101"/>
      <c r="H6" s="101"/>
    </row>
    <row r="7" spans="1:12" ht="15" customHeight="1" x14ac:dyDescent="0.25">
      <c r="A7" s="101" t="s">
        <v>5</v>
      </c>
      <c r="B7" s="101"/>
      <c r="C7" s="101"/>
      <c r="D7" s="101"/>
      <c r="E7" s="101" t="str">
        <f>E6</f>
        <v>JPV Realtors Private Limited</v>
      </c>
      <c r="F7" s="101"/>
      <c r="G7" s="101"/>
      <c r="H7" s="101"/>
    </row>
    <row r="8" spans="1:12" x14ac:dyDescent="0.25">
      <c r="A8" s="101" t="s">
        <v>6</v>
      </c>
      <c r="B8" s="101"/>
      <c r="C8" s="101"/>
      <c r="D8" s="101"/>
      <c r="E8" s="118" t="s">
        <v>169</v>
      </c>
      <c r="F8" s="118"/>
      <c r="G8" s="118"/>
      <c r="H8" s="118"/>
    </row>
    <row r="9" spans="1:12" x14ac:dyDescent="0.25">
      <c r="A9" s="101" t="s">
        <v>163</v>
      </c>
      <c r="B9" s="101"/>
      <c r="C9" s="101"/>
      <c r="D9" s="101"/>
      <c r="E9" s="100" t="s">
        <v>196</v>
      </c>
      <c r="F9" s="100"/>
      <c r="G9" s="100"/>
      <c r="H9" s="100"/>
    </row>
    <row r="10" spans="1:12" x14ac:dyDescent="0.25">
      <c r="A10" s="101" t="s">
        <v>164</v>
      </c>
      <c r="B10" s="101"/>
      <c r="C10" s="101"/>
      <c r="D10" s="101"/>
      <c r="E10" s="101">
        <v>8655439305</v>
      </c>
      <c r="F10" s="101"/>
      <c r="G10" s="101"/>
      <c r="H10" s="101"/>
      <c r="I10" s="101" t="s">
        <v>29</v>
      </c>
      <c r="J10" s="101"/>
      <c r="K10" s="101"/>
      <c r="L10" s="101"/>
    </row>
    <row r="11" spans="1:12" x14ac:dyDescent="0.25">
      <c r="A11" s="101" t="s">
        <v>7</v>
      </c>
      <c r="B11" s="101"/>
      <c r="C11" s="101"/>
      <c r="D11" s="101"/>
      <c r="E11" s="101" t="s">
        <v>118</v>
      </c>
      <c r="F11" s="101"/>
      <c r="G11" s="101"/>
      <c r="H11" s="101"/>
    </row>
    <row r="12" spans="1:12" x14ac:dyDescent="0.25">
      <c r="A12" s="101" t="s">
        <v>194</v>
      </c>
      <c r="B12" s="101"/>
      <c r="C12" s="101"/>
      <c r="D12" s="101"/>
      <c r="E12" s="101" t="s">
        <v>195</v>
      </c>
      <c r="F12" s="101"/>
      <c r="G12" s="101"/>
      <c r="H12" s="101"/>
    </row>
    <row r="13" spans="1:12" s="18" customFormat="1" x14ac:dyDescent="0.25">
      <c r="A13" s="101" t="s">
        <v>8</v>
      </c>
      <c r="B13" s="101"/>
      <c r="C13" s="101"/>
      <c r="D13" s="101"/>
      <c r="E13" s="100" t="s">
        <v>185</v>
      </c>
      <c r="F13" s="100"/>
      <c r="G13" s="100"/>
      <c r="H13" s="100"/>
    </row>
    <row r="14" spans="1:12" x14ac:dyDescent="0.25">
      <c r="A14" s="90" t="s">
        <v>9</v>
      </c>
      <c r="B14" s="90"/>
      <c r="C14" s="90"/>
      <c r="D14" s="90"/>
      <c r="E14" s="100" t="s">
        <v>170</v>
      </c>
      <c r="F14" s="101"/>
      <c r="G14" s="101"/>
      <c r="H14" s="101"/>
    </row>
    <row r="15" spans="1:12" ht="46.5" customHeight="1" x14ac:dyDescent="0.25">
      <c r="A15" s="99" t="s">
        <v>10</v>
      </c>
      <c r="B15" s="99"/>
      <c r="C15" s="99" t="s">
        <v>198</v>
      </c>
      <c r="D15" s="99"/>
      <c r="E15" s="99"/>
      <c r="F15" s="99"/>
      <c r="G15" s="99"/>
      <c r="H15" s="99"/>
    </row>
    <row r="16" spans="1:12" x14ac:dyDescent="0.25">
      <c r="A16" s="100" t="s">
        <v>171</v>
      </c>
      <c r="B16" s="100"/>
      <c r="C16" s="100" t="s">
        <v>197</v>
      </c>
      <c r="D16" s="100"/>
      <c r="E16" s="100"/>
      <c r="F16" s="100"/>
      <c r="G16" s="100"/>
      <c r="H16" s="100"/>
    </row>
    <row r="17" spans="1:8" ht="15.75" customHeight="1" x14ac:dyDescent="0.25">
      <c r="A17" s="100" t="s">
        <v>162</v>
      </c>
      <c r="B17" s="100"/>
      <c r="C17" s="100" t="s">
        <v>177</v>
      </c>
      <c r="D17" s="100"/>
      <c r="E17" s="100"/>
      <c r="F17" s="100"/>
      <c r="G17" s="100"/>
      <c r="H17" s="100"/>
    </row>
    <row r="18" spans="1:8" ht="15.75" customHeight="1" x14ac:dyDescent="0.25">
      <c r="A18" s="99" t="s">
        <v>11</v>
      </c>
      <c r="B18" s="99"/>
      <c r="C18" s="101" t="s">
        <v>172</v>
      </c>
      <c r="D18" s="101"/>
      <c r="E18" s="99" t="s">
        <v>199</v>
      </c>
      <c r="F18" s="99"/>
      <c r="G18" s="100" t="s">
        <v>174</v>
      </c>
      <c r="H18" s="100"/>
    </row>
    <row r="19" spans="1:8" x14ac:dyDescent="0.25">
      <c r="A19" s="90" t="s">
        <v>13</v>
      </c>
      <c r="B19" s="90"/>
      <c r="C19" s="100" t="s">
        <v>173</v>
      </c>
      <c r="D19" s="100"/>
      <c r="E19" s="99" t="s">
        <v>12</v>
      </c>
      <c r="F19" s="99"/>
      <c r="G19" s="124" t="s">
        <v>175</v>
      </c>
      <c r="H19" s="124"/>
    </row>
    <row r="20" spans="1:8" x14ac:dyDescent="0.25">
      <c r="A20" s="90" t="s">
        <v>71</v>
      </c>
      <c r="B20" s="90"/>
      <c r="C20" s="100" t="s">
        <v>176</v>
      </c>
      <c r="D20" s="100"/>
      <c r="E20" s="99" t="s">
        <v>14</v>
      </c>
      <c r="F20" s="99"/>
      <c r="G20" s="100">
        <v>400064</v>
      </c>
      <c r="H20" s="100"/>
    </row>
    <row r="21" spans="1:8" ht="32.25" customHeight="1" x14ac:dyDescent="0.25">
      <c r="A21" s="90" t="s">
        <v>120</v>
      </c>
      <c r="B21" s="90"/>
      <c r="C21" s="100" t="s">
        <v>178</v>
      </c>
      <c r="D21" s="100"/>
      <c r="E21" s="99" t="s">
        <v>15</v>
      </c>
      <c r="F21" s="99"/>
      <c r="G21" s="100" t="s">
        <v>181</v>
      </c>
      <c r="H21" s="100"/>
    </row>
    <row r="22" spans="1:8" ht="15" customHeight="1" x14ac:dyDescent="0.25">
      <c r="A22" s="99" t="s">
        <v>74</v>
      </c>
      <c r="B22" s="99"/>
      <c r="C22" s="99"/>
      <c r="D22" s="99"/>
      <c r="E22" s="101" t="s">
        <v>16</v>
      </c>
      <c r="F22" s="101"/>
      <c r="G22" s="101"/>
      <c r="H22" s="101"/>
    </row>
    <row r="23" spans="1:8" ht="18.75" customHeight="1" x14ac:dyDescent="0.25">
      <c r="A23" s="99"/>
      <c r="B23" s="99"/>
      <c r="C23" s="99"/>
      <c r="D23" s="99"/>
      <c r="E23" s="101"/>
      <c r="F23" s="101"/>
      <c r="G23" s="101"/>
      <c r="H23" s="101"/>
    </row>
    <row r="24" spans="1:8" ht="15" customHeight="1" x14ac:dyDescent="0.25">
      <c r="A24" s="99" t="s">
        <v>17</v>
      </c>
      <c r="B24" s="99"/>
      <c r="C24" s="99"/>
      <c r="D24" s="99"/>
      <c r="E24" s="100" t="s">
        <v>18</v>
      </c>
      <c r="F24" s="100"/>
      <c r="G24" s="100"/>
      <c r="H24" s="100"/>
    </row>
    <row r="25" spans="1:8" ht="15" customHeight="1" x14ac:dyDescent="0.25">
      <c r="A25" s="90" t="s">
        <v>19</v>
      </c>
      <c r="B25" s="90"/>
      <c r="C25" s="90"/>
      <c r="D25" s="90"/>
      <c r="E25" s="100" t="str">
        <f>IF(AND(G19="Mumbai"),"Upper Class","Middle Class")</f>
        <v>Upper Class</v>
      </c>
      <c r="F25" s="100"/>
      <c r="G25" s="100"/>
      <c r="H25" s="100"/>
    </row>
    <row r="26" spans="1:8" x14ac:dyDescent="0.25">
      <c r="A26" s="90" t="s">
        <v>20</v>
      </c>
      <c r="B26" s="90"/>
      <c r="C26" s="90"/>
      <c r="D26" s="90"/>
      <c r="E26" s="100" t="s">
        <v>21</v>
      </c>
      <c r="F26" s="100"/>
      <c r="G26" s="100"/>
      <c r="H26" s="100"/>
    </row>
    <row r="27" spans="1:8" ht="15.75" customHeight="1" x14ac:dyDescent="0.25">
      <c r="A27" s="90" t="s">
        <v>22</v>
      </c>
      <c r="B27" s="90"/>
      <c r="C27" s="90"/>
      <c r="D27" s="90"/>
      <c r="E27" s="100" t="str">
        <f>IF(AND(G19="Mumbai"),"Developed","Developing")</f>
        <v>Developed</v>
      </c>
      <c r="F27" s="100"/>
      <c r="G27" s="100"/>
      <c r="H27" s="100"/>
    </row>
    <row r="28" spans="1:8" x14ac:dyDescent="0.25">
      <c r="A28" s="90" t="s">
        <v>23</v>
      </c>
      <c r="B28" s="90"/>
      <c r="C28" s="90"/>
      <c r="D28" s="90"/>
      <c r="E28" s="100" t="s">
        <v>24</v>
      </c>
      <c r="F28" s="100"/>
      <c r="G28" s="100"/>
      <c r="H28" s="100"/>
    </row>
    <row r="29" spans="1:8" ht="15.75" customHeight="1" x14ac:dyDescent="0.25">
      <c r="A29" s="90" t="s">
        <v>79</v>
      </c>
      <c r="B29" s="90"/>
      <c r="C29" s="90"/>
      <c r="D29" s="90"/>
      <c r="E29" s="100" t="s">
        <v>80</v>
      </c>
      <c r="F29" s="100"/>
      <c r="G29" s="100"/>
      <c r="H29" s="100"/>
    </row>
    <row r="30" spans="1:8" ht="15" customHeight="1" x14ac:dyDescent="0.25">
      <c r="A30" s="90" t="s">
        <v>32</v>
      </c>
      <c r="B30" s="90"/>
      <c r="C30" s="90"/>
      <c r="D30" s="90"/>
      <c r="E30" s="100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30" s="100"/>
      <c r="G30" s="100"/>
      <c r="H30" s="100"/>
    </row>
    <row r="31" spans="1:8" ht="15.75" customHeight="1" x14ac:dyDescent="0.25">
      <c r="A31" s="101" t="s">
        <v>91</v>
      </c>
      <c r="B31" s="101"/>
      <c r="C31" s="101"/>
      <c r="D31" s="101"/>
      <c r="E31" s="100" t="s">
        <v>33</v>
      </c>
      <c r="F31" s="100"/>
      <c r="G31" s="100"/>
      <c r="H31" s="100"/>
    </row>
    <row r="32" spans="1:8" s="17" customFormat="1" x14ac:dyDescent="0.25">
      <c r="A32" s="125" t="s">
        <v>92</v>
      </c>
      <c r="B32" s="125"/>
      <c r="C32" s="121" t="s">
        <v>246</v>
      </c>
      <c r="D32" s="121"/>
      <c r="E32" s="121"/>
      <c r="F32" s="121" t="s">
        <v>30</v>
      </c>
      <c r="G32" s="121"/>
      <c r="H32" s="121"/>
    </row>
    <row r="33" spans="1:8" s="17" customFormat="1" x14ac:dyDescent="0.25">
      <c r="A33" s="122" t="s">
        <v>25</v>
      </c>
      <c r="B33" s="122" t="s">
        <v>29</v>
      </c>
      <c r="C33" s="120" t="s">
        <v>211</v>
      </c>
      <c r="D33" s="120"/>
      <c r="E33" s="120"/>
      <c r="F33" s="120" t="s">
        <v>202</v>
      </c>
      <c r="G33" s="120"/>
      <c r="H33" s="120"/>
    </row>
    <row r="34" spans="1:8" x14ac:dyDescent="0.25">
      <c r="A34" s="122" t="s">
        <v>26</v>
      </c>
      <c r="B34" s="122" t="s">
        <v>29</v>
      </c>
      <c r="C34" s="120" t="s">
        <v>211</v>
      </c>
      <c r="D34" s="120"/>
      <c r="E34" s="120"/>
      <c r="F34" s="120" t="s">
        <v>204</v>
      </c>
      <c r="G34" s="120"/>
      <c r="H34" s="120"/>
    </row>
    <row r="35" spans="1:8" s="17" customFormat="1" x14ac:dyDescent="0.25">
      <c r="A35" s="122" t="s">
        <v>28</v>
      </c>
      <c r="B35" s="122" t="s">
        <v>29</v>
      </c>
      <c r="C35" s="120" t="s">
        <v>212</v>
      </c>
      <c r="D35" s="120"/>
      <c r="E35" s="120"/>
      <c r="F35" s="120" t="s">
        <v>203</v>
      </c>
      <c r="G35" s="120"/>
      <c r="H35" s="120"/>
    </row>
    <row r="36" spans="1:8" x14ac:dyDescent="0.25">
      <c r="A36" s="122" t="s">
        <v>27</v>
      </c>
      <c r="B36" s="122" t="s">
        <v>29</v>
      </c>
      <c r="C36" s="120" t="s">
        <v>213</v>
      </c>
      <c r="D36" s="120"/>
      <c r="E36" s="120"/>
      <c r="F36" s="120" t="s">
        <v>180</v>
      </c>
      <c r="G36" s="120"/>
      <c r="H36" s="120"/>
    </row>
    <row r="37" spans="1:8" x14ac:dyDescent="0.25">
      <c r="A37" s="101" t="s">
        <v>31</v>
      </c>
      <c r="B37" s="101"/>
      <c r="C37" s="101"/>
      <c r="D37" s="101"/>
      <c r="E37" s="101"/>
      <c r="F37" s="101"/>
      <c r="G37" s="101"/>
      <c r="H37" s="101"/>
    </row>
    <row r="38" spans="1:8" ht="15.75" customHeight="1" x14ac:dyDescent="0.25">
      <c r="A38" s="121" t="s">
        <v>214</v>
      </c>
      <c r="B38" s="121"/>
      <c r="C38" s="124" t="s">
        <v>215</v>
      </c>
      <c r="D38" s="124"/>
      <c r="E38" s="124"/>
      <c r="F38" s="124"/>
      <c r="G38" s="124"/>
      <c r="H38" s="124"/>
    </row>
    <row r="39" spans="1:8" x14ac:dyDescent="0.25">
      <c r="A39" s="152" t="s">
        <v>161</v>
      </c>
      <c r="B39" s="152"/>
      <c r="C39" s="169" t="s">
        <v>179</v>
      </c>
      <c r="D39" s="170"/>
      <c r="E39" s="170"/>
      <c r="F39" s="170"/>
      <c r="G39" s="170"/>
      <c r="H39" s="170"/>
    </row>
    <row r="40" spans="1:8" x14ac:dyDescent="0.25">
      <c r="A40" s="127" t="s">
        <v>34</v>
      </c>
      <c r="B40" s="127"/>
      <c r="C40" s="127"/>
      <c r="D40" s="127"/>
      <c r="E40" s="127"/>
      <c r="F40" s="127"/>
      <c r="G40" s="127"/>
      <c r="H40" s="127"/>
    </row>
    <row r="41" spans="1:8" x14ac:dyDescent="0.25">
      <c r="A41" s="90" t="s">
        <v>35</v>
      </c>
      <c r="B41" s="90"/>
      <c r="C41" s="90"/>
      <c r="D41" s="90"/>
      <c r="E41" s="161">
        <v>1428.71</v>
      </c>
      <c r="F41" s="161"/>
      <c r="G41" s="161"/>
      <c r="H41" s="161"/>
    </row>
    <row r="42" spans="1:8" x14ac:dyDescent="0.25">
      <c r="A42" s="90" t="s">
        <v>36</v>
      </c>
      <c r="B42" s="90"/>
      <c r="C42" s="90"/>
      <c r="D42" s="90"/>
      <c r="E42" s="123">
        <v>1</v>
      </c>
      <c r="F42" s="123"/>
      <c r="G42" s="123"/>
      <c r="H42" s="123"/>
    </row>
    <row r="43" spans="1:8" x14ac:dyDescent="0.25">
      <c r="A43" s="90" t="s">
        <v>37</v>
      </c>
      <c r="B43" s="90"/>
      <c r="C43" s="90"/>
      <c r="D43" s="90"/>
      <c r="E43" s="123">
        <f>E45/E41-E42</f>
        <v>2.3373672753742887</v>
      </c>
      <c r="F43" s="123"/>
      <c r="G43" s="123"/>
      <c r="H43" s="123"/>
    </row>
    <row r="44" spans="1:8" x14ac:dyDescent="0.25">
      <c r="A44" s="90" t="s">
        <v>38</v>
      </c>
      <c r="B44" s="90"/>
      <c r="C44" s="90"/>
      <c r="D44" s="90"/>
      <c r="E44" s="123">
        <f>E42+E43</f>
        <v>3.3373672753742887</v>
      </c>
      <c r="F44" s="123"/>
      <c r="G44" s="123"/>
      <c r="H44" s="123"/>
    </row>
    <row r="45" spans="1:8" x14ac:dyDescent="0.25">
      <c r="A45" s="90" t="s">
        <v>90</v>
      </c>
      <c r="B45" s="90"/>
      <c r="C45" s="90"/>
      <c r="D45" s="90"/>
      <c r="E45" s="131">
        <v>4768.13</v>
      </c>
      <c r="F45" s="131"/>
      <c r="G45" s="131"/>
      <c r="H45" s="131"/>
    </row>
    <row r="46" spans="1:8" x14ac:dyDescent="0.25">
      <c r="A46" s="101" t="s">
        <v>39</v>
      </c>
      <c r="B46" s="101"/>
      <c r="C46" s="101"/>
      <c r="D46" s="101"/>
      <c r="E46" s="101" t="s">
        <v>118</v>
      </c>
      <c r="F46" s="101"/>
      <c r="G46" s="101"/>
      <c r="H46" s="101"/>
    </row>
    <row r="47" spans="1:8" x14ac:dyDescent="0.25">
      <c r="A47" s="127" t="s">
        <v>40</v>
      </c>
      <c r="B47" s="127"/>
      <c r="C47" s="127"/>
      <c r="D47" s="127"/>
      <c r="E47" s="127"/>
      <c r="F47" s="127"/>
      <c r="G47" s="127"/>
      <c r="H47" s="127"/>
    </row>
    <row r="48" spans="1:8" ht="30.75" customHeight="1" x14ac:dyDescent="0.25">
      <c r="A48" s="97" t="s">
        <v>148</v>
      </c>
      <c r="B48" s="84"/>
      <c r="C48" s="154" t="s">
        <v>182</v>
      </c>
      <c r="D48" s="155"/>
      <c r="E48" s="155"/>
      <c r="F48" s="155"/>
      <c r="G48" s="155"/>
      <c r="H48" s="156"/>
    </row>
    <row r="49" spans="1:14" ht="33" customHeight="1" x14ac:dyDescent="0.25">
      <c r="A49" s="97" t="s">
        <v>41</v>
      </c>
      <c r="B49" s="84"/>
      <c r="C49" s="97" t="s">
        <v>232</v>
      </c>
      <c r="D49" s="119"/>
      <c r="E49" s="84"/>
      <c r="F49" s="15" t="s">
        <v>42</v>
      </c>
      <c r="G49" s="83">
        <v>45642</v>
      </c>
      <c r="H49" s="84"/>
    </row>
    <row r="50" spans="1:14" ht="29.25" customHeight="1" x14ac:dyDescent="0.25">
      <c r="A50" s="97" t="s">
        <v>43</v>
      </c>
      <c r="B50" s="84"/>
      <c r="C50" s="97" t="str">
        <f>C49</f>
        <v>P-10187/2022/(756D)/P/N
Ward/Malad North/337/3/Amend</v>
      </c>
      <c r="D50" s="119"/>
      <c r="E50" s="84"/>
      <c r="F50" s="15" t="s">
        <v>42</v>
      </c>
      <c r="G50" s="83">
        <f>G49</f>
        <v>45642</v>
      </c>
      <c r="H50" s="85"/>
    </row>
    <row r="51" spans="1:14" s="18" customFormat="1" ht="31.5" customHeight="1" x14ac:dyDescent="0.25">
      <c r="A51" s="86" t="s">
        <v>152</v>
      </c>
      <c r="B51" s="87"/>
      <c r="C51" s="97" t="s">
        <v>205</v>
      </c>
      <c r="D51" s="119"/>
      <c r="E51" s="84"/>
      <c r="F51" s="15" t="s">
        <v>42</v>
      </c>
      <c r="G51" s="83">
        <v>45663</v>
      </c>
      <c r="H51" s="85"/>
    </row>
    <row r="52" spans="1:14" s="18" customFormat="1" ht="158.25" customHeight="1" x14ac:dyDescent="0.25">
      <c r="A52" s="88"/>
      <c r="B52" s="89"/>
      <c r="C52" s="104" t="s">
        <v>208</v>
      </c>
      <c r="D52" s="105"/>
      <c r="E52" s="106"/>
      <c r="F52" s="15" t="s">
        <v>119</v>
      </c>
      <c r="G52" s="83">
        <v>45995</v>
      </c>
      <c r="H52" s="85"/>
    </row>
    <row r="53" spans="1:14" x14ac:dyDescent="0.25">
      <c r="A53" s="94" t="s">
        <v>44</v>
      </c>
      <c r="B53" s="96"/>
      <c r="C53" s="94" t="s">
        <v>104</v>
      </c>
      <c r="D53" s="95"/>
      <c r="E53" s="96"/>
      <c r="F53" s="36" t="s">
        <v>42</v>
      </c>
      <c r="G53" s="102" t="s">
        <v>29</v>
      </c>
      <c r="H53" s="103"/>
    </row>
    <row r="54" spans="1:14" x14ac:dyDescent="0.25">
      <c r="A54" s="98" t="s">
        <v>46</v>
      </c>
      <c r="B54" s="98"/>
      <c r="C54" s="98"/>
      <c r="D54" s="98"/>
      <c r="E54" s="98"/>
      <c r="F54" s="98"/>
      <c r="G54" s="98"/>
      <c r="H54" s="98"/>
    </row>
    <row r="55" spans="1:14" x14ac:dyDescent="0.25">
      <c r="A55" s="99" t="s">
        <v>89</v>
      </c>
      <c r="B55" s="99"/>
      <c r="C55" s="99"/>
      <c r="D55" s="90">
        <f>E45</f>
        <v>4768.13</v>
      </c>
      <c r="E55" s="90"/>
      <c r="F55" s="90"/>
      <c r="G55" s="90"/>
      <c r="H55" s="90"/>
    </row>
    <row r="56" spans="1:14" x14ac:dyDescent="0.25">
      <c r="A56" s="100" t="s">
        <v>47</v>
      </c>
      <c r="B56" s="101"/>
      <c r="C56" s="101"/>
      <c r="D56" s="101" t="s">
        <v>229</v>
      </c>
      <c r="E56" s="101"/>
      <c r="F56" s="101"/>
      <c r="G56" s="101"/>
      <c r="H56" s="101"/>
      <c r="I56" s="19"/>
    </row>
    <row r="57" spans="1:14" x14ac:dyDescent="0.25">
      <c r="A57" s="108" t="s">
        <v>48</v>
      </c>
      <c r="B57" s="109"/>
      <c r="C57" s="110"/>
      <c r="D57" s="162" t="s">
        <v>183</v>
      </c>
      <c r="E57" s="163"/>
      <c r="F57" s="163"/>
      <c r="G57" s="163"/>
      <c r="H57" s="163"/>
    </row>
    <row r="58" spans="1:14" ht="15.75" customHeight="1" x14ac:dyDescent="0.25">
      <c r="A58" s="108" t="s">
        <v>87</v>
      </c>
      <c r="B58" s="109"/>
      <c r="C58" s="109"/>
      <c r="D58" s="128" t="s">
        <v>183</v>
      </c>
      <c r="E58" s="129"/>
      <c r="F58" s="129"/>
      <c r="G58" s="129"/>
      <c r="H58" s="130"/>
    </row>
    <row r="59" spans="1:14" ht="15.75" customHeight="1" x14ac:dyDescent="0.25">
      <c r="A59" s="90" t="s">
        <v>45</v>
      </c>
      <c r="B59" s="90"/>
      <c r="C59" s="90"/>
      <c r="D59" s="126" t="s">
        <v>184</v>
      </c>
      <c r="E59" s="126"/>
      <c r="F59" s="126"/>
      <c r="G59" s="126"/>
      <c r="H59" s="126"/>
      <c r="J59" s="20"/>
      <c r="K59" s="19"/>
      <c r="N59" s="19"/>
    </row>
    <row r="60" spans="1:14" ht="15.75" customHeight="1" x14ac:dyDescent="0.25">
      <c r="A60" s="90" t="s">
        <v>85</v>
      </c>
      <c r="B60" s="90"/>
      <c r="C60" s="90"/>
      <c r="D60" s="165" t="str">
        <f>(IF(G53="NA","60 Years After Completion",IF(G53&lt;&gt;"NA",""&amp;60-ROUNDDOWN((E3-G53)/360,0)&amp;" Years"," ")))</f>
        <v>60 Years After Completion</v>
      </c>
      <c r="E60" s="165"/>
      <c r="F60" s="165"/>
      <c r="G60" s="165"/>
      <c r="H60" s="165"/>
      <c r="N60" s="19"/>
    </row>
    <row r="61" spans="1:14" ht="15.75" customHeight="1" x14ac:dyDescent="0.25">
      <c r="A61" s="90" t="s">
        <v>86</v>
      </c>
      <c r="B61" s="90"/>
      <c r="C61" s="90"/>
      <c r="D61" s="99" t="s">
        <v>24</v>
      </c>
      <c r="E61" s="99"/>
      <c r="F61" s="99"/>
      <c r="G61" s="99"/>
      <c r="H61" s="99"/>
      <c r="J61" s="21"/>
      <c r="K61" s="21"/>
    </row>
    <row r="62" spans="1:14" ht="32.450000000000003" customHeight="1" x14ac:dyDescent="0.25">
      <c r="A62" s="90" t="s">
        <v>72</v>
      </c>
      <c r="B62" s="90"/>
      <c r="C62" s="90"/>
      <c r="D62" s="100" t="s">
        <v>247</v>
      </c>
      <c r="E62" s="99"/>
      <c r="F62" s="99"/>
      <c r="G62" s="99"/>
      <c r="H62" s="99"/>
    </row>
    <row r="63" spans="1:14" x14ac:dyDescent="0.25">
      <c r="A63" s="99" t="s">
        <v>146</v>
      </c>
      <c r="B63" s="99"/>
      <c r="C63" s="99"/>
      <c r="D63" s="99" t="s">
        <v>29</v>
      </c>
      <c r="E63" s="99"/>
      <c r="F63" s="99"/>
      <c r="G63" s="99"/>
      <c r="H63" s="99"/>
      <c r="I63" s="22"/>
      <c r="J63" s="22"/>
      <c r="K63" s="22"/>
      <c r="L63" s="22"/>
      <c r="M63" s="22"/>
      <c r="N63" s="22"/>
    </row>
    <row r="64" spans="1:14" ht="15.75" customHeight="1" x14ac:dyDescent="0.25">
      <c r="A64" s="90" t="s">
        <v>84</v>
      </c>
      <c r="B64" s="90"/>
      <c r="C64" s="90"/>
      <c r="D64" s="100" t="str">
        <f ca="1">(IF(G70&gt;95%,"Nothing",IF(G70&gt;0%,"Cement, Aggregate, Steel, etc",IF(G70=0%,"Work not yet Started"))))</f>
        <v>Cement, Aggregate, Steel, etc</v>
      </c>
      <c r="E64" s="100"/>
      <c r="F64" s="100"/>
      <c r="G64" s="100"/>
      <c r="H64" s="100"/>
      <c r="J64" s="21"/>
    </row>
    <row r="65" spans="1:13" ht="33.75" customHeight="1" thickBot="1" x14ac:dyDescent="0.3">
      <c r="A65" s="99" t="s">
        <v>117</v>
      </c>
      <c r="B65" s="99"/>
      <c r="C65" s="99"/>
      <c r="D65" s="100" t="str">
        <f ca="1">(IF(D64="Nothing","Yes",IF(D64="Cement, Aggregate, Steel, etc","Under Construction",IF(D64="Work not yet Started","Work not yet Started"))))</f>
        <v>Under Construction</v>
      </c>
      <c r="E65" s="100"/>
      <c r="F65" s="100" t="str">
        <f ca="1">(IF(D64="Nothing","Yes",IF(D64="Cement, Aggregate, Steel, etc","Under Construction",IF(D64="Work not yet Started","Work not yet Started"))))</f>
        <v>Under Construction</v>
      </c>
      <c r="G65" s="100"/>
      <c r="H65" s="100"/>
    </row>
    <row r="66" spans="1:13" ht="15.75" customHeight="1" x14ac:dyDescent="0.25">
      <c r="A66" s="111" t="s">
        <v>138</v>
      </c>
      <c r="B66" s="111"/>
      <c r="C66" s="111" t="str">
        <f>D58</f>
        <v>Gr/Stilt + 1st to 16th Floor</v>
      </c>
      <c r="D66" s="111"/>
      <c r="E66" s="111"/>
      <c r="F66" s="111"/>
      <c r="G66" s="111"/>
      <c r="H66" s="111"/>
      <c r="I66" s="46" t="str">
        <f ca="1">IF(D79=100%,"All work Completed. Possession granted to the Building.",IF(D78=100%,"All work Completed, Waiting for OC",I67&amp;""&amp;I68&amp;""&amp;J67&amp;""&amp;J66&amp;" "&amp;J68))</f>
        <v>Excavation, Plinth, RCC Slab, Brickwork Completed, Internal Plaster upto 14 Floor, External Plaster upto 7 Floor, Flooring upto 2 Floor Completed</v>
      </c>
      <c r="J66" s="38" t="str">
        <f ca="1">(IF(C72=(D67+F67+H67),"",IF(C72&gt;0,", RCC upto "&amp;C72&amp;" Slab","")))&amp;(IF(C73=H67,"",IF(C73&gt;0,", Brickwork upto "&amp;C73&amp;" Floor","")))&amp;(IF(C74=H67,"",IF(C74&gt;0,", Internal Plaster upto "&amp;C74&amp;" Floor","")))&amp;(IF(C75=H67,"",IF(C75&gt;0,", External Plaster upto "&amp;C75&amp;" Floor","")))&amp;(IF(C76=H67,"",IF(C76&gt;0,", Flooring upto "&amp;C76&amp;" Floor","")))&amp;(IF(C77=H67,"",IF(C77&gt;0,", Painting upto "&amp;C77&amp;" Floor","")))&amp;(IF(C78=H67,"",IF(C78&gt;0,", Finishing upto "&amp;C78&amp;" Floor","")))&amp;(IF(C79=H67,"",IF(C79&gt;0,", Possession upto "&amp;C79&amp;" Floor","")))</f>
        <v>, Internal Plaster upto 14 Floor, External Plaster upto 7 Floor, Flooring upto 2 Floor</v>
      </c>
    </row>
    <row r="67" spans="1:13" x14ac:dyDescent="0.25">
      <c r="A67" s="56" t="s">
        <v>140</v>
      </c>
      <c r="B67" s="56">
        <v>0</v>
      </c>
      <c r="C67" s="56" t="s">
        <v>70</v>
      </c>
      <c r="D67" s="56">
        <v>1</v>
      </c>
      <c r="E67" s="56" t="s">
        <v>69</v>
      </c>
      <c r="F67" s="56">
        <v>0</v>
      </c>
      <c r="G67" s="56" t="s">
        <v>78</v>
      </c>
      <c r="H67" s="56">
        <f ca="1">--TRIM(RIGHT(SUBSTITUTE(LEFT(C66,_xlfn.AGGREGATE(16,6,FIND({0,1,2,3,4,5,6,7,8,9},C66,ROW(INDIRECT("1:"&amp;LEN(C66)))),1))," ",REPT(" ",LEN(C66))),LEN(C66)))</f>
        <v>16</v>
      </c>
      <c r="I67" s="47" t="str">
        <f ca="1">IF(D70=100%,"Excavation","")&amp;IF(D71=100%,", Plinth","")&amp;IF(D72=100%,", RCC Slab","")&amp;IF(D73=100%,", Brickwork","")&amp;IF(D74=100%,", Internal Plaster","")&amp;IF(D75=100%,", External Plaster","")&amp;IF(D76=100%,", Flooring","")&amp;IF(D77=100%,", Painting","")&amp;IF(D78=100%,", Building common Amenities","")</f>
        <v>Excavation, Plinth, RCC Slab, Brickwork</v>
      </c>
      <c r="J67" s="39" t="str">
        <f ca="1">(IF(C70=0,"Work not yet Started.",IF(D70=25%,"Piling work in process",IF(D70=50%,"Excavation work in process",IF(D70=100%,"","0")))))&amp;(IF(C71=0%,"",IF(C71=J72,", Footing work is process",IF(C71=J73,", Footing work Completed",IF(C71=J74,", 1st Basement Completed",IF(C71=J75,", 1st &amp; 2nd Basement Completed",IF(C71=J76,", 1st to 3rd Basement Completed",IF(C71=J77,", 1st to 4th Basement Completed",IF(C71=J78,", Plinth work is process",IF(C71=J79,"","0"))))))))))</f>
        <v/>
      </c>
    </row>
    <row r="68" spans="1:13" ht="30.95" customHeight="1" x14ac:dyDescent="0.25">
      <c r="A68" s="118" t="s">
        <v>88</v>
      </c>
      <c r="B68" s="118"/>
      <c r="C68" s="111" t="str">
        <f ca="1">I66</f>
        <v>Excavation, Plinth, RCC Slab, Brickwork Completed, Internal Plaster upto 14 Floor, External Plaster upto 7 Floor, Flooring upto 2 Floor Completed</v>
      </c>
      <c r="D68" s="111"/>
      <c r="E68" s="111"/>
      <c r="F68" s="111"/>
      <c r="G68" s="111"/>
      <c r="H68" s="111"/>
      <c r="I68" s="47" t="str">
        <f ca="1">IF(I67&lt;&gt;""," Completed","")</f>
        <v xml:space="preserve"> Completed</v>
      </c>
      <c r="J68" s="39" t="str">
        <f ca="1">IF(J66&lt;&gt;"","Completed","")</f>
        <v>Completed</v>
      </c>
    </row>
    <row r="69" spans="1:13" ht="15.75" customHeight="1" x14ac:dyDescent="0.25">
      <c r="A69" s="107" t="s">
        <v>49</v>
      </c>
      <c r="B69" s="107"/>
      <c r="C69" s="55" t="s">
        <v>137</v>
      </c>
      <c r="D69" s="55" t="s">
        <v>81</v>
      </c>
      <c r="E69" s="107" t="s">
        <v>83</v>
      </c>
      <c r="F69" s="107"/>
      <c r="G69" s="107" t="s">
        <v>82</v>
      </c>
      <c r="H69" s="107"/>
      <c r="I69" s="13" t="s">
        <v>139</v>
      </c>
      <c r="J69" s="23">
        <f ca="1">H67*25%</f>
        <v>4</v>
      </c>
    </row>
    <row r="70" spans="1:13" x14ac:dyDescent="0.25">
      <c r="A70" s="107" t="s">
        <v>126</v>
      </c>
      <c r="B70" s="107"/>
      <c r="C70" s="55">
        <f ca="1">J71</f>
        <v>16</v>
      </c>
      <c r="D70" s="41">
        <f ca="1">((100/H67)*C70)/100</f>
        <v>1</v>
      </c>
      <c r="E70" s="117">
        <f ca="1">(((C71/H67*10)+(40/(D67+F67+H67)*C72)+(7.5/(H67)*C73)+(7.5/(H67)*C74)+(10/H67*C75)+(10/H67*C76)+(5/H67*C77)+(5/H67*C78)+(5/H67*C79))/100)</f>
        <v>0.69687500000000002</v>
      </c>
      <c r="F70" s="117"/>
      <c r="G70" s="117">
        <f ca="1">((((C70/H67)*20)+((C71/H67)*25)+(30/(H67+F67+D67)*C72)+(5/H67*C73)+(5/H67*C74)+(5/H67*C75)+(5/H67*C76)+(0/H67*C77)+(0/H67*C78)+(5/H67*C79))/100)</f>
        <v>0.87187499999999996</v>
      </c>
      <c r="H70" s="117"/>
      <c r="I70" s="13" t="s">
        <v>99</v>
      </c>
      <c r="J70" s="24">
        <f ca="1">H67*50%</f>
        <v>8</v>
      </c>
    </row>
    <row r="71" spans="1:13" x14ac:dyDescent="0.25">
      <c r="A71" s="107" t="s">
        <v>50</v>
      </c>
      <c r="B71" s="107"/>
      <c r="C71" s="44">
        <f ca="1">J79</f>
        <v>16</v>
      </c>
      <c r="D71" s="41">
        <f ca="1">((100/H67)*C71)/100</f>
        <v>1</v>
      </c>
      <c r="E71" s="117"/>
      <c r="F71" s="117"/>
      <c r="G71" s="117"/>
      <c r="H71" s="117"/>
      <c r="I71" s="13" t="s">
        <v>100</v>
      </c>
      <c r="J71" s="24">
        <f ca="1">H67</f>
        <v>16</v>
      </c>
    </row>
    <row r="72" spans="1:13" ht="15.75" customHeight="1" x14ac:dyDescent="0.25">
      <c r="A72" s="107" t="s">
        <v>127</v>
      </c>
      <c r="B72" s="107"/>
      <c r="C72" s="55">
        <v>17</v>
      </c>
      <c r="D72" s="41">
        <f ca="1">((100/(D67+F67+H67))*C72)/100</f>
        <v>1</v>
      </c>
      <c r="E72" s="117"/>
      <c r="F72" s="117"/>
      <c r="G72" s="117"/>
      <c r="H72" s="117"/>
      <c r="I72" s="13" t="s">
        <v>101</v>
      </c>
      <c r="J72" s="25">
        <f ca="1">(IF(B67&gt;1,(H67/(B67+2)),H67/4))</f>
        <v>4</v>
      </c>
    </row>
    <row r="73" spans="1:13" ht="15.75" customHeight="1" x14ac:dyDescent="0.25">
      <c r="A73" s="107" t="s">
        <v>134</v>
      </c>
      <c r="B73" s="107" t="s">
        <v>128</v>
      </c>
      <c r="C73" s="55">
        <v>16</v>
      </c>
      <c r="D73" s="41">
        <f ca="1">((100/H67)*C73)/100</f>
        <v>1</v>
      </c>
      <c r="E73" s="117"/>
      <c r="F73" s="117"/>
      <c r="G73" s="117"/>
      <c r="H73" s="117"/>
      <c r="I73" s="13" t="s">
        <v>102</v>
      </c>
      <c r="J73" s="25">
        <f ca="1">(IF(B67&gt;1,(H67/(B67+2)+J72),H67/4+J72))</f>
        <v>8</v>
      </c>
    </row>
    <row r="74" spans="1:13" ht="15.75" customHeight="1" x14ac:dyDescent="0.25">
      <c r="A74" s="107" t="s">
        <v>135</v>
      </c>
      <c r="B74" s="107" t="s">
        <v>128</v>
      </c>
      <c r="C74" s="55">
        <v>14</v>
      </c>
      <c r="D74" s="41">
        <f ca="1">((100/H67)*C74)/100</f>
        <v>0.875</v>
      </c>
      <c r="E74" s="117"/>
      <c r="F74" s="117"/>
      <c r="G74" s="117"/>
      <c r="H74" s="117"/>
      <c r="I74" s="13" t="s">
        <v>144</v>
      </c>
      <c r="J74" s="25">
        <f>(IF(B67&gt;1,(H67/(B67+2)+J73),0))</f>
        <v>0</v>
      </c>
    </row>
    <row r="75" spans="1:13" ht="15" customHeight="1" x14ac:dyDescent="0.25">
      <c r="A75" s="107" t="s">
        <v>133</v>
      </c>
      <c r="B75" s="107" t="s">
        <v>130</v>
      </c>
      <c r="C75" s="55">
        <v>7</v>
      </c>
      <c r="D75" s="41">
        <f ca="1">((100/(H67))*C75)/100</f>
        <v>0.4375</v>
      </c>
      <c r="E75" s="117"/>
      <c r="F75" s="117"/>
      <c r="G75" s="117"/>
      <c r="H75" s="117"/>
      <c r="I75" s="13" t="s">
        <v>141</v>
      </c>
      <c r="J75" s="25">
        <f>(IF(B67&gt;2,(H67/(B67+2)+J74),0))</f>
        <v>0</v>
      </c>
    </row>
    <row r="76" spans="1:13" ht="15.75" customHeight="1" x14ac:dyDescent="0.25">
      <c r="A76" s="107" t="s">
        <v>129</v>
      </c>
      <c r="B76" s="107" t="s">
        <v>129</v>
      </c>
      <c r="C76" s="55">
        <v>2</v>
      </c>
      <c r="D76" s="41">
        <f ca="1">((100/H67)*C76)/100</f>
        <v>0.125</v>
      </c>
      <c r="E76" s="117"/>
      <c r="F76" s="117"/>
      <c r="G76" s="117"/>
      <c r="H76" s="117"/>
      <c r="I76" s="13" t="s">
        <v>142</v>
      </c>
      <c r="J76" s="26">
        <f>(IF(B67&gt;3,(H67/(B67+2)+J75),0))</f>
        <v>0</v>
      </c>
    </row>
    <row r="77" spans="1:13" ht="15.75" customHeight="1" x14ac:dyDescent="0.25">
      <c r="A77" s="107" t="s">
        <v>136</v>
      </c>
      <c r="B77" s="107"/>
      <c r="C77" s="55">
        <v>0</v>
      </c>
      <c r="D77" s="41">
        <f ca="1">((100/H67)*C77)/100</f>
        <v>0</v>
      </c>
      <c r="E77" s="117"/>
      <c r="F77" s="117"/>
      <c r="G77" s="117"/>
      <c r="H77" s="117"/>
      <c r="I77" s="13" t="s">
        <v>143</v>
      </c>
      <c r="J77" s="25">
        <f>(IF(B67&gt;4,(H67/(B67+2)+J76),0))</f>
        <v>0</v>
      </c>
    </row>
    <row r="78" spans="1:13" ht="15.75" customHeight="1" x14ac:dyDescent="0.25">
      <c r="A78" s="107" t="s">
        <v>131</v>
      </c>
      <c r="B78" s="107" t="s">
        <v>131</v>
      </c>
      <c r="C78" s="55">
        <v>0</v>
      </c>
      <c r="D78" s="41">
        <f ca="1">((100/(H67))*C78)/100</f>
        <v>0</v>
      </c>
      <c r="E78" s="117"/>
      <c r="F78" s="117"/>
      <c r="G78" s="117"/>
      <c r="H78" s="117"/>
      <c r="I78" s="13" t="s">
        <v>145</v>
      </c>
      <c r="J78" s="25">
        <f ca="1">(IF(B67=1,(H67/(B67+3)+J73),IF(B67=0,(H67/4+J73),IF(B67&gt;1,0))))</f>
        <v>12</v>
      </c>
    </row>
    <row r="79" spans="1:13" ht="16.5" thickBot="1" x14ac:dyDescent="0.3">
      <c r="A79" s="107" t="s">
        <v>132</v>
      </c>
      <c r="B79" s="107"/>
      <c r="C79" s="55">
        <v>0</v>
      </c>
      <c r="D79" s="41">
        <f ca="1">((100/(H67))*C79)/100</f>
        <v>0</v>
      </c>
      <c r="E79" s="117"/>
      <c r="F79" s="117"/>
      <c r="G79" s="117"/>
      <c r="H79" s="117"/>
      <c r="I79" s="14" t="s">
        <v>103</v>
      </c>
      <c r="J79" s="27">
        <f ca="1">(IF(B67&gt;1.5,(H67/(B67+2)+J73+MAX(0,J74-J73)+MAX(0,J75-J74)+MAX(0,J76-J75)+MAX(0,J77-J76)+MAX(0,J78-J77)),IF(B67=1,(H67/(B67+3)+J78),IF(B67=0,H67/4+J78))))</f>
        <v>16</v>
      </c>
    </row>
    <row r="80" spans="1:13" x14ac:dyDescent="0.25">
      <c r="A80" s="164" t="s">
        <v>154</v>
      </c>
      <c r="B80" s="164"/>
      <c r="C80" s="164"/>
      <c r="D80" s="164"/>
      <c r="E80" s="164"/>
      <c r="F80" s="171" t="s">
        <v>159</v>
      </c>
      <c r="G80" s="171"/>
      <c r="H80" s="171"/>
      <c r="I80" s="40"/>
      <c r="J80" s="40"/>
      <c r="K80" s="40"/>
      <c r="L80" s="40"/>
      <c r="M80" s="40"/>
    </row>
    <row r="81" spans="1:13" x14ac:dyDescent="0.25">
      <c r="A81" s="90" t="s">
        <v>157</v>
      </c>
      <c r="B81" s="90"/>
      <c r="C81" s="90"/>
      <c r="D81" s="90"/>
      <c r="E81" s="90"/>
      <c r="F81" s="114">
        <v>18000</v>
      </c>
      <c r="G81" s="114"/>
      <c r="H81" s="114"/>
      <c r="I81" s="31" t="s">
        <v>234</v>
      </c>
      <c r="J81" s="40"/>
      <c r="K81" s="40"/>
      <c r="L81" s="31"/>
      <c r="M81" s="40"/>
    </row>
    <row r="82" spans="1:13" x14ac:dyDescent="0.25">
      <c r="A82" s="90" t="s">
        <v>156</v>
      </c>
      <c r="B82" s="90"/>
      <c r="C82" s="90"/>
      <c r="D82" s="90"/>
      <c r="E82" s="90"/>
      <c r="F82" s="114">
        <v>30000</v>
      </c>
      <c r="G82" s="114"/>
      <c r="H82" s="114"/>
      <c r="I82" s="31"/>
    </row>
    <row r="83" spans="1:13" x14ac:dyDescent="0.25">
      <c r="A83" s="90" t="s">
        <v>158</v>
      </c>
      <c r="B83" s="90"/>
      <c r="C83" s="90"/>
      <c r="D83" s="90"/>
      <c r="E83" s="90"/>
      <c r="F83" s="158">
        <v>25000</v>
      </c>
      <c r="G83" s="158"/>
      <c r="H83" s="158"/>
    </row>
    <row r="84" spans="1:13" s="28" customFormat="1" hidden="1" x14ac:dyDescent="0.25">
      <c r="A84" s="90" t="s">
        <v>155</v>
      </c>
      <c r="B84" s="90"/>
      <c r="C84" s="90"/>
      <c r="D84" s="90"/>
      <c r="E84" s="90"/>
      <c r="F84" s="114"/>
      <c r="G84" s="114"/>
      <c r="H84" s="114"/>
    </row>
    <row r="85" spans="1:13" s="28" customFormat="1" hidden="1" x14ac:dyDescent="0.25">
      <c r="A85" s="90" t="s">
        <v>93</v>
      </c>
      <c r="B85" s="90"/>
      <c r="C85" s="90"/>
      <c r="D85" s="90"/>
      <c r="E85" s="90"/>
      <c r="F85" s="114"/>
      <c r="G85" s="114"/>
      <c r="H85" s="114"/>
    </row>
    <row r="86" spans="1:13" s="28" customFormat="1" hidden="1" x14ac:dyDescent="0.25">
      <c r="A86" s="90" t="s">
        <v>94</v>
      </c>
      <c r="B86" s="90"/>
      <c r="C86" s="90"/>
      <c r="D86" s="90"/>
      <c r="E86" s="90"/>
      <c r="F86" s="114"/>
      <c r="G86" s="114"/>
      <c r="H86" s="114"/>
    </row>
    <row r="87" spans="1:13" s="28" customFormat="1" hidden="1" x14ac:dyDescent="0.25">
      <c r="A87" s="90" t="s">
        <v>160</v>
      </c>
      <c r="B87" s="90"/>
      <c r="C87" s="90"/>
      <c r="D87" s="90"/>
      <c r="E87" s="90"/>
      <c r="F87" s="114"/>
      <c r="G87" s="114"/>
      <c r="H87" s="114"/>
    </row>
    <row r="88" spans="1:13" s="28" customFormat="1" hidden="1" x14ac:dyDescent="0.25">
      <c r="A88" s="90" t="s">
        <v>95</v>
      </c>
      <c r="B88" s="90"/>
      <c r="C88" s="90"/>
      <c r="D88" s="90"/>
      <c r="E88" s="90"/>
      <c r="F88" s="114"/>
      <c r="G88" s="114"/>
      <c r="H88" s="114"/>
    </row>
    <row r="89" spans="1:13" s="28" customFormat="1" hidden="1" x14ac:dyDescent="0.25">
      <c r="A89" s="90" t="s">
        <v>96</v>
      </c>
      <c r="B89" s="90"/>
      <c r="C89" s="90"/>
      <c r="D89" s="90"/>
      <c r="E89" s="90"/>
      <c r="F89" s="114"/>
      <c r="G89" s="114"/>
      <c r="H89" s="114"/>
    </row>
    <row r="90" spans="1:13" s="28" customFormat="1" hidden="1" x14ac:dyDescent="0.25">
      <c r="A90" s="90" t="s">
        <v>97</v>
      </c>
      <c r="B90" s="90"/>
      <c r="C90" s="90"/>
      <c r="D90" s="90"/>
      <c r="E90" s="90"/>
      <c r="F90" s="114"/>
      <c r="G90" s="114"/>
      <c r="H90" s="114"/>
    </row>
    <row r="91" spans="1:13" s="28" customFormat="1" hidden="1" x14ac:dyDescent="0.25">
      <c r="A91" s="90" t="s">
        <v>98</v>
      </c>
      <c r="B91" s="90"/>
      <c r="C91" s="90"/>
      <c r="D91" s="90"/>
      <c r="E91" s="90"/>
      <c r="F91" s="114"/>
      <c r="G91" s="114"/>
      <c r="H91" s="114"/>
    </row>
    <row r="92" spans="1:13" x14ac:dyDescent="0.25">
      <c r="A92" s="90" t="s">
        <v>51</v>
      </c>
      <c r="B92" s="90"/>
      <c r="C92" s="90"/>
      <c r="D92" s="90"/>
      <c r="E92" s="90"/>
      <c r="F92" s="114">
        <v>800000</v>
      </c>
      <c r="G92" s="114"/>
      <c r="H92" s="114"/>
    </row>
    <row r="93" spans="1:13" s="29" customFormat="1" x14ac:dyDescent="0.25">
      <c r="A93" s="127" t="s">
        <v>52</v>
      </c>
      <c r="B93" s="127"/>
      <c r="C93" s="127"/>
      <c r="D93" s="127"/>
      <c r="E93" s="127"/>
      <c r="F93" s="114">
        <f>F81*0.8</f>
        <v>14400</v>
      </c>
      <c r="G93" s="114"/>
      <c r="H93" s="114"/>
    </row>
    <row r="94" spans="1:13" s="30" customFormat="1" ht="15.75" customHeight="1" x14ac:dyDescent="0.25">
      <c r="A94" s="138" t="s">
        <v>73</v>
      </c>
      <c r="B94" s="138"/>
      <c r="C94" s="138"/>
      <c r="D94" s="138"/>
      <c r="E94" s="138"/>
      <c r="F94" s="138"/>
      <c r="G94" s="138"/>
      <c r="H94" s="138"/>
    </row>
    <row r="95" spans="1:13" s="30" customFormat="1" ht="15.75" customHeight="1" x14ac:dyDescent="0.25">
      <c r="A95" s="133" t="s">
        <v>53</v>
      </c>
      <c r="B95" s="133"/>
      <c r="C95" s="147" t="s">
        <v>76</v>
      </c>
      <c r="D95" s="147"/>
      <c r="E95" s="132" t="s">
        <v>54</v>
      </c>
      <c r="F95" s="132"/>
      <c r="G95" s="133" t="s">
        <v>55</v>
      </c>
      <c r="H95" s="133"/>
    </row>
    <row r="96" spans="1:13" s="30" customFormat="1" x14ac:dyDescent="0.25">
      <c r="A96" s="159" t="s">
        <v>186</v>
      </c>
      <c r="B96" s="159"/>
      <c r="C96" s="115">
        <f>COUNT(F106:F109)</f>
        <v>4</v>
      </c>
      <c r="D96" s="116"/>
      <c r="E96" s="115">
        <f>SUM(F106:F109)</f>
        <v>2527.6975619999998</v>
      </c>
      <c r="F96" s="116"/>
      <c r="G96" s="115">
        <f>SUM(H106:H109)</f>
        <v>4044.3160992000003</v>
      </c>
      <c r="H96" s="116"/>
    </row>
    <row r="97" spans="1:20" s="30" customFormat="1" x14ac:dyDescent="0.25">
      <c r="A97" s="159" t="s">
        <v>217</v>
      </c>
      <c r="B97" s="159"/>
      <c r="C97" s="115">
        <f>COUNT(F111:F112)</f>
        <v>2</v>
      </c>
      <c r="D97" s="116"/>
      <c r="E97" s="115">
        <f>SUM(F111:F112)</f>
        <v>2223.1965599999999</v>
      </c>
      <c r="F97" s="116"/>
      <c r="G97" s="115">
        <f>SUM(H111:H112)</f>
        <v>3557.1144960000001</v>
      </c>
      <c r="H97" s="116"/>
    </row>
    <row r="98" spans="1:20" s="30" customFormat="1" x14ac:dyDescent="0.25">
      <c r="A98" s="138" t="s">
        <v>68</v>
      </c>
      <c r="B98" s="138"/>
      <c r="C98" s="138"/>
      <c r="D98" s="138"/>
      <c r="E98" s="138"/>
      <c r="F98" s="138"/>
      <c r="G98" s="138"/>
      <c r="H98" s="138"/>
    </row>
    <row r="99" spans="1:20" s="30" customFormat="1" ht="15.75" customHeight="1" x14ac:dyDescent="0.25">
      <c r="A99" s="133" t="s">
        <v>53</v>
      </c>
      <c r="B99" s="133"/>
      <c r="C99" s="147" t="s">
        <v>76</v>
      </c>
      <c r="D99" s="147"/>
      <c r="E99" s="132" t="s">
        <v>54</v>
      </c>
      <c r="F99" s="132"/>
      <c r="G99" s="133" t="s">
        <v>55</v>
      </c>
      <c r="H99" s="133"/>
    </row>
    <row r="100" spans="1:20" s="30" customFormat="1" x14ac:dyDescent="0.25">
      <c r="A100" s="159" t="s">
        <v>67</v>
      </c>
      <c r="B100" s="159"/>
      <c r="C100" s="115">
        <f>COUNT(F118:F120)+COUNT(F124:F128)+COUNT(F130:F134)*2+COUNT(F136:F140)+COUNT(F142:F146)+COUNT(F148:F152)*4+COUNT(F154:F158)*3+COUNT(F160:F163)+COUNT(F165:F166)</f>
        <v>69</v>
      </c>
      <c r="D100" s="115"/>
      <c r="E100" s="115">
        <f>SUM(F118:F120)+SUM(F124:F128)+SUM(F130:F134)*2+SUM(F136:F140)+SUM(F142:F146)+SUM(F148:F152)*4+SUM(F154:F158)*3+SUM(F160:F163)+SUM(F165:F166)</f>
        <v>43453.406879999995</v>
      </c>
      <c r="F100" s="115"/>
      <c r="G100" s="115">
        <f>SUM(H118:H120)+SUM(H124:H128)+SUM(H130:H134)*2+SUM(H136:H140)+SUM(H142:H146)+SUM(H148:H152)*4+SUM(H154:H158)*3+SUM(H160:H163)+SUM(H165:H166)</f>
        <v>65180.110320000007</v>
      </c>
      <c r="H100" s="115"/>
    </row>
    <row r="101" spans="1:20" s="29" customFormat="1" x14ac:dyDescent="0.25">
      <c r="A101" s="113" t="s">
        <v>235</v>
      </c>
      <c r="B101" s="113"/>
      <c r="C101" s="113"/>
      <c r="D101" s="113"/>
      <c r="E101" s="113"/>
      <c r="F101" s="113"/>
      <c r="G101" s="113"/>
      <c r="H101" s="113"/>
      <c r="T101" s="30"/>
    </row>
    <row r="102" spans="1:20" x14ac:dyDescent="0.25">
      <c r="A102" s="121" t="s">
        <v>236</v>
      </c>
      <c r="B102" s="121"/>
      <c r="C102" s="121"/>
      <c r="D102" s="121"/>
      <c r="E102" s="121"/>
      <c r="F102" s="121"/>
      <c r="G102" s="121"/>
      <c r="H102" s="121"/>
      <c r="T102" s="30"/>
    </row>
    <row r="103" spans="1:20" ht="47.25" customHeight="1" x14ac:dyDescent="0.25">
      <c r="A103" s="134" t="s">
        <v>244</v>
      </c>
      <c r="B103" s="134" t="s">
        <v>237</v>
      </c>
      <c r="C103" s="134" t="s">
        <v>56</v>
      </c>
      <c r="D103" s="134" t="s">
        <v>238</v>
      </c>
      <c r="E103" s="136" t="s">
        <v>153</v>
      </c>
      <c r="F103" s="134" t="s">
        <v>57</v>
      </c>
      <c r="G103" s="136" t="s">
        <v>58</v>
      </c>
      <c r="H103" s="58" t="s">
        <v>147</v>
      </c>
      <c r="T103" s="30"/>
    </row>
    <row r="104" spans="1:20" s="53" customFormat="1" x14ac:dyDescent="0.25">
      <c r="A104" s="135"/>
      <c r="B104" s="135"/>
      <c r="C104" s="135"/>
      <c r="D104" s="135"/>
      <c r="E104" s="137"/>
      <c r="F104" s="135"/>
      <c r="G104" s="137"/>
      <c r="H104" s="59">
        <v>0.6</v>
      </c>
      <c r="T104" s="30"/>
    </row>
    <row r="105" spans="1:20" s="53" customFormat="1" ht="15.6" customHeight="1" x14ac:dyDescent="0.25">
      <c r="A105" s="142" t="s">
        <v>216</v>
      </c>
      <c r="B105" s="143"/>
      <c r="C105" s="143"/>
      <c r="D105" s="143"/>
      <c r="E105" s="143"/>
      <c r="F105" s="143"/>
      <c r="G105" s="143"/>
      <c r="H105" s="144"/>
      <c r="J105" s="31"/>
      <c r="T105" s="30"/>
    </row>
    <row r="106" spans="1:20" s="53" customFormat="1" ht="15.75" customHeight="1" x14ac:dyDescent="0.25">
      <c r="A106" s="145">
        <v>1</v>
      </c>
      <c r="B106" s="146"/>
      <c r="C106" s="60" t="s">
        <v>186</v>
      </c>
      <c r="D106" s="61">
        <f>(91.68)*10.764</f>
        <v>986.84352000000001</v>
      </c>
      <c r="E106" s="61">
        <f>(8.85*8.3+1.35*0.9+1.55*0.98)*10.764</f>
        <v>820.09839599999998</v>
      </c>
      <c r="F106" s="60">
        <f>D106+(IF(E106&lt;201,E106,IF(E106&lt;301,E106/2,E106/3)))</f>
        <v>1260.209652</v>
      </c>
      <c r="G106" s="62">
        <v>0</v>
      </c>
      <c r="H106" s="52">
        <f>(F106+(IF(G106&lt;101,G106,IF(G106&lt;201,G106/2,IF(G106&lt;=301,G106/3,G106/4)))))*(($H$104)+1)</f>
        <v>2016.3354432000001</v>
      </c>
      <c r="I106" s="31"/>
      <c r="L106" s="70"/>
      <c r="M106" s="70"/>
      <c r="N106" s="31"/>
      <c r="T106" s="30"/>
    </row>
    <row r="107" spans="1:20" s="53" customFormat="1" ht="15.75" customHeight="1" x14ac:dyDescent="0.25">
      <c r="A107" s="65">
        <v>4</v>
      </c>
      <c r="B107" s="66"/>
      <c r="C107" s="52" t="s">
        <v>186</v>
      </c>
      <c r="D107" s="42">
        <f>(30.65)*10.764</f>
        <v>329.91659999999996</v>
      </c>
      <c r="E107" s="42">
        <f>(3.05*8.3)*10.764</f>
        <v>272.49065999999999</v>
      </c>
      <c r="F107" s="52">
        <f>D107+(IF(E107&lt;201,E107,IF(E107&lt;301,E107/2,E107/3)))</f>
        <v>466.16192999999998</v>
      </c>
      <c r="G107" s="52">
        <v>0</v>
      </c>
      <c r="H107" s="52">
        <f t="shared" ref="H107:H109" si="0">(F107+(IF(G107&lt;101,G107,IF(G107&lt;201,G107/2,IF(G107&lt;=301,G107/3,G107/4)))))*(($H$104)+1)</f>
        <v>745.85908800000004</v>
      </c>
      <c r="I107" s="31"/>
      <c r="L107" s="70"/>
      <c r="M107" s="70"/>
      <c r="N107" s="31"/>
      <c r="T107" s="29"/>
    </row>
    <row r="108" spans="1:20" s="53" customFormat="1" ht="15.75" customHeight="1" x14ac:dyDescent="0.25">
      <c r="A108" s="65">
        <f>A107+1</f>
        <v>5</v>
      </c>
      <c r="B108" s="66"/>
      <c r="C108" s="52" t="s">
        <v>186</v>
      </c>
      <c r="D108" s="42">
        <f>(24.62)*10.764</f>
        <v>265.00968</v>
      </c>
      <c r="E108" s="42">
        <f>(2.45*8.3)*10.764</f>
        <v>218.88594000000003</v>
      </c>
      <c r="F108" s="52">
        <f>D108+(IF(E108&lt;201,E108,IF(E108&lt;301,E108/2,E108/3)))</f>
        <v>374.45265000000001</v>
      </c>
      <c r="G108" s="52">
        <v>0</v>
      </c>
      <c r="H108" s="52">
        <f t="shared" si="0"/>
        <v>599.12423999999999</v>
      </c>
      <c r="I108" s="31"/>
      <c r="L108" s="70"/>
      <c r="M108" s="70"/>
      <c r="N108" s="31"/>
      <c r="T108" s="16"/>
    </row>
    <row r="109" spans="1:20" s="53" customFormat="1" ht="15.75" customHeight="1" x14ac:dyDescent="0.25">
      <c r="A109" s="65">
        <f>A108+1</f>
        <v>6</v>
      </c>
      <c r="B109" s="66"/>
      <c r="C109" s="52" t="s">
        <v>186</v>
      </c>
      <c r="D109" s="42">
        <f>(29.84)*10.764</f>
        <v>321.19775999999996</v>
      </c>
      <c r="E109" s="42">
        <f>(5.1*3.85)*10.764</f>
        <v>211.35113999999996</v>
      </c>
      <c r="F109" s="52">
        <f>D109+(IF(E109&lt;201,E109,IF(E109&lt;301,E109/2,E109/3)))</f>
        <v>426.87332999999995</v>
      </c>
      <c r="G109" s="52">
        <v>0</v>
      </c>
      <c r="H109" s="52">
        <f t="shared" si="0"/>
        <v>682.99732799999992</v>
      </c>
      <c r="I109" s="31"/>
      <c r="L109" s="70"/>
      <c r="M109" s="70"/>
      <c r="N109" s="31"/>
      <c r="T109" s="16"/>
    </row>
    <row r="110" spans="1:20" s="53" customFormat="1" ht="15.6" customHeight="1" x14ac:dyDescent="0.25">
      <c r="A110" s="79" t="s">
        <v>200</v>
      </c>
      <c r="B110" s="79"/>
      <c r="C110" s="79"/>
      <c r="D110" s="79"/>
      <c r="E110" s="79"/>
      <c r="F110" s="79"/>
      <c r="G110" s="79"/>
      <c r="H110" s="79"/>
      <c r="J110" s="31"/>
      <c r="T110" s="30"/>
    </row>
    <row r="111" spans="1:20" s="53" customFormat="1" ht="15.75" customHeight="1" x14ac:dyDescent="0.25">
      <c r="A111" s="71">
        <v>1</v>
      </c>
      <c r="B111" s="71"/>
      <c r="C111" s="54" t="s">
        <v>217</v>
      </c>
      <c r="D111" s="42">
        <f>(55.62)*10.764</f>
        <v>598.69367999999997</v>
      </c>
      <c r="E111" s="54">
        <v>0</v>
      </c>
      <c r="F111" s="54">
        <f>D111+(IF(E111&lt;201,E111,IF(E111&lt;301,E111/2,E111/3)))</f>
        <v>598.69367999999997</v>
      </c>
      <c r="G111" s="57">
        <v>0</v>
      </c>
      <c r="H111" s="54">
        <f>(F111+(IF(G111&lt;101,G111,IF(G111&lt;201,G111/2,IF(G111&lt;=301,G111/3,G111/4)))))*(($H$104)+1)</f>
        <v>957.90988800000002</v>
      </c>
      <c r="I111" s="31"/>
      <c r="L111" s="70"/>
      <c r="M111" s="70"/>
      <c r="N111" s="31"/>
      <c r="T111" s="30"/>
    </row>
    <row r="112" spans="1:20" s="53" customFormat="1" ht="15.75" customHeight="1" x14ac:dyDescent="0.25">
      <c r="A112" s="71">
        <f>A111+1</f>
        <v>2</v>
      </c>
      <c r="B112" s="71"/>
      <c r="C112" s="54" t="s">
        <v>217</v>
      </c>
      <c r="D112" s="42">
        <f>(150.92)*10.764</f>
        <v>1624.5028799999998</v>
      </c>
      <c r="E112" s="54">
        <v>0</v>
      </c>
      <c r="F112" s="54">
        <f>D112+(IF(E112&lt;201,E112,IF(E112&lt;301,E112/2,E112/3)))</f>
        <v>1624.5028799999998</v>
      </c>
      <c r="G112" s="54">
        <v>0</v>
      </c>
      <c r="H112" s="54">
        <f>(F112+(IF(G112&lt;101,G112,IF(G112&lt;201,G112/2,IF(G112&lt;=301,G112/3,G112/4)))))*(($H$104)+1)</f>
        <v>2599.204608</v>
      </c>
      <c r="I112" s="31"/>
      <c r="L112" s="70"/>
      <c r="M112" s="70"/>
      <c r="N112" s="31"/>
      <c r="T112" s="29"/>
    </row>
    <row r="113" spans="1:20" s="53" customFormat="1" x14ac:dyDescent="0.25">
      <c r="A113" s="80"/>
      <c r="B113" s="80"/>
      <c r="C113" s="80"/>
      <c r="D113" s="80"/>
      <c r="E113" s="80"/>
      <c r="F113" s="80"/>
      <c r="G113" s="80"/>
      <c r="H113" s="80"/>
      <c r="I113" s="31"/>
      <c r="N113" s="31"/>
    </row>
    <row r="114" spans="1:20" ht="47.25" customHeight="1" x14ac:dyDescent="0.25">
      <c r="A114" s="81" t="s">
        <v>245</v>
      </c>
      <c r="B114" s="81" t="s">
        <v>239</v>
      </c>
      <c r="C114" s="81" t="s">
        <v>56</v>
      </c>
      <c r="D114" s="81" t="s">
        <v>238</v>
      </c>
      <c r="E114" s="81" t="s">
        <v>240</v>
      </c>
      <c r="F114" s="81" t="s">
        <v>57</v>
      </c>
      <c r="G114" s="82" t="s">
        <v>58</v>
      </c>
      <c r="H114" s="63" t="s">
        <v>147</v>
      </c>
      <c r="I114" s="31"/>
      <c r="T114" s="53"/>
    </row>
    <row r="115" spans="1:20" s="53" customFormat="1" x14ac:dyDescent="0.25">
      <c r="A115" s="81"/>
      <c r="B115" s="81"/>
      <c r="C115" s="81"/>
      <c r="D115" s="81"/>
      <c r="E115" s="81"/>
      <c r="F115" s="81"/>
      <c r="G115" s="82"/>
      <c r="H115" s="64">
        <v>0.5</v>
      </c>
      <c r="I115" s="31"/>
    </row>
    <row r="116" spans="1:20" s="48" customFormat="1" x14ac:dyDescent="0.25">
      <c r="A116" s="79" t="s">
        <v>226</v>
      </c>
      <c r="B116" s="79"/>
      <c r="C116" s="79"/>
      <c r="D116" s="79"/>
      <c r="E116" s="79"/>
      <c r="F116" s="79"/>
      <c r="G116" s="79"/>
      <c r="H116" s="79"/>
      <c r="J116" s="31"/>
    </row>
    <row r="117" spans="1:20" s="53" customFormat="1" ht="15.6" customHeight="1" x14ac:dyDescent="0.25">
      <c r="A117" s="79" t="s">
        <v>201</v>
      </c>
      <c r="B117" s="79"/>
      <c r="C117" s="79"/>
      <c r="D117" s="79"/>
      <c r="E117" s="79"/>
      <c r="F117" s="79"/>
      <c r="G117" s="79"/>
      <c r="H117" s="79"/>
      <c r="J117" s="31"/>
    </row>
    <row r="118" spans="1:20" s="53" customFormat="1" ht="15.75" customHeight="1" x14ac:dyDescent="0.25">
      <c r="A118" s="65">
        <v>1</v>
      </c>
      <c r="B118" s="66"/>
      <c r="C118" s="52" t="s">
        <v>187</v>
      </c>
      <c r="D118" s="42">
        <f>(50.85)*10.764</f>
        <v>547.34939999999995</v>
      </c>
      <c r="E118" s="52">
        <v>0</v>
      </c>
      <c r="F118" s="52">
        <f>D118+E118</f>
        <v>547.34939999999995</v>
      </c>
      <c r="G118" s="52">
        <v>0</v>
      </c>
      <c r="H118" s="52">
        <f>F118*(($H$115)+1)+(IF(G118&lt;101,G118,IF(G118&lt;201,G118/2,IF(G118&lt;=301,G118/3,G118/4))))</f>
        <v>821.02409999999986</v>
      </c>
      <c r="I118" s="31"/>
      <c r="L118" s="70"/>
      <c r="M118" s="70"/>
      <c r="N118" s="31"/>
    </row>
    <row r="119" spans="1:20" s="53" customFormat="1" ht="15.75" customHeight="1" x14ac:dyDescent="0.25">
      <c r="A119" s="65">
        <f>A118+1</f>
        <v>2</v>
      </c>
      <c r="B119" s="66"/>
      <c r="C119" s="52" t="s">
        <v>187</v>
      </c>
      <c r="D119" s="42">
        <f>(50.85)*10.764</f>
        <v>547.34939999999995</v>
      </c>
      <c r="E119" s="52">
        <v>0</v>
      </c>
      <c r="F119" s="52">
        <f>D119+E119</f>
        <v>547.34939999999995</v>
      </c>
      <c r="G119" s="52">
        <v>0</v>
      </c>
      <c r="H119" s="52">
        <f t="shared" ref="H119:H120" si="1">F119*(($H$115)+1)+(IF(G119&lt;101,G119,IF(G119&lt;201,G119/2,IF(G119&lt;=301,G119/3,G119/4))))</f>
        <v>821.02409999999986</v>
      </c>
      <c r="I119" s="31"/>
      <c r="L119" s="70"/>
      <c r="M119" s="70"/>
      <c r="N119" s="31"/>
    </row>
    <row r="120" spans="1:20" s="53" customFormat="1" ht="15.75" customHeight="1" x14ac:dyDescent="0.25">
      <c r="A120" s="65">
        <f>A119+1</f>
        <v>3</v>
      </c>
      <c r="B120" s="66"/>
      <c r="C120" s="52" t="s">
        <v>188</v>
      </c>
      <c r="D120" s="42">
        <f>(38.63)*10.764</f>
        <v>415.81331999999998</v>
      </c>
      <c r="E120" s="52">
        <f>(3.27)*10.764</f>
        <v>35.198279999999997</v>
      </c>
      <c r="F120" s="52">
        <f>D120+E120</f>
        <v>451.01159999999999</v>
      </c>
      <c r="G120" s="52">
        <v>0</v>
      </c>
      <c r="H120" s="52">
        <f t="shared" si="1"/>
        <v>676.51739999999995</v>
      </c>
      <c r="I120" s="31"/>
      <c r="L120" s="70"/>
      <c r="M120" s="70"/>
      <c r="N120" s="31"/>
    </row>
    <row r="121" spans="1:20" s="53" customFormat="1" ht="15.75" customHeight="1" x14ac:dyDescent="0.25">
      <c r="A121" s="65">
        <f>A120+1</f>
        <v>4</v>
      </c>
      <c r="B121" s="66"/>
      <c r="C121" s="65" t="s">
        <v>189</v>
      </c>
      <c r="D121" s="72"/>
      <c r="E121" s="72"/>
      <c r="F121" s="72"/>
      <c r="G121" s="72"/>
      <c r="H121" s="66"/>
      <c r="I121" s="31"/>
      <c r="L121" s="70"/>
      <c r="M121" s="70"/>
      <c r="N121" s="31"/>
      <c r="T121" s="16"/>
    </row>
    <row r="122" spans="1:20" s="53" customFormat="1" ht="15.75" customHeight="1" x14ac:dyDescent="0.25">
      <c r="A122" s="65">
        <f>A121+1</f>
        <v>5</v>
      </c>
      <c r="B122" s="66"/>
      <c r="C122" s="65" t="s">
        <v>218</v>
      </c>
      <c r="D122" s="72"/>
      <c r="E122" s="72"/>
      <c r="F122" s="72"/>
      <c r="G122" s="72"/>
      <c r="H122" s="66"/>
      <c r="I122" s="31"/>
      <c r="L122" s="70"/>
      <c r="M122" s="70"/>
      <c r="N122" s="31"/>
      <c r="T122" s="16"/>
    </row>
    <row r="123" spans="1:20" s="53" customFormat="1" x14ac:dyDescent="0.25">
      <c r="A123" s="67" t="s">
        <v>190</v>
      </c>
      <c r="B123" s="68"/>
      <c r="C123" s="68"/>
      <c r="D123" s="68"/>
      <c r="E123" s="68"/>
      <c r="F123" s="68"/>
      <c r="G123" s="68"/>
      <c r="H123" s="69"/>
      <c r="I123" s="31"/>
      <c r="J123" s="42">
        <v>10.763999999999999</v>
      </c>
      <c r="L123" s="70"/>
      <c r="M123" s="70"/>
    </row>
    <row r="124" spans="1:20" s="53" customFormat="1" x14ac:dyDescent="0.25">
      <c r="A124" s="71">
        <v>1</v>
      </c>
      <c r="B124" s="71"/>
      <c r="C124" s="52" t="s">
        <v>187</v>
      </c>
      <c r="D124" s="42">
        <f>(58.94)*10.764</f>
        <v>634.43015999999989</v>
      </c>
      <c r="E124" s="42">
        <f>(3.36)*10.764</f>
        <v>36.167039999999993</v>
      </c>
      <c r="F124" s="52">
        <f>D124+E124</f>
        <v>670.59719999999993</v>
      </c>
      <c r="G124" s="52">
        <v>0</v>
      </c>
      <c r="H124" s="52">
        <f>F124*(($H$115)+1)+(IF(G124&lt;101,G124,IF(G124&lt;201,G124/2,IF(G124&lt;=301,G124/3,G124/4))))</f>
        <v>1005.8957999999999</v>
      </c>
      <c r="I124" s="31"/>
      <c r="N124" s="31"/>
    </row>
    <row r="125" spans="1:20" s="53" customFormat="1" x14ac:dyDescent="0.25">
      <c r="A125" s="71">
        <f>A124+1</f>
        <v>2</v>
      </c>
      <c r="B125" s="71"/>
      <c r="C125" s="52" t="s">
        <v>187</v>
      </c>
      <c r="D125" s="42">
        <f>(58.08)*10.764</f>
        <v>625.17311999999993</v>
      </c>
      <c r="E125" s="42">
        <f>(3.36)*10.764</f>
        <v>36.167039999999993</v>
      </c>
      <c r="F125" s="52">
        <f>D125+E125</f>
        <v>661.34015999999997</v>
      </c>
      <c r="G125" s="52">
        <v>0</v>
      </c>
      <c r="H125" s="52">
        <f t="shared" ref="H125:H128" si="2">F125*(($H$115)+1)+(IF(G125&lt;101,G125,IF(G125&lt;201,G125/2,IF(G125&lt;=301,G125/3,G125/4))))</f>
        <v>992.01023999999995</v>
      </c>
      <c r="I125" s="31"/>
      <c r="N125" s="31"/>
    </row>
    <row r="126" spans="1:20" s="53" customFormat="1" x14ac:dyDescent="0.25">
      <c r="A126" s="71">
        <f>A125+1</f>
        <v>3</v>
      </c>
      <c r="B126" s="71"/>
      <c r="C126" s="52" t="s">
        <v>188</v>
      </c>
      <c r="D126" s="42">
        <f>(38.63)*10.764</f>
        <v>415.81331999999998</v>
      </c>
      <c r="E126" s="42">
        <f>(3.27)*10.764</f>
        <v>35.198279999999997</v>
      </c>
      <c r="F126" s="52">
        <f>D126+E126</f>
        <v>451.01159999999999</v>
      </c>
      <c r="G126" s="52">
        <v>0</v>
      </c>
      <c r="H126" s="52">
        <f t="shared" si="2"/>
        <v>676.51739999999995</v>
      </c>
      <c r="I126" s="31"/>
      <c r="N126" s="31"/>
    </row>
    <row r="127" spans="1:20" s="53" customFormat="1" x14ac:dyDescent="0.25">
      <c r="A127" s="71">
        <f>A126+1</f>
        <v>4</v>
      </c>
      <c r="B127" s="71"/>
      <c r="C127" s="52" t="s">
        <v>187</v>
      </c>
      <c r="D127" s="42">
        <f>(57.74)*10.764</f>
        <v>621.51336000000003</v>
      </c>
      <c r="E127" s="42">
        <f>(3.29)*10.764</f>
        <v>35.413559999999997</v>
      </c>
      <c r="F127" s="52">
        <f>D127+E127</f>
        <v>656.92692</v>
      </c>
      <c r="G127" s="52">
        <v>0</v>
      </c>
      <c r="H127" s="52">
        <f t="shared" si="2"/>
        <v>985.39038000000005</v>
      </c>
      <c r="I127" s="31"/>
      <c r="N127" s="31"/>
    </row>
    <row r="128" spans="1:20" s="53" customFormat="1" x14ac:dyDescent="0.25">
      <c r="A128" s="71">
        <f>A127+1</f>
        <v>5</v>
      </c>
      <c r="B128" s="71"/>
      <c r="C128" s="52" t="s">
        <v>187</v>
      </c>
      <c r="D128" s="42">
        <f>(51.36)*10.764</f>
        <v>552.83903999999995</v>
      </c>
      <c r="E128" s="42">
        <v>0</v>
      </c>
      <c r="F128" s="52">
        <f>D128+E128</f>
        <v>552.83903999999995</v>
      </c>
      <c r="G128" s="52">
        <v>0</v>
      </c>
      <c r="H128" s="52">
        <f t="shared" si="2"/>
        <v>829.25855999999999</v>
      </c>
      <c r="I128" s="31"/>
      <c r="N128" s="31"/>
    </row>
    <row r="129" spans="1:14" s="53" customFormat="1" x14ac:dyDescent="0.25">
      <c r="A129" s="67" t="s">
        <v>191</v>
      </c>
      <c r="B129" s="68"/>
      <c r="C129" s="68"/>
      <c r="D129" s="68"/>
      <c r="E129" s="68"/>
      <c r="F129" s="68"/>
      <c r="G129" s="68"/>
      <c r="H129" s="69"/>
      <c r="I129" s="31"/>
      <c r="L129" s="70"/>
      <c r="M129" s="70"/>
    </row>
    <row r="130" spans="1:14" s="53" customFormat="1" x14ac:dyDescent="0.25">
      <c r="A130" s="71">
        <v>1</v>
      </c>
      <c r="B130" s="71"/>
      <c r="C130" s="52" t="s">
        <v>187</v>
      </c>
      <c r="D130" s="42">
        <f>(58.94)*10.764</f>
        <v>634.43015999999989</v>
      </c>
      <c r="E130" s="42">
        <f>(3.36)*10.764</f>
        <v>36.167039999999993</v>
      </c>
      <c r="F130" s="52">
        <f>D130+E130</f>
        <v>670.59719999999993</v>
      </c>
      <c r="G130" s="52">
        <v>0</v>
      </c>
      <c r="H130" s="52">
        <f>F130*(($H$115)+1)+(IF(G130&lt;101,G130,IF(G130&lt;201,G130/2,IF(G130&lt;=301,G130/3,G130/4))))</f>
        <v>1005.8957999999999</v>
      </c>
      <c r="I130" s="31"/>
      <c r="N130" s="31"/>
    </row>
    <row r="131" spans="1:14" s="53" customFormat="1" x14ac:dyDescent="0.25">
      <c r="A131" s="71">
        <f>A130+1</f>
        <v>2</v>
      </c>
      <c r="B131" s="71"/>
      <c r="C131" s="52" t="s">
        <v>187</v>
      </c>
      <c r="D131" s="42">
        <f>(58.08)*10.764</f>
        <v>625.17311999999993</v>
      </c>
      <c r="E131" s="42">
        <f>(3.36)*10.764</f>
        <v>36.167039999999993</v>
      </c>
      <c r="F131" s="52">
        <f>D131+E131</f>
        <v>661.34015999999997</v>
      </c>
      <c r="G131" s="52">
        <v>0</v>
      </c>
      <c r="H131" s="52">
        <f t="shared" ref="H131:H134" si="3">F131*(($H$115)+1)+(IF(G131&lt;101,G131,IF(G131&lt;201,G131/2,IF(G131&lt;=301,G131/3,G131/4))))</f>
        <v>992.01023999999995</v>
      </c>
      <c r="I131" s="31"/>
      <c r="N131" s="31"/>
    </row>
    <row r="132" spans="1:14" s="53" customFormat="1" x14ac:dyDescent="0.25">
      <c r="A132" s="71">
        <f>A131+1</f>
        <v>3</v>
      </c>
      <c r="B132" s="71"/>
      <c r="C132" s="52" t="s">
        <v>188</v>
      </c>
      <c r="D132" s="42">
        <f>(38.63)*10.764</f>
        <v>415.81331999999998</v>
      </c>
      <c r="E132" s="42">
        <f>(3.27)*10.764</f>
        <v>35.198279999999997</v>
      </c>
      <c r="F132" s="52">
        <f>D132+E132</f>
        <v>451.01159999999999</v>
      </c>
      <c r="G132" s="52">
        <v>0</v>
      </c>
      <c r="H132" s="52">
        <f t="shared" si="3"/>
        <v>676.51739999999995</v>
      </c>
      <c r="I132" s="31"/>
      <c r="N132" s="31"/>
    </row>
    <row r="133" spans="1:14" s="53" customFormat="1" x14ac:dyDescent="0.25">
      <c r="A133" s="71">
        <f>A132+1</f>
        <v>4</v>
      </c>
      <c r="B133" s="71"/>
      <c r="C133" s="52" t="s">
        <v>187</v>
      </c>
      <c r="D133" s="42">
        <f>(57.74)*10.764</f>
        <v>621.51336000000003</v>
      </c>
      <c r="E133" s="42">
        <f>(3.29)*10.764</f>
        <v>35.413559999999997</v>
      </c>
      <c r="F133" s="52">
        <f>D133+E133</f>
        <v>656.92692</v>
      </c>
      <c r="G133" s="52">
        <v>0</v>
      </c>
      <c r="H133" s="52">
        <f t="shared" si="3"/>
        <v>985.39038000000005</v>
      </c>
      <c r="I133" s="31"/>
      <c r="N133" s="31"/>
    </row>
    <row r="134" spans="1:14" s="53" customFormat="1" x14ac:dyDescent="0.25">
      <c r="A134" s="71">
        <f>A133+1</f>
        <v>5</v>
      </c>
      <c r="B134" s="71"/>
      <c r="C134" s="52" t="s">
        <v>187</v>
      </c>
      <c r="D134" s="42">
        <f>(51.36)*10.764</f>
        <v>552.83903999999995</v>
      </c>
      <c r="E134" s="42">
        <v>0</v>
      </c>
      <c r="F134" s="52">
        <f>D134+E134</f>
        <v>552.83903999999995</v>
      </c>
      <c r="G134" s="52">
        <v>0</v>
      </c>
      <c r="H134" s="52">
        <f t="shared" si="3"/>
        <v>829.25855999999999</v>
      </c>
      <c r="I134" s="31"/>
      <c r="N134" s="31"/>
    </row>
    <row r="135" spans="1:14" s="53" customFormat="1" ht="15.6" customHeight="1" x14ac:dyDescent="0.25">
      <c r="A135" s="67" t="s">
        <v>219</v>
      </c>
      <c r="B135" s="68"/>
      <c r="C135" s="68"/>
      <c r="D135" s="68"/>
      <c r="E135" s="68"/>
      <c r="F135" s="68"/>
      <c r="G135" s="68"/>
      <c r="H135" s="69"/>
      <c r="I135" s="31"/>
      <c r="L135" s="70"/>
      <c r="M135" s="70"/>
    </row>
    <row r="136" spans="1:14" s="53" customFormat="1" x14ac:dyDescent="0.25">
      <c r="A136" s="71">
        <v>1</v>
      </c>
      <c r="B136" s="71"/>
      <c r="C136" s="52" t="s">
        <v>187</v>
      </c>
      <c r="D136" s="42">
        <f>(58.94)*10.764</f>
        <v>634.43015999999989</v>
      </c>
      <c r="E136" s="42">
        <f>(3.36)*10.764</f>
        <v>36.167039999999993</v>
      </c>
      <c r="F136" s="52">
        <f>D136+E136</f>
        <v>670.59719999999993</v>
      </c>
      <c r="G136" s="52">
        <v>0</v>
      </c>
      <c r="H136" s="52">
        <f>F136*(($H$115)+1)+(IF(G136&lt;101,G136,IF(G136&lt;201,G136/2,IF(G136&lt;=301,G136/3,G136/4))))</f>
        <v>1005.8957999999999</v>
      </c>
      <c r="I136" s="31"/>
      <c r="N136" s="31"/>
    </row>
    <row r="137" spans="1:14" s="53" customFormat="1" x14ac:dyDescent="0.25">
      <c r="A137" s="71">
        <f>A136+1</f>
        <v>2</v>
      </c>
      <c r="B137" s="71"/>
      <c r="C137" s="52" t="s">
        <v>187</v>
      </c>
      <c r="D137" s="42">
        <f>(58.08)*10.764</f>
        <v>625.17311999999993</v>
      </c>
      <c r="E137" s="42">
        <f>(3.36)*10.764</f>
        <v>36.167039999999993</v>
      </c>
      <c r="F137" s="52">
        <f>D137+E137</f>
        <v>661.34015999999997</v>
      </c>
      <c r="G137" s="52">
        <v>0</v>
      </c>
      <c r="H137" s="52">
        <f t="shared" ref="H137:H140" si="4">F137*(($H$115)+1)+(IF(G137&lt;101,G137,IF(G137&lt;201,G137/2,IF(G137&lt;=301,G137/3,G137/4))))</f>
        <v>992.01023999999995</v>
      </c>
      <c r="I137" s="31"/>
      <c r="N137" s="31"/>
    </row>
    <row r="138" spans="1:14" s="53" customFormat="1" x14ac:dyDescent="0.25">
      <c r="A138" s="71">
        <f>A137+1</f>
        <v>3</v>
      </c>
      <c r="B138" s="71"/>
      <c r="C138" s="52" t="s">
        <v>188</v>
      </c>
      <c r="D138" s="42">
        <f>(38.63)*10.764</f>
        <v>415.81331999999998</v>
      </c>
      <c r="E138" s="42">
        <f>(3.27)*10.764</f>
        <v>35.198279999999997</v>
      </c>
      <c r="F138" s="52">
        <f>D138+E138</f>
        <v>451.01159999999999</v>
      </c>
      <c r="G138" s="52">
        <v>0</v>
      </c>
      <c r="H138" s="52">
        <f t="shared" si="4"/>
        <v>676.51739999999995</v>
      </c>
      <c r="I138" s="31"/>
      <c r="N138" s="31"/>
    </row>
    <row r="139" spans="1:14" s="53" customFormat="1" x14ac:dyDescent="0.25">
      <c r="A139" s="71">
        <f>A138+1</f>
        <v>4</v>
      </c>
      <c r="B139" s="71"/>
      <c r="C139" s="52" t="s">
        <v>187</v>
      </c>
      <c r="D139" s="42">
        <f>(57.74)*10.764</f>
        <v>621.51336000000003</v>
      </c>
      <c r="E139" s="42">
        <f>(3.29)*10.764</f>
        <v>35.413559999999997</v>
      </c>
      <c r="F139" s="52">
        <f>D139+E139</f>
        <v>656.92692</v>
      </c>
      <c r="G139" s="52">
        <v>0</v>
      </c>
      <c r="H139" s="52">
        <f t="shared" si="4"/>
        <v>985.39038000000005</v>
      </c>
      <c r="I139" s="31"/>
      <c r="N139" s="31"/>
    </row>
    <row r="140" spans="1:14" s="53" customFormat="1" x14ac:dyDescent="0.25">
      <c r="A140" s="71">
        <f>A139+1</f>
        <v>5</v>
      </c>
      <c r="B140" s="71"/>
      <c r="C140" s="52" t="s">
        <v>187</v>
      </c>
      <c r="D140" s="42">
        <f>(57.74)*10.764</f>
        <v>621.51336000000003</v>
      </c>
      <c r="E140" s="42">
        <f>(3.29)*10.764</f>
        <v>35.413559999999997</v>
      </c>
      <c r="F140" s="52">
        <f>D140+E140</f>
        <v>656.92692</v>
      </c>
      <c r="G140" s="52">
        <v>0</v>
      </c>
      <c r="H140" s="52">
        <f t="shared" si="4"/>
        <v>985.39038000000005</v>
      </c>
      <c r="I140" s="31"/>
      <c r="N140" s="31"/>
    </row>
    <row r="141" spans="1:14" s="53" customFormat="1" ht="15.6" customHeight="1" x14ac:dyDescent="0.25">
      <c r="A141" s="67" t="s">
        <v>220</v>
      </c>
      <c r="B141" s="68"/>
      <c r="C141" s="68"/>
      <c r="D141" s="68"/>
      <c r="E141" s="68"/>
      <c r="F141" s="68"/>
      <c r="G141" s="68"/>
      <c r="H141" s="69"/>
      <c r="I141" s="31"/>
      <c r="L141" s="70"/>
      <c r="M141" s="70"/>
    </row>
    <row r="142" spans="1:14" s="53" customFormat="1" x14ac:dyDescent="0.25">
      <c r="A142" s="71">
        <v>1</v>
      </c>
      <c r="B142" s="71"/>
      <c r="C142" s="52" t="s">
        <v>187</v>
      </c>
      <c r="D142" s="42">
        <f>(58.94)*10.764</f>
        <v>634.43015999999989</v>
      </c>
      <c r="E142" s="42">
        <f>(3.36)*10.764</f>
        <v>36.167039999999993</v>
      </c>
      <c r="F142" s="52">
        <f>D142+E142</f>
        <v>670.59719999999993</v>
      </c>
      <c r="G142" s="52">
        <v>0</v>
      </c>
      <c r="H142" s="52">
        <f>F142*(($H$115)+1)+(IF(G142&lt;101,G142,IF(G142&lt;201,G142/2,IF(G142&lt;=301,G142/3,G142/4))))</f>
        <v>1005.8957999999999</v>
      </c>
      <c r="I142" s="31"/>
      <c r="N142" s="31"/>
    </row>
    <row r="143" spans="1:14" s="53" customFormat="1" x14ac:dyDescent="0.25">
      <c r="A143" s="71">
        <f>A142+1</f>
        <v>2</v>
      </c>
      <c r="B143" s="71"/>
      <c r="C143" s="52" t="s">
        <v>187</v>
      </c>
      <c r="D143" s="42">
        <f>(58.08)*10.764</f>
        <v>625.17311999999993</v>
      </c>
      <c r="E143" s="42">
        <f>(3.36)*10.764</f>
        <v>36.167039999999993</v>
      </c>
      <c r="F143" s="52">
        <f>D143+E143</f>
        <v>661.34015999999997</v>
      </c>
      <c r="G143" s="52">
        <v>0</v>
      </c>
      <c r="H143" s="52">
        <f t="shared" ref="H143:H146" si="5">F143*(($H$115)+1)+(IF(G143&lt;101,G143,IF(G143&lt;201,G143/2,IF(G143&lt;=301,G143/3,G143/4))))</f>
        <v>992.01023999999995</v>
      </c>
      <c r="I143" s="31"/>
      <c r="N143" s="31"/>
    </row>
    <row r="144" spans="1:14" s="53" customFormat="1" x14ac:dyDescent="0.25">
      <c r="A144" s="71">
        <f>A143+1</f>
        <v>3</v>
      </c>
      <c r="B144" s="71"/>
      <c r="C144" s="52" t="s">
        <v>188</v>
      </c>
      <c r="D144" s="42">
        <f>(38.63)*10.764</f>
        <v>415.81331999999998</v>
      </c>
      <c r="E144" s="42">
        <f>(3.27)*10.764</f>
        <v>35.198279999999997</v>
      </c>
      <c r="F144" s="52">
        <f>D144+E144</f>
        <v>451.01159999999999</v>
      </c>
      <c r="G144" s="52">
        <v>0</v>
      </c>
      <c r="H144" s="52">
        <f t="shared" si="5"/>
        <v>676.51739999999995</v>
      </c>
      <c r="I144" s="31"/>
      <c r="N144" s="31"/>
    </row>
    <row r="145" spans="1:14" s="53" customFormat="1" x14ac:dyDescent="0.25">
      <c r="A145" s="71">
        <f>A144+1</f>
        <v>4</v>
      </c>
      <c r="B145" s="71"/>
      <c r="C145" s="52" t="s">
        <v>187</v>
      </c>
      <c r="D145" s="42">
        <f>(57.74)*10.764</f>
        <v>621.51336000000003</v>
      </c>
      <c r="E145" s="42">
        <f>(3.29)*10.764</f>
        <v>35.413559999999997</v>
      </c>
      <c r="F145" s="52">
        <f>D145+E145</f>
        <v>656.92692</v>
      </c>
      <c r="G145" s="52">
        <v>0</v>
      </c>
      <c r="H145" s="52">
        <f t="shared" si="5"/>
        <v>985.39038000000005</v>
      </c>
      <c r="I145" s="31"/>
      <c r="N145" s="31"/>
    </row>
    <row r="146" spans="1:14" s="53" customFormat="1" x14ac:dyDescent="0.25">
      <c r="A146" s="71">
        <f>A145+1</f>
        <v>5</v>
      </c>
      <c r="B146" s="71"/>
      <c r="C146" s="52" t="s">
        <v>187</v>
      </c>
      <c r="D146" s="42">
        <f>(57.74)*10.764</f>
        <v>621.51336000000003</v>
      </c>
      <c r="E146" s="42">
        <f>(3.29)*10.764</f>
        <v>35.413559999999997</v>
      </c>
      <c r="F146" s="52">
        <f>D146+E146</f>
        <v>656.92692</v>
      </c>
      <c r="G146" s="52">
        <v>0</v>
      </c>
      <c r="H146" s="52">
        <f t="shared" si="5"/>
        <v>985.39038000000005</v>
      </c>
      <c r="I146" s="31"/>
      <c r="N146" s="31"/>
    </row>
    <row r="147" spans="1:14" s="53" customFormat="1" ht="15.6" customHeight="1" x14ac:dyDescent="0.25">
      <c r="A147" s="79" t="s">
        <v>221</v>
      </c>
      <c r="B147" s="79"/>
      <c r="C147" s="79"/>
      <c r="D147" s="79"/>
      <c r="E147" s="79"/>
      <c r="F147" s="79"/>
      <c r="G147" s="79"/>
      <c r="H147" s="79"/>
      <c r="I147" s="31"/>
      <c r="L147" s="70"/>
      <c r="M147" s="70"/>
    </row>
    <row r="148" spans="1:14" s="53" customFormat="1" x14ac:dyDescent="0.25">
      <c r="A148" s="71">
        <v>1</v>
      </c>
      <c r="B148" s="71"/>
      <c r="C148" s="54" t="s">
        <v>187</v>
      </c>
      <c r="D148" s="42">
        <f>(58.94)*10.764</f>
        <v>634.43015999999989</v>
      </c>
      <c r="E148" s="42">
        <f>(3.36)*10.764</f>
        <v>36.167039999999993</v>
      </c>
      <c r="F148" s="54">
        <f>D148+E148</f>
        <v>670.59719999999993</v>
      </c>
      <c r="G148" s="54">
        <v>0</v>
      </c>
      <c r="H148" s="54">
        <f>F148*(($H$115)+1)+(IF(G148&lt;101,G148,IF(G148&lt;201,G148/2,IF(G148&lt;=301,G148/3,G148/4))))</f>
        <v>1005.8957999999999</v>
      </c>
      <c r="I148" s="31"/>
      <c r="N148" s="31"/>
    </row>
    <row r="149" spans="1:14" s="53" customFormat="1" x14ac:dyDescent="0.25">
      <c r="A149" s="71">
        <f>A148+1</f>
        <v>2</v>
      </c>
      <c r="B149" s="71"/>
      <c r="C149" s="54" t="s">
        <v>187</v>
      </c>
      <c r="D149" s="42">
        <f>(58.08)*10.764</f>
        <v>625.17311999999993</v>
      </c>
      <c r="E149" s="42">
        <f>(3.36)*10.764</f>
        <v>36.167039999999993</v>
      </c>
      <c r="F149" s="54">
        <f>D149+E149</f>
        <v>661.34015999999997</v>
      </c>
      <c r="G149" s="54">
        <v>0</v>
      </c>
      <c r="H149" s="54">
        <f t="shared" ref="H149:H152" si="6">F149*(($H$115)+1)+(IF(G149&lt;101,G149,IF(G149&lt;201,G149/2,IF(G149&lt;=301,G149/3,G149/4))))</f>
        <v>992.01023999999995</v>
      </c>
      <c r="I149" s="31"/>
      <c r="N149" s="31"/>
    </row>
    <row r="150" spans="1:14" s="53" customFormat="1" x14ac:dyDescent="0.25">
      <c r="A150" s="71">
        <f>A149+1</f>
        <v>3</v>
      </c>
      <c r="B150" s="71"/>
      <c r="C150" s="54" t="s">
        <v>188</v>
      </c>
      <c r="D150" s="42">
        <f>(38.63)*10.764</f>
        <v>415.81331999999998</v>
      </c>
      <c r="E150" s="42">
        <f>(3.27)*10.764</f>
        <v>35.198279999999997</v>
      </c>
      <c r="F150" s="54">
        <f>D150+E150</f>
        <v>451.01159999999999</v>
      </c>
      <c r="G150" s="54">
        <v>0</v>
      </c>
      <c r="H150" s="54">
        <f t="shared" si="6"/>
        <v>676.51739999999995</v>
      </c>
      <c r="I150" s="31"/>
      <c r="N150" s="31"/>
    </row>
    <row r="151" spans="1:14" s="53" customFormat="1" x14ac:dyDescent="0.25">
      <c r="A151" s="71">
        <f>A150+1</f>
        <v>4</v>
      </c>
      <c r="B151" s="71"/>
      <c r="C151" s="54" t="s">
        <v>187</v>
      </c>
      <c r="D151" s="42">
        <f>(58.8)*10.764</f>
        <v>632.92319999999995</v>
      </c>
      <c r="E151" s="42">
        <f>(3.36)*10.764</f>
        <v>36.167039999999993</v>
      </c>
      <c r="F151" s="54">
        <f>D151+E151</f>
        <v>669.09023999999999</v>
      </c>
      <c r="G151" s="54">
        <v>0</v>
      </c>
      <c r="H151" s="54">
        <f t="shared" si="6"/>
        <v>1003.63536</v>
      </c>
      <c r="I151" s="31"/>
      <c r="N151" s="31"/>
    </row>
    <row r="152" spans="1:14" s="53" customFormat="1" x14ac:dyDescent="0.25">
      <c r="A152" s="71">
        <f>A151+1</f>
        <v>5</v>
      </c>
      <c r="B152" s="71"/>
      <c r="C152" s="54" t="s">
        <v>187</v>
      </c>
      <c r="D152" s="42">
        <f>(58.8)*10.764</f>
        <v>632.92319999999995</v>
      </c>
      <c r="E152" s="42">
        <f>(3.36)*10.764</f>
        <v>36.167039999999993</v>
      </c>
      <c r="F152" s="54">
        <f>D152+E152</f>
        <v>669.09023999999999</v>
      </c>
      <c r="G152" s="54">
        <v>0</v>
      </c>
      <c r="H152" s="54">
        <f t="shared" si="6"/>
        <v>1003.63536</v>
      </c>
      <c r="I152" s="31"/>
      <c r="N152" s="31"/>
    </row>
    <row r="153" spans="1:14" s="53" customFormat="1" ht="15.6" customHeight="1" x14ac:dyDescent="0.25">
      <c r="A153" s="79" t="s">
        <v>222</v>
      </c>
      <c r="B153" s="79"/>
      <c r="C153" s="79"/>
      <c r="D153" s="79"/>
      <c r="E153" s="79"/>
      <c r="F153" s="79"/>
      <c r="G153" s="79"/>
      <c r="H153" s="79"/>
      <c r="I153" s="31"/>
      <c r="L153" s="70"/>
      <c r="M153" s="70"/>
    </row>
    <row r="154" spans="1:14" s="53" customFormat="1" x14ac:dyDescent="0.25">
      <c r="A154" s="71">
        <v>1</v>
      </c>
      <c r="B154" s="71"/>
      <c r="C154" s="54" t="s">
        <v>187</v>
      </c>
      <c r="D154" s="42">
        <f>(58.94)*10.764</f>
        <v>634.43015999999989</v>
      </c>
      <c r="E154" s="42">
        <f>(3.36)*10.764</f>
        <v>36.167039999999993</v>
      </c>
      <c r="F154" s="54">
        <f>D154+E154</f>
        <v>670.59719999999993</v>
      </c>
      <c r="G154" s="54">
        <v>0</v>
      </c>
      <c r="H154" s="54">
        <f>F154*(($H$115)+1)+(IF(G154&lt;101,G154,IF(G154&lt;201,G154/2,IF(G154&lt;=301,G154/3,G154/4))))</f>
        <v>1005.8957999999999</v>
      </c>
      <c r="I154" s="31"/>
      <c r="N154" s="31"/>
    </row>
    <row r="155" spans="1:14" s="53" customFormat="1" x14ac:dyDescent="0.25">
      <c r="A155" s="71">
        <f>A154+1</f>
        <v>2</v>
      </c>
      <c r="B155" s="71"/>
      <c r="C155" s="54" t="s">
        <v>187</v>
      </c>
      <c r="D155" s="42">
        <f>(58.08)*10.764</f>
        <v>625.17311999999993</v>
      </c>
      <c r="E155" s="42">
        <f>(3.36)*10.764</f>
        <v>36.167039999999993</v>
      </c>
      <c r="F155" s="54">
        <f>D155+E155</f>
        <v>661.34015999999997</v>
      </c>
      <c r="G155" s="54">
        <v>0</v>
      </c>
      <c r="H155" s="54">
        <f t="shared" ref="H155:H158" si="7">F155*(($H$115)+1)+(IF(G155&lt;101,G155,IF(G155&lt;201,G155/2,IF(G155&lt;=301,G155/3,G155/4))))</f>
        <v>992.01023999999995</v>
      </c>
      <c r="I155" s="31"/>
      <c r="N155" s="31"/>
    </row>
    <row r="156" spans="1:14" s="53" customFormat="1" x14ac:dyDescent="0.25">
      <c r="A156" s="71">
        <f>A155+1</f>
        <v>3</v>
      </c>
      <c r="B156" s="71"/>
      <c r="C156" s="54" t="s">
        <v>188</v>
      </c>
      <c r="D156" s="42">
        <f>(38.63)*10.764</f>
        <v>415.81331999999998</v>
      </c>
      <c r="E156" s="42">
        <f>(3.27)*10.764</f>
        <v>35.198279999999997</v>
      </c>
      <c r="F156" s="54">
        <f>D156+E156</f>
        <v>451.01159999999999</v>
      </c>
      <c r="G156" s="54">
        <v>0</v>
      </c>
      <c r="H156" s="54">
        <f t="shared" si="7"/>
        <v>676.51739999999995</v>
      </c>
      <c r="I156" s="31"/>
      <c r="N156" s="31"/>
    </row>
    <row r="157" spans="1:14" s="53" customFormat="1" x14ac:dyDescent="0.25">
      <c r="A157" s="71">
        <f>A156+1</f>
        <v>4</v>
      </c>
      <c r="B157" s="71"/>
      <c r="C157" s="54" t="s">
        <v>187</v>
      </c>
      <c r="D157" s="42">
        <f>(58.8)*10.764</f>
        <v>632.92319999999995</v>
      </c>
      <c r="E157" s="42">
        <f>(3.36)*10.764</f>
        <v>36.167039999999993</v>
      </c>
      <c r="F157" s="54">
        <f>D157+E157</f>
        <v>669.09023999999999</v>
      </c>
      <c r="G157" s="54">
        <v>0</v>
      </c>
      <c r="H157" s="54">
        <f t="shared" si="7"/>
        <v>1003.63536</v>
      </c>
      <c r="I157" s="31"/>
      <c r="N157" s="31"/>
    </row>
    <row r="158" spans="1:14" s="53" customFormat="1" x14ac:dyDescent="0.25">
      <c r="A158" s="71">
        <f>A157+1</f>
        <v>5</v>
      </c>
      <c r="B158" s="71"/>
      <c r="C158" s="54" t="s">
        <v>187</v>
      </c>
      <c r="D158" s="42">
        <f>(58.8)*10.764</f>
        <v>632.92319999999995</v>
      </c>
      <c r="E158" s="42">
        <f>(3.36)*10.764</f>
        <v>36.167039999999993</v>
      </c>
      <c r="F158" s="54">
        <f>D158+E158</f>
        <v>669.09023999999999</v>
      </c>
      <c r="G158" s="54">
        <v>0</v>
      </c>
      <c r="H158" s="54">
        <f t="shared" si="7"/>
        <v>1003.63536</v>
      </c>
      <c r="I158" s="31"/>
      <c r="N158" s="31"/>
    </row>
    <row r="159" spans="1:14" s="53" customFormat="1" ht="15.6" customHeight="1" x14ac:dyDescent="0.25">
      <c r="A159" s="79" t="s">
        <v>223</v>
      </c>
      <c r="B159" s="79"/>
      <c r="C159" s="79"/>
      <c r="D159" s="79"/>
      <c r="E159" s="79"/>
      <c r="F159" s="79"/>
      <c r="G159" s="79"/>
      <c r="H159" s="79"/>
      <c r="I159" s="31"/>
      <c r="L159" s="70"/>
      <c r="M159" s="70"/>
    </row>
    <row r="160" spans="1:14" s="53" customFormat="1" x14ac:dyDescent="0.25">
      <c r="A160" s="71">
        <v>1</v>
      </c>
      <c r="B160" s="71"/>
      <c r="C160" s="52" t="s">
        <v>224</v>
      </c>
      <c r="D160" s="42">
        <f>(124.43)*10.764</f>
        <v>1339.3645200000001</v>
      </c>
      <c r="E160" s="42">
        <f>(20.03)*10.764</f>
        <v>215.60292000000001</v>
      </c>
      <c r="F160" s="52">
        <f>D160+E160</f>
        <v>1554.9674400000001</v>
      </c>
      <c r="G160" s="52">
        <v>0</v>
      </c>
      <c r="H160" s="52">
        <f>F160*(($H$115)+1)+(IF(G160&lt;101,G160,IF(G160&lt;201,G160/2,IF(G160&lt;=301,G160/3,G160/4))))</f>
        <v>2332.4511600000001</v>
      </c>
      <c r="I160" s="31"/>
      <c r="N160" s="31"/>
    </row>
    <row r="161" spans="1:14" s="53" customFormat="1" x14ac:dyDescent="0.25">
      <c r="A161" s="71">
        <f>A160+1</f>
        <v>2</v>
      </c>
      <c r="B161" s="71"/>
      <c r="C161" s="52" t="s">
        <v>188</v>
      </c>
      <c r="D161" s="42">
        <f>(38.63)*10.764</f>
        <v>415.81331999999998</v>
      </c>
      <c r="E161" s="42">
        <f>(3.27)*10.764</f>
        <v>35.198279999999997</v>
      </c>
      <c r="F161" s="52">
        <f>D161+E161</f>
        <v>451.01159999999999</v>
      </c>
      <c r="G161" s="52">
        <v>0</v>
      </c>
      <c r="H161" s="52">
        <f t="shared" ref="H161:H163" si="8">F161*(($H$115)+1)+(IF(G161&lt;101,G161,IF(G161&lt;201,G161/2,IF(G161&lt;=301,G161/3,G161/4))))</f>
        <v>676.51739999999995</v>
      </c>
      <c r="I161" s="31"/>
      <c r="N161" s="31"/>
    </row>
    <row r="162" spans="1:14" s="53" customFormat="1" x14ac:dyDescent="0.25">
      <c r="A162" s="71">
        <f>A161+1</f>
        <v>3</v>
      </c>
      <c r="B162" s="71"/>
      <c r="C162" s="52" t="s">
        <v>187</v>
      </c>
      <c r="D162" s="42">
        <f>(58.8)*10.764</f>
        <v>632.92319999999995</v>
      </c>
      <c r="E162" s="42">
        <f>(3.36)*10.764</f>
        <v>36.167039999999993</v>
      </c>
      <c r="F162" s="52">
        <f>D162+E162</f>
        <v>669.09023999999999</v>
      </c>
      <c r="G162" s="52">
        <v>0</v>
      </c>
      <c r="H162" s="52">
        <f t="shared" si="8"/>
        <v>1003.63536</v>
      </c>
      <c r="I162" s="31"/>
      <c r="N162" s="31"/>
    </row>
    <row r="163" spans="1:14" s="53" customFormat="1" x14ac:dyDescent="0.25">
      <c r="A163" s="71">
        <f>A162+1</f>
        <v>4</v>
      </c>
      <c r="B163" s="71"/>
      <c r="C163" s="52" t="s">
        <v>187</v>
      </c>
      <c r="D163" s="42">
        <f>(58.8)*10.764</f>
        <v>632.92319999999995</v>
      </c>
      <c r="E163" s="42">
        <f>(3.36)*10.764</f>
        <v>36.167039999999993</v>
      </c>
      <c r="F163" s="52">
        <f>D163+E163</f>
        <v>669.09023999999999</v>
      </c>
      <c r="G163" s="52">
        <v>0</v>
      </c>
      <c r="H163" s="52">
        <f t="shared" si="8"/>
        <v>1003.63536</v>
      </c>
      <c r="I163" s="31"/>
      <c r="N163" s="31"/>
    </row>
    <row r="164" spans="1:14" s="53" customFormat="1" ht="15.6" customHeight="1" x14ac:dyDescent="0.25">
      <c r="A164" s="67" t="s">
        <v>227</v>
      </c>
      <c r="B164" s="68"/>
      <c r="C164" s="68"/>
      <c r="D164" s="68"/>
      <c r="E164" s="68"/>
      <c r="F164" s="68"/>
      <c r="G164" s="68"/>
      <c r="H164" s="69"/>
      <c r="I164" s="31"/>
      <c r="L164" s="70"/>
      <c r="M164" s="70"/>
    </row>
    <row r="165" spans="1:14" s="53" customFormat="1" x14ac:dyDescent="0.25">
      <c r="A165" s="71">
        <v>1</v>
      </c>
      <c r="B165" s="71"/>
      <c r="C165" s="52" t="s">
        <v>187</v>
      </c>
      <c r="D165" s="42">
        <f>(62.31)*10.764</f>
        <v>670.70483999999999</v>
      </c>
      <c r="E165" s="42">
        <f>(9.87)*10.764</f>
        <v>106.24067999999998</v>
      </c>
      <c r="F165" s="52">
        <f>D165+E165</f>
        <v>776.94551999999999</v>
      </c>
      <c r="G165" s="52">
        <v>0</v>
      </c>
      <c r="H165" s="52">
        <f>F165*(($H$115)+1)+(IF(G165&lt;101,G165,IF(G165&lt;201,G165/2,IF(G165&lt;=301,G165/3,G165/4))))</f>
        <v>1165.4182799999999</v>
      </c>
      <c r="I165" s="31"/>
      <c r="N165" s="31"/>
    </row>
    <row r="166" spans="1:14" s="53" customFormat="1" x14ac:dyDescent="0.25">
      <c r="A166" s="71">
        <f>A165+1</f>
        <v>2</v>
      </c>
      <c r="B166" s="71"/>
      <c r="C166" s="52" t="s">
        <v>187</v>
      </c>
      <c r="D166" s="42">
        <f>(61.44)*10.764</f>
        <v>661.34015999999997</v>
      </c>
      <c r="E166" s="42">
        <f>(9.81)*10.764</f>
        <v>105.59484</v>
      </c>
      <c r="F166" s="52">
        <f>D166+E166</f>
        <v>766.93499999999995</v>
      </c>
      <c r="G166" s="52">
        <v>0</v>
      </c>
      <c r="H166" s="52">
        <f>F166*(($H$115)+1)+(IF(G166&lt;101,G166,IF(G166&lt;201,G166/2,IF(G166&lt;=301,G166/3,G166/4))))</f>
        <v>1150.4024999999999</v>
      </c>
      <c r="I166" s="31"/>
      <c r="N166" s="31"/>
    </row>
    <row r="167" spans="1:14" s="53" customFormat="1" x14ac:dyDescent="0.25">
      <c r="A167" s="71">
        <f>A166+1</f>
        <v>3</v>
      </c>
      <c r="B167" s="71"/>
      <c r="C167" s="73" t="s">
        <v>192</v>
      </c>
      <c r="D167" s="74"/>
      <c r="E167" s="74"/>
      <c r="F167" s="74"/>
      <c r="G167" s="74"/>
      <c r="H167" s="75"/>
      <c r="I167" s="31"/>
      <c r="N167" s="31"/>
    </row>
    <row r="168" spans="1:14" s="53" customFormat="1" x14ac:dyDescent="0.25">
      <c r="A168" s="71">
        <f>A167+1</f>
        <v>4</v>
      </c>
      <c r="B168" s="71"/>
      <c r="C168" s="76"/>
      <c r="D168" s="77"/>
      <c r="E168" s="77"/>
      <c r="F168" s="77"/>
      <c r="G168" s="77"/>
      <c r="H168" s="78"/>
      <c r="I168" s="31"/>
      <c r="N168" s="31"/>
    </row>
    <row r="169" spans="1:14" s="53" customFormat="1" x14ac:dyDescent="0.25">
      <c r="A169" s="71">
        <f>A168+1</f>
        <v>5</v>
      </c>
      <c r="B169" s="71"/>
      <c r="C169" s="65" t="s">
        <v>225</v>
      </c>
      <c r="D169" s="72"/>
      <c r="E169" s="72"/>
      <c r="F169" s="72"/>
      <c r="G169" s="72"/>
      <c r="H169" s="66"/>
      <c r="I169" s="31"/>
      <c r="N169" s="31"/>
    </row>
    <row r="170" spans="1:14" s="53" customFormat="1" ht="15.75" hidden="1" customHeight="1" x14ac:dyDescent="0.25">
      <c r="A170" s="67" t="s">
        <v>241</v>
      </c>
      <c r="B170" s="68"/>
      <c r="C170" s="68"/>
      <c r="D170" s="68"/>
      <c r="E170" s="68"/>
      <c r="F170" s="68"/>
      <c r="G170" s="68"/>
      <c r="H170" s="69"/>
      <c r="I170" s="31"/>
    </row>
    <row r="171" spans="1:14" s="53" customFormat="1" ht="15.75" hidden="1" customHeight="1" x14ac:dyDescent="0.25">
      <c r="A171" s="65" t="str">
        <f ca="1">(SUMPRODUCT(MID(0&amp;(LEFT(A170,SUM(LEN(A170)-LEN(SUBSTITUTE(A170,{"0","1","2"},""))))), LARGE(INDEX(ISNUMBER(--MID((LEFT(A170,SUM(LEN(A170)-LEN(SUBSTITUTE(A170,{"0","1","2"},""))))), ROW(INDIRECT("1:"&amp;LEN((LEFT(A170,SUM(LEN(A170)-LEN(SUBSTITUTE(A170,{"0","1","2"},"")))))))), 1)) * ROW(INDIRECT("1:"&amp;LEN((LEFT(A170,SUM(LEN(A170)-LEN(SUBSTITUTE(A170,{"0","1","2"},"")))))))), 0), ROW(INDIRECT("1:"&amp;LEN((LEFT(A170,SUM(LEN(A170)-LEN(SUBSTITUTE(A170,{"0","1","2"},"")))))))))+1, 1) * 10^ROW(INDIRECT("1:"&amp;LEN((LEFT(A170,SUM(LEN(A170)-LEN(SUBSTITUTE(A170,{"0","1","2"},""))))))))/10))*100+1&amp;""&amp;" ,.., "&amp;""&amp;(SUMPRODUCT(MID(0&amp;(--TRIM(RIGHT(SUBSTITUTE(LEFT(A170,_xlfn.AGGREGATE(16,6,FIND({0,1,2,3,4,5,6,7,8,9},A170,ROW(INDIRECT("1:"&amp;LEN(A170)))),1))," ",REPT(" ",LEN(A170))),LEN(A170)))), LARGE(INDEX(ISNUMBER(--MID((--TRIM(RIGHT(SUBSTITUTE(LEFT(A170,_xlfn.AGGREGATE(16,6,FIND({0,1,2,3,4,5,6,7,8,9},A170,ROW(INDIRECT("1:"&amp;LEN(A170)))),1))," ",REPT(" ",LEN(A170))),LEN(A170)))), ROW(INDIRECT("1:"&amp;LEN((--TRIM(RIGHT(SUBSTITUTE(LEFT(A170,_xlfn.AGGREGATE(16,6,FIND({0,1,2,3,4,5,6,7,8,9},A170,ROW(INDIRECT("1:"&amp;LEN(A170)))),1))," ",REPT(" ",LEN(A170))),LEN(A170))))))), 1)) * ROW(INDIRECT("1:"&amp;LEN((--TRIM(RIGHT(SUBSTITUTE(LEFT(A170,_xlfn.AGGREGATE(16,6,FIND({0,1,2,3,4,5,6,7,8,9},A170,ROW(INDIRECT("1:"&amp;LEN(A170)))),1))," ",REPT(" ",LEN(A170))),LEN(A170))))))), 0), ROW(INDIRECT("1:"&amp;LEN((--TRIM(RIGHT(SUBSTITUTE(LEFT(A170,_xlfn.AGGREGATE(16,6,FIND({0,1,2,3,4,5,6,7,8,9},A170,ROW(INDIRECT("1:"&amp;LEN(A170)))),1))," ",REPT(" ",LEN(A170))),LEN(A170))))))))+1, 1) * 10^ROW(INDIRECT("1:"&amp;LEN((--TRIM(RIGHT(SUBSTITUTE(LEFT(A170,_xlfn.AGGREGATE(16,6,FIND({0,1,2,3,4,5,6,7,8,9},A170,ROW(INDIRECT("1:"&amp;LEN(A170)))),1))," ",REPT(" ",LEN(A170))),LEN(A170)))))))/10))*100+1</f>
        <v>301 ,.., 1501</v>
      </c>
      <c r="B171" s="66"/>
      <c r="C171" s="52"/>
      <c r="D171" s="52"/>
      <c r="E171" s="52">
        <v>0</v>
      </c>
      <c r="F171" s="52">
        <f>D171+E171</f>
        <v>0</v>
      </c>
      <c r="G171" s="52">
        <v>0</v>
      </c>
      <c r="H171" s="52">
        <f>F171*(($H$115)+1)+(IF(G171&lt;101,G171,IF(G171&lt;201,G171/2,IF(G171&lt;=301,G171/3,G171/4))))</f>
        <v>0</v>
      </c>
      <c r="I171" s="31"/>
    </row>
    <row r="172" spans="1:14" s="53" customFormat="1" ht="15.75" hidden="1" customHeight="1" x14ac:dyDescent="0.25">
      <c r="A172" s="65" t="str">
        <f ca="1">(SUMPRODUCT(MID(0&amp;(LEFT(A171,SUM(LEN(A171)-LEN(SUBSTITUTE(A171,{"0","1","2"},""))))), LARGE(INDEX(ISNUMBER(--MID((LEFT(A171,SUM(LEN(A171)-LEN(SUBSTITUTE(A171,{"0","1","2"},""))))), ROW(INDIRECT("1:"&amp;LEN((LEFT(A171,SUM(LEN(A171)-LEN(SUBSTITUTE(A171,{"0","1","2"},"")))))))), 1)) * ROW(INDIRECT("1:"&amp;LEN((LEFT(A171,SUM(LEN(A171)-LEN(SUBSTITUTE(A171,{"0","1","2"},"")))))))), 0), ROW(INDIRECT("1:"&amp;LEN((LEFT(A171,SUM(LEN(A171)-LEN(SUBSTITUTE(A171,{"0","1","2"},"")))))))))+1, 1) * 10^ROW(INDIRECT("1:"&amp;LEN((LEFT(A171,SUM(LEN(A171)-LEN(SUBSTITUTE(A171,{"0","1","2"},""))))))))/10))*1+1&amp;""&amp;" ,.., "&amp;""&amp;(SUMPRODUCT(MID(0&amp;(--TRIM(RIGHT(SUBSTITUTE(LEFT(A171,_xlfn.AGGREGATE(16,6,FIND({0,1,2,3,4,5,6,7,8,9},A171,ROW(INDIRECT("1:"&amp;LEN(A171)))),1))," ",REPT(" ",LEN(A171))),LEN(A171)))), LARGE(INDEX(ISNUMBER(--MID((--TRIM(RIGHT(SUBSTITUTE(LEFT(A171,_xlfn.AGGREGATE(16,6,FIND({0,1,2,3,4,5,6,7,8,9},A171,ROW(INDIRECT("1:"&amp;LEN(A171)))),1))," ",REPT(" ",LEN(A171))),LEN(A171)))), ROW(INDIRECT("1:"&amp;LEN((--TRIM(RIGHT(SUBSTITUTE(LEFT(A171,_xlfn.AGGREGATE(16,6,FIND({0,1,2,3,4,5,6,7,8,9},A171,ROW(INDIRECT("1:"&amp;LEN(A171)))),1))," ",REPT(" ",LEN(A171))),LEN(A171))))))), 1)) * ROW(INDIRECT("1:"&amp;LEN((--TRIM(RIGHT(SUBSTITUTE(LEFT(A171,_xlfn.AGGREGATE(16,6,FIND({0,1,2,3,4,5,6,7,8,9},A171,ROW(INDIRECT("1:"&amp;LEN(A171)))),1))," ",REPT(" ",LEN(A171))),LEN(A171))))))), 0), ROW(INDIRECT("1:"&amp;LEN((--TRIM(RIGHT(SUBSTITUTE(LEFT(A171,_xlfn.AGGREGATE(16,6,FIND({0,1,2,3,4,5,6,7,8,9},A171,ROW(INDIRECT("1:"&amp;LEN(A171)))),1))," ",REPT(" ",LEN(A171))),LEN(A171))))))))+1, 1) * 10^ROW(INDIRECT("1:"&amp;LEN((--TRIM(RIGHT(SUBSTITUTE(LEFT(A171,_xlfn.AGGREGATE(16,6,FIND({0,1,2,3,4,5,6,7,8,9},A171,ROW(INDIRECT("1:"&amp;LEN(A171)))),1))," ",REPT(" ",LEN(A171))),LEN(A171)))))))/10))*1+1</f>
        <v>302 ,.., 1502</v>
      </c>
      <c r="B172" s="66"/>
      <c r="C172" s="52"/>
      <c r="D172" s="52"/>
      <c r="E172" s="52">
        <v>0</v>
      </c>
      <c r="F172" s="52">
        <f>D172+E172</f>
        <v>0</v>
      </c>
      <c r="G172" s="52">
        <v>0</v>
      </c>
      <c r="H172" s="52">
        <f t="shared" ref="H172:H175" si="9">F172*(($H$115)+1)+(IF(G172&lt;101,G172,IF(G172&lt;201,G172/2,IF(G172&lt;=301,G172/3,G172/4))))</f>
        <v>0</v>
      </c>
      <c r="I172" s="31"/>
    </row>
    <row r="173" spans="1:14" s="53" customFormat="1" ht="15.75" hidden="1" customHeight="1" x14ac:dyDescent="0.25">
      <c r="A173" s="65" t="str">
        <f ca="1">(SUMPRODUCT(MID(0&amp;(LEFT(A172,SUM(LEN(A172)-LEN(SUBSTITUTE(A172,{"0","1","2"},""))))), LARGE(INDEX(ISNUMBER(--MID((LEFT(A172,SUM(LEN(A172)-LEN(SUBSTITUTE(A172,{"0","1","2"},""))))), ROW(INDIRECT("1:"&amp;LEN((LEFT(A172,SUM(LEN(A172)-LEN(SUBSTITUTE(A172,{"0","1","2"},"")))))))), 1)) * ROW(INDIRECT("1:"&amp;LEN((LEFT(A172,SUM(LEN(A172)-LEN(SUBSTITUTE(A172,{"0","1","2"},"")))))))), 0), ROW(INDIRECT("1:"&amp;LEN((LEFT(A172,SUM(LEN(A172)-LEN(SUBSTITUTE(A172,{"0","1","2"},"")))))))))+1, 1) * 10^ROW(INDIRECT("1:"&amp;LEN((LEFT(A172,SUM(LEN(A172)-LEN(SUBSTITUTE(A172,{"0","1","2"},""))))))))/10))*1+1&amp;""&amp;" ,.., "&amp;""&amp;(SUMPRODUCT(MID(0&amp;(--TRIM(RIGHT(SUBSTITUTE(LEFT(A172,_xlfn.AGGREGATE(16,6,FIND({0,1,2,3,4,5,6,7,8,9},A172,ROW(INDIRECT("1:"&amp;LEN(A172)))),1))," ",REPT(" ",LEN(A172))),LEN(A172)))), LARGE(INDEX(ISNUMBER(--MID((--TRIM(RIGHT(SUBSTITUTE(LEFT(A172,_xlfn.AGGREGATE(16,6,FIND({0,1,2,3,4,5,6,7,8,9},A172,ROW(INDIRECT("1:"&amp;LEN(A172)))),1))," ",REPT(" ",LEN(A172))),LEN(A172)))), ROW(INDIRECT("1:"&amp;LEN((--TRIM(RIGHT(SUBSTITUTE(LEFT(A172,_xlfn.AGGREGATE(16,6,FIND({0,1,2,3,4,5,6,7,8,9},A172,ROW(INDIRECT("1:"&amp;LEN(A172)))),1))," ",REPT(" ",LEN(A172))),LEN(A172))))))), 1)) * ROW(INDIRECT("1:"&amp;LEN((--TRIM(RIGHT(SUBSTITUTE(LEFT(A172,_xlfn.AGGREGATE(16,6,FIND({0,1,2,3,4,5,6,7,8,9},A172,ROW(INDIRECT("1:"&amp;LEN(A172)))),1))," ",REPT(" ",LEN(A172))),LEN(A172))))))), 0), ROW(INDIRECT("1:"&amp;LEN((--TRIM(RIGHT(SUBSTITUTE(LEFT(A172,_xlfn.AGGREGATE(16,6,FIND({0,1,2,3,4,5,6,7,8,9},A172,ROW(INDIRECT("1:"&amp;LEN(A172)))),1))," ",REPT(" ",LEN(A172))),LEN(A172))))))))+1, 1) * 10^ROW(INDIRECT("1:"&amp;LEN((--TRIM(RIGHT(SUBSTITUTE(LEFT(A172,_xlfn.AGGREGATE(16,6,FIND({0,1,2,3,4,5,6,7,8,9},A172,ROW(INDIRECT("1:"&amp;LEN(A172)))),1))," ",REPT(" ",LEN(A172))),LEN(A172)))))))/10))*1+1</f>
        <v>303 ,.., 1503</v>
      </c>
      <c r="B173" s="66"/>
      <c r="C173" s="52"/>
      <c r="D173" s="52"/>
      <c r="E173" s="52">
        <v>0</v>
      </c>
      <c r="F173" s="52">
        <f>D173+E173</f>
        <v>0</v>
      </c>
      <c r="G173" s="52">
        <v>0</v>
      </c>
      <c r="H173" s="52">
        <f t="shared" si="9"/>
        <v>0</v>
      </c>
      <c r="I173" s="31"/>
    </row>
    <row r="174" spans="1:14" s="53" customFormat="1" ht="15.75" hidden="1" customHeight="1" x14ac:dyDescent="0.25">
      <c r="A174" s="65" t="str">
        <f ca="1">(SUMPRODUCT(MID(0&amp;(LEFT(A173,SUM(LEN(A173)-LEN(SUBSTITUTE(A173,{"0","1","2"},""))))), LARGE(INDEX(ISNUMBER(--MID((LEFT(A173,SUM(LEN(A173)-LEN(SUBSTITUTE(A173,{"0","1","2"},""))))), ROW(INDIRECT("1:"&amp;LEN((LEFT(A173,SUM(LEN(A173)-LEN(SUBSTITUTE(A173,{"0","1","2"},"")))))))), 1)) * ROW(INDIRECT("1:"&amp;LEN((LEFT(A173,SUM(LEN(A173)-LEN(SUBSTITUTE(A173,{"0","1","2"},"")))))))), 0), ROW(INDIRECT("1:"&amp;LEN((LEFT(A173,SUM(LEN(A173)-LEN(SUBSTITUTE(A173,{"0","1","2"},"")))))))))+1, 1) * 10^ROW(INDIRECT("1:"&amp;LEN((LEFT(A173,SUM(LEN(A173)-LEN(SUBSTITUTE(A173,{"0","1","2"},""))))))))/10))*1+1&amp;""&amp;" ,.., "&amp;""&amp;(SUMPRODUCT(MID(0&amp;(--TRIM(RIGHT(SUBSTITUTE(LEFT(A173,_xlfn.AGGREGATE(16,6,FIND({0,1,2,3,4,5,6,7,8,9},A173,ROW(INDIRECT("1:"&amp;LEN(A173)))),1))," ",REPT(" ",LEN(A173))),LEN(A173)))), LARGE(INDEX(ISNUMBER(--MID((--TRIM(RIGHT(SUBSTITUTE(LEFT(A173,_xlfn.AGGREGATE(16,6,FIND({0,1,2,3,4,5,6,7,8,9},A173,ROW(INDIRECT("1:"&amp;LEN(A173)))),1))," ",REPT(" ",LEN(A173))),LEN(A173)))), ROW(INDIRECT("1:"&amp;LEN((--TRIM(RIGHT(SUBSTITUTE(LEFT(A173,_xlfn.AGGREGATE(16,6,FIND({0,1,2,3,4,5,6,7,8,9},A173,ROW(INDIRECT("1:"&amp;LEN(A173)))),1))," ",REPT(" ",LEN(A173))),LEN(A173))))))), 1)) * ROW(INDIRECT("1:"&amp;LEN((--TRIM(RIGHT(SUBSTITUTE(LEFT(A173,_xlfn.AGGREGATE(16,6,FIND({0,1,2,3,4,5,6,7,8,9},A173,ROW(INDIRECT("1:"&amp;LEN(A173)))),1))," ",REPT(" ",LEN(A173))),LEN(A173))))))), 0), ROW(INDIRECT("1:"&amp;LEN((--TRIM(RIGHT(SUBSTITUTE(LEFT(A173,_xlfn.AGGREGATE(16,6,FIND({0,1,2,3,4,5,6,7,8,9},A173,ROW(INDIRECT("1:"&amp;LEN(A173)))),1))," ",REPT(" ",LEN(A173))),LEN(A173))))))))+1, 1) * 10^ROW(INDIRECT("1:"&amp;LEN((--TRIM(RIGHT(SUBSTITUTE(LEFT(A173,_xlfn.AGGREGATE(16,6,FIND({0,1,2,3,4,5,6,7,8,9},A173,ROW(INDIRECT("1:"&amp;LEN(A173)))),1))," ",REPT(" ",LEN(A173))),LEN(A173)))))))/10))*1+1</f>
        <v>304 ,.., 1504</v>
      </c>
      <c r="B174" s="66"/>
      <c r="C174" s="52"/>
      <c r="D174" s="52"/>
      <c r="E174" s="52">
        <v>0</v>
      </c>
      <c r="F174" s="52">
        <f>D174+E174</f>
        <v>0</v>
      </c>
      <c r="G174" s="52">
        <v>0</v>
      </c>
      <c r="H174" s="52">
        <f t="shared" si="9"/>
        <v>0</v>
      </c>
      <c r="I174" s="31"/>
    </row>
    <row r="175" spans="1:14" s="53" customFormat="1" ht="15.75" hidden="1" customHeight="1" x14ac:dyDescent="0.25">
      <c r="A175" s="65" t="str">
        <f ca="1">(SUMPRODUCT(MID(0&amp;(LEFT(A174,SUM(LEN(A174)-LEN(SUBSTITUTE(A174,{"0","1","2"},""))))), LARGE(INDEX(ISNUMBER(--MID((LEFT(A174,SUM(LEN(A174)-LEN(SUBSTITUTE(A174,{"0","1","2"},""))))), ROW(INDIRECT("1:"&amp;LEN((LEFT(A174,SUM(LEN(A174)-LEN(SUBSTITUTE(A174,{"0","1","2"},"")))))))), 1)) * ROW(INDIRECT("1:"&amp;LEN((LEFT(A174,SUM(LEN(A174)-LEN(SUBSTITUTE(A174,{"0","1","2"},"")))))))), 0), ROW(INDIRECT("1:"&amp;LEN((LEFT(A174,SUM(LEN(A174)-LEN(SUBSTITUTE(A174,{"0","1","2"},"")))))))))+1, 1) * 10^ROW(INDIRECT("1:"&amp;LEN((LEFT(A174,SUM(LEN(A174)-LEN(SUBSTITUTE(A174,{"0","1","2"},""))))))))/10))*1+1&amp;""&amp;" ,.., "&amp;""&amp;(SUMPRODUCT(MID(0&amp;(--TRIM(RIGHT(SUBSTITUTE(LEFT(A174,_xlfn.AGGREGATE(16,6,FIND({0,1,2,3,4,5,6,7,8,9},A174,ROW(INDIRECT("1:"&amp;LEN(A174)))),1))," ",REPT(" ",LEN(A174))),LEN(A174)))), LARGE(INDEX(ISNUMBER(--MID((--TRIM(RIGHT(SUBSTITUTE(LEFT(A174,_xlfn.AGGREGATE(16,6,FIND({0,1,2,3,4,5,6,7,8,9},A174,ROW(INDIRECT("1:"&amp;LEN(A174)))),1))," ",REPT(" ",LEN(A174))),LEN(A174)))), ROW(INDIRECT("1:"&amp;LEN((--TRIM(RIGHT(SUBSTITUTE(LEFT(A174,_xlfn.AGGREGATE(16,6,FIND({0,1,2,3,4,5,6,7,8,9},A174,ROW(INDIRECT("1:"&amp;LEN(A174)))),1))," ",REPT(" ",LEN(A174))),LEN(A174))))))), 1)) * ROW(INDIRECT("1:"&amp;LEN((--TRIM(RIGHT(SUBSTITUTE(LEFT(A174,_xlfn.AGGREGATE(16,6,FIND({0,1,2,3,4,5,6,7,8,9},A174,ROW(INDIRECT("1:"&amp;LEN(A174)))),1))," ",REPT(" ",LEN(A174))),LEN(A174))))))), 0), ROW(INDIRECT("1:"&amp;LEN((--TRIM(RIGHT(SUBSTITUTE(LEFT(A174,_xlfn.AGGREGATE(16,6,FIND({0,1,2,3,4,5,6,7,8,9},A174,ROW(INDIRECT("1:"&amp;LEN(A174)))),1))," ",REPT(" ",LEN(A174))),LEN(A174))))))))+1, 1) * 10^ROW(INDIRECT("1:"&amp;LEN((--TRIM(RIGHT(SUBSTITUTE(LEFT(A174,_xlfn.AGGREGATE(16,6,FIND({0,1,2,3,4,5,6,7,8,9},A174,ROW(INDIRECT("1:"&amp;LEN(A174)))),1))," ",REPT(" ",LEN(A174))),LEN(A174)))))))/10))*1+1</f>
        <v>305 ,.., 1505</v>
      </c>
      <c r="B175" s="66"/>
      <c r="C175" s="52"/>
      <c r="D175" s="52"/>
      <c r="E175" s="52">
        <v>0</v>
      </c>
      <c r="F175" s="52">
        <f>D175+E175</f>
        <v>0</v>
      </c>
      <c r="G175" s="52">
        <v>0</v>
      </c>
      <c r="H175" s="52">
        <f t="shared" si="9"/>
        <v>0</v>
      </c>
      <c r="I175" s="31"/>
    </row>
    <row r="176" spans="1:14" s="53" customFormat="1" ht="15.6" hidden="1" customHeight="1" x14ac:dyDescent="0.25">
      <c r="A176" s="67" t="s">
        <v>242</v>
      </c>
      <c r="B176" s="68"/>
      <c r="C176" s="68"/>
      <c r="D176" s="68"/>
      <c r="E176" s="68"/>
      <c r="F176" s="68"/>
      <c r="G176" s="68"/>
      <c r="H176" s="69"/>
      <c r="I176" s="31"/>
    </row>
    <row r="177" spans="1:9" s="53" customFormat="1" ht="15.75" hidden="1" customHeight="1" x14ac:dyDescent="0.25">
      <c r="A177" s="65" t="str">
        <f ca="1">(SUMPRODUCT(MID(0&amp;(LEFT(A176,SUM(LEN(A176)-LEN(SUBSTITUTE(A176,{"0","1","2"},""))))), LARGE(INDEX(ISNUMBER(--MID((LEFT(A176,SUM(LEN(A176)-LEN(SUBSTITUTE(A176,{"0","1","2"},""))))), ROW(INDIRECT("1:"&amp;LEN((LEFT(A176,SUM(LEN(A176)-LEN(SUBSTITUTE(A176,{"0","1","2"},"")))))))), 1)) * ROW(INDIRECT("1:"&amp;LEN((LEFT(A176,SUM(LEN(A176)-LEN(SUBSTITUTE(A176,{"0","1","2"},"")))))))), 0), ROW(INDIRECT("1:"&amp;LEN((LEFT(A176,SUM(LEN(A176)-LEN(SUBSTITUTE(A176,{"0","1","2"},"")))))))))+1, 1) * 10^ROW(INDIRECT("1:"&amp;LEN((LEFT(A176,SUM(LEN(A176)-LEN(SUBSTITUTE(A176,{"0","1","2"},""))))))))/10))*100+1&amp;""&amp;" to "&amp;""&amp;(SUMPRODUCT(MID(0&amp;(--TRIM(RIGHT(SUBSTITUTE(LEFT(A176,_xlfn.AGGREGATE(16,6,FIND({0,1,2,3,4,5,6,7,8,9},A176,ROW(INDIRECT("1:"&amp;LEN(A176)))),1))," ",REPT(" ",LEN(A176))),LEN(A176)))), LARGE(INDEX(ISNUMBER(--MID((--TRIM(RIGHT(SUBSTITUTE(LEFT(A176,_xlfn.AGGREGATE(16,6,FIND({0,1,2,3,4,5,6,7,8,9},A176,ROW(INDIRECT("1:"&amp;LEN(A176)))),1))," ",REPT(" ",LEN(A176))),LEN(A176)))), ROW(INDIRECT("1:"&amp;LEN((--TRIM(RIGHT(SUBSTITUTE(LEFT(A176,_xlfn.AGGREGATE(16,6,FIND({0,1,2,3,4,5,6,7,8,9},A176,ROW(INDIRECT("1:"&amp;LEN(A176)))),1))," ",REPT(" ",LEN(A176))),LEN(A176))))))), 1)) * ROW(INDIRECT("1:"&amp;LEN((--TRIM(RIGHT(SUBSTITUTE(LEFT(A176,_xlfn.AGGREGATE(16,6,FIND({0,1,2,3,4,5,6,7,8,9},A176,ROW(INDIRECT("1:"&amp;LEN(A176)))),1))," ",REPT(" ",LEN(A176))),LEN(A176))))))), 0), ROW(INDIRECT("1:"&amp;LEN((--TRIM(RIGHT(SUBSTITUTE(LEFT(A176,_xlfn.AGGREGATE(16,6,FIND({0,1,2,3,4,5,6,7,8,9},A176,ROW(INDIRECT("1:"&amp;LEN(A176)))),1))," ",REPT(" ",LEN(A176))),LEN(A176))))))))+1, 1) * 10^ROW(INDIRECT("1:"&amp;LEN((--TRIM(RIGHT(SUBSTITUTE(LEFT(A176,_xlfn.AGGREGATE(16,6,FIND({0,1,2,3,4,5,6,7,8,9},A176,ROW(INDIRECT("1:"&amp;LEN(A176)))),1))," ",REPT(" ",LEN(A176))),LEN(A176)))))))/10))*100+1</f>
        <v>201 to 501</v>
      </c>
      <c r="B177" s="66"/>
      <c r="C177" s="52"/>
      <c r="D177" s="52"/>
      <c r="E177" s="52">
        <v>0</v>
      </c>
      <c r="F177" s="52">
        <f>D177+E177</f>
        <v>0</v>
      </c>
      <c r="G177" s="52">
        <v>0</v>
      </c>
      <c r="H177" s="52">
        <f>F177*(($H$115)+1)+(IF(G177&lt;101,G177,IF(G177&lt;201,G177/2,IF(G177&lt;=301,G177/3,G177/4))))</f>
        <v>0</v>
      </c>
      <c r="I177" s="31"/>
    </row>
    <row r="178" spans="1:9" s="53" customFormat="1" ht="15.75" hidden="1" customHeight="1" x14ac:dyDescent="0.25">
      <c r="A178" s="65" t="str">
        <f ca="1">(SUMPRODUCT(MID(0&amp;(LEFT(A177,SUM(LEN(A177)-LEN(SUBSTITUTE(A177,{"0","1","2"},""))))), LARGE(INDEX(ISNUMBER(--MID((LEFT(A177,SUM(LEN(A177)-LEN(SUBSTITUTE(A177,{"0","1","2"},""))))), ROW(INDIRECT("1:"&amp;LEN((LEFT(A177,SUM(LEN(A177)-LEN(SUBSTITUTE(A177,{"0","1","2"},"")))))))), 1)) * ROW(INDIRECT("1:"&amp;LEN((LEFT(A177,SUM(LEN(A177)-LEN(SUBSTITUTE(A177,{"0","1","2"},"")))))))), 0), ROW(INDIRECT("1:"&amp;LEN((LEFT(A177,SUM(LEN(A177)-LEN(SUBSTITUTE(A177,{"0","1","2"},"")))))))))+1, 1) * 10^ROW(INDIRECT("1:"&amp;LEN((LEFT(A177,SUM(LEN(A177)-LEN(SUBSTITUTE(A177,{"0","1","2"},""))))))))/10))*1+1&amp;""&amp;" to "&amp;""&amp;(SUMPRODUCT(MID(0&amp;(--TRIM(RIGHT(SUBSTITUTE(LEFT(A177,_xlfn.AGGREGATE(16,6,FIND({0,1,2,3,4,5,6,7,8,9},A177,ROW(INDIRECT("1:"&amp;LEN(A177)))),1))," ",REPT(" ",LEN(A177))),LEN(A177)))), LARGE(INDEX(ISNUMBER(--MID((--TRIM(RIGHT(SUBSTITUTE(LEFT(A177,_xlfn.AGGREGATE(16,6,FIND({0,1,2,3,4,5,6,7,8,9},A177,ROW(INDIRECT("1:"&amp;LEN(A177)))),1))," ",REPT(" ",LEN(A177))),LEN(A177)))), ROW(INDIRECT("1:"&amp;LEN((--TRIM(RIGHT(SUBSTITUTE(LEFT(A177,_xlfn.AGGREGATE(16,6,FIND({0,1,2,3,4,5,6,7,8,9},A177,ROW(INDIRECT("1:"&amp;LEN(A177)))),1))," ",REPT(" ",LEN(A177))),LEN(A177))))))), 1)) * ROW(INDIRECT("1:"&amp;LEN((--TRIM(RIGHT(SUBSTITUTE(LEFT(A177,_xlfn.AGGREGATE(16,6,FIND({0,1,2,3,4,5,6,7,8,9},A177,ROW(INDIRECT("1:"&amp;LEN(A177)))),1))," ",REPT(" ",LEN(A177))),LEN(A177))))))), 0), ROW(INDIRECT("1:"&amp;LEN((--TRIM(RIGHT(SUBSTITUTE(LEFT(A177,_xlfn.AGGREGATE(16,6,FIND({0,1,2,3,4,5,6,7,8,9},A177,ROW(INDIRECT("1:"&amp;LEN(A177)))),1))," ",REPT(" ",LEN(A177))),LEN(A177))))))))+1, 1) * 10^ROW(INDIRECT("1:"&amp;LEN((--TRIM(RIGHT(SUBSTITUTE(LEFT(A177,_xlfn.AGGREGATE(16,6,FIND({0,1,2,3,4,5,6,7,8,9},A177,ROW(INDIRECT("1:"&amp;LEN(A177)))),1))," ",REPT(" ",LEN(A177))),LEN(A177)))))))/10))*1+1</f>
        <v>202 to 502</v>
      </c>
      <c r="B178" s="66"/>
      <c r="C178" s="52"/>
      <c r="D178" s="52"/>
      <c r="E178" s="52">
        <v>0</v>
      </c>
      <c r="F178" s="52">
        <f>D178+E178</f>
        <v>0</v>
      </c>
      <c r="G178" s="52">
        <v>0</v>
      </c>
      <c r="H178" s="52">
        <f t="shared" ref="H178:H181" si="10">F178*(($H$115)+1)+(IF(G178&lt;101,G178,IF(G178&lt;201,G178/2,IF(G178&lt;=301,G178/3,G178/4))))</f>
        <v>0</v>
      </c>
      <c r="I178" s="31"/>
    </row>
    <row r="179" spans="1:9" s="53" customFormat="1" ht="15.75" hidden="1" customHeight="1" x14ac:dyDescent="0.25">
      <c r="A179" s="65" t="str">
        <f ca="1">(SUMPRODUCT(MID(0&amp;(LEFT(A178,SUM(LEN(A178)-LEN(SUBSTITUTE(A178,{"0","1","2"},""))))), LARGE(INDEX(ISNUMBER(--MID((LEFT(A178,SUM(LEN(A178)-LEN(SUBSTITUTE(A178,{"0","1","2"},""))))), ROW(INDIRECT("1:"&amp;LEN((LEFT(A178,SUM(LEN(A178)-LEN(SUBSTITUTE(A178,{"0","1","2"},"")))))))), 1)) * ROW(INDIRECT("1:"&amp;LEN((LEFT(A178,SUM(LEN(A178)-LEN(SUBSTITUTE(A178,{"0","1","2"},"")))))))), 0), ROW(INDIRECT("1:"&amp;LEN((LEFT(A178,SUM(LEN(A178)-LEN(SUBSTITUTE(A178,{"0","1","2"},"")))))))))+1, 1) * 10^ROW(INDIRECT("1:"&amp;LEN((LEFT(A178,SUM(LEN(A178)-LEN(SUBSTITUTE(A178,{"0","1","2"},""))))))))/10))*1+1&amp;""&amp;" to "&amp;""&amp;(SUMPRODUCT(MID(0&amp;(--TRIM(RIGHT(SUBSTITUTE(LEFT(A178,_xlfn.AGGREGATE(16,6,FIND({0,1,2,3,4,5,6,7,8,9},A178,ROW(INDIRECT("1:"&amp;LEN(A178)))),1))," ",REPT(" ",LEN(A178))),LEN(A178)))), LARGE(INDEX(ISNUMBER(--MID((--TRIM(RIGHT(SUBSTITUTE(LEFT(A178,_xlfn.AGGREGATE(16,6,FIND({0,1,2,3,4,5,6,7,8,9},A178,ROW(INDIRECT("1:"&amp;LEN(A178)))),1))," ",REPT(" ",LEN(A178))),LEN(A178)))), ROW(INDIRECT("1:"&amp;LEN((--TRIM(RIGHT(SUBSTITUTE(LEFT(A178,_xlfn.AGGREGATE(16,6,FIND({0,1,2,3,4,5,6,7,8,9},A178,ROW(INDIRECT("1:"&amp;LEN(A178)))),1))," ",REPT(" ",LEN(A178))),LEN(A178))))))), 1)) * ROW(INDIRECT("1:"&amp;LEN((--TRIM(RIGHT(SUBSTITUTE(LEFT(A178,_xlfn.AGGREGATE(16,6,FIND({0,1,2,3,4,5,6,7,8,9},A178,ROW(INDIRECT("1:"&amp;LEN(A178)))),1))," ",REPT(" ",LEN(A178))),LEN(A178))))))), 0), ROW(INDIRECT("1:"&amp;LEN((--TRIM(RIGHT(SUBSTITUTE(LEFT(A178,_xlfn.AGGREGATE(16,6,FIND({0,1,2,3,4,5,6,7,8,9},A178,ROW(INDIRECT("1:"&amp;LEN(A178)))),1))," ",REPT(" ",LEN(A178))),LEN(A178))))))))+1, 1) * 10^ROW(INDIRECT("1:"&amp;LEN((--TRIM(RIGHT(SUBSTITUTE(LEFT(A178,_xlfn.AGGREGATE(16,6,FIND({0,1,2,3,4,5,6,7,8,9},A178,ROW(INDIRECT("1:"&amp;LEN(A178)))),1))," ",REPT(" ",LEN(A178))),LEN(A178)))))))/10))*1+1</f>
        <v>203 to 503</v>
      </c>
      <c r="B179" s="66"/>
      <c r="C179" s="52"/>
      <c r="D179" s="52"/>
      <c r="E179" s="52">
        <v>0</v>
      </c>
      <c r="F179" s="52">
        <f>D179+E179</f>
        <v>0</v>
      </c>
      <c r="G179" s="52">
        <v>0</v>
      </c>
      <c r="H179" s="52">
        <f t="shared" si="10"/>
        <v>0</v>
      </c>
      <c r="I179" s="31"/>
    </row>
    <row r="180" spans="1:9" s="53" customFormat="1" ht="15.75" hidden="1" customHeight="1" x14ac:dyDescent="0.25">
      <c r="A180" s="65" t="str">
        <f ca="1">(SUMPRODUCT(MID(0&amp;(LEFT(A179,SUM(LEN(A179)-LEN(SUBSTITUTE(A179,{"0","1","2"},""))))), LARGE(INDEX(ISNUMBER(--MID((LEFT(A179,SUM(LEN(A179)-LEN(SUBSTITUTE(A179,{"0","1","2"},""))))), ROW(INDIRECT("1:"&amp;LEN((LEFT(A179,SUM(LEN(A179)-LEN(SUBSTITUTE(A179,{"0","1","2"},"")))))))), 1)) * ROW(INDIRECT("1:"&amp;LEN((LEFT(A179,SUM(LEN(A179)-LEN(SUBSTITUTE(A179,{"0","1","2"},"")))))))), 0), ROW(INDIRECT("1:"&amp;LEN((LEFT(A179,SUM(LEN(A179)-LEN(SUBSTITUTE(A179,{"0","1","2"},"")))))))))+1, 1) * 10^ROW(INDIRECT("1:"&amp;LEN((LEFT(A179,SUM(LEN(A179)-LEN(SUBSTITUTE(A179,{"0","1","2"},""))))))))/10))*1+1&amp;""&amp;" to "&amp;""&amp;(SUMPRODUCT(MID(0&amp;(--TRIM(RIGHT(SUBSTITUTE(LEFT(A179,_xlfn.AGGREGATE(16,6,FIND({0,1,2,3,4,5,6,7,8,9},A179,ROW(INDIRECT("1:"&amp;LEN(A179)))),1))," ",REPT(" ",LEN(A179))),LEN(A179)))), LARGE(INDEX(ISNUMBER(--MID((--TRIM(RIGHT(SUBSTITUTE(LEFT(A179,_xlfn.AGGREGATE(16,6,FIND({0,1,2,3,4,5,6,7,8,9},A179,ROW(INDIRECT("1:"&amp;LEN(A179)))),1))," ",REPT(" ",LEN(A179))),LEN(A179)))), ROW(INDIRECT("1:"&amp;LEN((--TRIM(RIGHT(SUBSTITUTE(LEFT(A179,_xlfn.AGGREGATE(16,6,FIND({0,1,2,3,4,5,6,7,8,9},A179,ROW(INDIRECT("1:"&amp;LEN(A179)))),1))," ",REPT(" ",LEN(A179))),LEN(A179))))))), 1)) * ROW(INDIRECT("1:"&amp;LEN((--TRIM(RIGHT(SUBSTITUTE(LEFT(A179,_xlfn.AGGREGATE(16,6,FIND({0,1,2,3,4,5,6,7,8,9},A179,ROW(INDIRECT("1:"&amp;LEN(A179)))),1))," ",REPT(" ",LEN(A179))),LEN(A179))))))), 0), ROW(INDIRECT("1:"&amp;LEN((--TRIM(RIGHT(SUBSTITUTE(LEFT(A179,_xlfn.AGGREGATE(16,6,FIND({0,1,2,3,4,5,6,7,8,9},A179,ROW(INDIRECT("1:"&amp;LEN(A179)))),1))," ",REPT(" ",LEN(A179))),LEN(A179))))))))+1, 1) * 10^ROW(INDIRECT("1:"&amp;LEN((--TRIM(RIGHT(SUBSTITUTE(LEFT(A179,_xlfn.AGGREGATE(16,6,FIND({0,1,2,3,4,5,6,7,8,9},A179,ROW(INDIRECT("1:"&amp;LEN(A179)))),1))," ",REPT(" ",LEN(A179))),LEN(A179)))))))/10))*1+1</f>
        <v>204 to 504</v>
      </c>
      <c r="B180" s="66"/>
      <c r="C180" s="52"/>
      <c r="D180" s="52"/>
      <c r="E180" s="52">
        <v>0</v>
      </c>
      <c r="F180" s="52">
        <f>D180+E180</f>
        <v>0</v>
      </c>
      <c r="G180" s="52">
        <v>0</v>
      </c>
      <c r="H180" s="52">
        <f t="shared" si="10"/>
        <v>0</v>
      </c>
      <c r="I180" s="31"/>
    </row>
    <row r="181" spans="1:9" s="53" customFormat="1" ht="15.75" hidden="1" customHeight="1" x14ac:dyDescent="0.25">
      <c r="A181" s="65" t="str">
        <f ca="1">(SUMPRODUCT(MID(0&amp;(LEFT(A180,SUM(LEN(A180)-LEN(SUBSTITUTE(A180,{"0","1","2"},""))))), LARGE(INDEX(ISNUMBER(--MID((LEFT(A180,SUM(LEN(A180)-LEN(SUBSTITUTE(A180,{"0","1","2"},""))))), ROW(INDIRECT("1:"&amp;LEN((LEFT(A180,SUM(LEN(A180)-LEN(SUBSTITUTE(A180,{"0","1","2"},"")))))))), 1)) * ROW(INDIRECT("1:"&amp;LEN((LEFT(A180,SUM(LEN(A180)-LEN(SUBSTITUTE(A180,{"0","1","2"},"")))))))), 0), ROW(INDIRECT("1:"&amp;LEN((LEFT(A180,SUM(LEN(A180)-LEN(SUBSTITUTE(A180,{"0","1","2"},"")))))))))+1, 1) * 10^ROW(INDIRECT("1:"&amp;LEN((LEFT(A180,SUM(LEN(A180)-LEN(SUBSTITUTE(A180,{"0","1","2"},""))))))))/10))*1+1&amp;""&amp;" to "&amp;""&amp;(SUMPRODUCT(MID(0&amp;(--TRIM(RIGHT(SUBSTITUTE(LEFT(A180,_xlfn.AGGREGATE(16,6,FIND({0,1,2,3,4,5,6,7,8,9},A180,ROW(INDIRECT("1:"&amp;LEN(A180)))),1))," ",REPT(" ",LEN(A180))),LEN(A180)))), LARGE(INDEX(ISNUMBER(--MID((--TRIM(RIGHT(SUBSTITUTE(LEFT(A180,_xlfn.AGGREGATE(16,6,FIND({0,1,2,3,4,5,6,7,8,9},A180,ROW(INDIRECT("1:"&amp;LEN(A180)))),1))," ",REPT(" ",LEN(A180))),LEN(A180)))), ROW(INDIRECT("1:"&amp;LEN((--TRIM(RIGHT(SUBSTITUTE(LEFT(A180,_xlfn.AGGREGATE(16,6,FIND({0,1,2,3,4,5,6,7,8,9},A180,ROW(INDIRECT("1:"&amp;LEN(A180)))),1))," ",REPT(" ",LEN(A180))),LEN(A180))))))), 1)) * ROW(INDIRECT("1:"&amp;LEN((--TRIM(RIGHT(SUBSTITUTE(LEFT(A180,_xlfn.AGGREGATE(16,6,FIND({0,1,2,3,4,5,6,7,8,9},A180,ROW(INDIRECT("1:"&amp;LEN(A180)))),1))," ",REPT(" ",LEN(A180))),LEN(A180))))))), 0), ROW(INDIRECT("1:"&amp;LEN((--TRIM(RIGHT(SUBSTITUTE(LEFT(A180,_xlfn.AGGREGATE(16,6,FIND({0,1,2,3,4,5,6,7,8,9},A180,ROW(INDIRECT("1:"&amp;LEN(A180)))),1))," ",REPT(" ",LEN(A180))),LEN(A180))))))))+1, 1) * 10^ROW(INDIRECT("1:"&amp;LEN((--TRIM(RIGHT(SUBSTITUTE(LEFT(A180,_xlfn.AGGREGATE(16,6,FIND({0,1,2,3,4,5,6,7,8,9},A180,ROW(INDIRECT("1:"&amp;LEN(A180)))),1))," ",REPT(" ",LEN(A180))),LEN(A180)))))))/10))*1+1</f>
        <v>205 to 505</v>
      </c>
      <c r="B181" s="66"/>
      <c r="C181" s="52"/>
      <c r="D181" s="52"/>
      <c r="E181" s="52">
        <v>0</v>
      </c>
      <c r="F181" s="52">
        <f>D181+E181</f>
        <v>0</v>
      </c>
      <c r="G181" s="52">
        <v>0</v>
      </c>
      <c r="H181" s="52">
        <f t="shared" si="10"/>
        <v>0</v>
      </c>
      <c r="I181" s="31"/>
    </row>
    <row r="182" spans="1:9" s="53" customFormat="1" ht="15.6" hidden="1" customHeight="1" x14ac:dyDescent="0.25">
      <c r="A182" s="67" t="s">
        <v>243</v>
      </c>
      <c r="B182" s="68"/>
      <c r="C182" s="68"/>
      <c r="D182" s="68"/>
      <c r="E182" s="68"/>
      <c r="F182" s="68"/>
      <c r="G182" s="68"/>
      <c r="H182" s="69"/>
      <c r="I182" s="31"/>
    </row>
    <row r="183" spans="1:9" s="53" customFormat="1" ht="15.75" hidden="1" customHeight="1" x14ac:dyDescent="0.25">
      <c r="A183" s="65" t="str">
        <f ca="1">(SUMPRODUCT(MID(0&amp;(LEFT(A182,SUM(LEN(A182)-LEN(SUBSTITUTE(A182,{"0","1","2"},""))))), LARGE(INDEX(ISNUMBER(--MID((LEFT(A182,SUM(LEN(A182)-LEN(SUBSTITUTE(A182,{"0","1","2"},""))))), ROW(INDIRECT("1:"&amp;LEN((LEFT(A182,SUM(LEN(A182)-LEN(SUBSTITUTE(A182,{"0","1","2"},"")))))))), 1)) * ROW(INDIRECT("1:"&amp;LEN((LEFT(A182,SUM(LEN(A182)-LEN(SUBSTITUTE(A182,{"0","1","2"},"")))))))), 0), ROW(INDIRECT("1:"&amp;LEN((LEFT(A182,SUM(LEN(A182)-LEN(SUBSTITUTE(A182,{"0","1","2"},"")))))))))+1, 1) * 10^ROW(INDIRECT("1:"&amp;LEN((LEFT(A182,SUM(LEN(A182)-LEN(SUBSTITUTE(A182,{"0","1","2"},""))))))))/10))*100+1&amp;""&amp;" &amp; "&amp;""&amp;(SUMPRODUCT(MID(0&amp;(--TRIM(RIGHT(SUBSTITUTE(LEFT(A182,_xlfn.AGGREGATE(16,6,FIND({0,1,2,3,4,5,6,7,8,9},A182,ROW(INDIRECT("1:"&amp;LEN(A182)))),1))," ",REPT(" ",LEN(A182))),LEN(A182)))), LARGE(INDEX(ISNUMBER(--MID((--TRIM(RIGHT(SUBSTITUTE(LEFT(A182,_xlfn.AGGREGATE(16,6,FIND({0,1,2,3,4,5,6,7,8,9},A182,ROW(INDIRECT("1:"&amp;LEN(A182)))),1))," ",REPT(" ",LEN(A182))),LEN(A182)))), ROW(INDIRECT("1:"&amp;LEN((--TRIM(RIGHT(SUBSTITUTE(LEFT(A182,_xlfn.AGGREGATE(16,6,FIND({0,1,2,3,4,5,6,7,8,9},A182,ROW(INDIRECT("1:"&amp;LEN(A182)))),1))," ",REPT(" ",LEN(A182))),LEN(A182))))))), 1)) * ROW(INDIRECT("1:"&amp;LEN((--TRIM(RIGHT(SUBSTITUTE(LEFT(A182,_xlfn.AGGREGATE(16,6,FIND({0,1,2,3,4,5,6,7,8,9},A182,ROW(INDIRECT("1:"&amp;LEN(A182)))),1))," ",REPT(" ",LEN(A182))),LEN(A182))))))), 0), ROW(INDIRECT("1:"&amp;LEN((--TRIM(RIGHT(SUBSTITUTE(LEFT(A182,_xlfn.AGGREGATE(16,6,FIND({0,1,2,3,4,5,6,7,8,9},A182,ROW(INDIRECT("1:"&amp;LEN(A182)))),1))," ",REPT(" ",LEN(A182))),LEN(A182))))))))+1, 1) * 10^ROW(INDIRECT("1:"&amp;LEN((--TRIM(RIGHT(SUBSTITUTE(LEFT(A182,_xlfn.AGGREGATE(16,6,FIND({0,1,2,3,4,5,6,7,8,9},A182,ROW(INDIRECT("1:"&amp;LEN(A182)))),1))," ",REPT(" ",LEN(A182))),LEN(A182)))))))/10))*100+1</f>
        <v>201 &amp; 501</v>
      </c>
      <c r="B183" s="66"/>
      <c r="C183" s="52"/>
      <c r="D183" s="52"/>
      <c r="E183" s="52">
        <v>0</v>
      </c>
      <c r="F183" s="52">
        <f>D183+E183</f>
        <v>0</v>
      </c>
      <c r="G183" s="52">
        <v>0</v>
      </c>
      <c r="H183" s="52">
        <f>F183*(($H$115)+1)+(IF(G183&lt;101,G183,IF(G183&lt;201,G183/2,IF(G183&lt;=301,G183/3,G183/4))))</f>
        <v>0</v>
      </c>
      <c r="I183" s="31"/>
    </row>
    <row r="184" spans="1:9" s="53" customFormat="1" ht="15.75" hidden="1" customHeight="1" x14ac:dyDescent="0.25">
      <c r="A184" s="65" t="str">
        <f ca="1">(SUMPRODUCT(MID(0&amp;(LEFT(A183,SUM(LEN(A183)-LEN(SUBSTITUTE(A183,{"0","1","2"},""))))), LARGE(INDEX(ISNUMBER(--MID((LEFT(A183,SUM(LEN(A183)-LEN(SUBSTITUTE(A183,{"0","1","2"},""))))), ROW(INDIRECT("1:"&amp;LEN((LEFT(A183,SUM(LEN(A183)-LEN(SUBSTITUTE(A183,{"0","1","2"},"")))))))), 1)) * ROW(INDIRECT("1:"&amp;LEN((LEFT(A183,SUM(LEN(A183)-LEN(SUBSTITUTE(A183,{"0","1","2"},"")))))))), 0), ROW(INDIRECT("1:"&amp;LEN((LEFT(A183,SUM(LEN(A183)-LEN(SUBSTITUTE(A183,{"0","1","2"},"")))))))))+1, 1) * 10^ROW(INDIRECT("1:"&amp;LEN((LEFT(A183,SUM(LEN(A183)-LEN(SUBSTITUTE(A183,{"0","1","2"},""))))))))/10))*1+1&amp;""&amp;" &amp; "&amp;""&amp;(SUMPRODUCT(MID(0&amp;(--TRIM(RIGHT(SUBSTITUTE(LEFT(A183,_xlfn.AGGREGATE(16,6,FIND({0,1,2,3,4,5,6,7,8,9},A183,ROW(INDIRECT("1:"&amp;LEN(A183)))),1))," ",REPT(" ",LEN(A183))),LEN(A183)))), LARGE(INDEX(ISNUMBER(--MID((--TRIM(RIGHT(SUBSTITUTE(LEFT(A183,_xlfn.AGGREGATE(16,6,FIND({0,1,2,3,4,5,6,7,8,9},A183,ROW(INDIRECT("1:"&amp;LEN(A183)))),1))," ",REPT(" ",LEN(A183))),LEN(A183)))), ROW(INDIRECT("1:"&amp;LEN((--TRIM(RIGHT(SUBSTITUTE(LEFT(A183,_xlfn.AGGREGATE(16,6,FIND({0,1,2,3,4,5,6,7,8,9},A183,ROW(INDIRECT("1:"&amp;LEN(A183)))),1))," ",REPT(" ",LEN(A183))),LEN(A183))))))), 1)) * ROW(INDIRECT("1:"&amp;LEN((--TRIM(RIGHT(SUBSTITUTE(LEFT(A183,_xlfn.AGGREGATE(16,6,FIND({0,1,2,3,4,5,6,7,8,9},A183,ROW(INDIRECT("1:"&amp;LEN(A183)))),1))," ",REPT(" ",LEN(A183))),LEN(A183))))))), 0), ROW(INDIRECT("1:"&amp;LEN((--TRIM(RIGHT(SUBSTITUTE(LEFT(A183,_xlfn.AGGREGATE(16,6,FIND({0,1,2,3,4,5,6,7,8,9},A183,ROW(INDIRECT("1:"&amp;LEN(A183)))),1))," ",REPT(" ",LEN(A183))),LEN(A183))))))))+1, 1) * 10^ROW(INDIRECT("1:"&amp;LEN((--TRIM(RIGHT(SUBSTITUTE(LEFT(A183,_xlfn.AGGREGATE(16,6,FIND({0,1,2,3,4,5,6,7,8,9},A183,ROW(INDIRECT("1:"&amp;LEN(A183)))),1))," ",REPT(" ",LEN(A183))),LEN(A183)))))))/10))*1+1</f>
        <v>202 &amp; 502</v>
      </c>
      <c r="B184" s="66"/>
      <c r="C184" s="52"/>
      <c r="D184" s="52"/>
      <c r="E184" s="52">
        <v>0</v>
      </c>
      <c r="F184" s="52">
        <f>D184+E184</f>
        <v>0</v>
      </c>
      <c r="G184" s="52">
        <v>0</v>
      </c>
      <c r="H184" s="52">
        <f t="shared" ref="H184:H187" si="11">F184*(($H$115)+1)+(IF(G184&lt;101,G184,IF(G184&lt;201,G184/2,IF(G184&lt;=301,G184/3,G184/4))))</f>
        <v>0</v>
      </c>
      <c r="I184" s="31"/>
    </row>
    <row r="185" spans="1:9" s="53" customFormat="1" ht="15.75" hidden="1" customHeight="1" x14ac:dyDescent="0.25">
      <c r="A185" s="65" t="str">
        <f ca="1">(SUMPRODUCT(MID(0&amp;(LEFT(A184,SUM(LEN(A184)-LEN(SUBSTITUTE(A184,{"0","1","2"},""))))), LARGE(INDEX(ISNUMBER(--MID((LEFT(A184,SUM(LEN(A184)-LEN(SUBSTITUTE(A184,{"0","1","2"},""))))), ROW(INDIRECT("1:"&amp;LEN((LEFT(A184,SUM(LEN(A184)-LEN(SUBSTITUTE(A184,{"0","1","2"},"")))))))), 1)) * ROW(INDIRECT("1:"&amp;LEN((LEFT(A184,SUM(LEN(A184)-LEN(SUBSTITUTE(A184,{"0","1","2"},"")))))))), 0), ROW(INDIRECT("1:"&amp;LEN((LEFT(A184,SUM(LEN(A184)-LEN(SUBSTITUTE(A184,{"0","1","2"},"")))))))))+1, 1) * 10^ROW(INDIRECT("1:"&amp;LEN((LEFT(A184,SUM(LEN(A184)-LEN(SUBSTITUTE(A184,{"0","1","2"},""))))))))/10))*1+1&amp;""&amp;" &amp; "&amp;""&amp;(SUMPRODUCT(MID(0&amp;(--TRIM(RIGHT(SUBSTITUTE(LEFT(A184,_xlfn.AGGREGATE(16,6,FIND({0,1,2,3,4,5,6,7,8,9},A184,ROW(INDIRECT("1:"&amp;LEN(A184)))),1))," ",REPT(" ",LEN(A184))),LEN(A184)))), LARGE(INDEX(ISNUMBER(--MID((--TRIM(RIGHT(SUBSTITUTE(LEFT(A184,_xlfn.AGGREGATE(16,6,FIND({0,1,2,3,4,5,6,7,8,9},A184,ROW(INDIRECT("1:"&amp;LEN(A184)))),1))," ",REPT(" ",LEN(A184))),LEN(A184)))), ROW(INDIRECT("1:"&amp;LEN((--TRIM(RIGHT(SUBSTITUTE(LEFT(A184,_xlfn.AGGREGATE(16,6,FIND({0,1,2,3,4,5,6,7,8,9},A184,ROW(INDIRECT("1:"&amp;LEN(A184)))),1))," ",REPT(" ",LEN(A184))),LEN(A184))))))), 1)) * ROW(INDIRECT("1:"&amp;LEN((--TRIM(RIGHT(SUBSTITUTE(LEFT(A184,_xlfn.AGGREGATE(16,6,FIND({0,1,2,3,4,5,6,7,8,9},A184,ROW(INDIRECT("1:"&amp;LEN(A184)))),1))," ",REPT(" ",LEN(A184))),LEN(A184))))))), 0), ROW(INDIRECT("1:"&amp;LEN((--TRIM(RIGHT(SUBSTITUTE(LEFT(A184,_xlfn.AGGREGATE(16,6,FIND({0,1,2,3,4,5,6,7,8,9},A184,ROW(INDIRECT("1:"&amp;LEN(A184)))),1))," ",REPT(" ",LEN(A184))),LEN(A184))))))))+1, 1) * 10^ROW(INDIRECT("1:"&amp;LEN((--TRIM(RIGHT(SUBSTITUTE(LEFT(A184,_xlfn.AGGREGATE(16,6,FIND({0,1,2,3,4,5,6,7,8,9},A184,ROW(INDIRECT("1:"&amp;LEN(A184)))),1))," ",REPT(" ",LEN(A184))),LEN(A184)))))))/10))*1+1</f>
        <v>203 &amp; 503</v>
      </c>
      <c r="B185" s="66"/>
      <c r="C185" s="52"/>
      <c r="D185" s="52"/>
      <c r="E185" s="52">
        <v>0</v>
      </c>
      <c r="F185" s="52">
        <f>D185+E185</f>
        <v>0</v>
      </c>
      <c r="G185" s="52">
        <v>0</v>
      </c>
      <c r="H185" s="52">
        <f t="shared" si="11"/>
        <v>0</v>
      </c>
      <c r="I185" s="31"/>
    </row>
    <row r="186" spans="1:9" s="53" customFormat="1" ht="15.75" hidden="1" customHeight="1" x14ac:dyDescent="0.25">
      <c r="A186" s="65" t="str">
        <f ca="1">(SUMPRODUCT(MID(0&amp;(LEFT(A185,SUM(LEN(A185)-LEN(SUBSTITUTE(A185,{"0","1","2"},""))))), LARGE(INDEX(ISNUMBER(--MID((LEFT(A185,SUM(LEN(A185)-LEN(SUBSTITUTE(A185,{"0","1","2"},""))))), ROW(INDIRECT("1:"&amp;LEN((LEFT(A185,SUM(LEN(A185)-LEN(SUBSTITUTE(A185,{"0","1","2"},"")))))))), 1)) * ROW(INDIRECT("1:"&amp;LEN((LEFT(A185,SUM(LEN(A185)-LEN(SUBSTITUTE(A185,{"0","1","2"},"")))))))), 0), ROW(INDIRECT("1:"&amp;LEN((LEFT(A185,SUM(LEN(A185)-LEN(SUBSTITUTE(A185,{"0","1","2"},"")))))))))+1, 1) * 10^ROW(INDIRECT("1:"&amp;LEN((LEFT(A185,SUM(LEN(A185)-LEN(SUBSTITUTE(A185,{"0","1","2"},""))))))))/10))*1+1&amp;""&amp;" &amp; "&amp;""&amp;(SUMPRODUCT(MID(0&amp;(--TRIM(RIGHT(SUBSTITUTE(LEFT(A185,_xlfn.AGGREGATE(16,6,FIND({0,1,2,3,4,5,6,7,8,9},A185,ROW(INDIRECT("1:"&amp;LEN(A185)))),1))," ",REPT(" ",LEN(A185))),LEN(A185)))), LARGE(INDEX(ISNUMBER(--MID((--TRIM(RIGHT(SUBSTITUTE(LEFT(A185,_xlfn.AGGREGATE(16,6,FIND({0,1,2,3,4,5,6,7,8,9},A185,ROW(INDIRECT("1:"&amp;LEN(A185)))),1))," ",REPT(" ",LEN(A185))),LEN(A185)))), ROW(INDIRECT("1:"&amp;LEN((--TRIM(RIGHT(SUBSTITUTE(LEFT(A185,_xlfn.AGGREGATE(16,6,FIND({0,1,2,3,4,5,6,7,8,9},A185,ROW(INDIRECT("1:"&amp;LEN(A185)))),1))," ",REPT(" ",LEN(A185))),LEN(A185))))))), 1)) * ROW(INDIRECT("1:"&amp;LEN((--TRIM(RIGHT(SUBSTITUTE(LEFT(A185,_xlfn.AGGREGATE(16,6,FIND({0,1,2,3,4,5,6,7,8,9},A185,ROW(INDIRECT("1:"&amp;LEN(A185)))),1))," ",REPT(" ",LEN(A185))),LEN(A185))))))), 0), ROW(INDIRECT("1:"&amp;LEN((--TRIM(RIGHT(SUBSTITUTE(LEFT(A185,_xlfn.AGGREGATE(16,6,FIND({0,1,2,3,4,5,6,7,8,9},A185,ROW(INDIRECT("1:"&amp;LEN(A185)))),1))," ",REPT(" ",LEN(A185))),LEN(A185))))))))+1, 1) * 10^ROW(INDIRECT("1:"&amp;LEN((--TRIM(RIGHT(SUBSTITUTE(LEFT(A185,_xlfn.AGGREGATE(16,6,FIND({0,1,2,3,4,5,6,7,8,9},A185,ROW(INDIRECT("1:"&amp;LEN(A185)))),1))," ",REPT(" ",LEN(A185))),LEN(A185)))))))/10))*1+1</f>
        <v>204 &amp; 504</v>
      </c>
      <c r="B186" s="66"/>
      <c r="C186" s="52"/>
      <c r="D186" s="52"/>
      <c r="E186" s="52">
        <v>0</v>
      </c>
      <c r="F186" s="52">
        <f>D186+E186</f>
        <v>0</v>
      </c>
      <c r="G186" s="52">
        <v>0</v>
      </c>
      <c r="H186" s="52">
        <f t="shared" si="11"/>
        <v>0</v>
      </c>
      <c r="I186" s="31"/>
    </row>
    <row r="187" spans="1:9" s="53" customFormat="1" ht="15.75" hidden="1" customHeight="1" x14ac:dyDescent="0.25">
      <c r="A187" s="65" t="str">
        <f ca="1">(SUMPRODUCT(MID(0&amp;(LEFT(A186,SUM(LEN(A186)-LEN(SUBSTITUTE(A186,{"0","1","2"},""))))), LARGE(INDEX(ISNUMBER(--MID((LEFT(A186,SUM(LEN(A186)-LEN(SUBSTITUTE(A186,{"0","1","2"},""))))), ROW(INDIRECT("1:"&amp;LEN((LEFT(A186,SUM(LEN(A186)-LEN(SUBSTITUTE(A186,{"0","1","2"},"")))))))), 1)) * ROW(INDIRECT("1:"&amp;LEN((LEFT(A186,SUM(LEN(A186)-LEN(SUBSTITUTE(A186,{"0","1","2"},"")))))))), 0), ROW(INDIRECT("1:"&amp;LEN((LEFT(A186,SUM(LEN(A186)-LEN(SUBSTITUTE(A186,{"0","1","2"},"")))))))))+1, 1) * 10^ROW(INDIRECT("1:"&amp;LEN((LEFT(A186,SUM(LEN(A186)-LEN(SUBSTITUTE(A186,{"0","1","2"},""))))))))/10))*1+1&amp;""&amp;" &amp; "&amp;""&amp;(SUMPRODUCT(MID(0&amp;(--TRIM(RIGHT(SUBSTITUTE(LEFT(A186,_xlfn.AGGREGATE(16,6,FIND({0,1,2,3,4,5,6,7,8,9},A186,ROW(INDIRECT("1:"&amp;LEN(A186)))),1))," ",REPT(" ",LEN(A186))),LEN(A186)))), LARGE(INDEX(ISNUMBER(--MID((--TRIM(RIGHT(SUBSTITUTE(LEFT(A186,_xlfn.AGGREGATE(16,6,FIND({0,1,2,3,4,5,6,7,8,9},A186,ROW(INDIRECT("1:"&amp;LEN(A186)))),1))," ",REPT(" ",LEN(A186))),LEN(A186)))), ROW(INDIRECT("1:"&amp;LEN((--TRIM(RIGHT(SUBSTITUTE(LEFT(A186,_xlfn.AGGREGATE(16,6,FIND({0,1,2,3,4,5,6,7,8,9},A186,ROW(INDIRECT("1:"&amp;LEN(A186)))),1))," ",REPT(" ",LEN(A186))),LEN(A186))))))), 1)) * ROW(INDIRECT("1:"&amp;LEN((--TRIM(RIGHT(SUBSTITUTE(LEFT(A186,_xlfn.AGGREGATE(16,6,FIND({0,1,2,3,4,5,6,7,8,9},A186,ROW(INDIRECT("1:"&amp;LEN(A186)))),1))," ",REPT(" ",LEN(A186))),LEN(A186))))))), 0), ROW(INDIRECT("1:"&amp;LEN((--TRIM(RIGHT(SUBSTITUTE(LEFT(A186,_xlfn.AGGREGATE(16,6,FIND({0,1,2,3,4,5,6,7,8,9},A186,ROW(INDIRECT("1:"&amp;LEN(A186)))),1))," ",REPT(" ",LEN(A186))),LEN(A186))))))))+1, 1) * 10^ROW(INDIRECT("1:"&amp;LEN((--TRIM(RIGHT(SUBSTITUTE(LEFT(A186,_xlfn.AGGREGATE(16,6,FIND({0,1,2,3,4,5,6,7,8,9},A186,ROW(INDIRECT("1:"&amp;LEN(A186)))),1))," ",REPT(" ",LEN(A186))),LEN(A186)))))))/10))*1+1</f>
        <v>205 &amp; 505</v>
      </c>
      <c r="B187" s="66"/>
      <c r="C187" s="52"/>
      <c r="D187" s="52"/>
      <c r="E187" s="52">
        <v>0</v>
      </c>
      <c r="F187" s="52">
        <f>D187+E187</f>
        <v>0</v>
      </c>
      <c r="G187" s="52">
        <v>0</v>
      </c>
      <c r="H187" s="52">
        <f t="shared" si="11"/>
        <v>0</v>
      </c>
      <c r="I187" s="31"/>
    </row>
    <row r="188" spans="1:9" s="30" customFormat="1" x14ac:dyDescent="0.25">
      <c r="A188" s="112" t="s">
        <v>66</v>
      </c>
      <c r="B188" s="112"/>
      <c r="C188" s="112"/>
      <c r="D188" s="112"/>
      <c r="E188" s="112"/>
      <c r="F188" s="112"/>
      <c r="G188" s="112"/>
      <c r="H188" s="112"/>
    </row>
    <row r="189" spans="1:9" s="30" customFormat="1" x14ac:dyDescent="0.25">
      <c r="A189" s="45" t="s">
        <v>150</v>
      </c>
      <c r="B189" s="160" t="s">
        <v>193</v>
      </c>
      <c r="C189" s="160"/>
      <c r="D189" s="160"/>
      <c r="E189" s="160"/>
      <c r="F189" s="160"/>
      <c r="G189" s="160"/>
      <c r="H189" s="160"/>
    </row>
    <row r="190" spans="1:9" s="30" customFormat="1" x14ac:dyDescent="0.25">
      <c r="A190" s="45" t="s">
        <v>150</v>
      </c>
      <c r="B190" s="160" t="str">
        <f>(IF(H114="Saleable area Loading :","We have considered Saleable area of Flats as per our Calculation.","We considered Saleable area of Flat as per Builder area Sheet."))</f>
        <v>We have considered Saleable area of Flats as per our Calculation.</v>
      </c>
      <c r="C190" s="160"/>
      <c r="D190" s="160"/>
      <c r="E190" s="160"/>
      <c r="F190" s="160"/>
      <c r="G190" s="160"/>
      <c r="H190" s="160"/>
    </row>
    <row r="191" spans="1:9" s="30" customFormat="1" x14ac:dyDescent="0.25">
      <c r="A191" s="45" t="s">
        <v>150</v>
      </c>
      <c r="B191" s="160" t="str">
        <f>(IF(H103="Saleable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191" s="160"/>
      <c r="D191" s="160"/>
      <c r="E191" s="160"/>
      <c r="F191" s="160"/>
      <c r="G191" s="160"/>
      <c r="H191" s="160"/>
    </row>
    <row r="192" spans="1:9" s="30" customFormat="1" x14ac:dyDescent="0.25">
      <c r="A192" s="45" t="s">
        <v>150</v>
      </c>
      <c r="B192" s="157" t="s">
        <v>121</v>
      </c>
      <c r="C192" s="157"/>
      <c r="D192" s="157"/>
      <c r="E192" s="157"/>
      <c r="F192" s="157"/>
      <c r="G192" s="157"/>
      <c r="H192" s="157"/>
    </row>
    <row r="193" spans="1:8" s="30" customFormat="1" x14ac:dyDescent="0.25">
      <c r="A193" s="45" t="s">
        <v>150</v>
      </c>
      <c r="B193" s="160" t="s">
        <v>230</v>
      </c>
      <c r="C193" s="160"/>
      <c r="D193" s="160"/>
      <c r="E193" s="160"/>
      <c r="F193" s="160"/>
      <c r="G193" s="160"/>
      <c r="H193" s="160"/>
    </row>
    <row r="194" spans="1:8" s="30" customFormat="1" x14ac:dyDescent="0.25">
      <c r="A194" s="45" t="s">
        <v>150</v>
      </c>
      <c r="B194" s="157" t="s">
        <v>149</v>
      </c>
      <c r="C194" s="157"/>
      <c r="D194" s="157"/>
      <c r="E194" s="157"/>
      <c r="F194" s="157"/>
      <c r="G194" s="157"/>
      <c r="H194" s="157"/>
    </row>
    <row r="195" spans="1:8" s="30" customFormat="1" x14ac:dyDescent="0.25">
      <c r="A195" s="37" t="s">
        <v>150</v>
      </c>
      <c r="B195" s="139" t="s">
        <v>122</v>
      </c>
      <c r="C195" s="140"/>
      <c r="D195" s="140"/>
      <c r="E195" s="140"/>
      <c r="F195" s="140"/>
      <c r="G195" s="140"/>
      <c r="H195" s="141"/>
    </row>
    <row r="196" spans="1:8" s="30" customFormat="1" ht="31.5" customHeight="1" x14ac:dyDescent="0.25">
      <c r="A196" s="37" t="s">
        <v>150</v>
      </c>
      <c r="B196" s="139" t="s">
        <v>151</v>
      </c>
      <c r="C196" s="140"/>
      <c r="D196" s="140"/>
      <c r="E196" s="140"/>
      <c r="F196" s="140"/>
      <c r="G196" s="140"/>
      <c r="H196" s="141"/>
    </row>
    <row r="197" spans="1:8" s="30" customFormat="1" x14ac:dyDescent="0.25">
      <c r="A197" s="43" t="s">
        <v>150</v>
      </c>
      <c r="B197" s="139" t="s">
        <v>123</v>
      </c>
      <c r="C197" s="140"/>
      <c r="D197" s="140"/>
      <c r="E197" s="140"/>
      <c r="F197" s="140"/>
      <c r="G197" s="140"/>
      <c r="H197" s="141"/>
    </row>
    <row r="198" spans="1:8" s="30" customFormat="1" x14ac:dyDescent="0.25">
      <c r="A198" s="43" t="s">
        <v>150</v>
      </c>
      <c r="B198" s="139" t="s">
        <v>206</v>
      </c>
      <c r="C198" s="140"/>
      <c r="D198" s="140"/>
      <c r="E198" s="140"/>
      <c r="F198" s="140"/>
      <c r="G198" s="140"/>
      <c r="H198" s="141"/>
    </row>
    <row r="199" spans="1:8" s="30" customFormat="1" ht="15.75" customHeight="1" x14ac:dyDescent="0.25">
      <c r="A199" s="37" t="s">
        <v>150</v>
      </c>
      <c r="B199" s="139" t="s">
        <v>207</v>
      </c>
      <c r="C199" s="140"/>
      <c r="D199" s="140"/>
      <c r="E199" s="140"/>
      <c r="F199" s="140"/>
      <c r="G199" s="140"/>
      <c r="H199" s="141"/>
    </row>
    <row r="200" spans="1:8" s="30" customFormat="1" ht="15.75" customHeight="1" x14ac:dyDescent="0.25">
      <c r="A200" s="49" t="s">
        <v>150</v>
      </c>
      <c r="B200" s="139" t="s">
        <v>228</v>
      </c>
      <c r="C200" s="140"/>
      <c r="D200" s="140"/>
      <c r="E200" s="140"/>
      <c r="F200" s="140"/>
      <c r="G200" s="140"/>
      <c r="H200" s="141"/>
    </row>
    <row r="201" spans="1:8" s="30" customFormat="1" ht="32.25" customHeight="1" x14ac:dyDescent="0.25">
      <c r="A201" s="50" t="s">
        <v>150</v>
      </c>
      <c r="B201" s="91" t="s">
        <v>231</v>
      </c>
      <c r="C201" s="92"/>
      <c r="D201" s="92"/>
      <c r="E201" s="92"/>
      <c r="F201" s="92"/>
      <c r="G201" s="92"/>
      <c r="H201" s="93"/>
    </row>
    <row r="202" spans="1:8" s="30" customFormat="1" ht="32.25" customHeight="1" x14ac:dyDescent="0.25">
      <c r="A202" s="51" t="s">
        <v>150</v>
      </c>
      <c r="B202" s="166" t="s">
        <v>233</v>
      </c>
      <c r="C202" s="167"/>
      <c r="D202" s="167"/>
      <c r="E202" s="167"/>
      <c r="F202" s="167"/>
      <c r="G202" s="167"/>
      <c r="H202" s="168"/>
    </row>
    <row r="203" spans="1:8" x14ac:dyDescent="0.25">
      <c r="A203" s="98" t="s">
        <v>59</v>
      </c>
      <c r="B203" s="98"/>
      <c r="C203" s="98"/>
      <c r="D203" s="98"/>
      <c r="E203" s="98"/>
      <c r="F203" s="98"/>
      <c r="G203" s="98"/>
      <c r="H203" s="98"/>
    </row>
    <row r="204" spans="1:8" x14ac:dyDescent="0.25">
      <c r="A204" s="90" t="s">
        <v>60</v>
      </c>
      <c r="B204" s="90"/>
      <c r="C204" s="90"/>
      <c r="D204" s="90"/>
      <c r="E204" s="90"/>
      <c r="F204" s="90"/>
      <c r="G204" s="90"/>
      <c r="H204" s="90"/>
    </row>
    <row r="205" spans="1:8" ht="15.75" customHeight="1" x14ac:dyDescent="0.25">
      <c r="A205" s="150" t="s">
        <v>61</v>
      </c>
      <c r="B205" s="150"/>
      <c r="C205" s="150"/>
      <c r="D205" s="150"/>
      <c r="E205" s="150"/>
      <c r="F205" s="150"/>
      <c r="G205" s="150"/>
      <c r="H205" s="150"/>
    </row>
    <row r="206" spans="1:8" x14ac:dyDescent="0.25">
      <c r="A206" s="90" t="s">
        <v>62</v>
      </c>
      <c r="B206" s="90"/>
      <c r="C206" s="90"/>
      <c r="D206" s="90"/>
      <c r="E206" s="90"/>
      <c r="F206" s="90"/>
      <c r="G206" s="90"/>
      <c r="H206" s="90"/>
    </row>
    <row r="207" spans="1:8" x14ac:dyDescent="0.25">
      <c r="A207" s="90" t="s">
        <v>63</v>
      </c>
      <c r="B207" s="90"/>
      <c r="C207" s="90"/>
      <c r="D207" s="90"/>
      <c r="E207" s="90"/>
      <c r="F207" s="90"/>
      <c r="G207" s="90"/>
      <c r="H207" s="90"/>
    </row>
    <row r="208" spans="1:8" x14ac:dyDescent="0.25">
      <c r="A208" s="90" t="s">
        <v>124</v>
      </c>
      <c r="B208" s="90"/>
      <c r="C208" s="90"/>
      <c r="D208" s="90"/>
      <c r="E208" s="90"/>
      <c r="F208" s="90"/>
      <c r="G208" s="90"/>
      <c r="H208" s="90"/>
    </row>
    <row r="209" spans="1:8" x14ac:dyDescent="0.25">
      <c r="A209" s="99" t="s">
        <v>125</v>
      </c>
      <c r="B209" s="99"/>
      <c r="C209" s="99"/>
      <c r="D209" s="99"/>
      <c r="E209" s="99"/>
      <c r="F209" s="99"/>
      <c r="G209" s="99"/>
      <c r="H209" s="99"/>
    </row>
    <row r="210" spans="1:8" x14ac:dyDescent="0.25">
      <c r="A210" s="149" t="s">
        <v>75</v>
      </c>
      <c r="B210" s="149"/>
      <c r="C210" s="149" t="s">
        <v>210</v>
      </c>
      <c r="D210" s="149"/>
      <c r="E210" s="149" t="s">
        <v>105</v>
      </c>
      <c r="F210" s="149"/>
      <c r="G210" s="149" t="s">
        <v>209</v>
      </c>
      <c r="H210" s="149"/>
    </row>
    <row r="211" spans="1:8" x14ac:dyDescent="0.25">
      <c r="A211" s="148" t="s">
        <v>77</v>
      </c>
      <c r="B211" s="148"/>
      <c r="C211" s="148"/>
      <c r="D211" s="148"/>
      <c r="E211" s="148"/>
      <c r="F211" s="148"/>
      <c r="G211" s="148"/>
      <c r="H211" s="148"/>
    </row>
    <row r="212" spans="1:8" x14ac:dyDescent="0.25">
      <c r="A212" s="148"/>
      <c r="B212" s="148"/>
      <c r="C212" s="148"/>
      <c r="D212" s="148"/>
      <c r="E212" s="148"/>
      <c r="F212" s="148"/>
      <c r="G212" s="148"/>
      <c r="H212" s="148"/>
    </row>
    <row r="213" spans="1:8" x14ac:dyDescent="0.25">
      <c r="A213" s="148"/>
      <c r="B213" s="148"/>
      <c r="C213" s="148"/>
      <c r="D213" s="148"/>
      <c r="E213" s="148"/>
      <c r="F213" s="148"/>
      <c r="G213" s="148"/>
      <c r="H213" s="148"/>
    </row>
    <row r="214" spans="1:8" x14ac:dyDescent="0.25">
      <c r="A214" s="148"/>
      <c r="B214" s="148"/>
      <c r="C214" s="148"/>
      <c r="D214" s="148"/>
      <c r="E214" s="148"/>
      <c r="F214" s="148"/>
      <c r="G214" s="148"/>
      <c r="H214" s="148"/>
    </row>
    <row r="215" spans="1:8" x14ac:dyDescent="0.25">
      <c r="A215" s="32" t="s">
        <v>64</v>
      </c>
      <c r="B215" s="33"/>
      <c r="C215" s="33"/>
      <c r="D215" s="32" t="str">
        <f>E8</f>
        <v>Pratap Cress</v>
      </c>
      <c r="F215" s="33"/>
      <c r="G215" s="33"/>
      <c r="H215" s="33"/>
    </row>
    <row r="216" spans="1:8" x14ac:dyDescent="0.25">
      <c r="A216" s="33"/>
      <c r="B216" s="33"/>
      <c r="C216" s="33"/>
      <c r="D216" s="33"/>
      <c r="E216" s="33"/>
      <c r="F216" s="33"/>
      <c r="G216" s="33"/>
      <c r="H216" s="33"/>
    </row>
    <row r="217" spans="1:8" x14ac:dyDescent="0.25">
      <c r="A217" s="33"/>
      <c r="B217" s="33"/>
      <c r="C217" s="33"/>
      <c r="D217" s="33"/>
      <c r="E217" s="33"/>
      <c r="F217" s="33"/>
      <c r="G217" s="33"/>
      <c r="H217" s="33"/>
    </row>
    <row r="218" spans="1:8" ht="15" customHeight="1" x14ac:dyDescent="0.25"/>
    <row r="256" ht="16.149999999999999" customHeight="1" x14ac:dyDescent="0.25"/>
    <row r="257" spans="1:1" x14ac:dyDescent="0.25">
      <c r="A257" s="35" t="s">
        <v>165</v>
      </c>
    </row>
    <row r="299" spans="1:1" x14ac:dyDescent="0.25">
      <c r="A299" s="35" t="s">
        <v>65</v>
      </c>
    </row>
  </sheetData>
  <mergeCells count="356">
    <mergeCell ref="A97:B97"/>
    <mergeCell ref="C97:D97"/>
    <mergeCell ref="E97:F97"/>
    <mergeCell ref="G97:H97"/>
    <mergeCell ref="B191:H191"/>
    <mergeCell ref="C39:H39"/>
    <mergeCell ref="F84:H84"/>
    <mergeCell ref="A77:B77"/>
    <mergeCell ref="C100:D100"/>
    <mergeCell ref="E100:F100"/>
    <mergeCell ref="G100:H100"/>
    <mergeCell ref="F87:H87"/>
    <mergeCell ref="A81:E81"/>
    <mergeCell ref="F80:H80"/>
    <mergeCell ref="A116:H116"/>
    <mergeCell ref="A156:B156"/>
    <mergeCell ref="L135:M135"/>
    <mergeCell ref="L141:M141"/>
    <mergeCell ref="L147:M147"/>
    <mergeCell ref="A149:B149"/>
    <mergeCell ref="A153:H153"/>
    <mergeCell ref="B202:H202"/>
    <mergeCell ref="B200:H200"/>
    <mergeCell ref="A76:B76"/>
    <mergeCell ref="A69:B69"/>
    <mergeCell ref="A72:B72"/>
    <mergeCell ref="D60:H60"/>
    <mergeCell ref="D62:H62"/>
    <mergeCell ref="A65:C65"/>
    <mergeCell ref="A44:D44"/>
    <mergeCell ref="A75:B75"/>
    <mergeCell ref="I10:L10"/>
    <mergeCell ref="A73:B73"/>
    <mergeCell ref="E69:F69"/>
    <mergeCell ref="A62:C62"/>
    <mergeCell ref="A42:D42"/>
    <mergeCell ref="A49:B49"/>
    <mergeCell ref="C49:E49"/>
    <mergeCell ref="C51:E51"/>
    <mergeCell ref="A61:C61"/>
    <mergeCell ref="D61:H61"/>
    <mergeCell ref="C68:H68"/>
    <mergeCell ref="B194:H194"/>
    <mergeCell ref="F82:H82"/>
    <mergeCell ref="A82:E82"/>
    <mergeCell ref="A84:E84"/>
    <mergeCell ref="A150:B150"/>
    <mergeCell ref="A151:B151"/>
    <mergeCell ref="A152:B152"/>
    <mergeCell ref="A85:E85"/>
    <mergeCell ref="A91:E91"/>
    <mergeCell ref="C99:D99"/>
    <mergeCell ref="G99:H99"/>
    <mergeCell ref="A86:E86"/>
    <mergeCell ref="F86:H86"/>
    <mergeCell ref="A87:E87"/>
    <mergeCell ref="A89:E89"/>
    <mergeCell ref="F83:H83"/>
    <mergeCell ref="A100:B100"/>
    <mergeCell ref="A96:B96"/>
    <mergeCell ref="A88:E88"/>
    <mergeCell ref="B192:H192"/>
    <mergeCell ref="B193:H193"/>
    <mergeCell ref="B189:H189"/>
    <mergeCell ref="B190:H190"/>
    <mergeCell ref="F88:H88"/>
    <mergeCell ref="L153:M153"/>
    <mergeCell ref="A63:C63"/>
    <mergeCell ref="D63:H63"/>
    <mergeCell ref="A48:B48"/>
    <mergeCell ref="C48:H48"/>
    <mergeCell ref="A17:B17"/>
    <mergeCell ref="C17:H17"/>
    <mergeCell ref="A18:B18"/>
    <mergeCell ref="C18:D18"/>
    <mergeCell ref="A83:E83"/>
    <mergeCell ref="A45:D45"/>
    <mergeCell ref="A71:B71"/>
    <mergeCell ref="D65:H65"/>
    <mergeCell ref="A46:D46"/>
    <mergeCell ref="A39:B39"/>
    <mergeCell ref="A28:D28"/>
    <mergeCell ref="E28:H28"/>
    <mergeCell ref="A25:D25"/>
    <mergeCell ref="E25:H25"/>
    <mergeCell ref="A29:D29"/>
    <mergeCell ref="E29:H29"/>
    <mergeCell ref="A26:D26"/>
    <mergeCell ref="A35:B35"/>
    <mergeCell ref="C35:E35"/>
    <mergeCell ref="A30:D30"/>
    <mergeCell ref="E30:H30"/>
    <mergeCell ref="A31:D31"/>
    <mergeCell ref="E31:H31"/>
    <mergeCell ref="A27:D27"/>
    <mergeCell ref="A20:B20"/>
    <mergeCell ref="C20:D20"/>
    <mergeCell ref="E20:F20"/>
    <mergeCell ref="G20:H20"/>
    <mergeCell ref="A21:B21"/>
    <mergeCell ref="C21:D21"/>
    <mergeCell ref="E21:F21"/>
    <mergeCell ref="G21:H21"/>
    <mergeCell ref="E26:H26"/>
    <mergeCell ref="A22:D23"/>
    <mergeCell ref="E22:H23"/>
    <mergeCell ref="A24:D24"/>
    <mergeCell ref="E24:H24"/>
    <mergeCell ref="E7:H7"/>
    <mergeCell ref="A16:B16"/>
    <mergeCell ref="A13:D13"/>
    <mergeCell ref="E13:H13"/>
    <mergeCell ref="A14:D14"/>
    <mergeCell ref="A10:D10"/>
    <mergeCell ref="E10:H10"/>
    <mergeCell ref="A12:D12"/>
    <mergeCell ref="E12:H12"/>
    <mergeCell ref="E14:H14"/>
    <mergeCell ref="A15:B15"/>
    <mergeCell ref="C15:H15"/>
    <mergeCell ref="C16:H16"/>
    <mergeCell ref="A203:H203"/>
    <mergeCell ref="A204:H204"/>
    <mergeCell ref="B196:H196"/>
    <mergeCell ref="A155:B155"/>
    <mergeCell ref="B198:H198"/>
    <mergeCell ref="B199:H199"/>
    <mergeCell ref="B195:H195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11:D11"/>
    <mergeCell ref="E11:H11"/>
    <mergeCell ref="A5:D5"/>
    <mergeCell ref="E5:H5"/>
    <mergeCell ref="A6:D6"/>
    <mergeCell ref="E6:H6"/>
    <mergeCell ref="A7:D7"/>
    <mergeCell ref="A211:H214"/>
    <mergeCell ref="A210:B210"/>
    <mergeCell ref="E210:F210"/>
    <mergeCell ref="C210:D210"/>
    <mergeCell ref="G210:H210"/>
    <mergeCell ref="A209:H209"/>
    <mergeCell ref="A207:H207"/>
    <mergeCell ref="A208:H208"/>
    <mergeCell ref="A205:H205"/>
    <mergeCell ref="A206:H206"/>
    <mergeCell ref="E99:F99"/>
    <mergeCell ref="A99:B99"/>
    <mergeCell ref="F103:F104"/>
    <mergeCell ref="G103:G104"/>
    <mergeCell ref="A98:H98"/>
    <mergeCell ref="B197:H197"/>
    <mergeCell ref="A94:H94"/>
    <mergeCell ref="A92:E92"/>
    <mergeCell ref="F92:H92"/>
    <mergeCell ref="A93:E93"/>
    <mergeCell ref="F93:H93"/>
    <mergeCell ref="A102:H102"/>
    <mergeCell ref="A103:A104"/>
    <mergeCell ref="B103:B104"/>
    <mergeCell ref="C103:C104"/>
    <mergeCell ref="D103:D104"/>
    <mergeCell ref="E103:E104"/>
    <mergeCell ref="A105:H105"/>
    <mergeCell ref="A106:B106"/>
    <mergeCell ref="A117:H117"/>
    <mergeCell ref="A148:B148"/>
    <mergeCell ref="A118:B118"/>
    <mergeCell ref="A178:B178"/>
    <mergeCell ref="A179:B179"/>
    <mergeCell ref="C38:H38"/>
    <mergeCell ref="D55:H55"/>
    <mergeCell ref="A58:C58"/>
    <mergeCell ref="D58:H58"/>
    <mergeCell ref="A43:D43"/>
    <mergeCell ref="E43:H43"/>
    <mergeCell ref="E44:H44"/>
    <mergeCell ref="E45:H45"/>
    <mergeCell ref="E46:H46"/>
    <mergeCell ref="A41:D41"/>
    <mergeCell ref="E41:H41"/>
    <mergeCell ref="A47:H47"/>
    <mergeCell ref="D57:H57"/>
    <mergeCell ref="F36:H36"/>
    <mergeCell ref="A38:B38"/>
    <mergeCell ref="A33:B33"/>
    <mergeCell ref="E42:H42"/>
    <mergeCell ref="E18:F18"/>
    <mergeCell ref="G18:H18"/>
    <mergeCell ref="A19:B19"/>
    <mergeCell ref="C19:D19"/>
    <mergeCell ref="E19:F19"/>
    <mergeCell ref="G19:H19"/>
    <mergeCell ref="A32:B32"/>
    <mergeCell ref="C33:E33"/>
    <mergeCell ref="A34:B34"/>
    <mergeCell ref="C34:E34"/>
    <mergeCell ref="E27:H27"/>
    <mergeCell ref="C32:E32"/>
    <mergeCell ref="F35:H35"/>
    <mergeCell ref="F32:H32"/>
    <mergeCell ref="A37:H37"/>
    <mergeCell ref="A36:B36"/>
    <mergeCell ref="C36:E36"/>
    <mergeCell ref="F33:H33"/>
    <mergeCell ref="F34:H34"/>
    <mergeCell ref="A40:H40"/>
    <mergeCell ref="F81:H81"/>
    <mergeCell ref="G96:H96"/>
    <mergeCell ref="E70:F79"/>
    <mergeCell ref="G70:H79"/>
    <mergeCell ref="A78:B78"/>
    <mergeCell ref="A79:B79"/>
    <mergeCell ref="A74:B74"/>
    <mergeCell ref="A68:B68"/>
    <mergeCell ref="C50:E50"/>
    <mergeCell ref="A53:B53"/>
    <mergeCell ref="G52:H52"/>
    <mergeCell ref="D59:H59"/>
    <mergeCell ref="C95:D95"/>
    <mergeCell ref="F91:H91"/>
    <mergeCell ref="F89:H89"/>
    <mergeCell ref="G95:H95"/>
    <mergeCell ref="A90:E90"/>
    <mergeCell ref="C96:D96"/>
    <mergeCell ref="E96:F96"/>
    <mergeCell ref="F90:H90"/>
    <mergeCell ref="E95:F95"/>
    <mergeCell ref="A95:B95"/>
    <mergeCell ref="F85:H85"/>
    <mergeCell ref="A80:E80"/>
    <mergeCell ref="G49:H49"/>
    <mergeCell ref="G51:H51"/>
    <mergeCell ref="G50:H50"/>
    <mergeCell ref="A51:B52"/>
    <mergeCell ref="A59:C59"/>
    <mergeCell ref="A60:C60"/>
    <mergeCell ref="B201:H201"/>
    <mergeCell ref="C53:E53"/>
    <mergeCell ref="A50:B50"/>
    <mergeCell ref="A54:H54"/>
    <mergeCell ref="A55:C55"/>
    <mergeCell ref="A56:C56"/>
    <mergeCell ref="D56:H56"/>
    <mergeCell ref="G53:H53"/>
    <mergeCell ref="C52:E52"/>
    <mergeCell ref="A70:B70"/>
    <mergeCell ref="G69:H69"/>
    <mergeCell ref="A57:C57"/>
    <mergeCell ref="A64:C64"/>
    <mergeCell ref="D64:H64"/>
    <mergeCell ref="A66:B66"/>
    <mergeCell ref="C66:H66"/>
    <mergeCell ref="A188:H188"/>
    <mergeCell ref="A101:H101"/>
    <mergeCell ref="L106:M106"/>
    <mergeCell ref="A107:B107"/>
    <mergeCell ref="L107:M107"/>
    <mergeCell ref="A108:B108"/>
    <mergeCell ref="L108:M108"/>
    <mergeCell ref="A109:B109"/>
    <mergeCell ref="L109:M109"/>
    <mergeCell ref="A113:H113"/>
    <mergeCell ref="A114:A115"/>
    <mergeCell ref="B114:B115"/>
    <mergeCell ref="C114:C115"/>
    <mergeCell ref="D114:D115"/>
    <mergeCell ref="E114:E115"/>
    <mergeCell ref="F114:F115"/>
    <mergeCell ref="G114:G115"/>
    <mergeCell ref="L118:M118"/>
    <mergeCell ref="A119:B119"/>
    <mergeCell ref="L119:M119"/>
    <mergeCell ref="A120:B120"/>
    <mergeCell ref="L120:M120"/>
    <mergeCell ref="A121:B121"/>
    <mergeCell ref="L121:M121"/>
    <mergeCell ref="A123:H123"/>
    <mergeCell ref="L123:M123"/>
    <mergeCell ref="A180:B180"/>
    <mergeCell ref="A181:B181"/>
    <mergeCell ref="A182:H182"/>
    <mergeCell ref="A124:B124"/>
    <mergeCell ref="A125:B125"/>
    <mergeCell ref="A126:B126"/>
    <mergeCell ref="A127:B127"/>
    <mergeCell ref="A128:B128"/>
    <mergeCell ref="A134:B134"/>
    <mergeCell ref="A135:H135"/>
    <mergeCell ref="A136:B136"/>
    <mergeCell ref="A137:B137"/>
    <mergeCell ref="A138:B138"/>
    <mergeCell ref="A139:B139"/>
    <mergeCell ref="A140:B140"/>
    <mergeCell ref="A141:H141"/>
    <mergeCell ref="A142:B142"/>
    <mergeCell ref="A143:B143"/>
    <mergeCell ref="A144:B144"/>
    <mergeCell ref="A145:B145"/>
    <mergeCell ref="A146:B146"/>
    <mergeCell ref="A147:H147"/>
    <mergeCell ref="A154:B154"/>
    <mergeCell ref="A157:B157"/>
    <mergeCell ref="A183:B183"/>
    <mergeCell ref="A184:B184"/>
    <mergeCell ref="A185:B185"/>
    <mergeCell ref="A186:B186"/>
    <mergeCell ref="A187:B187"/>
    <mergeCell ref="A110:H110"/>
    <mergeCell ref="A111:B111"/>
    <mergeCell ref="L111:M111"/>
    <mergeCell ref="A112:B112"/>
    <mergeCell ref="L112:M112"/>
    <mergeCell ref="A122:B122"/>
    <mergeCell ref="L122:M122"/>
    <mergeCell ref="C121:H121"/>
    <mergeCell ref="C122:H122"/>
    <mergeCell ref="A129:H129"/>
    <mergeCell ref="L129:M129"/>
    <mergeCell ref="A130:B130"/>
    <mergeCell ref="A131:B131"/>
    <mergeCell ref="A132:B132"/>
    <mergeCell ref="A133:B133"/>
    <mergeCell ref="A174:B174"/>
    <mergeCell ref="A175:B175"/>
    <mergeCell ref="A176:H176"/>
    <mergeCell ref="A177:B177"/>
    <mergeCell ref="A158:B158"/>
    <mergeCell ref="A159:H159"/>
    <mergeCell ref="L159:M159"/>
    <mergeCell ref="A160:B160"/>
    <mergeCell ref="A161:B161"/>
    <mergeCell ref="A162:B162"/>
    <mergeCell ref="A163:B163"/>
    <mergeCell ref="A171:B171"/>
    <mergeCell ref="A170:H170"/>
    <mergeCell ref="A173:B173"/>
    <mergeCell ref="A172:B172"/>
    <mergeCell ref="A164:H164"/>
    <mergeCell ref="L164:M164"/>
    <mergeCell ref="A165:B165"/>
    <mergeCell ref="A166:B166"/>
    <mergeCell ref="A167:B167"/>
    <mergeCell ref="A168:B168"/>
    <mergeCell ref="A169:B169"/>
    <mergeCell ref="C169:H169"/>
    <mergeCell ref="C167:H168"/>
  </mergeCells>
  <dataValidations count="7">
    <dataValidation type="list" allowBlank="1" showInputMessage="1" showErrorMessage="1" sqref="D103:D104 D114:D115">
      <formula1>"Carpet area,RERA Carpet area"</formula1>
    </dataValidation>
    <dataValidation type="list" allowBlank="1" showInputMessage="1" showErrorMessage="1" sqref="H103 H114">
      <formula1>"Saleable area Loading :,Builder Saleable Area"</formula1>
    </dataValidation>
    <dataValidation type="list" allowBlank="1" showInputMessage="1" showErrorMessage="1" sqref="H104 H115">
      <formula1>".45,.50,.55,.60"</formula1>
    </dataValidation>
    <dataValidation type="list" allowBlank="1" showInputMessage="1" showErrorMessage="1" sqref="E114:E115">
      <formula1>"Fungible area,Balcony Area,Chajja Area,Cornice Area,AP Area,WS Area"</formula1>
    </dataValidation>
    <dataValidation type="list" allowBlank="1" showInputMessage="1" showErrorMessage="1" sqref="B114:B115">
      <formula1>"Flat No. (Sale Plan),Sale / Rehab,Sale / Mhada"</formula1>
    </dataValidation>
    <dataValidation type="list" allowBlank="1" showInputMessage="1" showErrorMessage="1" sqref="B103:B104">
      <formula1>"Shop No. (Sale Plan),Sale / Rehab,Sale / Mhada"</formula1>
    </dataValidation>
    <dataValidation type="list" allowBlank="1" showInputMessage="1" showErrorMessage="1" sqref="E103:E104">
      <formula1>"Attached Loft area,Attached Otla area,Attached Mezzanine area"</formula1>
    </dataValidation>
  </dataValidation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65" max="7" man="1"/>
    <brk id="214" max="16383" man="1"/>
    <brk id="256" max="16383" man="1"/>
    <brk id="298" max="16383" man="1"/>
  </rowBreaks>
  <drawing r:id="rId3"/>
  <legacyDrawing r:id="rId4"/>
  <legacyDrawingHF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37" zoomScale="130" zoomScaleNormal="130" workbookViewId="0">
      <selection activeCell="F34" sqref="F34"/>
    </sheetView>
  </sheetViews>
  <sheetFormatPr defaultColWidth="8.7109375" defaultRowHeight="15" x14ac:dyDescent="0.25"/>
  <cols>
    <col min="1" max="1" width="8.7109375" style="1"/>
    <col min="2" max="2" width="22.28515625" style="1" customWidth="1"/>
    <col min="3" max="3" width="37" style="1" customWidth="1"/>
    <col min="4" max="5" width="11.42578125" style="1" customWidth="1"/>
    <col min="6" max="6" width="14" style="1" customWidth="1"/>
    <col min="7" max="7" width="20" style="1" customWidth="1"/>
    <col min="8" max="8" width="16.42578125" style="1" customWidth="1"/>
    <col min="9" max="16384" width="8.7109375" style="1"/>
  </cols>
  <sheetData>
    <row r="1" spans="1:9" ht="15" customHeight="1" x14ac:dyDescent="0.25"/>
    <row r="2" spans="1:9" ht="15" customHeight="1" x14ac:dyDescent="0.2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25">
      <c r="A3" s="2"/>
      <c r="B3" s="172" t="s">
        <v>106</v>
      </c>
      <c r="C3" s="172"/>
      <c r="D3" s="172"/>
      <c r="E3" s="172"/>
      <c r="F3" s="172"/>
      <c r="G3" s="172"/>
      <c r="H3" s="172"/>
    </row>
    <row r="4" spans="1:9" x14ac:dyDescent="0.25">
      <c r="A4" s="2"/>
      <c r="B4" s="3" t="s">
        <v>107</v>
      </c>
      <c r="C4" s="3" t="s">
        <v>108</v>
      </c>
      <c r="D4" s="3" t="s">
        <v>67</v>
      </c>
      <c r="E4" s="3" t="s">
        <v>109</v>
      </c>
      <c r="F4" s="3" t="s">
        <v>115</v>
      </c>
      <c r="G4" s="3" t="s">
        <v>116</v>
      </c>
      <c r="H4" s="3" t="s">
        <v>110</v>
      </c>
    </row>
    <row r="5" spans="1:9" ht="15" customHeight="1" x14ac:dyDescent="0.25">
      <c r="A5" s="2"/>
      <c r="B5" s="5" t="s">
        <v>111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25">
      <c r="A6" s="2"/>
      <c r="B6" s="5" t="s">
        <v>111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25">
      <c r="A7" s="2"/>
      <c r="B7" s="5" t="s">
        <v>111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25">
      <c r="A8" s="2"/>
      <c r="B8" s="5" t="s">
        <v>111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25">
      <c r="A9" s="2"/>
      <c r="B9" s="5" t="s">
        <v>111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25">
      <c r="A10" s="2"/>
      <c r="B10" s="5" t="s">
        <v>112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25">
      <c r="A11" s="2"/>
      <c r="B11" s="5" t="s">
        <v>112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25">
      <c r="A12" s="2"/>
      <c r="B12" s="10" t="s">
        <v>113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25">
      <c r="B13" s="10" t="s">
        <v>114</v>
      </c>
      <c r="C13" s="5"/>
      <c r="D13" s="5"/>
      <c r="E13" s="5"/>
      <c r="F13" s="12"/>
      <c r="G13" s="10"/>
      <c r="H13" s="10"/>
      <c r="I13" s="4"/>
    </row>
    <row r="14" spans="1:9" ht="15" customHeight="1" x14ac:dyDescent="0.25"/>
    <row r="15" spans="1:9" ht="15" customHeight="1" x14ac:dyDescent="0.25"/>
    <row r="16" spans="1:9" ht="15" customHeight="1" x14ac:dyDescent="0.2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PC-51</cp:lastModifiedBy>
  <cp:lastPrinted>2025-06-25T06:08:31Z</cp:lastPrinted>
  <dcterms:created xsi:type="dcterms:W3CDTF">2019-07-16T09:29:46Z</dcterms:created>
  <dcterms:modified xsi:type="dcterms:W3CDTF">2025-06-25T06:08:33Z</dcterms:modified>
</cp:coreProperties>
</file>