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Sept 2025\14-09-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Report!$A$1:$H$485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8" i="1" l="1"/>
  <c r="C63" i="1"/>
  <c r="C107" i="1" l="1"/>
  <c r="E3" i="1" l="1"/>
  <c r="J163" i="1" l="1"/>
  <c r="J179" i="1"/>
  <c r="J195" i="1"/>
  <c r="J206" i="1"/>
  <c r="J217" i="1"/>
  <c r="J228" i="1"/>
  <c r="J229" i="1"/>
  <c r="J230" i="1"/>
  <c r="J239" i="1"/>
  <c r="J248" i="1"/>
  <c r="J249" i="1"/>
  <c r="J261" i="1"/>
  <c r="J272" i="1"/>
  <c r="J283" i="1"/>
  <c r="J294" i="1"/>
  <c r="J295" i="1"/>
  <c r="J316" i="1"/>
  <c r="J339" i="1"/>
  <c r="J362" i="1"/>
  <c r="F143" i="1"/>
  <c r="F144" i="1"/>
  <c r="F145" i="1"/>
  <c r="F139" i="1"/>
  <c r="D384" i="1"/>
  <c r="J384" i="1" s="1"/>
  <c r="D383" i="1"/>
  <c r="J383" i="1" s="1"/>
  <c r="D382" i="1"/>
  <c r="J382" i="1" s="1"/>
  <c r="D381" i="1"/>
  <c r="J381" i="1" s="1"/>
  <c r="D380" i="1"/>
  <c r="J380" i="1" s="1"/>
  <c r="D379" i="1"/>
  <c r="J379" i="1" s="1"/>
  <c r="D378" i="1"/>
  <c r="J378" i="1" s="1"/>
  <c r="D377" i="1"/>
  <c r="J377" i="1" s="1"/>
  <c r="D376" i="1"/>
  <c r="J376" i="1" s="1"/>
  <c r="D375" i="1"/>
  <c r="J375" i="1" s="1"/>
  <c r="D374" i="1"/>
  <c r="J374" i="1" s="1"/>
  <c r="D373" i="1"/>
  <c r="J373" i="1" s="1"/>
  <c r="D372" i="1"/>
  <c r="J372" i="1" s="1"/>
  <c r="D371" i="1"/>
  <c r="J371" i="1" s="1"/>
  <c r="D370" i="1"/>
  <c r="J370" i="1" s="1"/>
  <c r="D369" i="1"/>
  <c r="J369" i="1" s="1"/>
  <c r="D368" i="1"/>
  <c r="J368" i="1" s="1"/>
  <c r="D367" i="1"/>
  <c r="J367" i="1" s="1"/>
  <c r="D366" i="1"/>
  <c r="J366" i="1" s="1"/>
  <c r="D365" i="1"/>
  <c r="J365" i="1" s="1"/>
  <c r="D364" i="1"/>
  <c r="J364" i="1" s="1"/>
  <c r="G363" i="1"/>
  <c r="D363" i="1"/>
  <c r="J363" i="1" s="1"/>
  <c r="D351" i="1"/>
  <c r="J351" i="1" s="1"/>
  <c r="D350" i="1"/>
  <c r="J350" i="1" s="1"/>
  <c r="D328" i="1"/>
  <c r="J328" i="1" s="1"/>
  <c r="D327" i="1"/>
  <c r="J327" i="1" s="1"/>
  <c r="D308" i="1"/>
  <c r="J308" i="1" s="1"/>
  <c r="D309" i="1"/>
  <c r="J309" i="1" s="1"/>
  <c r="D310" i="1"/>
  <c r="J310" i="1" s="1"/>
  <c r="D311" i="1"/>
  <c r="J311" i="1" s="1"/>
  <c r="D312" i="1"/>
  <c r="J312" i="1" s="1"/>
  <c r="D313" i="1"/>
  <c r="J313" i="1" s="1"/>
  <c r="D314" i="1"/>
  <c r="J314" i="1" s="1"/>
  <c r="D315" i="1"/>
  <c r="J315" i="1" s="1"/>
  <c r="D307" i="1"/>
  <c r="J307" i="1" s="1"/>
  <c r="D306" i="1"/>
  <c r="J306" i="1" s="1"/>
  <c r="D305" i="1"/>
  <c r="J305" i="1" s="1"/>
  <c r="I296" i="1"/>
  <c r="E293" i="1"/>
  <c r="D293" i="1"/>
  <c r="J293" i="1" s="1"/>
  <c r="E292" i="1"/>
  <c r="D292" i="1"/>
  <c r="J292" i="1" s="1"/>
  <c r="D291" i="1"/>
  <c r="J291" i="1" s="1"/>
  <c r="E291" i="1"/>
  <c r="E288" i="1"/>
  <c r="E289" i="1"/>
  <c r="E290" i="1"/>
  <c r="E287" i="1"/>
  <c r="D287" i="1"/>
  <c r="J287" i="1" s="1"/>
  <c r="E286" i="1"/>
  <c r="D286" i="1"/>
  <c r="J286" i="1" s="1"/>
  <c r="E285" i="1"/>
  <c r="D285" i="1"/>
  <c r="J285" i="1" s="1"/>
  <c r="E284" i="1"/>
  <c r="D284" i="1"/>
  <c r="J284" i="1" s="1"/>
  <c r="D290" i="1"/>
  <c r="J290" i="1" s="1"/>
  <c r="D289" i="1"/>
  <c r="J289" i="1" s="1"/>
  <c r="D288" i="1"/>
  <c r="J288" i="1" s="1"/>
  <c r="O285" i="1"/>
  <c r="A285" i="1" s="1"/>
  <c r="O286" i="1"/>
  <c r="A286" i="1" s="1"/>
  <c r="O287" i="1"/>
  <c r="A287" i="1" s="1"/>
  <c r="O288" i="1"/>
  <c r="A288" i="1" s="1"/>
  <c r="O289" i="1"/>
  <c r="A289" i="1" s="1"/>
  <c r="O290" i="1"/>
  <c r="O291" i="1"/>
  <c r="A291" i="1" s="1"/>
  <c r="O292" i="1"/>
  <c r="A292" i="1" s="1"/>
  <c r="O293" i="1"/>
  <c r="A293" i="1" s="1"/>
  <c r="A290" i="1"/>
  <c r="O284" i="1"/>
  <c r="A284" i="1" s="1"/>
  <c r="D282" i="1"/>
  <c r="J282" i="1" s="1"/>
  <c r="D281" i="1"/>
  <c r="J281" i="1" s="1"/>
  <c r="D280" i="1"/>
  <c r="J280" i="1" s="1"/>
  <c r="D277" i="1"/>
  <c r="J277" i="1" s="1"/>
  <c r="D278" i="1"/>
  <c r="D279" i="1"/>
  <c r="J279" i="1" s="1"/>
  <c r="D276" i="1"/>
  <c r="J276" i="1" s="1"/>
  <c r="D275" i="1"/>
  <c r="J275" i="1" s="1"/>
  <c r="D274" i="1"/>
  <c r="J274" i="1" s="1"/>
  <c r="D273" i="1"/>
  <c r="J273" i="1" s="1"/>
  <c r="E271" i="1"/>
  <c r="D271" i="1"/>
  <c r="J271" i="1" s="1"/>
  <c r="E270" i="1"/>
  <c r="D270" i="1"/>
  <c r="J270" i="1" s="1"/>
  <c r="E269" i="1"/>
  <c r="D269" i="1"/>
  <c r="J269" i="1" s="1"/>
  <c r="E268" i="1"/>
  <c r="D268" i="1"/>
  <c r="J268" i="1" s="1"/>
  <c r="E267" i="1"/>
  <c r="D267" i="1"/>
  <c r="J267" i="1" s="1"/>
  <c r="E266" i="1"/>
  <c r="D266" i="1"/>
  <c r="J266" i="1" s="1"/>
  <c r="E265" i="1"/>
  <c r="D265" i="1"/>
  <c r="J265" i="1" s="1"/>
  <c r="E264" i="1"/>
  <c r="D264" i="1"/>
  <c r="J264" i="1" s="1"/>
  <c r="E263" i="1"/>
  <c r="D263" i="1"/>
  <c r="J263" i="1" s="1"/>
  <c r="E262" i="1"/>
  <c r="D262" i="1"/>
  <c r="D260" i="1"/>
  <c r="D259" i="1"/>
  <c r="D258" i="1"/>
  <c r="D257" i="1"/>
  <c r="D256" i="1"/>
  <c r="D251" i="1"/>
  <c r="D252" i="1"/>
  <c r="D253" i="1"/>
  <c r="D254" i="1"/>
  <c r="D255" i="1"/>
  <c r="D250" i="1"/>
  <c r="D247" i="1"/>
  <c r="J247" i="1" s="1"/>
  <c r="D246" i="1"/>
  <c r="J246" i="1" s="1"/>
  <c r="D245" i="1"/>
  <c r="J245" i="1" s="1"/>
  <c r="D244" i="1"/>
  <c r="J244" i="1" s="1"/>
  <c r="D243" i="1"/>
  <c r="J243" i="1" s="1"/>
  <c r="D242" i="1"/>
  <c r="J242" i="1" s="1"/>
  <c r="D241" i="1"/>
  <c r="J241" i="1" s="1"/>
  <c r="D240" i="1"/>
  <c r="J240" i="1" s="1"/>
  <c r="O241" i="1"/>
  <c r="A241" i="1" s="1"/>
  <c r="O242" i="1"/>
  <c r="A242" i="1" s="1"/>
  <c r="O243" i="1"/>
  <c r="A243" i="1" s="1"/>
  <c r="O244" i="1"/>
  <c r="A244" i="1" s="1"/>
  <c r="O245" i="1"/>
  <c r="A245" i="1" s="1"/>
  <c r="O246" i="1"/>
  <c r="A246" i="1" s="1"/>
  <c r="O247" i="1"/>
  <c r="A247" i="1" s="1"/>
  <c r="O240" i="1"/>
  <c r="A240" i="1" s="1"/>
  <c r="E238" i="1"/>
  <c r="D238" i="1"/>
  <c r="J238" i="1" s="1"/>
  <c r="E237" i="1"/>
  <c r="D237" i="1"/>
  <c r="J237" i="1" s="1"/>
  <c r="E236" i="1"/>
  <c r="D236" i="1"/>
  <c r="J236" i="1" s="1"/>
  <c r="E235" i="1"/>
  <c r="D235" i="1"/>
  <c r="J235" i="1" s="1"/>
  <c r="E234" i="1"/>
  <c r="D234" i="1"/>
  <c r="J234" i="1" s="1"/>
  <c r="E233" i="1"/>
  <c r="D233" i="1"/>
  <c r="J233" i="1" s="1"/>
  <c r="D231" i="1"/>
  <c r="J231" i="1" s="1"/>
  <c r="E232" i="1"/>
  <c r="D232" i="1"/>
  <c r="J232" i="1" s="1"/>
  <c r="E231" i="1"/>
  <c r="O232" i="1"/>
  <c r="A232" i="1" s="1"/>
  <c r="O233" i="1"/>
  <c r="A233" i="1" s="1"/>
  <c r="O234" i="1"/>
  <c r="A234" i="1" s="1"/>
  <c r="O235" i="1"/>
  <c r="A235" i="1" s="1"/>
  <c r="O236" i="1"/>
  <c r="A236" i="1" s="1"/>
  <c r="O237" i="1"/>
  <c r="A237" i="1" s="1"/>
  <c r="O238" i="1"/>
  <c r="A238" i="1" s="1"/>
  <c r="O231" i="1"/>
  <c r="A231" i="1" s="1"/>
  <c r="E227" i="1"/>
  <c r="D227" i="1"/>
  <c r="J227" i="1" s="1"/>
  <c r="E226" i="1"/>
  <c r="D226" i="1"/>
  <c r="J226" i="1" s="1"/>
  <c r="E225" i="1"/>
  <c r="D225" i="1"/>
  <c r="J225" i="1" s="1"/>
  <c r="D222" i="1"/>
  <c r="J222" i="1" s="1"/>
  <c r="E222" i="1"/>
  <c r="D223" i="1"/>
  <c r="J223" i="1" s="1"/>
  <c r="E223" i="1"/>
  <c r="D224" i="1"/>
  <c r="J224" i="1" s="1"/>
  <c r="E224" i="1"/>
  <c r="E221" i="1"/>
  <c r="D221" i="1"/>
  <c r="J221" i="1" s="1"/>
  <c r="E220" i="1"/>
  <c r="D220" i="1"/>
  <c r="J220" i="1" s="1"/>
  <c r="E219" i="1"/>
  <c r="D219" i="1"/>
  <c r="J219" i="1" s="1"/>
  <c r="E218" i="1"/>
  <c r="D218" i="1"/>
  <c r="J218" i="1" s="1"/>
  <c r="D216" i="1"/>
  <c r="J216" i="1" s="1"/>
  <c r="D215" i="1"/>
  <c r="J215" i="1" s="1"/>
  <c r="D214" i="1"/>
  <c r="J214" i="1" s="1"/>
  <c r="D213" i="1"/>
  <c r="J213" i="1" s="1"/>
  <c r="D212" i="1"/>
  <c r="J212" i="1" s="1"/>
  <c r="D211" i="1"/>
  <c r="J211" i="1" s="1"/>
  <c r="D210" i="1"/>
  <c r="J210" i="1" s="1"/>
  <c r="D209" i="1"/>
  <c r="J209" i="1" s="1"/>
  <c r="D208" i="1"/>
  <c r="J208" i="1" s="1"/>
  <c r="D207" i="1"/>
  <c r="J207" i="1" s="1"/>
  <c r="I207" i="1"/>
  <c r="C144" i="1" l="1"/>
  <c r="C145" i="1"/>
  <c r="D138" i="1"/>
  <c r="D145" i="1"/>
  <c r="F146" i="1"/>
  <c r="C138" i="1"/>
  <c r="D144" i="1"/>
  <c r="J278" i="1"/>
  <c r="J262" i="1"/>
  <c r="E205" i="1"/>
  <c r="D205" i="1"/>
  <c r="J205" i="1" s="1"/>
  <c r="E204" i="1"/>
  <c r="D204" i="1"/>
  <c r="J204" i="1" s="1"/>
  <c r="E203" i="1"/>
  <c r="D203" i="1"/>
  <c r="J203" i="1" s="1"/>
  <c r="E202" i="1"/>
  <c r="D202" i="1"/>
  <c r="J202" i="1" s="1"/>
  <c r="E201" i="1"/>
  <c r="D201" i="1"/>
  <c r="J201" i="1" s="1"/>
  <c r="E200" i="1"/>
  <c r="D200" i="1"/>
  <c r="J200" i="1" s="1"/>
  <c r="E199" i="1"/>
  <c r="D199" i="1"/>
  <c r="J199" i="1" s="1"/>
  <c r="E198" i="1"/>
  <c r="D198" i="1"/>
  <c r="J198" i="1" s="1"/>
  <c r="E197" i="1"/>
  <c r="D197" i="1"/>
  <c r="J197" i="1" s="1"/>
  <c r="E196" i="1"/>
  <c r="D196" i="1"/>
  <c r="J196" i="1" s="1"/>
  <c r="D194" i="1"/>
  <c r="D193" i="1"/>
  <c r="J193" i="1" s="1"/>
  <c r="D192" i="1"/>
  <c r="J192" i="1" s="1"/>
  <c r="D191" i="1"/>
  <c r="F191" i="1" s="1"/>
  <c r="J191" i="1" s="1"/>
  <c r="D190" i="1"/>
  <c r="D189" i="1"/>
  <c r="D188" i="1"/>
  <c r="D186" i="1"/>
  <c r="D187" i="1"/>
  <c r="D185" i="1"/>
  <c r="D184" i="1"/>
  <c r="D183" i="1"/>
  <c r="D182" i="1"/>
  <c r="D180" i="1"/>
  <c r="D181" i="1"/>
  <c r="K178" i="1"/>
  <c r="K177" i="1"/>
  <c r="K176" i="1"/>
  <c r="I178" i="1"/>
  <c r="I177" i="1"/>
  <c r="I176" i="1"/>
  <c r="E178" i="1"/>
  <c r="D178" i="1"/>
  <c r="J178" i="1" s="1"/>
  <c r="E177" i="1"/>
  <c r="E176" i="1"/>
  <c r="D177" i="1"/>
  <c r="J177" i="1" s="1"/>
  <c r="D176" i="1"/>
  <c r="D175" i="1"/>
  <c r="F175" i="1" s="1"/>
  <c r="J175" i="1" s="1"/>
  <c r="D174" i="1"/>
  <c r="D173" i="1"/>
  <c r="D172" i="1"/>
  <c r="D170" i="1"/>
  <c r="D171" i="1"/>
  <c r="D169" i="1"/>
  <c r="D168" i="1"/>
  <c r="D167" i="1"/>
  <c r="D166" i="1"/>
  <c r="D165" i="1"/>
  <c r="D164" i="1"/>
  <c r="D162" i="1"/>
  <c r="D161" i="1"/>
  <c r="D160" i="1"/>
  <c r="D159" i="1"/>
  <c r="D157" i="1"/>
  <c r="D158" i="1"/>
  <c r="D156" i="1"/>
  <c r="D155" i="1"/>
  <c r="D154" i="1"/>
  <c r="D153" i="1"/>
  <c r="D152" i="1"/>
  <c r="J40" i="1"/>
  <c r="J39" i="1"/>
  <c r="J194" i="1" l="1"/>
  <c r="I194" i="1"/>
  <c r="C137" i="1"/>
  <c r="D137" i="1"/>
  <c r="K39" i="1"/>
  <c r="D143" i="1"/>
  <c r="D146" i="1" s="1"/>
  <c r="C143" i="1"/>
  <c r="J176" i="1"/>
  <c r="I198" i="1"/>
  <c r="I225" i="1"/>
  <c r="I303" i="1"/>
  <c r="I268" i="1"/>
  <c r="I291" i="1"/>
  <c r="I284" i="1"/>
  <c r="J117" i="1" l="1"/>
  <c r="J116" i="1"/>
  <c r="J115" i="1"/>
  <c r="J114" i="1"/>
  <c r="J102" i="1"/>
  <c r="J101" i="1"/>
  <c r="J100" i="1"/>
  <c r="J99" i="1"/>
  <c r="J88" i="1"/>
  <c r="J87" i="1"/>
  <c r="J86" i="1"/>
  <c r="J85" i="1"/>
  <c r="J73" i="1"/>
  <c r="J72" i="1"/>
  <c r="J71" i="1"/>
  <c r="J70" i="1"/>
  <c r="H77" i="1"/>
  <c r="H62" i="1"/>
  <c r="H92" i="1"/>
  <c r="H106" i="1"/>
  <c r="D119" i="1" l="1"/>
  <c r="D115" i="1"/>
  <c r="D113" i="1"/>
  <c r="D116" i="1"/>
  <c r="J111" i="1"/>
  <c r="C110" i="1" s="1"/>
  <c r="D110" i="1" s="1"/>
  <c r="D118" i="1"/>
  <c r="D114" i="1"/>
  <c r="J110" i="1"/>
  <c r="D117" i="1"/>
  <c r="J112" i="1"/>
  <c r="J113" i="1" s="1"/>
  <c r="J118" i="1" s="1"/>
  <c r="D112" i="1"/>
  <c r="J109" i="1"/>
  <c r="J96" i="1"/>
  <c r="C95" i="1" s="1"/>
  <c r="D95" i="1" s="1"/>
  <c r="J94" i="1"/>
  <c r="D104" i="1"/>
  <c r="D100" i="1"/>
  <c r="D97" i="1"/>
  <c r="D103" i="1"/>
  <c r="D99" i="1"/>
  <c r="J95" i="1"/>
  <c r="J97" i="1"/>
  <c r="J98" i="1" s="1"/>
  <c r="J103" i="1" s="1"/>
  <c r="D101" i="1"/>
  <c r="D102" i="1"/>
  <c r="D98" i="1"/>
  <c r="D83" i="1"/>
  <c r="D90" i="1"/>
  <c r="D86" i="1"/>
  <c r="J82" i="1"/>
  <c r="C81" i="1" s="1"/>
  <c r="D81" i="1" s="1"/>
  <c r="J80" i="1"/>
  <c r="J81" i="1"/>
  <c r="D87" i="1"/>
  <c r="D89" i="1"/>
  <c r="D85" i="1"/>
  <c r="D88" i="1"/>
  <c r="D84" i="1"/>
  <c r="J83" i="1"/>
  <c r="J84" i="1" s="1"/>
  <c r="J89" i="1" s="1"/>
  <c r="D68" i="1"/>
  <c r="D71" i="1"/>
  <c r="J67" i="1"/>
  <c r="C66" i="1" s="1"/>
  <c r="D66" i="1" s="1"/>
  <c r="D74" i="1"/>
  <c r="D70" i="1"/>
  <c r="J66" i="1"/>
  <c r="J68" i="1"/>
  <c r="J69" i="1" s="1"/>
  <c r="J74" i="1" s="1"/>
  <c r="J75" i="1" s="1"/>
  <c r="C67" i="1" s="1"/>
  <c r="D73" i="1"/>
  <c r="D69" i="1"/>
  <c r="D72" i="1"/>
  <c r="D75" i="1"/>
  <c r="J65" i="1"/>
  <c r="G110" i="1" l="1"/>
  <c r="G108" i="1" s="1"/>
  <c r="J119" i="1"/>
  <c r="J104" i="1"/>
  <c r="G95" i="1" s="1"/>
  <c r="J90" i="1"/>
  <c r="D82" i="1"/>
  <c r="E66" i="1"/>
  <c r="C64" i="1" s="1"/>
  <c r="D67" i="1"/>
  <c r="G66" i="1"/>
  <c r="G64" i="1" s="1"/>
  <c r="I61" i="1" l="1"/>
  <c r="E110" i="1"/>
  <c r="C108" i="1" s="1"/>
  <c r="D111" i="1"/>
  <c r="E95" i="1"/>
  <c r="D96" i="1"/>
  <c r="E81" i="1"/>
  <c r="C79" i="1" s="1"/>
  <c r="G81" i="1"/>
  <c r="G79" i="1" s="1"/>
  <c r="I91" i="1" l="1"/>
  <c r="C93" i="1" s="1"/>
  <c r="I76" i="1"/>
  <c r="I105" i="1"/>
  <c r="F11" i="5"/>
  <c r="G11" i="5" s="1"/>
  <c r="F10" i="5"/>
  <c r="G10" i="5" s="1"/>
  <c r="F9" i="5"/>
  <c r="G9" i="5" s="1"/>
  <c r="F8" i="5"/>
  <c r="G8" i="5" s="1"/>
  <c r="F7" i="5"/>
  <c r="G7" i="5" s="1"/>
  <c r="F6" i="5"/>
  <c r="G6" i="5" s="1"/>
  <c r="F5" i="5"/>
  <c r="G5" i="5" s="1"/>
  <c r="D220" i="4"/>
  <c r="F220" i="4" s="1"/>
  <c r="D219" i="4"/>
  <c r="F219" i="4" s="1"/>
  <c r="D218" i="4"/>
  <c r="F218" i="4" s="1"/>
  <c r="D217" i="4"/>
  <c r="F217" i="4" s="1"/>
  <c r="D216" i="4"/>
  <c r="F216" i="4" s="1"/>
  <c r="D215" i="4"/>
  <c r="F215" i="4" s="1"/>
  <c r="D214" i="4"/>
  <c r="F214" i="4" s="1"/>
  <c r="D213" i="4"/>
  <c r="F213" i="4" s="1"/>
  <c r="D212" i="4"/>
  <c r="F212" i="4" s="1"/>
  <c r="D211" i="4"/>
  <c r="F211" i="4" s="1"/>
  <c r="D210" i="4"/>
  <c r="F210" i="4" s="1"/>
  <c r="D209" i="4"/>
  <c r="F209" i="4" s="1"/>
  <c r="D208" i="4"/>
  <c r="F208" i="4" s="1"/>
  <c r="D207" i="4"/>
  <c r="F207" i="4" s="1"/>
  <c r="D206" i="4"/>
  <c r="F206" i="4" s="1"/>
  <c r="D205" i="4"/>
  <c r="F205" i="4" s="1"/>
  <c r="D204" i="4"/>
  <c r="F204" i="4" s="1"/>
  <c r="D203" i="4"/>
  <c r="F203" i="4" s="1"/>
  <c r="D202" i="4"/>
  <c r="F202" i="4" s="1"/>
  <c r="D201" i="4"/>
  <c r="F201" i="4" s="1"/>
  <c r="D200" i="4"/>
  <c r="F200" i="4" s="1"/>
  <c r="G199" i="4"/>
  <c r="D199" i="4"/>
  <c r="F199" i="4" s="1"/>
  <c r="D197" i="4"/>
  <c r="F197" i="4" s="1"/>
  <c r="D196" i="4"/>
  <c r="F196" i="4" s="1"/>
  <c r="D195" i="4"/>
  <c r="F195" i="4" s="1"/>
  <c r="D194" i="4"/>
  <c r="F194" i="4" s="1"/>
  <c r="D193" i="4"/>
  <c r="F193" i="4" s="1"/>
  <c r="D192" i="4"/>
  <c r="F192" i="4" s="1"/>
  <c r="D191" i="4"/>
  <c r="F191" i="4" s="1"/>
  <c r="D190" i="4"/>
  <c r="F190" i="4" s="1"/>
  <c r="D189" i="4"/>
  <c r="F189" i="4" s="1"/>
  <c r="D188" i="4"/>
  <c r="F188" i="4" s="1"/>
  <c r="D187" i="4"/>
  <c r="F187" i="4" s="1"/>
  <c r="D186" i="4"/>
  <c r="F186" i="4" s="1"/>
  <c r="D185" i="4"/>
  <c r="F185" i="4" s="1"/>
  <c r="D184" i="4"/>
  <c r="F184" i="4" s="1"/>
  <c r="D183" i="4"/>
  <c r="F183" i="4" s="1"/>
  <c r="D182" i="4"/>
  <c r="F182" i="4" s="1"/>
  <c r="D181" i="4"/>
  <c r="F181" i="4" s="1"/>
  <c r="D180" i="4"/>
  <c r="F180" i="4" s="1"/>
  <c r="D179" i="4"/>
  <c r="F179" i="4" s="1"/>
  <c r="D178" i="4"/>
  <c r="F178" i="4" s="1"/>
  <c r="D177" i="4"/>
  <c r="F177" i="4" s="1"/>
  <c r="G176" i="4"/>
  <c r="D176" i="4"/>
  <c r="F176" i="4" s="1"/>
  <c r="D174" i="4"/>
  <c r="F174" i="4" s="1"/>
  <c r="D173" i="4"/>
  <c r="F173" i="4" s="1"/>
  <c r="D172" i="4"/>
  <c r="F172" i="4" s="1"/>
  <c r="D171" i="4"/>
  <c r="F171" i="4" s="1"/>
  <c r="D170" i="4"/>
  <c r="F170" i="4" s="1"/>
  <c r="D169" i="4"/>
  <c r="F169" i="4" s="1"/>
  <c r="D168" i="4"/>
  <c r="F168" i="4" s="1"/>
  <c r="D167" i="4"/>
  <c r="F167" i="4" s="1"/>
  <c r="D166" i="4"/>
  <c r="F166" i="4" s="1"/>
  <c r="D165" i="4"/>
  <c r="F165" i="4" s="1"/>
  <c r="D164" i="4"/>
  <c r="F164" i="4" s="1"/>
  <c r="D163" i="4"/>
  <c r="F163" i="4" s="1"/>
  <c r="D162" i="4"/>
  <c r="F162" i="4" s="1"/>
  <c r="D161" i="4"/>
  <c r="F161" i="4" s="1"/>
  <c r="D160" i="4"/>
  <c r="F160" i="4" s="1"/>
  <c r="D159" i="4"/>
  <c r="F159" i="4" s="1"/>
  <c r="D158" i="4"/>
  <c r="F158" i="4" s="1"/>
  <c r="D157" i="4"/>
  <c r="F157" i="4" s="1"/>
  <c r="D156" i="4"/>
  <c r="F156" i="4" s="1"/>
  <c r="G155" i="4"/>
  <c r="D155" i="4"/>
  <c r="F155" i="4" s="1"/>
  <c r="E152" i="4"/>
  <c r="D152" i="4"/>
  <c r="F152" i="4" s="1"/>
  <c r="E151" i="4"/>
  <c r="D151" i="4"/>
  <c r="E150" i="4"/>
  <c r="D150" i="4"/>
  <c r="E149" i="4"/>
  <c r="D149" i="4"/>
  <c r="E148" i="4"/>
  <c r="D148" i="4"/>
  <c r="E147" i="4"/>
  <c r="D147" i="4"/>
  <c r="E146" i="4"/>
  <c r="D146" i="4"/>
  <c r="E145" i="4"/>
  <c r="D145" i="4"/>
  <c r="E144" i="4"/>
  <c r="D144" i="4"/>
  <c r="G143" i="4"/>
  <c r="E143" i="4"/>
  <c r="D143" i="4"/>
  <c r="D141" i="4"/>
  <c r="F141" i="4" s="1"/>
  <c r="F140" i="4"/>
  <c r="D140" i="4"/>
  <c r="D139" i="4"/>
  <c r="F139" i="4" s="1"/>
  <c r="D138" i="4"/>
  <c r="F138" i="4" s="1"/>
  <c r="D137" i="4"/>
  <c r="F137" i="4" s="1"/>
  <c r="D136" i="4"/>
  <c r="F136" i="4" s="1"/>
  <c r="D135" i="4"/>
  <c r="F135" i="4" s="1"/>
  <c r="D134" i="4"/>
  <c r="F134" i="4" s="1"/>
  <c r="D133" i="4"/>
  <c r="F133" i="4" s="1"/>
  <c r="G132" i="4"/>
  <c r="D132" i="4"/>
  <c r="F132" i="4" s="1"/>
  <c r="E130" i="4"/>
  <c r="D130" i="4"/>
  <c r="E129" i="4"/>
  <c r="D129" i="4"/>
  <c r="E128" i="4"/>
  <c r="D128" i="4"/>
  <c r="E127" i="4"/>
  <c r="D127" i="4"/>
  <c r="F127" i="4" s="1"/>
  <c r="E126" i="4"/>
  <c r="D126" i="4"/>
  <c r="E125" i="4"/>
  <c r="D125" i="4"/>
  <c r="E124" i="4"/>
  <c r="D124" i="4"/>
  <c r="E123" i="4"/>
  <c r="D123" i="4"/>
  <c r="E122" i="4"/>
  <c r="D122" i="4"/>
  <c r="G121" i="4"/>
  <c r="E121" i="4"/>
  <c r="D121" i="4"/>
  <c r="D119" i="4"/>
  <c r="F119" i="4" s="1"/>
  <c r="D118" i="4"/>
  <c r="F118" i="4" s="1"/>
  <c r="D117" i="4"/>
  <c r="F117" i="4" s="1"/>
  <c r="D116" i="4"/>
  <c r="F116" i="4" s="1"/>
  <c r="D115" i="4"/>
  <c r="F115" i="4" s="1"/>
  <c r="D114" i="4"/>
  <c r="F114" i="4" s="1"/>
  <c r="D113" i="4"/>
  <c r="F113" i="4" s="1"/>
  <c r="F112" i="4"/>
  <c r="D112" i="4"/>
  <c r="D111" i="4"/>
  <c r="F111" i="4" s="1"/>
  <c r="D110" i="4"/>
  <c r="F110" i="4" s="1"/>
  <c r="G109" i="4"/>
  <c r="D109" i="4"/>
  <c r="F109" i="4" s="1"/>
  <c r="E104" i="4"/>
  <c r="D104" i="4"/>
  <c r="E103" i="4"/>
  <c r="D103" i="4"/>
  <c r="E102" i="4"/>
  <c r="D102" i="4"/>
  <c r="E101" i="4"/>
  <c r="D101" i="4"/>
  <c r="E100" i="4"/>
  <c r="D100" i="4"/>
  <c r="G99" i="4"/>
  <c r="E99" i="4"/>
  <c r="D99" i="4"/>
  <c r="F99" i="4" s="1"/>
  <c r="D97" i="4"/>
  <c r="F97" i="4" s="1"/>
  <c r="D96" i="4"/>
  <c r="F96" i="4" s="1"/>
  <c r="D95" i="4"/>
  <c r="F95" i="4" s="1"/>
  <c r="D94" i="4"/>
  <c r="F94" i="4" s="1"/>
  <c r="D93" i="4"/>
  <c r="F93" i="4" s="1"/>
  <c r="D92" i="4"/>
  <c r="F92" i="4" s="1"/>
  <c r="D91" i="4"/>
  <c r="F91" i="4" s="1"/>
  <c r="G90" i="4"/>
  <c r="D90" i="4"/>
  <c r="F90" i="4" s="1"/>
  <c r="E88" i="4"/>
  <c r="D88" i="4"/>
  <c r="E87" i="4"/>
  <c r="D87" i="4"/>
  <c r="E86" i="4"/>
  <c r="D86" i="4"/>
  <c r="E85" i="4"/>
  <c r="D85" i="4"/>
  <c r="E84" i="4"/>
  <c r="D84" i="4"/>
  <c r="F83" i="4"/>
  <c r="E83" i="4"/>
  <c r="D83" i="4"/>
  <c r="E82" i="4"/>
  <c r="D82" i="4"/>
  <c r="F82" i="4" s="1"/>
  <c r="G81" i="4"/>
  <c r="E81" i="4"/>
  <c r="D81" i="4"/>
  <c r="E77" i="4"/>
  <c r="D77" i="4"/>
  <c r="E76" i="4"/>
  <c r="D76" i="4"/>
  <c r="E75" i="4"/>
  <c r="D75" i="4"/>
  <c r="E74" i="4"/>
  <c r="D74" i="4"/>
  <c r="E73" i="4"/>
  <c r="D73" i="4"/>
  <c r="E72" i="4"/>
  <c r="D72" i="4"/>
  <c r="E71" i="4"/>
  <c r="D71" i="4"/>
  <c r="E70" i="4"/>
  <c r="D70" i="4"/>
  <c r="E69" i="4"/>
  <c r="D69" i="4"/>
  <c r="G68" i="4"/>
  <c r="E68" i="4"/>
  <c r="D68" i="4"/>
  <c r="D66" i="4"/>
  <c r="F66" i="4" s="1"/>
  <c r="D65" i="4"/>
  <c r="F65" i="4" s="1"/>
  <c r="D64" i="4"/>
  <c r="F64" i="4" s="1"/>
  <c r="D63" i="4"/>
  <c r="F63" i="4" s="1"/>
  <c r="D62" i="4"/>
  <c r="F62" i="4" s="1"/>
  <c r="D61" i="4"/>
  <c r="F61" i="4" s="1"/>
  <c r="D60" i="4"/>
  <c r="F60" i="4" s="1"/>
  <c r="D59" i="4"/>
  <c r="F59" i="4" s="1"/>
  <c r="D58" i="4"/>
  <c r="F58" i="4" s="1"/>
  <c r="G57" i="4"/>
  <c r="D57" i="4"/>
  <c r="F57" i="4" s="1"/>
  <c r="E55" i="4"/>
  <c r="D55" i="4"/>
  <c r="E54" i="4"/>
  <c r="D54" i="4"/>
  <c r="E53" i="4"/>
  <c r="D53" i="4"/>
  <c r="E52" i="4"/>
  <c r="D52" i="4"/>
  <c r="E51" i="4"/>
  <c r="D51" i="4"/>
  <c r="E50" i="4"/>
  <c r="D50" i="4"/>
  <c r="E49" i="4"/>
  <c r="D49" i="4"/>
  <c r="E48" i="4"/>
  <c r="D48" i="4"/>
  <c r="E47" i="4"/>
  <c r="D47" i="4"/>
  <c r="G46" i="4"/>
  <c r="E46" i="4"/>
  <c r="D46" i="4"/>
  <c r="D44" i="4"/>
  <c r="F44" i="4" s="1"/>
  <c r="D43" i="4"/>
  <c r="F43" i="4" s="1"/>
  <c r="D42" i="4"/>
  <c r="F42" i="4" s="1"/>
  <c r="D41" i="4"/>
  <c r="F41" i="4" s="1"/>
  <c r="D40" i="4"/>
  <c r="F40" i="4" s="1"/>
  <c r="D39" i="4"/>
  <c r="F39" i="4" s="1"/>
  <c r="D38" i="4"/>
  <c r="F38" i="4" s="1"/>
  <c r="D37" i="4"/>
  <c r="F37" i="4" s="1"/>
  <c r="D36" i="4"/>
  <c r="F36" i="4" s="1"/>
  <c r="D35" i="4"/>
  <c r="F35" i="4" s="1"/>
  <c r="D34" i="4"/>
  <c r="F34" i="4" s="1"/>
  <c r="D33" i="4"/>
  <c r="F33" i="4" s="1"/>
  <c r="D32" i="4"/>
  <c r="F32" i="4" s="1"/>
  <c r="G31" i="4"/>
  <c r="D31" i="4"/>
  <c r="F31" i="4" s="1"/>
  <c r="D29" i="4"/>
  <c r="F29" i="4" s="1"/>
  <c r="D28" i="4"/>
  <c r="F28" i="4" s="1"/>
  <c r="D27" i="4"/>
  <c r="F27" i="4" s="1"/>
  <c r="D26" i="4"/>
  <c r="F26" i="4" s="1"/>
  <c r="D25" i="4"/>
  <c r="F25" i="4" s="1"/>
  <c r="D24" i="4"/>
  <c r="F24" i="4" s="1"/>
  <c r="D23" i="4"/>
  <c r="F23" i="4" s="1"/>
  <c r="D22" i="4"/>
  <c r="F22" i="4" s="1"/>
  <c r="D21" i="4"/>
  <c r="F21" i="4" s="1"/>
  <c r="D20" i="4"/>
  <c r="F20" i="4" s="1"/>
  <c r="D19" i="4"/>
  <c r="F19" i="4" s="1"/>
  <c r="D18" i="4"/>
  <c r="F18" i="4" s="1"/>
  <c r="D17" i="4"/>
  <c r="F17" i="4" s="1"/>
  <c r="G16" i="4"/>
  <c r="D16" i="4"/>
  <c r="F16" i="4" s="1"/>
  <c r="D14" i="4"/>
  <c r="F14" i="4" s="1"/>
  <c r="D13" i="4"/>
  <c r="F13" i="4" s="1"/>
  <c r="D12" i="4"/>
  <c r="F12" i="4" s="1"/>
  <c r="D11" i="4"/>
  <c r="F11" i="4" s="1"/>
  <c r="D10" i="4"/>
  <c r="F10" i="4" s="1"/>
  <c r="D9" i="4"/>
  <c r="F9" i="4" s="1"/>
  <c r="D8" i="4"/>
  <c r="F8" i="4" s="1"/>
  <c r="D7" i="4"/>
  <c r="F7" i="4" s="1"/>
  <c r="D6" i="4"/>
  <c r="F6" i="4" s="1"/>
  <c r="D5" i="4"/>
  <c r="F5" i="4" s="1"/>
  <c r="G4" i="4"/>
  <c r="D4" i="4"/>
  <c r="F4" i="4"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399" i="1"/>
  <c r="D361" i="1"/>
  <c r="J361" i="1" s="1"/>
  <c r="D360" i="1"/>
  <c r="J360" i="1" s="1"/>
  <c r="D359" i="1"/>
  <c r="J359" i="1" s="1"/>
  <c r="D358" i="1"/>
  <c r="J358" i="1" s="1"/>
  <c r="D357" i="1"/>
  <c r="J357" i="1" s="1"/>
  <c r="D356" i="1"/>
  <c r="J356" i="1" s="1"/>
  <c r="D355" i="1"/>
  <c r="J355" i="1" s="1"/>
  <c r="D354" i="1"/>
  <c r="J354" i="1" s="1"/>
  <c r="D353" i="1"/>
  <c r="J353" i="1" s="1"/>
  <c r="D352" i="1"/>
  <c r="J352" i="1" s="1"/>
  <c r="D349" i="1"/>
  <c r="J349" i="1" s="1"/>
  <c r="D348" i="1"/>
  <c r="J348" i="1" s="1"/>
  <c r="D347" i="1"/>
  <c r="J347" i="1" s="1"/>
  <c r="D346" i="1"/>
  <c r="J346" i="1" s="1"/>
  <c r="D345" i="1"/>
  <c r="J345" i="1" s="1"/>
  <c r="D344" i="1"/>
  <c r="J344" i="1" s="1"/>
  <c r="D343" i="1"/>
  <c r="J343" i="1" s="1"/>
  <c r="D342" i="1"/>
  <c r="J342" i="1" s="1"/>
  <c r="D341" i="1"/>
  <c r="J341" i="1" s="1"/>
  <c r="G340" i="1"/>
  <c r="D340" i="1"/>
  <c r="J340" i="1" s="1"/>
  <c r="D338" i="1"/>
  <c r="J338" i="1" s="1"/>
  <c r="D337" i="1"/>
  <c r="J337" i="1" s="1"/>
  <c r="D336" i="1"/>
  <c r="J336" i="1" s="1"/>
  <c r="D335" i="1"/>
  <c r="J335" i="1" s="1"/>
  <c r="D334" i="1"/>
  <c r="J334" i="1" s="1"/>
  <c r="D333" i="1"/>
  <c r="J333" i="1" s="1"/>
  <c r="D332" i="1"/>
  <c r="J332" i="1" s="1"/>
  <c r="D331" i="1"/>
  <c r="J331" i="1" s="1"/>
  <c r="D330" i="1"/>
  <c r="J330" i="1" s="1"/>
  <c r="D329" i="1"/>
  <c r="J329" i="1" s="1"/>
  <c r="D326" i="1"/>
  <c r="J326" i="1" s="1"/>
  <c r="D325" i="1"/>
  <c r="J325" i="1" s="1"/>
  <c r="D324" i="1"/>
  <c r="J324" i="1" s="1"/>
  <c r="D323" i="1"/>
  <c r="J323" i="1" s="1"/>
  <c r="D322" i="1"/>
  <c r="J322" i="1" s="1"/>
  <c r="D321" i="1"/>
  <c r="J321" i="1" s="1"/>
  <c r="D320" i="1"/>
  <c r="J320" i="1" s="1"/>
  <c r="D319" i="1"/>
  <c r="J319" i="1" s="1"/>
  <c r="D318" i="1"/>
  <c r="J318" i="1" s="1"/>
  <c r="G317" i="1"/>
  <c r="D317" i="1"/>
  <c r="J317" i="1" s="1"/>
  <c r="D304" i="1"/>
  <c r="J304" i="1" s="1"/>
  <c r="D303" i="1"/>
  <c r="J303" i="1" s="1"/>
  <c r="D302" i="1"/>
  <c r="J302" i="1" s="1"/>
  <c r="D301" i="1"/>
  <c r="J301" i="1" s="1"/>
  <c r="D300" i="1"/>
  <c r="J300" i="1" s="1"/>
  <c r="D299" i="1"/>
  <c r="J299" i="1" s="1"/>
  <c r="D298" i="1"/>
  <c r="J298" i="1" s="1"/>
  <c r="D297" i="1"/>
  <c r="J297" i="1" s="1"/>
  <c r="G296" i="1"/>
  <c r="D296" i="1"/>
  <c r="G284" i="1"/>
  <c r="G273" i="1"/>
  <c r="G262" i="1"/>
  <c r="F260" i="1"/>
  <c r="J260" i="1" s="1"/>
  <c r="F259" i="1"/>
  <c r="J259" i="1" s="1"/>
  <c r="F258" i="1"/>
  <c r="J258" i="1" s="1"/>
  <c r="F257" i="1"/>
  <c r="J257" i="1" s="1"/>
  <c r="F256" i="1"/>
  <c r="J256" i="1" s="1"/>
  <c r="F255" i="1"/>
  <c r="J255" i="1" s="1"/>
  <c r="F254" i="1"/>
  <c r="J254" i="1" s="1"/>
  <c r="F253" i="1"/>
  <c r="J253" i="1" s="1"/>
  <c r="F252" i="1"/>
  <c r="J252" i="1" s="1"/>
  <c r="F251" i="1"/>
  <c r="J251" i="1" s="1"/>
  <c r="G250" i="1"/>
  <c r="F250" i="1"/>
  <c r="G240" i="1"/>
  <c r="G231" i="1"/>
  <c r="G218" i="1"/>
  <c r="G207" i="1"/>
  <c r="G196" i="1"/>
  <c r="F190" i="1"/>
  <c r="J190" i="1" s="1"/>
  <c r="F189" i="1"/>
  <c r="J189" i="1" s="1"/>
  <c r="F188" i="1"/>
  <c r="J188" i="1" s="1"/>
  <c r="F187" i="1"/>
  <c r="J187" i="1" s="1"/>
  <c r="F186" i="1"/>
  <c r="J186" i="1" s="1"/>
  <c r="F185" i="1"/>
  <c r="J185" i="1" s="1"/>
  <c r="F184" i="1"/>
  <c r="J184" i="1" s="1"/>
  <c r="F183" i="1"/>
  <c r="J183" i="1" s="1"/>
  <c r="F182" i="1"/>
  <c r="J182" i="1" s="1"/>
  <c r="F181" i="1"/>
  <c r="J181" i="1" s="1"/>
  <c r="G180" i="1"/>
  <c r="F180" i="1"/>
  <c r="J180" i="1" s="1"/>
  <c r="F174" i="1"/>
  <c r="J174" i="1" s="1"/>
  <c r="F173" i="1"/>
  <c r="J173" i="1" s="1"/>
  <c r="F172" i="1"/>
  <c r="J172" i="1" s="1"/>
  <c r="F171" i="1"/>
  <c r="J171" i="1" s="1"/>
  <c r="F170" i="1"/>
  <c r="J170" i="1" s="1"/>
  <c r="F169" i="1"/>
  <c r="J169" i="1" s="1"/>
  <c r="F168" i="1"/>
  <c r="J168" i="1" s="1"/>
  <c r="F167" i="1"/>
  <c r="J167" i="1" s="1"/>
  <c r="F166" i="1"/>
  <c r="J166" i="1" s="1"/>
  <c r="F165" i="1"/>
  <c r="J165" i="1" s="1"/>
  <c r="G164" i="1"/>
  <c r="F164" i="1"/>
  <c r="J164" i="1" s="1"/>
  <c r="F162" i="1"/>
  <c r="J162" i="1" s="1"/>
  <c r="F161" i="1"/>
  <c r="J161" i="1" s="1"/>
  <c r="F160" i="1"/>
  <c r="J160" i="1" s="1"/>
  <c r="F159" i="1"/>
  <c r="J159" i="1" s="1"/>
  <c r="F158" i="1"/>
  <c r="J158" i="1" s="1"/>
  <c r="F157" i="1"/>
  <c r="J157" i="1" s="1"/>
  <c r="F156" i="1"/>
  <c r="J156" i="1" s="1"/>
  <c r="F155" i="1"/>
  <c r="J155" i="1" s="1"/>
  <c r="F154" i="1"/>
  <c r="J154" i="1" s="1"/>
  <c r="F153" i="1"/>
  <c r="J153" i="1" s="1"/>
  <c r="G152" i="1"/>
  <c r="F152" i="1"/>
  <c r="F134" i="1"/>
  <c r="D53" i="1"/>
  <c r="G47" i="1"/>
  <c r="G48" i="1" s="1"/>
  <c r="C47" i="1"/>
  <c r="C48" i="1" s="1"/>
  <c r="E41" i="1"/>
  <c r="E42" i="1" s="1"/>
  <c r="C14" i="1"/>
  <c r="E7" i="1"/>
  <c r="F72" i="4" l="1"/>
  <c r="F76" i="4"/>
  <c r="F124" i="4"/>
  <c r="F128" i="4"/>
  <c r="F100" i="4"/>
  <c r="F104" i="4"/>
  <c r="F125" i="4"/>
  <c r="F84" i="4"/>
  <c r="F130" i="4"/>
  <c r="F50" i="4"/>
  <c r="F54" i="4"/>
  <c r="F46" i="4"/>
  <c r="F49" i="4"/>
  <c r="F85" i="4"/>
  <c r="F87" i="4"/>
  <c r="F123" i="4"/>
  <c r="J250" i="1"/>
  <c r="F138" i="1"/>
  <c r="J152" i="1"/>
  <c r="F137" i="1"/>
  <c r="D139" i="1"/>
  <c r="D140" i="1" s="1"/>
  <c r="J140" i="1" s="1"/>
  <c r="C139" i="1"/>
  <c r="J296" i="1"/>
  <c r="F48" i="4"/>
  <c r="F122" i="4"/>
  <c r="F70" i="4"/>
  <c r="F81" i="4"/>
  <c r="F88" i="4"/>
  <c r="F146" i="4"/>
  <c r="F51" i="4"/>
  <c r="F53" i="4"/>
  <c r="F55" i="4"/>
  <c r="F69" i="4"/>
  <c r="F101" i="4"/>
  <c r="F103" i="4"/>
  <c r="F145" i="4"/>
  <c r="F147" i="4"/>
  <c r="F149" i="4"/>
  <c r="F151" i="4"/>
  <c r="G12" i="5"/>
  <c r="E34" i="3"/>
  <c r="F71" i="4"/>
  <c r="F74" i="4"/>
  <c r="F150" i="4"/>
  <c r="I34" i="3"/>
  <c r="H34" i="3" s="1"/>
  <c r="L34" i="3"/>
  <c r="K34" i="3" s="1"/>
  <c r="F52" i="4"/>
  <c r="F68" i="4"/>
  <c r="F73" i="4"/>
  <c r="F75" i="4"/>
  <c r="F86" i="4"/>
  <c r="F102" i="4"/>
  <c r="F144" i="4"/>
  <c r="F47" i="4"/>
  <c r="F77" i="4"/>
  <c r="F121" i="4"/>
  <c r="F126" i="4"/>
  <c r="F129" i="4"/>
  <c r="F143" i="4"/>
  <c r="F148" i="4"/>
  <c r="D34" i="3"/>
  <c r="E36" i="3"/>
  <c r="D36" i="3" l="1"/>
  <c r="F140" i="1"/>
  <c r="C146" i="1"/>
  <c r="C140" i="1"/>
</calcChain>
</file>

<file path=xl/sharedStrings.xml><?xml version="1.0" encoding="utf-8"?>
<sst xmlns="http://schemas.openxmlformats.org/spreadsheetml/2006/main" count="949" uniqueCount="322">
  <si>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</si>
  <si>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</si>
  <si>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</si>
  <si>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</si>
  <si>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</si>
  <si>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</si>
  <si>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</si>
  <si>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</si>
  <si>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</si>
  <si>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</si>
  <si>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</si>
  <si>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</si>
  <si>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</si>
  <si>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</si>
  <si>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</si>
  <si>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</si>
  <si>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</si>
  <si>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</si>
  <si>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</si>
  <si>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</si>
  <si>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</si>
  <si>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</si>
  <si>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</si>
  <si>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</si>
  <si>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</si>
  <si>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</si>
  <si>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</si>
  <si>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</si>
  <si>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</si>
  <si>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</si>
  <si>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</si>
  <si>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</si>
  <si>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</si>
  <si>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</si>
  <si>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</si>
  <si>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</si>
  <si>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</si>
  <si>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</si>
  <si>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</si>
  <si>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</si>
  <si>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</si>
  <si>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</si>
  <si>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</si>
  <si>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</si>
  <si>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</si>
  <si>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</si>
  <si>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</si>
  <si>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</si>
  <si>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</si>
  <si>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</si>
  <si>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</si>
  <si>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</si>
  <si>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</si>
  <si>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</si>
  <si>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</si>
  <si>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</si>
  <si>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</si>
  <si>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</si>
  <si>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</si>
  <si>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</si>
  <si>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</si>
  <si>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</si>
  <si>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</si>
  <si>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</si>
  <si>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</si>
  <si>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</si>
  <si>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</si>
  <si>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</si>
  <si>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</si>
  <si>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</si>
  <si>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</si>
  <si>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</si>
  <si>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</si>
  <si>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</si>
  <si>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</si>
  <si>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</si>
  <si>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</si>
  <si>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</si>
  <si>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</si>
  <si>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</si>
  <si>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</si>
  <si>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</si>
  <si>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</si>
  <si>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</si>
  <si>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</si>
  <si>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</si>
  <si>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</si>
  <si>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</si>
  <si>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</si>
  <si>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</si>
  <si>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</si>
  <si>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</si>
  <si>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</si>
  <si>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</si>
  <si>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</si>
  <si>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</si>
  <si>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</si>
  <si>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</si>
  <si>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</si>
  <si>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</si>
  <si>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</si>
  <si>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</si>
  <si>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</si>
  <si>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</si>
  <si>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</si>
  <si>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</si>
  <si>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</si>
  <si>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</si>
  <si>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</si>
  <si>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</si>
  <si>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</si>
  <si>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</si>
  <si>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</si>
  <si>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</si>
  <si>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</si>
  <si>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</si>
  <si>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</si>
  <si>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</si>
  <si>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</si>
  <si>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</si>
  <si>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</si>
  <si>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</si>
  <si>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</si>
  <si>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</si>
  <si>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</si>
  <si>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</si>
  <si>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</si>
  <si>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</si>
  <si>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</si>
  <si>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</si>
  <si>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</si>
  <si>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</si>
  <si>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</si>
  <si>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</si>
  <si>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</si>
  <si>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</si>
  <si>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</si>
  <si>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</si>
  <si>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</si>
  <si>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</si>
  <si>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</si>
  <si>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</si>
  <si>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</si>
  <si>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</si>
  <si>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</si>
  <si>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</si>
  <si>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</si>
  <si>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</si>
  <si>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</si>
  <si>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</si>
  <si>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Report By :</t>
  </si>
  <si>
    <t>Market Research Data</t>
  </si>
  <si>
    <t>Source</t>
  </si>
  <si>
    <t>Distance from proposed property</t>
  </si>
  <si>
    <t>Net Carpet</t>
  </si>
  <si>
    <t>Market Value</t>
  </si>
  <si>
    <t>Magic Brick</t>
  </si>
  <si>
    <t>3BHK</t>
  </si>
  <si>
    <t>4BHK</t>
  </si>
  <si>
    <t>99 Acres</t>
  </si>
  <si>
    <t>Average</t>
  </si>
  <si>
    <t xml:space="preserve">Valuation Adopted </t>
  </si>
  <si>
    <t>Saleable Area</t>
  </si>
  <si>
    <t>Rate on Saleable</t>
  </si>
  <si>
    <t>Open plot</t>
  </si>
  <si>
    <t>Building</t>
  </si>
  <si>
    <t>Middle Class</t>
  </si>
  <si>
    <t>Developing</t>
  </si>
  <si>
    <t>Studio High 5 - Phase II</t>
  </si>
  <si>
    <t>Karjat Murbad Road</t>
  </si>
  <si>
    <t>Dhamote</t>
  </si>
  <si>
    <t>Raigad</t>
  </si>
  <si>
    <t>Neral</t>
  </si>
  <si>
    <t>Karjat</t>
  </si>
  <si>
    <t>1.3km from Neral Railway Station</t>
  </si>
  <si>
    <t>New Survey No</t>
  </si>
  <si>
    <t>126/1, 126/2, 126/3, 126/4, 126/5 &amp; 126/6, Old S.No. 35, H.No. 4, S.No. 38, H.No. 3, S.No. 39, H.No. 1, S.No. 40, H.No. 1/A,1/B,1/C, S.No. 40, H.No. 3, S.No. 41, H.No. 2, S.No. 64, H.No. 1  &amp; Plot No.1</t>
  </si>
  <si>
    <t>P52000027393</t>
  </si>
  <si>
    <t>Building No. 1 to 4</t>
  </si>
  <si>
    <t>M/s. Laxmi Realty</t>
  </si>
  <si>
    <t>Axis Sanpada</t>
  </si>
  <si>
    <t>Building No. 1</t>
  </si>
  <si>
    <t>Ground floor for Commericial &amp; Parking</t>
  </si>
  <si>
    <t>Shop</t>
  </si>
  <si>
    <t>1st floor for Commericial &amp; Residential</t>
  </si>
  <si>
    <t>1BHK</t>
  </si>
  <si>
    <t>2nd floor for Commericial &amp; Residential</t>
  </si>
  <si>
    <t>3nd floor for Residential</t>
  </si>
  <si>
    <t>2BHK</t>
  </si>
  <si>
    <t>4th &amp; 6th Floor</t>
  </si>
  <si>
    <t xml:space="preserve">401 &amp; 601 </t>
  </si>
  <si>
    <t xml:space="preserve">402 &amp; 602 </t>
  </si>
  <si>
    <t>403 &amp; 603</t>
  </si>
  <si>
    <t>404 &amp; 604</t>
  </si>
  <si>
    <t>405 &amp; 605</t>
  </si>
  <si>
    <t>406 &amp; 606</t>
  </si>
  <si>
    <t>407 &amp; 607</t>
  </si>
  <si>
    <t>408 &amp; 608</t>
  </si>
  <si>
    <t>409 &amp; 609</t>
  </si>
  <si>
    <t>410 &amp; 610</t>
  </si>
  <si>
    <t>5th Floor</t>
  </si>
  <si>
    <t>Building No. 2</t>
  </si>
  <si>
    <t>Ground floor for Parking</t>
  </si>
  <si>
    <t>1st, 3nd, 5th Floor for Residential</t>
  </si>
  <si>
    <t>101, 301, 501</t>
  </si>
  <si>
    <t>102, 302, 502</t>
  </si>
  <si>
    <t>1RK</t>
  </si>
  <si>
    <t>103, 303, 503</t>
  </si>
  <si>
    <t>104, 304, 504</t>
  </si>
  <si>
    <t>105, 305, 505</t>
  </si>
  <si>
    <t>106, 306, 506</t>
  </si>
  <si>
    <t>107, 307, 507</t>
  </si>
  <si>
    <t>108, 308, 508</t>
  </si>
  <si>
    <t>2nd, 4th, 6th Floor</t>
  </si>
  <si>
    <t>201, 401, 601</t>
  </si>
  <si>
    <t>202, 402, 602</t>
  </si>
  <si>
    <t>203, 403, 603</t>
  </si>
  <si>
    <t>204, 404, 604</t>
  </si>
  <si>
    <t>205, 405, 605</t>
  </si>
  <si>
    <t>206, 406, 606</t>
  </si>
  <si>
    <t>207, 407, 607</t>
  </si>
  <si>
    <t>208, 408, 608</t>
  </si>
  <si>
    <t>7th Floor (Part Terrace Area)</t>
  </si>
  <si>
    <t>Terrace Area</t>
  </si>
  <si>
    <t>Building No. 3</t>
  </si>
  <si>
    <t>1st Floor for Residential</t>
  </si>
  <si>
    <t>2nd, 4th, 6th Floor for Residential</t>
  </si>
  <si>
    <t>209, 409, 609</t>
  </si>
  <si>
    <t>210, 410, 610</t>
  </si>
  <si>
    <t>3rd &amp; 5th Floor for Residential</t>
  </si>
  <si>
    <t>301 &amp; 501</t>
  </si>
  <si>
    <t>302 &amp; 502</t>
  </si>
  <si>
    <t>303 &amp; 503</t>
  </si>
  <si>
    <t>304 &amp; 504</t>
  </si>
  <si>
    <t>305 &amp; 505</t>
  </si>
  <si>
    <t>306 &amp; 506</t>
  </si>
  <si>
    <t>307 &amp; 507</t>
  </si>
  <si>
    <t>308 &amp; 508</t>
  </si>
  <si>
    <t>309 &amp; 509</t>
  </si>
  <si>
    <t>310 &amp; 510</t>
  </si>
  <si>
    <t>Building No. 4</t>
  </si>
  <si>
    <t>Ground Floor for Commericial</t>
  </si>
  <si>
    <t>1st Floor for Commericial</t>
  </si>
  <si>
    <t>2nd Floor for Commericial</t>
  </si>
  <si>
    <t>Approved Plans, CC, Sale Plans</t>
  </si>
  <si>
    <t>30/03/2021</t>
  </si>
  <si>
    <t>Pratiksha</t>
  </si>
  <si>
    <t>Laxmi Icon</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</si>
  <si>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</si>
  <si>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</si>
  <si>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</si>
  <si>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</si>
  <si>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</si>
  <si>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</si>
  <si>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</si>
  <si>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</si>
  <si>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</si>
  <si>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</si>
  <si>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</si>
  <si>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</si>
  <si>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</si>
  <si>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</si>
  <si>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</si>
  <si>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</si>
  <si>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</si>
  <si>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</si>
  <si>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No.4 = Gr + 1st to 3rd Floor
r</t>
  </si>
  <si>
    <t>Building No.3 = Gr + 1st to 7th Floor
r</t>
  </si>
  <si>
    <t>Builder Saleable area</t>
  </si>
  <si>
    <t>1,00,000/-</t>
  </si>
  <si>
    <t>1,75,000/-</t>
  </si>
  <si>
    <t>60,000/-</t>
  </si>
  <si>
    <t xml:space="preserve">1.Vitrified tiles Flooring 2. Granite Kitchen Platform  3. Decorative Enternace  etc.                                                                                                                                                                                                                                                                                   </t>
  </si>
  <si>
    <t>Ground Floor for Parking</t>
  </si>
  <si>
    <t>3rd Floor for Residential</t>
  </si>
  <si>
    <t>Ground Floor for Commercial &amp; Parking</t>
  </si>
  <si>
    <t>1st Floor for Commercial &amp; Residential</t>
  </si>
  <si>
    <t>2nd Floor for Commercial &amp; Residential</t>
  </si>
  <si>
    <t>Ground Floor for Commercial</t>
  </si>
  <si>
    <t>1st Floor for Commercial</t>
  </si>
  <si>
    <t>2nd Floor for Commercial</t>
  </si>
  <si>
    <t>4 Building</t>
  </si>
  <si>
    <t>Building No.2 = Gr + 1st to 8th Floor</t>
  </si>
  <si>
    <t>RJP/BDKM/NSVP/75/2022</t>
  </si>
  <si>
    <t>Valid upto: 
Building No. 1 &amp; 3 = Gr. + 1st to 7th Floor
Building No. 2 = Gr. + 1st to 8th Floor
Building No. 4 = Gr. + 1st to 3rd Floor</t>
  </si>
  <si>
    <t>Building No. 1 &amp; 3 = Gr. + 1st to 7th Floor
Building No. 2 = Gr. + 1st to 8th Floor
Building No. 4 = Gr. + 1st to 3rd Floor</t>
  </si>
  <si>
    <t>22A</t>
  </si>
  <si>
    <t>33A</t>
  </si>
  <si>
    <t>5th &amp; 7th Floor</t>
  </si>
  <si>
    <t>501 &amp; 701</t>
  </si>
  <si>
    <t>502 &amp; 702</t>
  </si>
  <si>
    <t>503 &amp; 703</t>
  </si>
  <si>
    <t>504 &amp; 704</t>
  </si>
  <si>
    <t>505 &amp; 705</t>
  </si>
  <si>
    <t>506 &amp; 706</t>
  </si>
  <si>
    <t>507 &amp; 707</t>
  </si>
  <si>
    <t>508 &amp; 708</t>
  </si>
  <si>
    <t>509 &amp; 709</t>
  </si>
  <si>
    <t>510 &amp; 710</t>
  </si>
  <si>
    <t>1st, 3nd, 5th &amp; 7th Floor for Residential</t>
  </si>
  <si>
    <t>2nd, 4th, 6th &amp; 8th Floor</t>
  </si>
  <si>
    <t>3rd, 5th &amp; 7th Floor for Residential</t>
  </si>
  <si>
    <t xml:space="preserve">3rd Floor </t>
  </si>
  <si>
    <t>Flats = 190, Shops = 132</t>
  </si>
  <si>
    <t xml:space="preserve">Site Person - Contact Details ( Name &amp; Contact No.)
</t>
  </si>
  <si>
    <t>Location Link</t>
  </si>
  <si>
    <t>https://goo.gl/maps/EsWomQnFeXvfUFNo7?coh=178572&amp;entry=tt</t>
  </si>
  <si>
    <t>RJP/Bandhkam/NSVP/182/2022
Approved upto : Building No. 4 = Gr. + 1st to 3rd Floor</t>
  </si>
  <si>
    <t>3200 to 3500</t>
  </si>
  <si>
    <t>Smith</t>
  </si>
  <si>
    <t>Igr</t>
  </si>
  <si>
    <t>Naynesh Sunil Lovanshi</t>
  </si>
  <si>
    <t xml:space="preserve">Office No. 1031, Wing J, Akshar Business Park, Plot No. 03 Sector 25, Near APMC Market, Vashi, 
Navi Mumbai, Maharashtra 400703 TEL: 022-46090378/79/80
Email : vsjcapf@gmail.com. Web site : www.vsjadon.com
</t>
  </si>
  <si>
    <t>Mr.Maruti : 7770049524</t>
  </si>
  <si>
    <t>Pooja</t>
  </si>
  <si>
    <t>Building No. 1 &amp; 3 = Gr. + 1st to 7th Floor</t>
  </si>
  <si>
    <t>Completed</t>
  </si>
  <si>
    <t>Nothing</t>
  </si>
  <si>
    <t>Wheather the construction is as per approved Building plan : Yes</t>
  </si>
  <si>
    <r>
      <t xml:space="preserve">J.K.353
Approved upto : </t>
    </r>
    <r>
      <rPr>
        <b/>
        <u/>
        <sz val="12"/>
        <rFont val="Times New Roman"/>
        <family val="1"/>
      </rPr>
      <t>Building No.1</t>
    </r>
    <r>
      <rPr>
        <b/>
        <sz val="12"/>
        <rFont val="Times New Roman"/>
        <family val="1"/>
      </rPr>
      <t xml:space="preserve"> = Gr/St + 1st to 7th Floor
Shops = 35 Nos &amp; Flats = 56 Nos
</t>
    </r>
    <r>
      <rPr>
        <b/>
        <u/>
        <sz val="12"/>
        <rFont val="Times New Roman"/>
        <family val="1"/>
      </rPr>
      <t>Building No.2</t>
    </r>
    <r>
      <rPr>
        <b/>
        <sz val="12"/>
        <rFont val="Times New Roman"/>
        <family val="1"/>
      </rPr>
      <t xml:space="preserve"> = Gr/St + 1st to 8th Floor
Flats = 64 Nos.
</t>
    </r>
    <r>
      <rPr>
        <b/>
        <u/>
        <sz val="12"/>
        <rFont val="Times New Roman"/>
        <family val="1"/>
      </rPr>
      <t>Building No.3</t>
    </r>
    <r>
      <rPr>
        <b/>
        <sz val="12"/>
        <rFont val="Times New Roman"/>
        <family val="1"/>
      </rPr>
      <t xml:space="preserve"> = Gr/St + 1st to 7th Floor
Shops = 11  Nos &amp; Flats = 70 Nos.</t>
    </r>
  </si>
  <si>
    <t>1. Building No. 1, 2, 3 = All work Completed. OC Received.
    Building No. 4 = All work Completed. OC Received.
2. We considered  Saleable area as per builder area sheet.
3. We considered Carpet area as per Approved Plan.
4. We considered Gross carpet area = Net carpet + Enclose balcony + WS Area.
5. Recommended rate should be considered as all inclusive rate if other charges are not mentioned. (Excluding GST &amp; other government Taxes)
6. We have considered rate by verifying it from market inquire.
7. Car parking is subjected to authentic documentation.
8. Construction percent is given as per proposed no of Floor.
9. We have updated approved floor plan &amp; CC of Building No. 1 to 4. (dtd. 24/11/2022)
10. We have updated OC from Rera for Building No.04 (On 11/05/2023).
11. We have updated OC from Rera for Bldg No. 1 to 3 (On 24/09/2024).
11. On Site, we meet Ms. Akanksha - 7517276769.</t>
  </si>
  <si>
    <t>59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</si>
</sst>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indexed="8"/>
      <name val="Times New Roman"/>
      <family val="1"/>
    </font>
    <font>
      <b/>
      <sz val="11"/>
      <name val="Times New Roman"/>
      <family val="1"/>
    </font>
    <font>
      <u/>
      <sz val="11"/>
      <color theme="10"/>
      <name val="Calibri"/>
      <family val="2"/>
    </font>
    <font>
      <b/>
      <u/>
      <sz val="12"/>
      <name val="Times New Roman"/>
      <family val="1"/>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0" fontId="23" fillId="0" borderId="0" applyNumberFormat="0" applyFill="0" applyBorder="0" applyAlignment="0" applyProtection="0"/>
  </cellStyleXfs>
  <cellXfs count="202">
    <xf numFmtId="0" fontId="0" fillId="0" borderId="0" xfId="0"/>
    <xf numFmtId="0" fontId="0" fillId="2"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1" fontId="4" fillId="0" borderId="1" xfId="1" applyNumberFormat="1" applyFont="1" applyBorder="1" applyAlignment="1" applyProtection="1">
      <alignment horizontal="center" vertical="top" wrapText="1"/>
      <protection locked="0"/>
    </xf>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1" fontId="21" fillId="0" borderId="1" xfId="1" applyNumberFormat="1" applyFont="1" applyBorder="1" applyAlignment="1">
      <alignment horizontal="center" vertical="center" wrapText="1"/>
    </xf>
    <xf numFmtId="0" fontId="9" fillId="0" borderId="0" xfId="0" applyFont="1"/>
    <xf numFmtId="1" fontId="21" fillId="0" borderId="3" xfId="1" applyNumberFormat="1" applyFont="1" applyBorder="1" applyAlignment="1">
      <alignment horizontal="center" vertical="center" wrapText="1"/>
    </xf>
    <xf numFmtId="1" fontId="14" fillId="0" borderId="1" xfId="1" applyNumberFormat="1" applyFont="1" applyBorder="1" applyAlignment="1">
      <alignment horizontal="center" vertical="center" wrapText="1"/>
    </xf>
    <xf numFmtId="1" fontId="4" fillId="0" borderId="9" xfId="1" applyNumberFormat="1" applyFont="1" applyBorder="1" applyAlignment="1">
      <alignment horizontal="center" vertical="center" wrapText="1"/>
    </xf>
    <xf numFmtId="1" fontId="4" fillId="0" borderId="16" xfId="1" applyNumberFormat="1" applyFont="1" applyBorder="1" applyAlignment="1">
      <alignment horizontal="center" vertical="center" wrapText="1"/>
    </xf>
    <xf numFmtId="1" fontId="4" fillId="0" borderId="10" xfId="1" applyNumberFormat="1" applyFont="1" applyBorder="1" applyAlignment="1">
      <alignment horizontal="center" vertical="center" wrapText="1"/>
    </xf>
    <xf numFmtId="1" fontId="21" fillId="0" borderId="9" xfId="1" applyNumberFormat="1" applyFont="1" applyBorder="1" applyAlignment="1">
      <alignment horizontal="center" vertical="center" wrapText="1"/>
    </xf>
    <xf numFmtId="1" fontId="21" fillId="0" borderId="10" xfId="1" applyNumberFormat="1" applyFont="1" applyBorder="1" applyAlignment="1">
      <alignment horizontal="center" vertical="center" wrapText="1"/>
    </xf>
    <xf numFmtId="1" fontId="21" fillId="0" borderId="17" xfId="1" applyNumberFormat="1" applyFont="1" applyBorder="1" applyAlignment="1">
      <alignment horizontal="center" vertical="center" wrapText="1"/>
    </xf>
    <xf numFmtId="1" fontId="21" fillId="0" borderId="18" xfId="1" applyNumberFormat="1" applyFont="1" applyBorder="1" applyAlignment="1">
      <alignment horizontal="center" vertical="center" wrapText="1"/>
    </xf>
    <xf numFmtId="1" fontId="21" fillId="0" borderId="19" xfId="1" applyNumberFormat="1" applyFont="1" applyBorder="1" applyAlignment="1">
      <alignment horizontal="center" vertical="center" wrapText="1"/>
    </xf>
    <xf numFmtId="1" fontId="21" fillId="0" borderId="20" xfId="1" applyNumberFormat="1" applyFont="1" applyBorder="1" applyAlignment="1">
      <alignment horizontal="center" vertical="center" wrapText="1"/>
    </xf>
    <xf numFmtId="1" fontId="21" fillId="0" borderId="21" xfId="1" applyNumberFormat="1" applyFont="1" applyBorder="1" applyAlignment="1">
      <alignment horizontal="center" vertical="center" wrapText="1"/>
    </xf>
    <xf numFmtId="1" fontId="21" fillId="0" borderId="22" xfId="1" applyNumberFormat="1" applyFont="1" applyBorder="1" applyAlignment="1">
      <alignment horizontal="center" vertical="center" wrapText="1"/>
    </xf>
    <xf numFmtId="1" fontId="21" fillId="0" borderId="23" xfId="1" applyNumberFormat="1" applyFont="1" applyBorder="1" applyAlignment="1">
      <alignment horizontal="center" vertical="center" wrapText="1"/>
    </xf>
    <xf numFmtId="1" fontId="21" fillId="0" borderId="2" xfId="1" applyNumberFormat="1" applyFont="1" applyBorder="1" applyAlignment="1">
      <alignment horizontal="center" vertical="center" wrapText="1"/>
    </xf>
    <xf numFmtId="1" fontId="21" fillId="0" borderId="9" xfId="1" applyNumberFormat="1" applyFont="1" applyBorder="1" applyAlignment="1">
      <alignment vertical="center" wrapText="1"/>
    </xf>
    <xf numFmtId="1" fontId="21" fillId="0" borderId="21" xfId="1" applyNumberFormat="1" applyFont="1" applyBorder="1" applyAlignment="1">
      <alignment vertical="center" wrapText="1"/>
    </xf>
    <xf numFmtId="1" fontId="21" fillId="0" borderId="1" xfId="1" applyNumberFormat="1" applyFont="1" applyBorder="1" applyAlignment="1">
      <alignment vertical="center" wrapText="1"/>
    </xf>
    <xf numFmtId="1" fontId="14" fillId="0" borderId="1" xfId="1" applyNumberFormat="1" applyFont="1" applyBorder="1" applyAlignment="1">
      <alignment vertical="center" wrapText="1"/>
    </xf>
    <xf numFmtId="0" fontId="12" fillId="0" borderId="5" xfId="1" applyFont="1" applyBorder="1" applyAlignment="1" applyProtection="1">
      <alignment horizontal="center" vertical="top"/>
      <protection locked="0"/>
    </xf>
    <xf numFmtId="0" fontId="7" fillId="0" borderId="11" xfId="1" applyFont="1" applyBorder="1" applyProtection="1">
      <protection hidden="1"/>
    </xf>
    <xf numFmtId="0" fontId="7" fillId="0" borderId="0" xfId="1" applyFont="1" applyProtection="1">
      <protection hidden="1"/>
    </xf>
    <xf numFmtId="0" fontId="17" fillId="0" borderId="0" xfId="0" applyFont="1" applyProtection="1">
      <protection hidden="1"/>
    </xf>
    <xf numFmtId="0" fontId="17" fillId="0" borderId="14" xfId="0" applyFont="1" applyBorder="1" applyProtection="1">
      <protection hidden="1"/>
    </xf>
    <xf numFmtId="0" fontId="12"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0" fontId="7"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xf numFmtId="0" fontId="7" fillId="0" borderId="12" xfId="1" applyFont="1" applyBorder="1" applyProtection="1">
      <protection hidden="1"/>
    </xf>
    <xf numFmtId="0" fontId="7" fillId="0" borderId="13" xfId="1" applyFont="1" applyBorder="1" applyProtection="1">
      <protection hidden="1"/>
    </xf>
    <xf numFmtId="0" fontId="7" fillId="0" borderId="13" xfId="1" applyFont="1" applyBorder="1"/>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0" fontId="17" fillId="0" borderId="13" xfId="0" applyFont="1" applyBorder="1" applyProtection="1">
      <protection hidden="1"/>
    </xf>
    <xf numFmtId="1" fontId="12" fillId="0" borderId="1" xfId="1" applyNumberFormat="1" applyFont="1" applyBorder="1" applyAlignment="1" applyProtection="1">
      <alignment horizontal="center" wrapText="1"/>
      <protection locked="0"/>
    </xf>
    <xf numFmtId="1" fontId="0" fillId="0" borderId="13" xfId="0" applyNumberFormat="1" applyBorder="1"/>
    <xf numFmtId="1" fontId="0" fillId="0" borderId="13" xfId="0" applyNumberFormat="1" applyBorder="1" applyAlignment="1">
      <alignment horizontal="right"/>
    </xf>
    <xf numFmtId="0" fontId="12" fillId="0" borderId="7" xfId="1" applyFont="1" applyBorder="1" applyAlignment="1" applyProtection="1">
      <alignment horizontal="center" wrapText="1"/>
      <protection locked="0"/>
    </xf>
    <xf numFmtId="9" fontId="12" fillId="0" borderId="7" xfId="1" applyNumberFormat="1" applyFont="1" applyBorder="1" applyAlignment="1" applyProtection="1">
      <alignment horizontal="center" vertical="center" wrapText="1"/>
      <protection hidden="1"/>
    </xf>
    <xf numFmtId="1" fontId="0" fillId="0" borderId="15"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7" fillId="0" borderId="0" xfId="0" applyFont="1"/>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8" fillId="0" borderId="0" xfId="1" applyFont="1" applyAlignment="1" applyProtection="1">
      <alignment horizontal="center" vertical="top"/>
      <protection locked="0"/>
    </xf>
    <xf numFmtId="0" fontId="7" fillId="0" borderId="0" xfId="1" applyFont="1" applyProtection="1">
      <protection locked="0"/>
    </xf>
    <xf numFmtId="0" fontId="8" fillId="0" borderId="0" xfId="1" applyFont="1" applyAlignment="1" applyProtection="1">
      <alignment horizontal="center" vertical="top" wrapText="1"/>
      <protection locked="0"/>
    </xf>
    <xf numFmtId="0" fontId="7" fillId="0" borderId="0" xfId="1" applyFont="1" applyAlignment="1" applyProtection="1">
      <alignment horizontal="center"/>
      <protection locked="0"/>
    </xf>
    <xf numFmtId="0" fontId="10" fillId="0" borderId="0" xfId="1" applyFont="1" applyProtection="1">
      <protection locked="0"/>
    </xf>
    <xf numFmtId="1" fontId="0" fillId="0" borderId="0" xfId="0" applyNumberFormat="1"/>
    <xf numFmtId="1" fontId="10" fillId="0" borderId="0" xfId="0" applyNumberFormat="1" applyFont="1" applyAlignment="1">
      <alignment horizontal="center" vertical="center"/>
    </xf>
    <xf numFmtId="2" fontId="0" fillId="0" borderId="0" xfId="0" applyNumberFormat="1"/>
    <xf numFmtId="0" fontId="7" fillId="2" borderId="0" xfId="1" applyFont="1" applyFill="1"/>
    <xf numFmtId="14" fontId="7" fillId="2" borderId="0" xfId="1" applyNumberFormat="1" applyFont="1" applyFill="1"/>
    <xf numFmtId="0" fontId="13" fillId="0" borderId="1" xfId="1" applyFont="1" applyBorder="1" applyAlignment="1" applyProtection="1">
      <alignment horizontal="left" vertical="top"/>
      <protection locked="0"/>
    </xf>
    <xf numFmtId="1" fontId="21" fillId="0" borderId="1" xfId="1" applyNumberFormat="1" applyFont="1" applyBorder="1" applyAlignment="1">
      <alignment horizontal="center" vertical="center" wrapText="1"/>
    </xf>
    <xf numFmtId="0" fontId="14"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9" fontId="12" fillId="0" borderId="1" xfId="1" applyNumberFormat="1" applyFont="1" applyBorder="1" applyAlignment="1" applyProtection="1">
      <alignment horizontal="center" vertical="center" wrapText="1"/>
      <protection hidden="1"/>
    </xf>
    <xf numFmtId="0" fontId="12" fillId="0" borderId="3" xfId="1" applyFont="1" applyBorder="1" applyAlignment="1" applyProtection="1">
      <alignment horizontal="center" vertical="top" wrapText="1"/>
      <protection locked="0"/>
    </xf>
    <xf numFmtId="0" fontId="14" fillId="0" borderId="3" xfId="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center" vertical="center"/>
      <protection locked="0"/>
    </xf>
    <xf numFmtId="9" fontId="13"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1" fontId="21" fillId="0" borderId="9" xfId="1" applyNumberFormat="1" applyFont="1" applyBorder="1" applyAlignment="1">
      <alignment horizontal="center" vertical="center" wrapText="1"/>
    </xf>
    <xf numFmtId="1" fontId="21" fillId="0" borderId="10" xfId="1" applyNumberFormat="1" applyFont="1" applyBorder="1" applyAlignment="1">
      <alignment horizontal="center" vertical="center" wrapText="1"/>
    </xf>
    <xf numFmtId="1" fontId="8" fillId="0" borderId="1" xfId="0" applyNumberFormat="1" applyFont="1" applyBorder="1" applyAlignment="1" applyProtection="1">
      <alignment horizontal="center" vertical="center" wrapText="1"/>
      <protection locked="0"/>
    </xf>
    <xf numFmtId="1" fontId="21" fillId="0" borderId="1" xfId="1" applyNumberFormat="1" applyFont="1" applyBorder="1" applyAlignment="1">
      <alignment horizontal="center" vertical="center" wrapText="1"/>
    </xf>
    <xf numFmtId="1" fontId="21" fillId="0" borderId="9" xfId="0" applyNumberFormat="1" applyFont="1" applyBorder="1" applyAlignment="1">
      <alignment horizontal="center" vertical="center" wrapText="1"/>
    </xf>
    <xf numFmtId="1" fontId="21" fillId="0" borderId="10" xfId="0" applyNumberFormat="1" applyFont="1" applyBorder="1" applyAlignment="1">
      <alignment horizontal="center" vertical="center" wrapText="1"/>
    </xf>
    <xf numFmtId="1" fontId="7" fillId="0" borderId="1" xfId="0"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0" fontId="12" fillId="0" borderId="1" xfId="1" applyFont="1" applyFill="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8" fillId="0" borderId="24" xfId="1" applyFont="1" applyBorder="1" applyAlignment="1" applyProtection="1">
      <alignment horizontal="left" vertical="top" wrapText="1"/>
      <protection locked="0"/>
    </xf>
    <xf numFmtId="0" fontId="8" fillId="0" borderId="25"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0" fontId="13" fillId="0" borderId="28"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5"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9" fontId="12" fillId="0" borderId="1" xfId="1" applyNumberFormat="1" applyFont="1" applyBorder="1" applyAlignment="1" applyProtection="1">
      <alignment horizontal="center" vertical="center" wrapText="1"/>
      <protection hidden="1"/>
    </xf>
    <xf numFmtId="9" fontId="12" fillId="0" borderId="7" xfId="1" applyNumberFormat="1" applyFont="1" applyBorder="1" applyAlignment="1" applyProtection="1">
      <alignment horizontal="center" vertical="center" wrapText="1"/>
      <protection hidden="1"/>
    </xf>
    <xf numFmtId="9" fontId="12" fillId="0" borderId="5" xfId="1" applyNumberFormat="1" applyFont="1" applyBorder="1" applyAlignment="1" applyProtection="1">
      <alignment horizontal="center" vertical="center" wrapText="1"/>
      <protection hidden="1"/>
    </xf>
    <xf numFmtId="9" fontId="12" fillId="0" borderId="8" xfId="1" applyNumberFormat="1" applyFont="1" applyBorder="1" applyAlignment="1" applyProtection="1">
      <alignment horizontal="center" vertical="center" wrapText="1"/>
      <protection hidden="1"/>
    </xf>
    <xf numFmtId="0" fontId="7"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1" fontId="4" fillId="0" borderId="9" xfId="1" applyNumberFormat="1" applyFont="1" applyBorder="1" applyAlignment="1">
      <alignment horizontal="center" vertical="center" wrapText="1"/>
    </xf>
    <xf numFmtId="1" fontId="4" fillId="0" borderId="16" xfId="1" applyNumberFormat="1" applyFont="1" applyBorder="1" applyAlignment="1">
      <alignment horizontal="center" vertical="center" wrapText="1"/>
    </xf>
    <xf numFmtId="1" fontId="4" fillId="0" borderId="10" xfId="1" applyNumberFormat="1" applyFont="1" applyBorder="1" applyAlignment="1">
      <alignment horizontal="center" vertical="center" wrapText="1"/>
    </xf>
    <xf numFmtId="1" fontId="22" fillId="0" borderId="1" xfId="1" applyNumberFormat="1" applyFont="1" applyBorder="1" applyAlignment="1">
      <alignment horizontal="center" vertical="center" wrapText="1"/>
    </xf>
    <xf numFmtId="1" fontId="4" fillId="0" borderId="1" xfId="1" applyNumberFormat="1" applyFont="1" applyBorder="1" applyAlignment="1">
      <alignment horizontal="center" vertical="center" wrapText="1"/>
    </xf>
    <xf numFmtId="1" fontId="21" fillId="0" borderId="17" xfId="1" applyNumberFormat="1" applyFont="1" applyBorder="1" applyAlignment="1">
      <alignment horizontal="center" vertical="center" wrapText="1"/>
    </xf>
    <xf numFmtId="1" fontId="21" fillId="0" borderId="18" xfId="1" applyNumberFormat="1" applyFont="1" applyBorder="1" applyAlignment="1">
      <alignment horizontal="center" vertical="center" wrapText="1"/>
    </xf>
    <xf numFmtId="1" fontId="21" fillId="0" borderId="19" xfId="1" applyNumberFormat="1" applyFont="1" applyBorder="1" applyAlignment="1">
      <alignment horizontal="center" vertical="center" wrapText="1"/>
    </xf>
    <xf numFmtId="1" fontId="21" fillId="0" borderId="20" xfId="1" applyNumberFormat="1" applyFont="1" applyBorder="1" applyAlignment="1">
      <alignment horizontal="center" vertical="center" wrapText="1"/>
    </xf>
    <xf numFmtId="1" fontId="21" fillId="0" borderId="21" xfId="1" applyNumberFormat="1" applyFont="1" applyBorder="1" applyAlignment="1">
      <alignment horizontal="center" vertical="center" wrapText="1"/>
    </xf>
    <xf numFmtId="1" fontId="21" fillId="0" borderId="22" xfId="1" applyNumberFormat="1" applyFont="1" applyBorder="1" applyAlignment="1">
      <alignment horizontal="center" vertical="center" wrapText="1"/>
    </xf>
    <xf numFmtId="0" fontId="12" fillId="0" borderId="4" xfId="1" applyFont="1" applyBorder="1" applyAlignment="1" applyProtection="1">
      <alignment horizontal="center" vertical="top" wrapText="1"/>
      <protection locked="0"/>
    </xf>
    <xf numFmtId="0" fontId="12" fillId="0" borderId="4"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3" fillId="0" borderId="30" xfId="1" applyFont="1" applyBorder="1" applyAlignment="1" applyProtection="1">
      <alignment horizontal="left" vertical="top" wrapText="1"/>
      <protection locked="0"/>
    </xf>
    <xf numFmtId="0" fontId="13" fillId="0" borderId="31" xfId="1" applyFont="1" applyBorder="1" applyAlignment="1" applyProtection="1">
      <alignment horizontal="left" vertical="top" wrapText="1"/>
      <protection locked="0"/>
    </xf>
    <xf numFmtId="0" fontId="13" fillId="0" borderId="32" xfId="1" applyFont="1" applyBorder="1" applyAlignment="1" applyProtection="1">
      <alignment horizontal="center" vertical="center"/>
      <protection locked="0"/>
    </xf>
    <xf numFmtId="0" fontId="13" fillId="0" borderId="33" xfId="1" applyFont="1" applyBorder="1" applyAlignment="1" applyProtection="1">
      <alignment horizontal="center" vertical="center"/>
      <protection locked="0"/>
    </xf>
    <xf numFmtId="9" fontId="13" fillId="0" borderId="34" xfId="1" applyNumberFormat="1" applyFont="1" applyBorder="1" applyAlignment="1" applyProtection="1">
      <alignment horizontal="center" vertical="center" wrapText="1"/>
      <protection locked="0"/>
    </xf>
    <xf numFmtId="0" fontId="13" fillId="0" borderId="35" xfId="1" applyFont="1" applyBorder="1" applyAlignment="1" applyProtection="1">
      <alignment horizontal="center" vertical="center" wrapText="1"/>
      <protection locked="0"/>
    </xf>
    <xf numFmtId="0" fontId="13" fillId="0" borderId="34" xfId="1" applyFont="1" applyBorder="1" applyAlignment="1" applyProtection="1">
      <alignment horizontal="center" vertical="center" wrapText="1"/>
      <protection locked="0"/>
    </xf>
    <xf numFmtId="0" fontId="13" fillId="0" borderId="36" xfId="1" applyFont="1" applyBorder="1" applyAlignment="1" applyProtection="1">
      <alignment horizontal="center" vertical="center" wrapText="1"/>
      <protection locked="0"/>
    </xf>
    <xf numFmtId="0" fontId="12" fillId="0" borderId="37"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38" xfId="1" applyFont="1" applyBorder="1" applyAlignment="1" applyProtection="1">
      <alignment horizontal="center" vertical="top" wrapText="1"/>
      <protection locked="0"/>
    </xf>
    <xf numFmtId="0" fontId="13" fillId="0" borderId="29" xfId="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xf numFmtId="0" fontId="12" fillId="0" borderId="1" xfId="1" applyFont="1" applyBorder="1" applyAlignment="1" applyProtection="1">
      <alignment horizontal="left" vertical="center" wrapText="1"/>
      <protection locked="0"/>
    </xf>
    <xf numFmtId="2" fontId="6" fillId="0" borderId="1" xfId="1" applyNumberFormat="1" applyFont="1" applyBorder="1" applyAlignment="1" applyProtection="1">
      <alignment horizontal="left" vertical="top" wrapText="1"/>
      <protection locked="0"/>
    </xf>
    <xf numFmtId="0" fontId="6" fillId="0" borderId="1" xfId="1" applyFont="1" applyFill="1" applyBorder="1" applyAlignment="1" applyProtection="1">
      <alignment horizontal="left" vertical="top"/>
      <protection locked="0"/>
    </xf>
    <xf numFmtId="14" fontId="12" fillId="0" borderId="1" xfId="1" applyNumberFormat="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4" fontId="12" fillId="0" borderId="1" xfId="1" applyNumberFormat="1" applyFont="1" applyBorder="1" applyAlignment="1" applyProtection="1">
      <alignment horizontal="left" vertical="top"/>
      <protection locked="0"/>
    </xf>
    <xf numFmtId="14" fontId="13" fillId="0" borderId="9" xfId="1" applyNumberFormat="1" applyFont="1" applyBorder="1" applyAlignment="1" applyProtection="1">
      <alignment horizontal="left" vertical="top" wrapText="1"/>
      <protection locked="0"/>
    </xf>
    <xf numFmtId="0" fontId="13" fillId="0" borderId="10" xfId="1" applyFont="1" applyBorder="1" applyAlignment="1" applyProtection="1">
      <alignment horizontal="left" vertical="top" wrapText="1"/>
      <protection locked="0"/>
    </xf>
    <xf numFmtId="1" fontId="4" fillId="0" borderId="9" xfId="0" applyNumberFormat="1" applyFont="1" applyBorder="1" applyAlignment="1">
      <alignment horizontal="center" vertical="center" wrapText="1"/>
    </xf>
    <xf numFmtId="1" fontId="4" fillId="0" borderId="16" xfId="0" applyNumberFormat="1" applyFont="1" applyBorder="1" applyAlignment="1">
      <alignment horizontal="center" vertical="center" wrapText="1"/>
    </xf>
    <xf numFmtId="0" fontId="12" fillId="0" borderId="3"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1" fontId="8" fillId="0" borderId="1" xfId="0" applyNumberFormat="1" applyFont="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1" fontId="7" fillId="0" borderId="9" xfId="0" applyNumberFormat="1" applyFont="1" applyBorder="1" applyAlignment="1" applyProtection="1">
      <alignment horizontal="center" vertical="top" wrapText="1"/>
      <protection locked="0"/>
    </xf>
    <xf numFmtId="1" fontId="7" fillId="0" borderId="16" xfId="0" applyNumberFormat="1" applyFont="1" applyBorder="1" applyAlignment="1" applyProtection="1">
      <alignment horizontal="center" vertical="top" wrapText="1"/>
      <protection locked="0"/>
    </xf>
    <xf numFmtId="1" fontId="7" fillId="0" borderId="10" xfId="0" applyNumberFormat="1" applyFont="1" applyBorder="1" applyAlignment="1" applyProtection="1">
      <alignment horizontal="center" vertical="top" wrapText="1"/>
      <protection locked="0"/>
    </xf>
    <xf numFmtId="0" fontId="0" fillId="2"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xf numFmtId="0" fontId="23" fillId="0" borderId="1" xfId="8" applyFill="1" applyBorder="1" applyAlignment="1" applyProtection="1">
      <alignment horizontal="center"/>
      <protection locked="0"/>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481856</xdr:colOff>
      <xdr:row>461</xdr:row>
      <xdr:rowOff>102504</xdr:rowOff>
    </xdr:from>
    <xdr:to>
      <xdr:col>7</xdr:col>
      <xdr:colOff>280967</xdr:colOff>
      <xdr:row>479</xdr:row>
      <xdr:rowOff>190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81856" y="98714269"/>
          <a:ext cx="5760640" cy="3528392"/>
        </a:xfrm>
        <a:prstGeom prst="rect">
          <a:avLst/>
        </a:prstGeom>
        <a:ln>
          <a:solidFill>
            <a:schemeClr val="tx1"/>
          </a:solidFill>
        </a:ln>
      </xdr:spPr>
    </xdr:pic>
    <xdr:clientData/>
  </xdr:twoCellAnchor>
  <xdr:twoCellAnchor editAs="oneCell">
    <xdr:from>
      <xdr:col>0</xdr:col>
      <xdr:colOff>481856</xdr:colOff>
      <xdr:row>442</xdr:row>
      <xdr:rowOff>190500</xdr:rowOff>
    </xdr:from>
    <xdr:to>
      <xdr:col>7</xdr:col>
      <xdr:colOff>280967</xdr:colOff>
      <xdr:row>460</xdr:row>
      <xdr:rowOff>88187</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81856" y="94969853"/>
          <a:ext cx="5760640" cy="3528392"/>
        </a:xfrm>
        <a:prstGeom prst="rect">
          <a:avLst/>
        </a:prstGeom>
        <a:ln>
          <a:solidFill>
            <a:schemeClr val="tx1"/>
          </a:solidFill>
        </a:ln>
      </xdr:spPr>
    </xdr:pic>
    <xdr:clientData/>
  </xdr:twoCellAnchor>
  <xdr:twoCellAnchor>
    <xdr:from>
      <xdr:col>12</xdr:col>
      <xdr:colOff>114069</xdr:colOff>
      <xdr:row>398</xdr:row>
      <xdr:rowOff>0</xdr:rowOff>
    </xdr:from>
    <xdr:to>
      <xdr:col>12</xdr:col>
      <xdr:colOff>402994</xdr:colOff>
      <xdr:row>399</xdr:row>
      <xdr:rowOff>53975</xdr:rowOff>
    </xdr:to>
    <xdr:sp macro="" textlink="">
      <xdr:nvSpPr>
        <xdr:cNvPr id="18" name="TextBox 17">
          <a:extLst>
            <a:ext uri="{FF2B5EF4-FFF2-40B4-BE49-F238E27FC236}">
              <a16:creationId xmlns:a16="http://schemas.microsoft.com/office/drawing/2014/main" id="{B1452023-BF41-4DA6-928C-90B54D19DF66}"/>
            </a:ext>
          </a:extLst>
        </xdr:cNvPr>
        <xdr:cNvSpPr txBox="1"/>
      </xdr:nvSpPr>
      <xdr:spPr>
        <a:xfrm>
          <a:off x="10928119" y="74599800"/>
          <a:ext cx="288925" cy="25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2</a:t>
          </a:r>
        </a:p>
      </xdr:txBody>
    </xdr:sp>
    <xdr:clientData/>
  </xdr:twoCellAnchor>
  <xdr:twoCellAnchor>
    <xdr:from>
      <xdr:col>15</xdr:col>
      <xdr:colOff>365310</xdr:colOff>
      <xdr:row>398</xdr:row>
      <xdr:rowOff>0</xdr:rowOff>
    </xdr:from>
    <xdr:to>
      <xdr:col>16</xdr:col>
      <xdr:colOff>50077</xdr:colOff>
      <xdr:row>399</xdr:row>
      <xdr:rowOff>57150</xdr:rowOff>
    </xdr:to>
    <xdr:sp macro="" textlink="">
      <xdr:nvSpPr>
        <xdr:cNvPr id="19" name="TextBox 18">
          <a:extLst>
            <a:ext uri="{FF2B5EF4-FFF2-40B4-BE49-F238E27FC236}">
              <a16:creationId xmlns:a16="http://schemas.microsoft.com/office/drawing/2014/main" id="{10A30C7B-E798-4549-88B7-A60AACA49165}"/>
            </a:ext>
          </a:extLst>
        </xdr:cNvPr>
        <xdr:cNvSpPr txBox="1"/>
      </xdr:nvSpPr>
      <xdr:spPr>
        <a:xfrm>
          <a:off x="13103410" y="74599800"/>
          <a:ext cx="326117"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3</a:t>
          </a:r>
        </a:p>
      </xdr:txBody>
    </xdr:sp>
    <xdr:clientData/>
  </xdr:twoCellAnchor>
  <xdr:twoCellAnchor>
    <xdr:from>
      <xdr:col>9</xdr:col>
      <xdr:colOff>0</xdr:colOff>
      <xdr:row>412</xdr:row>
      <xdr:rowOff>53356</xdr:rowOff>
    </xdr:from>
    <xdr:to>
      <xdr:col>9</xdr:col>
      <xdr:colOff>288925</xdr:colOff>
      <xdr:row>413</xdr:row>
      <xdr:rowOff>110506</xdr:rowOff>
    </xdr:to>
    <xdr:sp macro="" textlink="">
      <xdr:nvSpPr>
        <xdr:cNvPr id="20" name="TextBox 19">
          <a:extLst>
            <a:ext uri="{FF2B5EF4-FFF2-40B4-BE49-F238E27FC236}">
              <a16:creationId xmlns:a16="http://schemas.microsoft.com/office/drawing/2014/main" id="{E3BCD290-CC3A-4B9D-A129-C3D98E2D9D79}"/>
            </a:ext>
          </a:extLst>
        </xdr:cNvPr>
        <xdr:cNvSpPr txBox="1"/>
      </xdr:nvSpPr>
      <xdr:spPr>
        <a:xfrm>
          <a:off x="8661400" y="77402706"/>
          <a:ext cx="288925"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4</a:t>
          </a:r>
        </a:p>
      </xdr:txBody>
    </xdr:sp>
    <xdr:clientData/>
  </xdr:twoCellAnchor>
  <xdr:twoCellAnchor>
    <xdr:from>
      <xdr:col>0</xdr:col>
      <xdr:colOff>419100</xdr:colOff>
      <xdr:row>399</xdr:row>
      <xdr:rowOff>63500</xdr:rowOff>
    </xdr:from>
    <xdr:to>
      <xdr:col>7</xdr:col>
      <xdr:colOff>1065074</xdr:colOff>
      <xdr:row>435</xdr:row>
      <xdr:rowOff>179102</xdr:rowOff>
    </xdr:to>
    <xdr:grpSp>
      <xdr:nvGrpSpPr>
        <xdr:cNvPr id="3" name="Group 2"/>
        <xdr:cNvGrpSpPr/>
      </xdr:nvGrpSpPr>
      <xdr:grpSpPr>
        <a:xfrm>
          <a:off x="419100" y="74847450"/>
          <a:ext cx="6468924" cy="7195852"/>
          <a:chOff x="419100" y="74847450"/>
          <a:chExt cx="6468924" cy="7195852"/>
        </a:xfrm>
      </xdr:grpSpPr>
      <xdr:pic>
        <xdr:nvPicPr>
          <xdr:cNvPr id="21" name="Picture 2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5350627" y="79991302"/>
            <a:ext cx="1537397" cy="2052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42675" y="74847450"/>
            <a:ext cx="2049863" cy="2736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460651" y="77707376"/>
            <a:ext cx="1618313" cy="216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627851" y="74847450"/>
            <a:ext cx="2049863" cy="2736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5219607" y="77707376"/>
            <a:ext cx="1618313"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813027" y="74847450"/>
            <a:ext cx="2049863" cy="2736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19100" y="79991302"/>
            <a:ext cx="1537397" cy="2052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42675" y="77707376"/>
            <a:ext cx="2877333" cy="216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062465" y="79991302"/>
            <a:ext cx="1537397" cy="2052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705830" y="79991302"/>
            <a:ext cx="1537397" cy="2052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221</xdr:row>
      <xdr:rowOff>0</xdr:rowOff>
    </xdr:from>
    <xdr:to>
      <xdr:col>7</xdr:col>
      <xdr:colOff>376238</xdr:colOff>
      <xdr:row>245</xdr:row>
      <xdr:rowOff>0</xdr:rowOff>
    </xdr:to>
    <xdr:pic>
      <xdr:nvPicPr>
        <xdr:cNvPr id="2" name="Picture 1" descr="G:\Pratu Office\Pratu Office Work\AXIS Apf\March 2021\AXIS30499 - OLD - Laxmi Icon Phase I\insp-54547-919.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257550" y="42100500"/>
          <a:ext cx="3424238" cy="45720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7</xdr:col>
      <xdr:colOff>854678</xdr:colOff>
      <xdr:row>46</xdr:row>
      <xdr:rowOff>184030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6883" t="8727" r="17082" b="5425"/>
        <a:stretch/>
      </xdr:blipFill>
      <xdr:spPr>
        <a:xfrm>
          <a:off x="578827" y="2674327"/>
          <a:ext cx="8591909" cy="628003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sWomQnFeXvfUFNo7?coh=178572&amp;entry=t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2"/>
  <sheetViews>
    <sheetView tabSelected="1" view="pageBreakPreview" zoomScaleNormal="100" zoomScaleSheetLayoutView="100" workbookViewId="0">
      <selection activeCell="E9" sqref="E9:H9"/>
    </sheetView>
  </sheetViews>
  <sheetFormatPr defaultColWidth="9.1796875" defaultRowHeight="15.5" x14ac:dyDescent="0.35"/>
  <cols>
    <col min="1" max="1" width="11.453125" style="78" customWidth="1"/>
    <col min="2" max="2" width="11.1796875" style="78" customWidth="1"/>
    <col min="3" max="3" width="12.7265625" style="78" customWidth="1"/>
    <col min="4" max="4" width="12.81640625" style="80" customWidth="1"/>
    <col min="5" max="7" width="11.7265625" style="78" customWidth="1"/>
    <col min="8" max="8" width="20.1796875" style="78" customWidth="1"/>
    <col min="9" max="9" width="20.453125" style="51" customWidth="1"/>
    <col min="10" max="10" width="9.81640625" style="51" bestFit="1" customWidth="1"/>
    <col min="11" max="11" width="9.1796875" style="51"/>
    <col min="12" max="12" width="11.81640625" style="51" bestFit="1" customWidth="1"/>
    <col min="13" max="252" width="9.1796875" style="51"/>
    <col min="253" max="253" width="8.7265625" style="51" customWidth="1"/>
    <col min="254" max="254" width="9.81640625" style="51" customWidth="1"/>
    <col min="255" max="255" width="14.453125" style="51" customWidth="1"/>
    <col min="256" max="256" width="7.26953125" style="51" customWidth="1"/>
    <col min="257" max="257" width="5.54296875" style="51" customWidth="1"/>
    <col min="258" max="258" width="9" style="51" customWidth="1"/>
    <col min="259" max="260" width="9.81640625" style="51" customWidth="1"/>
    <col min="261" max="261" width="11.1796875" style="51" customWidth="1"/>
    <col min="262" max="262" width="2.81640625" style="51" customWidth="1"/>
    <col min="263" max="263" width="3.54296875" style="51" customWidth="1"/>
    <col min="264" max="508" width="9.1796875" style="51"/>
    <col min="509" max="509" width="8.7265625" style="51" customWidth="1"/>
    <col min="510" max="510" width="9.81640625" style="51" customWidth="1"/>
    <col min="511" max="511" width="14.453125" style="51" customWidth="1"/>
    <col min="512" max="512" width="7.26953125" style="51" customWidth="1"/>
    <col min="513" max="513" width="5.54296875" style="51" customWidth="1"/>
    <col min="514" max="514" width="9" style="51" customWidth="1"/>
    <col min="515" max="516" width="9.81640625" style="51" customWidth="1"/>
    <col min="517" max="517" width="11.1796875" style="51" customWidth="1"/>
    <col min="518" max="518" width="2.81640625" style="51" customWidth="1"/>
    <col min="519" max="519" width="3.54296875" style="51" customWidth="1"/>
    <col min="520" max="764" width="9.1796875" style="51"/>
    <col min="765" max="765" width="8.7265625" style="51" customWidth="1"/>
    <col min="766" max="766" width="9.81640625" style="51" customWidth="1"/>
    <col min="767" max="767" width="14.453125" style="51" customWidth="1"/>
    <col min="768" max="768" width="7.26953125" style="51" customWidth="1"/>
    <col min="769" max="769" width="5.54296875" style="51" customWidth="1"/>
    <col min="770" max="770" width="9" style="51" customWidth="1"/>
    <col min="771" max="772" width="9.81640625" style="51" customWidth="1"/>
    <col min="773" max="773" width="11.1796875" style="51" customWidth="1"/>
    <col min="774" max="774" width="2.81640625" style="51" customWidth="1"/>
    <col min="775" max="775" width="3.54296875" style="51" customWidth="1"/>
    <col min="776" max="1020" width="9.1796875" style="51"/>
    <col min="1021" max="1021" width="8.7265625" style="51" customWidth="1"/>
    <col min="1022" max="1022" width="9.81640625" style="51" customWidth="1"/>
    <col min="1023" max="1023" width="14.453125" style="51" customWidth="1"/>
    <col min="1024" max="1024" width="7.26953125" style="51" customWidth="1"/>
    <col min="1025" max="1025" width="5.54296875" style="51" customWidth="1"/>
    <col min="1026" max="1026" width="9" style="51" customWidth="1"/>
    <col min="1027" max="1028" width="9.81640625" style="51" customWidth="1"/>
    <col min="1029" max="1029" width="11.1796875" style="51" customWidth="1"/>
    <col min="1030" max="1030" width="2.81640625" style="51" customWidth="1"/>
    <col min="1031" max="1031" width="3.54296875" style="51" customWidth="1"/>
    <col min="1032" max="1276" width="9.1796875" style="51"/>
    <col min="1277" max="1277" width="8.7265625" style="51" customWidth="1"/>
    <col min="1278" max="1278" width="9.81640625" style="51" customWidth="1"/>
    <col min="1279" max="1279" width="14.453125" style="51" customWidth="1"/>
    <col min="1280" max="1280" width="7.26953125" style="51" customWidth="1"/>
    <col min="1281" max="1281" width="5.54296875" style="51" customWidth="1"/>
    <col min="1282" max="1282" width="9" style="51" customWidth="1"/>
    <col min="1283" max="1284" width="9.81640625" style="51" customWidth="1"/>
    <col min="1285" max="1285" width="11.1796875" style="51" customWidth="1"/>
    <col min="1286" max="1286" width="2.81640625" style="51" customWidth="1"/>
    <col min="1287" max="1287" width="3.54296875" style="51" customWidth="1"/>
    <col min="1288" max="1532" width="9.1796875" style="51"/>
    <col min="1533" max="1533" width="8.7265625" style="51" customWidth="1"/>
    <col min="1534" max="1534" width="9.81640625" style="51" customWidth="1"/>
    <col min="1535" max="1535" width="14.453125" style="51" customWidth="1"/>
    <col min="1536" max="1536" width="7.26953125" style="51" customWidth="1"/>
    <col min="1537" max="1537" width="5.54296875" style="51" customWidth="1"/>
    <col min="1538" max="1538" width="9" style="51" customWidth="1"/>
    <col min="1539" max="1540" width="9.81640625" style="51" customWidth="1"/>
    <col min="1541" max="1541" width="11.1796875" style="51" customWidth="1"/>
    <col min="1542" max="1542" width="2.81640625" style="51" customWidth="1"/>
    <col min="1543" max="1543" width="3.54296875" style="51" customWidth="1"/>
    <col min="1544" max="1788" width="9.1796875" style="51"/>
    <col min="1789" max="1789" width="8.7265625" style="51" customWidth="1"/>
    <col min="1790" max="1790" width="9.81640625" style="51" customWidth="1"/>
    <col min="1791" max="1791" width="14.453125" style="51" customWidth="1"/>
    <col min="1792" max="1792" width="7.26953125" style="51" customWidth="1"/>
    <col min="1793" max="1793" width="5.54296875" style="51" customWidth="1"/>
    <col min="1794" max="1794" width="9" style="51" customWidth="1"/>
    <col min="1795" max="1796" width="9.81640625" style="51" customWidth="1"/>
    <col min="1797" max="1797" width="11.1796875" style="51" customWidth="1"/>
    <col min="1798" max="1798" width="2.81640625" style="51" customWidth="1"/>
    <col min="1799" max="1799" width="3.54296875" style="51" customWidth="1"/>
    <col min="1800" max="2044" width="9.1796875" style="51"/>
    <col min="2045" max="2045" width="8.7265625" style="51" customWidth="1"/>
    <col min="2046" max="2046" width="9.81640625" style="51" customWidth="1"/>
    <col min="2047" max="2047" width="14.453125" style="51" customWidth="1"/>
    <col min="2048" max="2048" width="7.26953125" style="51" customWidth="1"/>
    <col min="2049" max="2049" width="5.54296875" style="51" customWidth="1"/>
    <col min="2050" max="2050" width="9" style="51" customWidth="1"/>
    <col min="2051" max="2052" width="9.81640625" style="51" customWidth="1"/>
    <col min="2053" max="2053" width="11.1796875" style="51" customWidth="1"/>
    <col min="2054" max="2054" width="2.81640625" style="51" customWidth="1"/>
    <col min="2055" max="2055" width="3.54296875" style="51" customWidth="1"/>
    <col min="2056" max="2300" width="9.1796875" style="51"/>
    <col min="2301" max="2301" width="8.7265625" style="51" customWidth="1"/>
    <col min="2302" max="2302" width="9.81640625" style="51" customWidth="1"/>
    <col min="2303" max="2303" width="14.453125" style="51" customWidth="1"/>
    <col min="2304" max="2304" width="7.26953125" style="51" customWidth="1"/>
    <col min="2305" max="2305" width="5.54296875" style="51" customWidth="1"/>
    <col min="2306" max="2306" width="9" style="51" customWidth="1"/>
    <col min="2307" max="2308" width="9.81640625" style="51" customWidth="1"/>
    <col min="2309" max="2309" width="11.1796875" style="51" customWidth="1"/>
    <col min="2310" max="2310" width="2.81640625" style="51" customWidth="1"/>
    <col min="2311" max="2311" width="3.54296875" style="51" customWidth="1"/>
    <col min="2312" max="2556" width="9.1796875" style="51"/>
    <col min="2557" max="2557" width="8.7265625" style="51" customWidth="1"/>
    <col min="2558" max="2558" width="9.81640625" style="51" customWidth="1"/>
    <col min="2559" max="2559" width="14.453125" style="51" customWidth="1"/>
    <col min="2560" max="2560" width="7.26953125" style="51" customWidth="1"/>
    <col min="2561" max="2561" width="5.54296875" style="51" customWidth="1"/>
    <col min="2562" max="2562" width="9" style="51" customWidth="1"/>
    <col min="2563" max="2564" width="9.81640625" style="51" customWidth="1"/>
    <col min="2565" max="2565" width="11.1796875" style="51" customWidth="1"/>
    <col min="2566" max="2566" width="2.81640625" style="51" customWidth="1"/>
    <col min="2567" max="2567" width="3.54296875" style="51" customWidth="1"/>
    <col min="2568" max="2812" width="9.1796875" style="51"/>
    <col min="2813" max="2813" width="8.7265625" style="51" customWidth="1"/>
    <col min="2814" max="2814" width="9.81640625" style="51" customWidth="1"/>
    <col min="2815" max="2815" width="14.453125" style="51" customWidth="1"/>
    <col min="2816" max="2816" width="7.26953125" style="51" customWidth="1"/>
    <col min="2817" max="2817" width="5.54296875" style="51" customWidth="1"/>
    <col min="2818" max="2818" width="9" style="51" customWidth="1"/>
    <col min="2819" max="2820" width="9.81640625" style="51" customWidth="1"/>
    <col min="2821" max="2821" width="11.1796875" style="51" customWidth="1"/>
    <col min="2822" max="2822" width="2.81640625" style="51" customWidth="1"/>
    <col min="2823" max="2823" width="3.54296875" style="51" customWidth="1"/>
    <col min="2824" max="3068" width="9.1796875" style="51"/>
    <col min="3069" max="3069" width="8.7265625" style="51" customWidth="1"/>
    <col min="3070" max="3070" width="9.81640625" style="51" customWidth="1"/>
    <col min="3071" max="3071" width="14.453125" style="51" customWidth="1"/>
    <col min="3072" max="3072" width="7.26953125" style="51" customWidth="1"/>
    <col min="3073" max="3073" width="5.54296875" style="51" customWidth="1"/>
    <col min="3074" max="3074" width="9" style="51" customWidth="1"/>
    <col min="3075" max="3076" width="9.81640625" style="51" customWidth="1"/>
    <col min="3077" max="3077" width="11.1796875" style="51" customWidth="1"/>
    <col min="3078" max="3078" width="2.81640625" style="51" customWidth="1"/>
    <col min="3079" max="3079" width="3.54296875" style="51" customWidth="1"/>
    <col min="3080" max="3324" width="9.1796875" style="51"/>
    <col min="3325" max="3325" width="8.7265625" style="51" customWidth="1"/>
    <col min="3326" max="3326" width="9.81640625" style="51" customWidth="1"/>
    <col min="3327" max="3327" width="14.453125" style="51" customWidth="1"/>
    <col min="3328" max="3328" width="7.26953125" style="51" customWidth="1"/>
    <col min="3329" max="3329" width="5.54296875" style="51" customWidth="1"/>
    <col min="3330" max="3330" width="9" style="51" customWidth="1"/>
    <col min="3331" max="3332" width="9.81640625" style="51" customWidth="1"/>
    <col min="3333" max="3333" width="11.1796875" style="51" customWidth="1"/>
    <col min="3334" max="3334" width="2.81640625" style="51" customWidth="1"/>
    <col min="3335" max="3335" width="3.54296875" style="51" customWidth="1"/>
    <col min="3336" max="3580" width="9.1796875" style="51"/>
    <col min="3581" max="3581" width="8.7265625" style="51" customWidth="1"/>
    <col min="3582" max="3582" width="9.81640625" style="51" customWidth="1"/>
    <col min="3583" max="3583" width="14.453125" style="51" customWidth="1"/>
    <col min="3584" max="3584" width="7.26953125" style="51" customWidth="1"/>
    <col min="3585" max="3585" width="5.54296875" style="51" customWidth="1"/>
    <col min="3586" max="3586" width="9" style="51" customWidth="1"/>
    <col min="3587" max="3588" width="9.81640625" style="51" customWidth="1"/>
    <col min="3589" max="3589" width="11.1796875" style="51" customWidth="1"/>
    <col min="3590" max="3590" width="2.81640625" style="51" customWidth="1"/>
    <col min="3591" max="3591" width="3.54296875" style="51" customWidth="1"/>
    <col min="3592" max="3836" width="9.1796875" style="51"/>
    <col min="3837" max="3837" width="8.7265625" style="51" customWidth="1"/>
    <col min="3838" max="3838" width="9.81640625" style="51" customWidth="1"/>
    <col min="3839" max="3839" width="14.453125" style="51" customWidth="1"/>
    <col min="3840" max="3840" width="7.26953125" style="51" customWidth="1"/>
    <col min="3841" max="3841" width="5.54296875" style="51" customWidth="1"/>
    <col min="3842" max="3842" width="9" style="51" customWidth="1"/>
    <col min="3843" max="3844" width="9.81640625" style="51" customWidth="1"/>
    <col min="3845" max="3845" width="11.1796875" style="51" customWidth="1"/>
    <col min="3846" max="3846" width="2.81640625" style="51" customWidth="1"/>
    <col min="3847" max="3847" width="3.54296875" style="51" customWidth="1"/>
    <col min="3848" max="4092" width="9.1796875" style="51"/>
    <col min="4093" max="4093" width="8.7265625" style="51" customWidth="1"/>
    <col min="4094" max="4094" width="9.81640625" style="51" customWidth="1"/>
    <col min="4095" max="4095" width="14.453125" style="51" customWidth="1"/>
    <col min="4096" max="4096" width="7.26953125" style="51" customWidth="1"/>
    <col min="4097" max="4097" width="5.54296875" style="51" customWidth="1"/>
    <col min="4098" max="4098" width="9" style="51" customWidth="1"/>
    <col min="4099" max="4100" width="9.81640625" style="51" customWidth="1"/>
    <col min="4101" max="4101" width="11.1796875" style="51" customWidth="1"/>
    <col min="4102" max="4102" width="2.81640625" style="51" customWidth="1"/>
    <col min="4103" max="4103" width="3.54296875" style="51" customWidth="1"/>
    <col min="4104" max="4348" width="9.1796875" style="51"/>
    <col min="4349" max="4349" width="8.7265625" style="51" customWidth="1"/>
    <col min="4350" max="4350" width="9.81640625" style="51" customWidth="1"/>
    <col min="4351" max="4351" width="14.453125" style="51" customWidth="1"/>
    <col min="4352" max="4352" width="7.26953125" style="51" customWidth="1"/>
    <col min="4353" max="4353" width="5.54296875" style="51" customWidth="1"/>
    <col min="4354" max="4354" width="9" style="51" customWidth="1"/>
    <col min="4355" max="4356" width="9.81640625" style="51" customWidth="1"/>
    <col min="4357" max="4357" width="11.1796875" style="51" customWidth="1"/>
    <col min="4358" max="4358" width="2.81640625" style="51" customWidth="1"/>
    <col min="4359" max="4359" width="3.54296875" style="51" customWidth="1"/>
    <col min="4360" max="4604" width="9.1796875" style="51"/>
    <col min="4605" max="4605" width="8.7265625" style="51" customWidth="1"/>
    <col min="4606" max="4606" width="9.81640625" style="51" customWidth="1"/>
    <col min="4607" max="4607" width="14.453125" style="51" customWidth="1"/>
    <col min="4608" max="4608" width="7.26953125" style="51" customWidth="1"/>
    <col min="4609" max="4609" width="5.54296875" style="51" customWidth="1"/>
    <col min="4610" max="4610" width="9" style="51" customWidth="1"/>
    <col min="4611" max="4612" width="9.81640625" style="51" customWidth="1"/>
    <col min="4613" max="4613" width="11.1796875" style="51" customWidth="1"/>
    <col min="4614" max="4614" width="2.81640625" style="51" customWidth="1"/>
    <col min="4615" max="4615" width="3.54296875" style="51" customWidth="1"/>
    <col min="4616" max="4860" width="9.1796875" style="51"/>
    <col min="4861" max="4861" width="8.7265625" style="51" customWidth="1"/>
    <col min="4862" max="4862" width="9.81640625" style="51" customWidth="1"/>
    <col min="4863" max="4863" width="14.453125" style="51" customWidth="1"/>
    <col min="4864" max="4864" width="7.26953125" style="51" customWidth="1"/>
    <col min="4865" max="4865" width="5.54296875" style="51" customWidth="1"/>
    <col min="4866" max="4866" width="9" style="51" customWidth="1"/>
    <col min="4867" max="4868" width="9.81640625" style="51" customWidth="1"/>
    <col min="4869" max="4869" width="11.1796875" style="51" customWidth="1"/>
    <col min="4870" max="4870" width="2.81640625" style="51" customWidth="1"/>
    <col min="4871" max="4871" width="3.54296875" style="51" customWidth="1"/>
    <col min="4872" max="5116" width="9.1796875" style="51"/>
    <col min="5117" max="5117" width="8.7265625" style="51" customWidth="1"/>
    <col min="5118" max="5118" width="9.81640625" style="51" customWidth="1"/>
    <col min="5119" max="5119" width="14.453125" style="51" customWidth="1"/>
    <col min="5120" max="5120" width="7.26953125" style="51" customWidth="1"/>
    <col min="5121" max="5121" width="5.54296875" style="51" customWidth="1"/>
    <col min="5122" max="5122" width="9" style="51" customWidth="1"/>
    <col min="5123" max="5124" width="9.81640625" style="51" customWidth="1"/>
    <col min="5125" max="5125" width="11.1796875" style="51" customWidth="1"/>
    <col min="5126" max="5126" width="2.81640625" style="51" customWidth="1"/>
    <col min="5127" max="5127" width="3.54296875" style="51" customWidth="1"/>
    <col min="5128" max="5372" width="9.1796875" style="51"/>
    <col min="5373" max="5373" width="8.7265625" style="51" customWidth="1"/>
    <col min="5374" max="5374" width="9.81640625" style="51" customWidth="1"/>
    <col min="5375" max="5375" width="14.453125" style="51" customWidth="1"/>
    <col min="5376" max="5376" width="7.26953125" style="51" customWidth="1"/>
    <col min="5377" max="5377" width="5.54296875" style="51" customWidth="1"/>
    <col min="5378" max="5378" width="9" style="51" customWidth="1"/>
    <col min="5379" max="5380" width="9.81640625" style="51" customWidth="1"/>
    <col min="5381" max="5381" width="11.1796875" style="51" customWidth="1"/>
    <col min="5382" max="5382" width="2.81640625" style="51" customWidth="1"/>
    <col min="5383" max="5383" width="3.54296875" style="51" customWidth="1"/>
    <col min="5384" max="5628" width="9.1796875" style="51"/>
    <col min="5629" max="5629" width="8.7265625" style="51" customWidth="1"/>
    <col min="5630" max="5630" width="9.81640625" style="51" customWidth="1"/>
    <col min="5631" max="5631" width="14.453125" style="51" customWidth="1"/>
    <col min="5632" max="5632" width="7.26953125" style="51" customWidth="1"/>
    <col min="5633" max="5633" width="5.54296875" style="51" customWidth="1"/>
    <col min="5634" max="5634" width="9" style="51" customWidth="1"/>
    <col min="5635" max="5636" width="9.81640625" style="51" customWidth="1"/>
    <col min="5637" max="5637" width="11.1796875" style="51" customWidth="1"/>
    <col min="5638" max="5638" width="2.81640625" style="51" customWidth="1"/>
    <col min="5639" max="5639" width="3.54296875" style="51" customWidth="1"/>
    <col min="5640" max="5884" width="9.1796875" style="51"/>
    <col min="5885" max="5885" width="8.7265625" style="51" customWidth="1"/>
    <col min="5886" max="5886" width="9.81640625" style="51" customWidth="1"/>
    <col min="5887" max="5887" width="14.453125" style="51" customWidth="1"/>
    <col min="5888" max="5888" width="7.26953125" style="51" customWidth="1"/>
    <col min="5889" max="5889" width="5.54296875" style="51" customWidth="1"/>
    <col min="5890" max="5890" width="9" style="51" customWidth="1"/>
    <col min="5891" max="5892" width="9.81640625" style="51" customWidth="1"/>
    <col min="5893" max="5893" width="11.1796875" style="51" customWidth="1"/>
    <col min="5894" max="5894" width="2.81640625" style="51" customWidth="1"/>
    <col min="5895" max="5895" width="3.54296875" style="51" customWidth="1"/>
    <col min="5896" max="6140" width="9.1796875" style="51"/>
    <col min="6141" max="6141" width="8.7265625" style="51" customWidth="1"/>
    <col min="6142" max="6142" width="9.81640625" style="51" customWidth="1"/>
    <col min="6143" max="6143" width="14.453125" style="51" customWidth="1"/>
    <col min="6144" max="6144" width="7.26953125" style="51" customWidth="1"/>
    <col min="6145" max="6145" width="5.54296875" style="51" customWidth="1"/>
    <col min="6146" max="6146" width="9" style="51" customWidth="1"/>
    <col min="6147" max="6148" width="9.81640625" style="51" customWidth="1"/>
    <col min="6149" max="6149" width="11.1796875" style="51" customWidth="1"/>
    <col min="6150" max="6150" width="2.81640625" style="51" customWidth="1"/>
    <col min="6151" max="6151" width="3.54296875" style="51" customWidth="1"/>
    <col min="6152" max="6396" width="9.1796875" style="51"/>
    <col min="6397" max="6397" width="8.7265625" style="51" customWidth="1"/>
    <col min="6398" max="6398" width="9.81640625" style="51" customWidth="1"/>
    <col min="6399" max="6399" width="14.453125" style="51" customWidth="1"/>
    <col min="6400" max="6400" width="7.26953125" style="51" customWidth="1"/>
    <col min="6401" max="6401" width="5.54296875" style="51" customWidth="1"/>
    <col min="6402" max="6402" width="9" style="51" customWidth="1"/>
    <col min="6403" max="6404" width="9.81640625" style="51" customWidth="1"/>
    <col min="6405" max="6405" width="11.1796875" style="51" customWidth="1"/>
    <col min="6406" max="6406" width="2.81640625" style="51" customWidth="1"/>
    <col min="6407" max="6407" width="3.54296875" style="51" customWidth="1"/>
    <col min="6408" max="6652" width="9.1796875" style="51"/>
    <col min="6653" max="6653" width="8.7265625" style="51" customWidth="1"/>
    <col min="6654" max="6654" width="9.81640625" style="51" customWidth="1"/>
    <col min="6655" max="6655" width="14.453125" style="51" customWidth="1"/>
    <col min="6656" max="6656" width="7.26953125" style="51" customWidth="1"/>
    <col min="6657" max="6657" width="5.54296875" style="51" customWidth="1"/>
    <col min="6658" max="6658" width="9" style="51" customWidth="1"/>
    <col min="6659" max="6660" width="9.81640625" style="51" customWidth="1"/>
    <col min="6661" max="6661" width="11.1796875" style="51" customWidth="1"/>
    <col min="6662" max="6662" width="2.81640625" style="51" customWidth="1"/>
    <col min="6663" max="6663" width="3.54296875" style="51" customWidth="1"/>
    <col min="6664" max="6908" width="9.1796875" style="51"/>
    <col min="6909" max="6909" width="8.7265625" style="51" customWidth="1"/>
    <col min="6910" max="6910" width="9.81640625" style="51" customWidth="1"/>
    <col min="6911" max="6911" width="14.453125" style="51" customWidth="1"/>
    <col min="6912" max="6912" width="7.26953125" style="51" customWidth="1"/>
    <col min="6913" max="6913" width="5.54296875" style="51" customWidth="1"/>
    <col min="6914" max="6914" width="9" style="51" customWidth="1"/>
    <col min="6915" max="6916" width="9.81640625" style="51" customWidth="1"/>
    <col min="6917" max="6917" width="11.1796875" style="51" customWidth="1"/>
    <col min="6918" max="6918" width="2.81640625" style="51" customWidth="1"/>
    <col min="6919" max="6919" width="3.54296875" style="51" customWidth="1"/>
    <col min="6920" max="7164" width="9.1796875" style="51"/>
    <col min="7165" max="7165" width="8.7265625" style="51" customWidth="1"/>
    <col min="7166" max="7166" width="9.81640625" style="51" customWidth="1"/>
    <col min="7167" max="7167" width="14.453125" style="51" customWidth="1"/>
    <col min="7168" max="7168" width="7.26953125" style="51" customWidth="1"/>
    <col min="7169" max="7169" width="5.54296875" style="51" customWidth="1"/>
    <col min="7170" max="7170" width="9" style="51" customWidth="1"/>
    <col min="7171" max="7172" width="9.81640625" style="51" customWidth="1"/>
    <col min="7173" max="7173" width="11.1796875" style="51" customWidth="1"/>
    <col min="7174" max="7174" width="2.81640625" style="51" customWidth="1"/>
    <col min="7175" max="7175" width="3.54296875" style="51" customWidth="1"/>
    <col min="7176" max="7420" width="9.1796875" style="51"/>
    <col min="7421" max="7421" width="8.7265625" style="51" customWidth="1"/>
    <col min="7422" max="7422" width="9.81640625" style="51" customWidth="1"/>
    <col min="7423" max="7423" width="14.453125" style="51" customWidth="1"/>
    <col min="7424" max="7424" width="7.26953125" style="51" customWidth="1"/>
    <col min="7425" max="7425" width="5.54296875" style="51" customWidth="1"/>
    <col min="7426" max="7426" width="9" style="51" customWidth="1"/>
    <col min="7427" max="7428" width="9.81640625" style="51" customWidth="1"/>
    <col min="7429" max="7429" width="11.1796875" style="51" customWidth="1"/>
    <col min="7430" max="7430" width="2.81640625" style="51" customWidth="1"/>
    <col min="7431" max="7431" width="3.54296875" style="51" customWidth="1"/>
    <col min="7432" max="7676" width="9.1796875" style="51"/>
    <col min="7677" max="7677" width="8.7265625" style="51" customWidth="1"/>
    <col min="7678" max="7678" width="9.81640625" style="51" customWidth="1"/>
    <col min="7679" max="7679" width="14.453125" style="51" customWidth="1"/>
    <col min="7680" max="7680" width="7.26953125" style="51" customWidth="1"/>
    <col min="7681" max="7681" width="5.54296875" style="51" customWidth="1"/>
    <col min="7682" max="7682" width="9" style="51" customWidth="1"/>
    <col min="7683" max="7684" width="9.81640625" style="51" customWidth="1"/>
    <col min="7685" max="7685" width="11.1796875" style="51" customWidth="1"/>
    <col min="7686" max="7686" width="2.81640625" style="51" customWidth="1"/>
    <col min="7687" max="7687" width="3.54296875" style="51" customWidth="1"/>
    <col min="7688" max="7932" width="9.1796875" style="51"/>
    <col min="7933" max="7933" width="8.7265625" style="51" customWidth="1"/>
    <col min="7934" max="7934" width="9.81640625" style="51" customWidth="1"/>
    <col min="7935" max="7935" width="14.453125" style="51" customWidth="1"/>
    <col min="7936" max="7936" width="7.26953125" style="51" customWidth="1"/>
    <col min="7937" max="7937" width="5.54296875" style="51" customWidth="1"/>
    <col min="7938" max="7938" width="9" style="51" customWidth="1"/>
    <col min="7939" max="7940" width="9.81640625" style="51" customWidth="1"/>
    <col min="7941" max="7941" width="11.1796875" style="51" customWidth="1"/>
    <col min="7942" max="7942" width="2.81640625" style="51" customWidth="1"/>
    <col min="7943" max="7943" width="3.54296875" style="51" customWidth="1"/>
    <col min="7944" max="8188" width="9.1796875" style="51"/>
    <col min="8189" max="8189" width="8.7265625" style="51" customWidth="1"/>
    <col min="8190" max="8190" width="9.81640625" style="51" customWidth="1"/>
    <col min="8191" max="8191" width="14.453125" style="51" customWidth="1"/>
    <col min="8192" max="8192" width="7.26953125" style="51" customWidth="1"/>
    <col min="8193" max="8193" width="5.54296875" style="51" customWidth="1"/>
    <col min="8194" max="8194" width="9" style="51" customWidth="1"/>
    <col min="8195" max="8196" width="9.81640625" style="51" customWidth="1"/>
    <col min="8197" max="8197" width="11.1796875" style="51" customWidth="1"/>
    <col min="8198" max="8198" width="2.81640625" style="51" customWidth="1"/>
    <col min="8199" max="8199" width="3.54296875" style="51" customWidth="1"/>
    <col min="8200" max="8444" width="9.1796875" style="51"/>
    <col min="8445" max="8445" width="8.7265625" style="51" customWidth="1"/>
    <col min="8446" max="8446" width="9.81640625" style="51" customWidth="1"/>
    <col min="8447" max="8447" width="14.453125" style="51" customWidth="1"/>
    <col min="8448" max="8448" width="7.26953125" style="51" customWidth="1"/>
    <col min="8449" max="8449" width="5.54296875" style="51" customWidth="1"/>
    <col min="8450" max="8450" width="9" style="51" customWidth="1"/>
    <col min="8451" max="8452" width="9.81640625" style="51" customWidth="1"/>
    <col min="8453" max="8453" width="11.1796875" style="51" customWidth="1"/>
    <col min="8454" max="8454" width="2.81640625" style="51" customWidth="1"/>
    <col min="8455" max="8455" width="3.54296875" style="51" customWidth="1"/>
    <col min="8456" max="8700" width="9.1796875" style="51"/>
    <col min="8701" max="8701" width="8.7265625" style="51" customWidth="1"/>
    <col min="8702" max="8702" width="9.81640625" style="51" customWidth="1"/>
    <col min="8703" max="8703" width="14.453125" style="51" customWidth="1"/>
    <col min="8704" max="8704" width="7.26953125" style="51" customWidth="1"/>
    <col min="8705" max="8705" width="5.54296875" style="51" customWidth="1"/>
    <col min="8706" max="8706" width="9" style="51" customWidth="1"/>
    <col min="8707" max="8708" width="9.81640625" style="51" customWidth="1"/>
    <col min="8709" max="8709" width="11.1796875" style="51" customWidth="1"/>
    <col min="8710" max="8710" width="2.81640625" style="51" customWidth="1"/>
    <col min="8711" max="8711" width="3.54296875" style="51" customWidth="1"/>
    <col min="8712" max="8956" width="9.1796875" style="51"/>
    <col min="8957" max="8957" width="8.7265625" style="51" customWidth="1"/>
    <col min="8958" max="8958" width="9.81640625" style="51" customWidth="1"/>
    <col min="8959" max="8959" width="14.453125" style="51" customWidth="1"/>
    <col min="8960" max="8960" width="7.26953125" style="51" customWidth="1"/>
    <col min="8961" max="8961" width="5.54296875" style="51" customWidth="1"/>
    <col min="8962" max="8962" width="9" style="51" customWidth="1"/>
    <col min="8963" max="8964" width="9.81640625" style="51" customWidth="1"/>
    <col min="8965" max="8965" width="11.1796875" style="51" customWidth="1"/>
    <col min="8966" max="8966" width="2.81640625" style="51" customWidth="1"/>
    <col min="8967" max="8967" width="3.54296875" style="51" customWidth="1"/>
    <col min="8968" max="9212" width="9.1796875" style="51"/>
    <col min="9213" max="9213" width="8.7265625" style="51" customWidth="1"/>
    <col min="9214" max="9214" width="9.81640625" style="51" customWidth="1"/>
    <col min="9215" max="9215" width="14.453125" style="51" customWidth="1"/>
    <col min="9216" max="9216" width="7.26953125" style="51" customWidth="1"/>
    <col min="9217" max="9217" width="5.54296875" style="51" customWidth="1"/>
    <col min="9218" max="9218" width="9" style="51" customWidth="1"/>
    <col min="9219" max="9220" width="9.81640625" style="51" customWidth="1"/>
    <col min="9221" max="9221" width="11.1796875" style="51" customWidth="1"/>
    <col min="9222" max="9222" width="2.81640625" style="51" customWidth="1"/>
    <col min="9223" max="9223" width="3.54296875" style="51" customWidth="1"/>
    <col min="9224" max="9468" width="9.1796875" style="51"/>
    <col min="9469" max="9469" width="8.7265625" style="51" customWidth="1"/>
    <col min="9470" max="9470" width="9.81640625" style="51" customWidth="1"/>
    <col min="9471" max="9471" width="14.453125" style="51" customWidth="1"/>
    <col min="9472" max="9472" width="7.26953125" style="51" customWidth="1"/>
    <col min="9473" max="9473" width="5.54296875" style="51" customWidth="1"/>
    <col min="9474" max="9474" width="9" style="51" customWidth="1"/>
    <col min="9475" max="9476" width="9.81640625" style="51" customWidth="1"/>
    <col min="9477" max="9477" width="11.1796875" style="51" customWidth="1"/>
    <col min="9478" max="9478" width="2.81640625" style="51" customWidth="1"/>
    <col min="9479" max="9479" width="3.54296875" style="51" customWidth="1"/>
    <col min="9480" max="9724" width="9.1796875" style="51"/>
    <col min="9725" max="9725" width="8.7265625" style="51" customWidth="1"/>
    <col min="9726" max="9726" width="9.81640625" style="51" customWidth="1"/>
    <col min="9727" max="9727" width="14.453125" style="51" customWidth="1"/>
    <col min="9728" max="9728" width="7.26953125" style="51" customWidth="1"/>
    <col min="9729" max="9729" width="5.54296875" style="51" customWidth="1"/>
    <col min="9730" max="9730" width="9" style="51" customWidth="1"/>
    <col min="9731" max="9732" width="9.81640625" style="51" customWidth="1"/>
    <col min="9733" max="9733" width="11.1796875" style="51" customWidth="1"/>
    <col min="9734" max="9734" width="2.81640625" style="51" customWidth="1"/>
    <col min="9735" max="9735" width="3.54296875" style="51" customWidth="1"/>
    <col min="9736" max="9980" width="9.1796875" style="51"/>
    <col min="9981" max="9981" width="8.7265625" style="51" customWidth="1"/>
    <col min="9982" max="9982" width="9.81640625" style="51" customWidth="1"/>
    <col min="9983" max="9983" width="14.453125" style="51" customWidth="1"/>
    <col min="9984" max="9984" width="7.26953125" style="51" customWidth="1"/>
    <col min="9985" max="9985" width="5.54296875" style="51" customWidth="1"/>
    <col min="9986" max="9986" width="9" style="51" customWidth="1"/>
    <col min="9987" max="9988" width="9.81640625" style="51" customWidth="1"/>
    <col min="9989" max="9989" width="11.1796875" style="51" customWidth="1"/>
    <col min="9990" max="9990" width="2.81640625" style="51" customWidth="1"/>
    <col min="9991" max="9991" width="3.54296875" style="51" customWidth="1"/>
    <col min="9992" max="10236" width="9.1796875" style="51"/>
    <col min="10237" max="10237" width="8.7265625" style="51" customWidth="1"/>
    <col min="10238" max="10238" width="9.81640625" style="51" customWidth="1"/>
    <col min="10239" max="10239" width="14.453125" style="51" customWidth="1"/>
    <col min="10240" max="10240" width="7.26953125" style="51" customWidth="1"/>
    <col min="10241" max="10241" width="5.54296875" style="51" customWidth="1"/>
    <col min="10242" max="10242" width="9" style="51" customWidth="1"/>
    <col min="10243" max="10244" width="9.81640625" style="51" customWidth="1"/>
    <col min="10245" max="10245" width="11.1796875" style="51" customWidth="1"/>
    <col min="10246" max="10246" width="2.81640625" style="51" customWidth="1"/>
    <col min="10247" max="10247" width="3.54296875" style="51" customWidth="1"/>
    <col min="10248" max="10492" width="9.1796875" style="51"/>
    <col min="10493" max="10493" width="8.7265625" style="51" customWidth="1"/>
    <col min="10494" max="10494" width="9.81640625" style="51" customWidth="1"/>
    <col min="10495" max="10495" width="14.453125" style="51" customWidth="1"/>
    <col min="10496" max="10496" width="7.26953125" style="51" customWidth="1"/>
    <col min="10497" max="10497" width="5.54296875" style="51" customWidth="1"/>
    <col min="10498" max="10498" width="9" style="51" customWidth="1"/>
    <col min="10499" max="10500" width="9.81640625" style="51" customWidth="1"/>
    <col min="10501" max="10501" width="11.1796875" style="51" customWidth="1"/>
    <col min="10502" max="10502" width="2.81640625" style="51" customWidth="1"/>
    <col min="10503" max="10503" width="3.54296875" style="51" customWidth="1"/>
    <col min="10504" max="10748" width="9.1796875" style="51"/>
    <col min="10749" max="10749" width="8.7265625" style="51" customWidth="1"/>
    <col min="10750" max="10750" width="9.81640625" style="51" customWidth="1"/>
    <col min="10751" max="10751" width="14.453125" style="51" customWidth="1"/>
    <col min="10752" max="10752" width="7.26953125" style="51" customWidth="1"/>
    <col min="10753" max="10753" width="5.54296875" style="51" customWidth="1"/>
    <col min="10754" max="10754" width="9" style="51" customWidth="1"/>
    <col min="10755" max="10756" width="9.81640625" style="51" customWidth="1"/>
    <col min="10757" max="10757" width="11.1796875" style="51" customWidth="1"/>
    <col min="10758" max="10758" width="2.81640625" style="51" customWidth="1"/>
    <col min="10759" max="10759" width="3.54296875" style="51" customWidth="1"/>
    <col min="10760" max="11004" width="9.1796875" style="51"/>
    <col min="11005" max="11005" width="8.7265625" style="51" customWidth="1"/>
    <col min="11006" max="11006" width="9.81640625" style="51" customWidth="1"/>
    <col min="11007" max="11007" width="14.453125" style="51" customWidth="1"/>
    <col min="11008" max="11008" width="7.26953125" style="51" customWidth="1"/>
    <col min="11009" max="11009" width="5.54296875" style="51" customWidth="1"/>
    <col min="11010" max="11010" width="9" style="51" customWidth="1"/>
    <col min="11011" max="11012" width="9.81640625" style="51" customWidth="1"/>
    <col min="11013" max="11013" width="11.1796875" style="51" customWidth="1"/>
    <col min="11014" max="11014" width="2.81640625" style="51" customWidth="1"/>
    <col min="11015" max="11015" width="3.54296875" style="51" customWidth="1"/>
    <col min="11016" max="11260" width="9.1796875" style="51"/>
    <col min="11261" max="11261" width="8.7265625" style="51" customWidth="1"/>
    <col min="11262" max="11262" width="9.81640625" style="51" customWidth="1"/>
    <col min="11263" max="11263" width="14.453125" style="51" customWidth="1"/>
    <col min="11264" max="11264" width="7.26953125" style="51" customWidth="1"/>
    <col min="11265" max="11265" width="5.54296875" style="51" customWidth="1"/>
    <col min="11266" max="11266" width="9" style="51" customWidth="1"/>
    <col min="11267" max="11268" width="9.81640625" style="51" customWidth="1"/>
    <col min="11269" max="11269" width="11.1796875" style="51" customWidth="1"/>
    <col min="11270" max="11270" width="2.81640625" style="51" customWidth="1"/>
    <col min="11271" max="11271" width="3.54296875" style="51" customWidth="1"/>
    <col min="11272" max="11516" width="9.1796875" style="51"/>
    <col min="11517" max="11517" width="8.7265625" style="51" customWidth="1"/>
    <col min="11518" max="11518" width="9.81640625" style="51" customWidth="1"/>
    <col min="11519" max="11519" width="14.453125" style="51" customWidth="1"/>
    <col min="11520" max="11520" width="7.26953125" style="51" customWidth="1"/>
    <col min="11521" max="11521" width="5.54296875" style="51" customWidth="1"/>
    <col min="11522" max="11522" width="9" style="51" customWidth="1"/>
    <col min="11523" max="11524" width="9.81640625" style="51" customWidth="1"/>
    <col min="11525" max="11525" width="11.1796875" style="51" customWidth="1"/>
    <col min="11526" max="11526" width="2.81640625" style="51" customWidth="1"/>
    <col min="11527" max="11527" width="3.54296875" style="51" customWidth="1"/>
    <col min="11528" max="11772" width="9.1796875" style="51"/>
    <col min="11773" max="11773" width="8.7265625" style="51" customWidth="1"/>
    <col min="11774" max="11774" width="9.81640625" style="51" customWidth="1"/>
    <col min="11775" max="11775" width="14.453125" style="51" customWidth="1"/>
    <col min="11776" max="11776" width="7.26953125" style="51" customWidth="1"/>
    <col min="11777" max="11777" width="5.54296875" style="51" customWidth="1"/>
    <col min="11778" max="11778" width="9" style="51" customWidth="1"/>
    <col min="11779" max="11780" width="9.81640625" style="51" customWidth="1"/>
    <col min="11781" max="11781" width="11.1796875" style="51" customWidth="1"/>
    <col min="11782" max="11782" width="2.81640625" style="51" customWidth="1"/>
    <col min="11783" max="11783" width="3.54296875" style="51" customWidth="1"/>
    <col min="11784" max="12028" width="9.1796875" style="51"/>
    <col min="12029" max="12029" width="8.7265625" style="51" customWidth="1"/>
    <col min="12030" max="12030" width="9.81640625" style="51" customWidth="1"/>
    <col min="12031" max="12031" width="14.453125" style="51" customWidth="1"/>
    <col min="12032" max="12032" width="7.26953125" style="51" customWidth="1"/>
    <col min="12033" max="12033" width="5.54296875" style="51" customWidth="1"/>
    <col min="12034" max="12034" width="9" style="51" customWidth="1"/>
    <col min="12035" max="12036" width="9.81640625" style="51" customWidth="1"/>
    <col min="12037" max="12037" width="11.1796875" style="51" customWidth="1"/>
    <col min="12038" max="12038" width="2.81640625" style="51" customWidth="1"/>
    <col min="12039" max="12039" width="3.54296875" style="51" customWidth="1"/>
    <col min="12040" max="12284" width="9.1796875" style="51"/>
    <col min="12285" max="12285" width="8.7265625" style="51" customWidth="1"/>
    <col min="12286" max="12286" width="9.81640625" style="51" customWidth="1"/>
    <col min="12287" max="12287" width="14.453125" style="51" customWidth="1"/>
    <col min="12288" max="12288" width="7.26953125" style="51" customWidth="1"/>
    <col min="12289" max="12289" width="5.54296875" style="51" customWidth="1"/>
    <col min="12290" max="12290" width="9" style="51" customWidth="1"/>
    <col min="12291" max="12292" width="9.81640625" style="51" customWidth="1"/>
    <col min="12293" max="12293" width="11.1796875" style="51" customWidth="1"/>
    <col min="12294" max="12294" width="2.81640625" style="51" customWidth="1"/>
    <col min="12295" max="12295" width="3.54296875" style="51" customWidth="1"/>
    <col min="12296" max="12540" width="9.1796875" style="51"/>
    <col min="12541" max="12541" width="8.7265625" style="51" customWidth="1"/>
    <col min="12542" max="12542" width="9.81640625" style="51" customWidth="1"/>
    <col min="12543" max="12543" width="14.453125" style="51" customWidth="1"/>
    <col min="12544" max="12544" width="7.26953125" style="51" customWidth="1"/>
    <col min="12545" max="12545" width="5.54296875" style="51" customWidth="1"/>
    <col min="12546" max="12546" width="9" style="51" customWidth="1"/>
    <col min="12547" max="12548" width="9.81640625" style="51" customWidth="1"/>
    <col min="12549" max="12549" width="11.1796875" style="51" customWidth="1"/>
    <col min="12550" max="12550" width="2.81640625" style="51" customWidth="1"/>
    <col min="12551" max="12551" width="3.54296875" style="51" customWidth="1"/>
    <col min="12552" max="12796" width="9.1796875" style="51"/>
    <col min="12797" max="12797" width="8.7265625" style="51" customWidth="1"/>
    <col min="12798" max="12798" width="9.81640625" style="51" customWidth="1"/>
    <col min="12799" max="12799" width="14.453125" style="51" customWidth="1"/>
    <col min="12800" max="12800" width="7.26953125" style="51" customWidth="1"/>
    <col min="12801" max="12801" width="5.54296875" style="51" customWidth="1"/>
    <col min="12802" max="12802" width="9" style="51" customWidth="1"/>
    <col min="12803" max="12804" width="9.81640625" style="51" customWidth="1"/>
    <col min="12805" max="12805" width="11.1796875" style="51" customWidth="1"/>
    <col min="12806" max="12806" width="2.81640625" style="51" customWidth="1"/>
    <col min="12807" max="12807" width="3.54296875" style="51" customWidth="1"/>
    <col min="12808" max="13052" width="9.1796875" style="51"/>
    <col min="13053" max="13053" width="8.7265625" style="51" customWidth="1"/>
    <col min="13054" max="13054" width="9.81640625" style="51" customWidth="1"/>
    <col min="13055" max="13055" width="14.453125" style="51" customWidth="1"/>
    <col min="13056" max="13056" width="7.26953125" style="51" customWidth="1"/>
    <col min="13057" max="13057" width="5.54296875" style="51" customWidth="1"/>
    <col min="13058" max="13058" width="9" style="51" customWidth="1"/>
    <col min="13059" max="13060" width="9.81640625" style="51" customWidth="1"/>
    <col min="13061" max="13061" width="11.1796875" style="51" customWidth="1"/>
    <col min="13062" max="13062" width="2.81640625" style="51" customWidth="1"/>
    <col min="13063" max="13063" width="3.54296875" style="51" customWidth="1"/>
    <col min="13064" max="13308" width="9.1796875" style="51"/>
    <col min="13309" max="13309" width="8.7265625" style="51" customWidth="1"/>
    <col min="13310" max="13310" width="9.81640625" style="51" customWidth="1"/>
    <col min="13311" max="13311" width="14.453125" style="51" customWidth="1"/>
    <col min="13312" max="13312" width="7.26953125" style="51" customWidth="1"/>
    <col min="13313" max="13313" width="5.54296875" style="51" customWidth="1"/>
    <col min="13314" max="13314" width="9" style="51" customWidth="1"/>
    <col min="13315" max="13316" width="9.81640625" style="51" customWidth="1"/>
    <col min="13317" max="13317" width="11.1796875" style="51" customWidth="1"/>
    <col min="13318" max="13318" width="2.81640625" style="51" customWidth="1"/>
    <col min="13319" max="13319" width="3.54296875" style="51" customWidth="1"/>
    <col min="13320" max="13564" width="9.1796875" style="51"/>
    <col min="13565" max="13565" width="8.7265625" style="51" customWidth="1"/>
    <col min="13566" max="13566" width="9.81640625" style="51" customWidth="1"/>
    <col min="13567" max="13567" width="14.453125" style="51" customWidth="1"/>
    <col min="13568" max="13568" width="7.26953125" style="51" customWidth="1"/>
    <col min="13569" max="13569" width="5.54296875" style="51" customWidth="1"/>
    <col min="13570" max="13570" width="9" style="51" customWidth="1"/>
    <col min="13571" max="13572" width="9.81640625" style="51" customWidth="1"/>
    <col min="13573" max="13573" width="11.1796875" style="51" customWidth="1"/>
    <col min="13574" max="13574" width="2.81640625" style="51" customWidth="1"/>
    <col min="13575" max="13575" width="3.54296875" style="51" customWidth="1"/>
    <col min="13576" max="13820" width="9.1796875" style="51"/>
    <col min="13821" max="13821" width="8.7265625" style="51" customWidth="1"/>
    <col min="13822" max="13822" width="9.81640625" style="51" customWidth="1"/>
    <col min="13823" max="13823" width="14.453125" style="51" customWidth="1"/>
    <col min="13824" max="13824" width="7.26953125" style="51" customWidth="1"/>
    <col min="13825" max="13825" width="5.54296875" style="51" customWidth="1"/>
    <col min="13826" max="13826" width="9" style="51" customWidth="1"/>
    <col min="13827" max="13828" width="9.81640625" style="51" customWidth="1"/>
    <col min="13829" max="13829" width="11.1796875" style="51" customWidth="1"/>
    <col min="13830" max="13830" width="2.81640625" style="51" customWidth="1"/>
    <col min="13831" max="13831" width="3.54296875" style="51" customWidth="1"/>
    <col min="13832" max="14076" width="9.1796875" style="51"/>
    <col min="14077" max="14077" width="8.7265625" style="51" customWidth="1"/>
    <col min="14078" max="14078" width="9.81640625" style="51" customWidth="1"/>
    <col min="14079" max="14079" width="14.453125" style="51" customWidth="1"/>
    <col min="14080" max="14080" width="7.26953125" style="51" customWidth="1"/>
    <col min="14081" max="14081" width="5.54296875" style="51" customWidth="1"/>
    <col min="14082" max="14082" width="9" style="51" customWidth="1"/>
    <col min="14083" max="14084" width="9.81640625" style="51" customWidth="1"/>
    <col min="14085" max="14085" width="11.1796875" style="51" customWidth="1"/>
    <col min="14086" max="14086" width="2.81640625" style="51" customWidth="1"/>
    <col min="14087" max="14087" width="3.54296875" style="51" customWidth="1"/>
    <col min="14088" max="14332" width="9.1796875" style="51"/>
    <col min="14333" max="14333" width="8.7265625" style="51" customWidth="1"/>
    <col min="14334" max="14334" width="9.81640625" style="51" customWidth="1"/>
    <col min="14335" max="14335" width="14.453125" style="51" customWidth="1"/>
    <col min="14336" max="14336" width="7.26953125" style="51" customWidth="1"/>
    <col min="14337" max="14337" width="5.54296875" style="51" customWidth="1"/>
    <col min="14338" max="14338" width="9" style="51" customWidth="1"/>
    <col min="14339" max="14340" width="9.81640625" style="51" customWidth="1"/>
    <col min="14341" max="14341" width="11.1796875" style="51" customWidth="1"/>
    <col min="14342" max="14342" width="2.81640625" style="51" customWidth="1"/>
    <col min="14343" max="14343" width="3.54296875" style="51" customWidth="1"/>
    <col min="14344" max="14588" width="9.1796875" style="51"/>
    <col min="14589" max="14589" width="8.7265625" style="51" customWidth="1"/>
    <col min="14590" max="14590" width="9.81640625" style="51" customWidth="1"/>
    <col min="14591" max="14591" width="14.453125" style="51" customWidth="1"/>
    <col min="14592" max="14592" width="7.26953125" style="51" customWidth="1"/>
    <col min="14593" max="14593" width="5.54296875" style="51" customWidth="1"/>
    <col min="14594" max="14594" width="9" style="51" customWidth="1"/>
    <col min="14595" max="14596" width="9.81640625" style="51" customWidth="1"/>
    <col min="14597" max="14597" width="11.1796875" style="51" customWidth="1"/>
    <col min="14598" max="14598" width="2.81640625" style="51" customWidth="1"/>
    <col min="14599" max="14599" width="3.54296875" style="51" customWidth="1"/>
    <col min="14600" max="14844" width="9.1796875" style="51"/>
    <col min="14845" max="14845" width="8.7265625" style="51" customWidth="1"/>
    <col min="14846" max="14846" width="9.81640625" style="51" customWidth="1"/>
    <col min="14847" max="14847" width="14.453125" style="51" customWidth="1"/>
    <col min="14848" max="14848" width="7.26953125" style="51" customWidth="1"/>
    <col min="14849" max="14849" width="5.54296875" style="51" customWidth="1"/>
    <col min="14850" max="14850" width="9" style="51" customWidth="1"/>
    <col min="14851" max="14852" width="9.81640625" style="51" customWidth="1"/>
    <col min="14853" max="14853" width="11.1796875" style="51" customWidth="1"/>
    <col min="14854" max="14854" width="2.81640625" style="51" customWidth="1"/>
    <col min="14855" max="14855" width="3.54296875" style="51" customWidth="1"/>
    <col min="14856" max="15100" width="9.1796875" style="51"/>
    <col min="15101" max="15101" width="8.7265625" style="51" customWidth="1"/>
    <col min="15102" max="15102" width="9.81640625" style="51" customWidth="1"/>
    <col min="15103" max="15103" width="14.453125" style="51" customWidth="1"/>
    <col min="15104" max="15104" width="7.26953125" style="51" customWidth="1"/>
    <col min="15105" max="15105" width="5.54296875" style="51" customWidth="1"/>
    <col min="15106" max="15106" width="9" style="51" customWidth="1"/>
    <col min="15107" max="15108" width="9.81640625" style="51" customWidth="1"/>
    <col min="15109" max="15109" width="11.1796875" style="51" customWidth="1"/>
    <col min="15110" max="15110" width="2.81640625" style="51" customWidth="1"/>
    <col min="15111" max="15111" width="3.54296875" style="51" customWidth="1"/>
    <col min="15112" max="15356" width="9.1796875" style="51"/>
    <col min="15357" max="15357" width="8.7265625" style="51" customWidth="1"/>
    <col min="15358" max="15358" width="9.81640625" style="51" customWidth="1"/>
    <col min="15359" max="15359" width="14.453125" style="51" customWidth="1"/>
    <col min="15360" max="15360" width="7.26953125" style="51" customWidth="1"/>
    <col min="15361" max="15361" width="5.54296875" style="51" customWidth="1"/>
    <col min="15362" max="15362" width="9" style="51" customWidth="1"/>
    <col min="15363" max="15364" width="9.81640625" style="51" customWidth="1"/>
    <col min="15365" max="15365" width="11.1796875" style="51" customWidth="1"/>
    <col min="15366" max="15366" width="2.81640625" style="51" customWidth="1"/>
    <col min="15367" max="15367" width="3.54296875" style="51" customWidth="1"/>
    <col min="15368" max="15612" width="9.1796875" style="51"/>
    <col min="15613" max="15613" width="8.7265625" style="51" customWidth="1"/>
    <col min="15614" max="15614" width="9.81640625" style="51" customWidth="1"/>
    <col min="15615" max="15615" width="14.453125" style="51" customWidth="1"/>
    <col min="15616" max="15616" width="7.26953125" style="51" customWidth="1"/>
    <col min="15617" max="15617" width="5.54296875" style="51" customWidth="1"/>
    <col min="15618" max="15618" width="9" style="51" customWidth="1"/>
    <col min="15619" max="15620" width="9.81640625" style="51" customWidth="1"/>
    <col min="15621" max="15621" width="11.1796875" style="51" customWidth="1"/>
    <col min="15622" max="15622" width="2.81640625" style="51" customWidth="1"/>
    <col min="15623" max="15623" width="3.54296875" style="51" customWidth="1"/>
    <col min="15624" max="15868" width="9.1796875" style="51"/>
    <col min="15869" max="15869" width="8.7265625" style="51" customWidth="1"/>
    <col min="15870" max="15870" width="9.81640625" style="51" customWidth="1"/>
    <col min="15871" max="15871" width="14.453125" style="51" customWidth="1"/>
    <col min="15872" max="15872" width="7.26953125" style="51" customWidth="1"/>
    <col min="15873" max="15873" width="5.54296875" style="51" customWidth="1"/>
    <col min="15874" max="15874" width="9" style="51" customWidth="1"/>
    <col min="15875" max="15876" width="9.81640625" style="51" customWidth="1"/>
    <col min="15877" max="15877" width="11.1796875" style="51" customWidth="1"/>
    <col min="15878" max="15878" width="2.81640625" style="51" customWidth="1"/>
    <col min="15879" max="15879" width="3.54296875" style="51" customWidth="1"/>
    <col min="15880" max="16124" width="9.1796875" style="51"/>
    <col min="16125" max="16125" width="8.7265625" style="51" customWidth="1"/>
    <col min="16126" max="16126" width="9.81640625" style="51" customWidth="1"/>
    <col min="16127" max="16127" width="14.453125" style="51" customWidth="1"/>
    <col min="16128" max="16128" width="7.26953125" style="51" customWidth="1"/>
    <col min="16129" max="16129" width="5.54296875" style="51" customWidth="1"/>
    <col min="16130" max="16130" width="9" style="51" customWidth="1"/>
    <col min="16131" max="16132" width="9.81640625" style="51" customWidth="1"/>
    <col min="16133" max="16133" width="11.1796875" style="51" customWidth="1"/>
    <col min="16134" max="16134" width="2.81640625" style="51" customWidth="1"/>
    <col min="16135" max="16135" width="3.54296875" style="51" customWidth="1"/>
    <col min="16136" max="16384" width="9.1796875" style="51"/>
  </cols>
  <sheetData>
    <row r="1" spans="1:8" ht="46.5" customHeight="1" x14ac:dyDescent="0.35">
      <c r="A1" s="190" t="s">
        <v>312</v>
      </c>
      <c r="B1" s="190"/>
      <c r="C1" s="190"/>
      <c r="D1" s="190"/>
      <c r="E1" s="190"/>
      <c r="F1" s="190"/>
      <c r="G1" s="190"/>
      <c r="H1" s="190"/>
    </row>
    <row r="2" spans="1:8" ht="16.5" customHeight="1" x14ac:dyDescent="0.35">
      <c r="A2" s="118" t="s">
        <v>0</v>
      </c>
      <c r="B2" s="118"/>
      <c r="C2" s="118"/>
      <c r="D2" s="118"/>
      <c r="E2" s="118"/>
      <c r="F2" s="118"/>
      <c r="G2" s="118"/>
      <c r="H2" s="118"/>
    </row>
    <row r="3" spans="1:8" x14ac:dyDescent="0.35">
      <c r="A3" s="113" t="s">
        <v>1</v>
      </c>
      <c r="B3" s="113"/>
      <c r="C3" s="113"/>
      <c r="D3" s="113"/>
      <c r="E3" s="191" t="str">
        <f ca="1">TEXT(TODAY(),"DD/MM/YYYY")</f>
        <v>15/09/2025</v>
      </c>
      <c r="F3" s="191"/>
      <c r="G3" s="191"/>
      <c r="H3" s="191"/>
    </row>
    <row r="4" spans="1:8" ht="15" customHeight="1" x14ac:dyDescent="0.35">
      <c r="A4" s="113" t="s">
        <v>2</v>
      </c>
      <c r="B4" s="113"/>
      <c r="C4" s="113"/>
      <c r="D4" s="113"/>
      <c r="E4" s="172" t="s">
        <v>180</v>
      </c>
      <c r="F4" s="172"/>
      <c r="G4" s="172"/>
      <c r="H4" s="172"/>
    </row>
    <row r="5" spans="1:8" x14ac:dyDescent="0.35">
      <c r="A5" s="113" t="s">
        <v>3</v>
      </c>
      <c r="B5" s="113"/>
      <c r="C5" s="113"/>
      <c r="D5" s="113"/>
      <c r="E5" s="181">
        <v>45912</v>
      </c>
      <c r="F5" s="181"/>
      <c r="G5" s="181"/>
      <c r="H5" s="181"/>
    </row>
    <row r="6" spans="1:8" ht="16.5" customHeight="1" x14ac:dyDescent="0.35">
      <c r="A6" s="113" t="s">
        <v>4</v>
      </c>
      <c r="B6" s="113"/>
      <c r="C6" s="113"/>
      <c r="D6" s="113"/>
      <c r="E6" s="95" t="s">
        <v>179</v>
      </c>
      <c r="F6" s="95"/>
      <c r="G6" s="95"/>
      <c r="H6" s="95"/>
    </row>
    <row r="7" spans="1:8" ht="15" customHeight="1" x14ac:dyDescent="0.35">
      <c r="A7" s="113" t="s">
        <v>5</v>
      </c>
      <c r="B7" s="113"/>
      <c r="C7" s="113"/>
      <c r="D7" s="113"/>
      <c r="E7" s="95" t="str">
        <f>E6</f>
        <v>M/s. Laxmi Realty</v>
      </c>
      <c r="F7" s="95"/>
      <c r="G7" s="95"/>
      <c r="H7" s="95"/>
    </row>
    <row r="8" spans="1:8" x14ac:dyDescent="0.35">
      <c r="A8" s="113" t="s">
        <v>6</v>
      </c>
      <c r="B8" s="113"/>
      <c r="C8" s="113"/>
      <c r="D8" s="113"/>
      <c r="E8" s="114" t="s">
        <v>247</v>
      </c>
      <c r="F8" s="114"/>
      <c r="G8" s="114"/>
      <c r="H8" s="114"/>
    </row>
    <row r="9" spans="1:8" x14ac:dyDescent="0.35">
      <c r="A9" s="113" t="s">
        <v>7</v>
      </c>
      <c r="B9" s="113"/>
      <c r="C9" s="113"/>
      <c r="D9" s="113"/>
      <c r="E9" s="113">
        <v>9029088066</v>
      </c>
      <c r="F9" s="113"/>
      <c r="G9" s="113"/>
      <c r="H9" s="113"/>
    </row>
    <row r="10" spans="1:8" hidden="1" x14ac:dyDescent="0.35">
      <c r="A10" s="95" t="s">
        <v>304</v>
      </c>
      <c r="B10" s="113"/>
      <c r="C10" s="113"/>
      <c r="D10" s="113"/>
      <c r="E10" s="113" t="s">
        <v>313</v>
      </c>
      <c r="F10" s="113"/>
      <c r="G10" s="113"/>
      <c r="H10" s="113"/>
    </row>
    <row r="11" spans="1:8" x14ac:dyDescent="0.35">
      <c r="A11" s="98" t="s">
        <v>8</v>
      </c>
      <c r="B11" s="98"/>
      <c r="C11" s="98"/>
      <c r="D11" s="98"/>
      <c r="E11" s="98" t="s">
        <v>178</v>
      </c>
      <c r="F11" s="98"/>
      <c r="G11" s="98"/>
      <c r="H11" s="98"/>
    </row>
    <row r="12" spans="1:8" x14ac:dyDescent="0.35">
      <c r="A12" s="113" t="s">
        <v>9</v>
      </c>
      <c r="B12" s="113"/>
      <c r="C12" s="113"/>
      <c r="D12" s="113"/>
      <c r="E12" s="97" t="s">
        <v>244</v>
      </c>
      <c r="F12" s="97"/>
      <c r="G12" s="97"/>
      <c r="H12" s="97"/>
    </row>
    <row r="13" spans="1:8" x14ac:dyDescent="0.35">
      <c r="A13" s="113" t="s">
        <v>10</v>
      </c>
      <c r="B13" s="113"/>
      <c r="C13" s="113"/>
      <c r="D13" s="113"/>
      <c r="E13" s="98" t="s">
        <v>177</v>
      </c>
      <c r="F13" s="98"/>
      <c r="G13" s="98"/>
      <c r="H13" s="98"/>
    </row>
    <row r="14" spans="1:8" ht="66" customHeight="1" x14ac:dyDescent="0.35">
      <c r="A14" s="95" t="s">
        <v>11</v>
      </c>
      <c r="B14" s="95"/>
      <c r="C14" s="95" t="str">
        <f>CONCATENATE((IF(OR(E8="",E8="NA"),"",E8)),", ",(IF(OR(A15="",A15="NA"),"",A15)),".",(IF(OR(C15="",C15="NA"),"",C15)),", ",(IF(OR(C16="",C16="NA"),"",C16)),", ",(IF(OR(G16="",G16="NA"),"",G16)),", ",(IF(OR(C17="",C17="NA"),"",C17)),", ",(IF(OR(C18="",C18="NA"),"",C18)),", ",(IF(OR(G17="",G17="NA"),"",G17)),".")</f>
        <v>Laxmi Icon, New Survey No.126/1, 126/2, 126/3, 126/4, 126/5 &amp; 126/6, Old S.No. 35, H.No. 4, S.No. 38, H.No. 3, S.No. 39, H.No. 1, S.No. 40, H.No. 1/A,1/B,1/C, S.No. 40, H.No. 3, S.No. 41, H.No. 2, S.No. 64, H.No. 1  &amp; Plot No.1, Karjat Murbad Road, Dhamote, Neral, Karjat, Raigad.</v>
      </c>
      <c r="D14" s="95"/>
      <c r="E14" s="95"/>
      <c r="F14" s="95"/>
      <c r="G14" s="95"/>
      <c r="H14" s="95"/>
    </row>
    <row r="15" spans="1:8" ht="53.25" customHeight="1" x14ac:dyDescent="0.35">
      <c r="A15" s="97" t="s">
        <v>175</v>
      </c>
      <c r="B15" s="97"/>
      <c r="C15" s="97" t="s">
        <v>176</v>
      </c>
      <c r="D15" s="97"/>
      <c r="E15" s="97"/>
      <c r="F15" s="97"/>
      <c r="G15" s="97"/>
      <c r="H15" s="97"/>
    </row>
    <row r="16" spans="1:8" ht="15.75" customHeight="1" x14ac:dyDescent="0.35">
      <c r="A16" s="95" t="s">
        <v>12</v>
      </c>
      <c r="B16" s="95"/>
      <c r="C16" s="98" t="s">
        <v>169</v>
      </c>
      <c r="D16" s="98"/>
      <c r="E16" s="95" t="s">
        <v>109</v>
      </c>
      <c r="F16" s="95"/>
      <c r="G16" s="97" t="s">
        <v>170</v>
      </c>
      <c r="H16" s="97"/>
    </row>
    <row r="17" spans="1:8" x14ac:dyDescent="0.35">
      <c r="A17" s="113" t="s">
        <v>14</v>
      </c>
      <c r="B17" s="113"/>
      <c r="C17" s="97" t="s">
        <v>172</v>
      </c>
      <c r="D17" s="97"/>
      <c r="E17" s="95" t="s">
        <v>13</v>
      </c>
      <c r="F17" s="95"/>
      <c r="G17" s="192" t="s">
        <v>171</v>
      </c>
      <c r="H17" s="192"/>
    </row>
    <row r="18" spans="1:8" x14ac:dyDescent="0.35">
      <c r="A18" s="113" t="s">
        <v>110</v>
      </c>
      <c r="B18" s="113"/>
      <c r="C18" s="97" t="s">
        <v>173</v>
      </c>
      <c r="D18" s="97"/>
      <c r="E18" s="95" t="s">
        <v>15</v>
      </c>
      <c r="F18" s="95"/>
      <c r="G18" s="97">
        <v>410101</v>
      </c>
      <c r="H18" s="97"/>
    </row>
    <row r="19" spans="1:8" ht="32.25" customHeight="1" x14ac:dyDescent="0.35">
      <c r="A19" s="113" t="s">
        <v>16</v>
      </c>
      <c r="B19" s="113"/>
      <c r="C19" s="95" t="s">
        <v>168</v>
      </c>
      <c r="D19" s="95"/>
      <c r="E19" s="95" t="s">
        <v>17</v>
      </c>
      <c r="F19" s="95"/>
      <c r="G19" s="97" t="s">
        <v>174</v>
      </c>
      <c r="H19" s="97"/>
    </row>
    <row r="20" spans="1:8" ht="15" customHeight="1" x14ac:dyDescent="0.35">
      <c r="A20" s="95" t="s">
        <v>115</v>
      </c>
      <c r="B20" s="95"/>
      <c r="C20" s="95"/>
      <c r="D20" s="95"/>
      <c r="E20" s="98" t="s">
        <v>18</v>
      </c>
      <c r="F20" s="98"/>
      <c r="G20" s="98"/>
      <c r="H20" s="98"/>
    </row>
    <row r="21" spans="1:8" ht="18.75" customHeight="1" x14ac:dyDescent="0.35">
      <c r="A21" s="95"/>
      <c r="B21" s="95"/>
      <c r="C21" s="95"/>
      <c r="D21" s="95"/>
      <c r="E21" s="98"/>
      <c r="F21" s="98"/>
      <c r="G21" s="98"/>
      <c r="H21" s="98"/>
    </row>
    <row r="22" spans="1:8" ht="15" customHeight="1" x14ac:dyDescent="0.35">
      <c r="A22" s="95" t="s">
        <v>19</v>
      </c>
      <c r="B22" s="95"/>
      <c r="C22" s="95"/>
      <c r="D22" s="95"/>
      <c r="E22" s="97" t="s">
        <v>20</v>
      </c>
      <c r="F22" s="97"/>
      <c r="G22" s="97"/>
      <c r="H22" s="97"/>
    </row>
    <row r="23" spans="1:8" ht="15" customHeight="1" x14ac:dyDescent="0.35">
      <c r="A23" s="113" t="s">
        <v>21</v>
      </c>
      <c r="B23" s="113"/>
      <c r="C23" s="113"/>
      <c r="D23" s="113"/>
      <c r="E23" s="97" t="s">
        <v>166</v>
      </c>
      <c r="F23" s="97"/>
      <c r="G23" s="97"/>
      <c r="H23" s="97"/>
    </row>
    <row r="24" spans="1:8" x14ac:dyDescent="0.35">
      <c r="A24" s="113" t="s">
        <v>22</v>
      </c>
      <c r="B24" s="113"/>
      <c r="C24" s="113"/>
      <c r="D24" s="113"/>
      <c r="E24" s="97" t="s">
        <v>23</v>
      </c>
      <c r="F24" s="97"/>
      <c r="G24" s="97"/>
      <c r="H24" s="97"/>
    </row>
    <row r="25" spans="1:8" x14ac:dyDescent="0.35">
      <c r="A25" s="113" t="s">
        <v>24</v>
      </c>
      <c r="B25" s="113"/>
      <c r="C25" s="113"/>
      <c r="D25" s="113"/>
      <c r="E25" s="97" t="s">
        <v>167</v>
      </c>
      <c r="F25" s="97"/>
      <c r="G25" s="97"/>
      <c r="H25" s="97"/>
    </row>
    <row r="26" spans="1:8" x14ac:dyDescent="0.35">
      <c r="A26" s="113" t="s">
        <v>25</v>
      </c>
      <c r="B26" s="113"/>
      <c r="C26" s="113"/>
      <c r="D26" s="113"/>
      <c r="E26" s="97" t="s">
        <v>26</v>
      </c>
      <c r="F26" s="97"/>
      <c r="G26" s="97"/>
      <c r="H26" s="97"/>
    </row>
    <row r="27" spans="1:8" x14ac:dyDescent="0.35">
      <c r="A27" s="113" t="s">
        <v>122</v>
      </c>
      <c r="B27" s="113"/>
      <c r="C27" s="113"/>
      <c r="D27" s="113"/>
      <c r="E27" s="97" t="s">
        <v>123</v>
      </c>
      <c r="F27" s="97"/>
      <c r="G27" s="97"/>
      <c r="H27" s="97"/>
    </row>
    <row r="28" spans="1:8" ht="15" customHeight="1" x14ac:dyDescent="0.35">
      <c r="A28" s="95" t="s">
        <v>37</v>
      </c>
      <c r="B28" s="95"/>
      <c r="C28" s="95"/>
      <c r="D28" s="95"/>
      <c r="E28" s="172" t="s">
        <v>119</v>
      </c>
      <c r="F28" s="172"/>
      <c r="G28" s="172"/>
      <c r="H28" s="172"/>
    </row>
    <row r="29" spans="1:8" x14ac:dyDescent="0.35">
      <c r="A29" s="95" t="s">
        <v>134</v>
      </c>
      <c r="B29" s="95"/>
      <c r="C29" s="95"/>
      <c r="D29" s="95"/>
      <c r="E29" s="95" t="s">
        <v>38</v>
      </c>
      <c r="F29" s="95"/>
      <c r="G29" s="95"/>
      <c r="H29" s="95"/>
    </row>
    <row r="30" spans="1:8" s="52" customFormat="1" x14ac:dyDescent="0.35">
      <c r="A30" s="165" t="s">
        <v>135</v>
      </c>
      <c r="B30" s="165"/>
      <c r="C30" s="168" t="s">
        <v>31</v>
      </c>
      <c r="D30" s="168"/>
      <c r="E30" s="168"/>
      <c r="F30" s="168" t="s">
        <v>33</v>
      </c>
      <c r="G30" s="168"/>
      <c r="H30" s="168"/>
    </row>
    <row r="31" spans="1:8" s="52" customFormat="1" x14ac:dyDescent="0.35">
      <c r="A31" s="169" t="s">
        <v>27</v>
      </c>
      <c r="B31" s="169" t="s">
        <v>32</v>
      </c>
      <c r="C31" s="150" t="s">
        <v>32</v>
      </c>
      <c r="D31" s="150"/>
      <c r="E31" s="150"/>
      <c r="F31" s="150" t="s">
        <v>12</v>
      </c>
      <c r="G31" s="150"/>
      <c r="H31" s="150"/>
    </row>
    <row r="32" spans="1:8" x14ac:dyDescent="0.35">
      <c r="A32" s="169" t="s">
        <v>28</v>
      </c>
      <c r="B32" s="169" t="s">
        <v>32</v>
      </c>
      <c r="C32" s="150" t="s">
        <v>32</v>
      </c>
      <c r="D32" s="150"/>
      <c r="E32" s="150"/>
      <c r="F32" s="150" t="s">
        <v>165</v>
      </c>
      <c r="G32" s="150"/>
      <c r="H32" s="150"/>
    </row>
    <row r="33" spans="1:11" s="52" customFormat="1" x14ac:dyDescent="0.35">
      <c r="A33" s="169" t="s">
        <v>30</v>
      </c>
      <c r="B33" s="169" t="s">
        <v>32</v>
      </c>
      <c r="C33" s="150" t="s">
        <v>32</v>
      </c>
      <c r="D33" s="150"/>
      <c r="E33" s="150"/>
      <c r="F33" s="150" t="s">
        <v>164</v>
      </c>
      <c r="G33" s="150"/>
      <c r="H33" s="150"/>
    </row>
    <row r="34" spans="1:11" x14ac:dyDescent="0.35">
      <c r="A34" s="169" t="s">
        <v>29</v>
      </c>
      <c r="B34" s="169" t="s">
        <v>32</v>
      </c>
      <c r="C34" s="150" t="s">
        <v>32</v>
      </c>
      <c r="D34" s="150"/>
      <c r="E34" s="150"/>
      <c r="F34" s="150" t="s">
        <v>12</v>
      </c>
      <c r="G34" s="150"/>
      <c r="H34" s="150"/>
    </row>
    <row r="35" spans="1:11" x14ac:dyDescent="0.35">
      <c r="A35" s="113" t="s">
        <v>34</v>
      </c>
      <c r="B35" s="113"/>
      <c r="C35" s="113"/>
      <c r="D35" s="113"/>
      <c r="E35" s="113"/>
      <c r="F35" s="113"/>
      <c r="G35" s="113"/>
      <c r="H35" s="113"/>
    </row>
    <row r="36" spans="1:11" ht="15.75" customHeight="1" x14ac:dyDescent="0.35">
      <c r="A36" s="118" t="s">
        <v>35</v>
      </c>
      <c r="B36" s="118"/>
      <c r="C36" s="170">
        <v>19.032329000000001</v>
      </c>
      <c r="D36" s="170"/>
      <c r="E36" s="118" t="s">
        <v>36</v>
      </c>
      <c r="F36" s="118"/>
      <c r="G36" s="171">
        <v>73.325280000000006</v>
      </c>
      <c r="H36" s="171"/>
    </row>
    <row r="37" spans="1:11" ht="15.75" customHeight="1" x14ac:dyDescent="0.35">
      <c r="A37" s="118" t="s">
        <v>305</v>
      </c>
      <c r="B37" s="118"/>
      <c r="C37" s="201" t="s">
        <v>306</v>
      </c>
      <c r="D37" s="170"/>
      <c r="E37" s="170"/>
      <c r="F37" s="170"/>
      <c r="G37" s="170"/>
      <c r="H37" s="170"/>
    </row>
    <row r="38" spans="1:11" x14ac:dyDescent="0.35">
      <c r="A38" s="114" t="s">
        <v>39</v>
      </c>
      <c r="B38" s="114"/>
      <c r="C38" s="114"/>
      <c r="D38" s="114"/>
      <c r="E38" s="114"/>
      <c r="F38" s="114"/>
      <c r="G38" s="114"/>
      <c r="H38" s="114"/>
    </row>
    <row r="39" spans="1:11" x14ac:dyDescent="0.35">
      <c r="A39" s="113" t="s">
        <v>40</v>
      </c>
      <c r="B39" s="113"/>
      <c r="C39" s="113"/>
      <c r="D39" s="113"/>
      <c r="E39" s="173">
        <v>6113</v>
      </c>
      <c r="F39" s="173"/>
      <c r="G39" s="173"/>
      <c r="H39" s="173"/>
      <c r="I39" s="51">
        <v>6113</v>
      </c>
      <c r="J39" s="51">
        <f>I40/I39</f>
        <v>1.43</v>
      </c>
      <c r="K39" s="51">
        <f>J40/J39</f>
        <v>1.7878128578439392</v>
      </c>
    </row>
    <row r="40" spans="1:11" x14ac:dyDescent="0.35">
      <c r="A40" s="113" t="s">
        <v>41</v>
      </c>
      <c r="B40" s="113"/>
      <c r="C40" s="113"/>
      <c r="D40" s="113"/>
      <c r="E40" s="166">
        <v>1.43</v>
      </c>
      <c r="F40" s="166"/>
      <c r="G40" s="166"/>
      <c r="H40" s="166"/>
      <c r="I40" s="51">
        <v>8741.59</v>
      </c>
      <c r="J40" s="51">
        <f>I41/I39</f>
        <v>2.5565723867168328</v>
      </c>
    </row>
    <row r="41" spans="1:11" x14ac:dyDescent="0.35">
      <c r="A41" s="113" t="s">
        <v>42</v>
      </c>
      <c r="B41" s="113"/>
      <c r="C41" s="113"/>
      <c r="D41" s="113"/>
      <c r="E41" s="166">
        <f>E43/E39-E40</f>
        <v>1.1265723867168329</v>
      </c>
      <c r="F41" s="166"/>
      <c r="G41" s="166"/>
      <c r="H41" s="166"/>
      <c r="I41" s="51">
        <v>15628.326999999999</v>
      </c>
    </row>
    <row r="42" spans="1:11" x14ac:dyDescent="0.35">
      <c r="A42" s="113" t="s">
        <v>43</v>
      </c>
      <c r="B42" s="113"/>
      <c r="C42" s="113"/>
      <c r="D42" s="113"/>
      <c r="E42" s="166">
        <f>E40+E41</f>
        <v>2.5565723867168328</v>
      </c>
      <c r="F42" s="166"/>
      <c r="G42" s="166"/>
      <c r="H42" s="166"/>
    </row>
    <row r="43" spans="1:11" x14ac:dyDescent="0.35">
      <c r="A43" s="113" t="s">
        <v>133</v>
      </c>
      <c r="B43" s="113"/>
      <c r="C43" s="113"/>
      <c r="D43" s="113"/>
      <c r="E43" s="167">
        <v>15628.326999999999</v>
      </c>
      <c r="F43" s="167"/>
      <c r="G43" s="167"/>
      <c r="H43" s="167"/>
    </row>
    <row r="44" spans="1:11" x14ac:dyDescent="0.35">
      <c r="A44" s="98" t="s">
        <v>44</v>
      </c>
      <c r="B44" s="98"/>
      <c r="C44" s="98"/>
      <c r="D44" s="98"/>
      <c r="E44" s="98" t="s">
        <v>281</v>
      </c>
      <c r="F44" s="98"/>
      <c r="G44" s="98"/>
      <c r="H44" s="98"/>
    </row>
    <row r="45" spans="1:11" x14ac:dyDescent="0.35">
      <c r="A45" s="114" t="s">
        <v>45</v>
      </c>
      <c r="B45" s="114"/>
      <c r="C45" s="114"/>
      <c r="D45" s="114"/>
      <c r="E45" s="114"/>
      <c r="F45" s="114"/>
      <c r="G45" s="114"/>
      <c r="H45" s="114"/>
    </row>
    <row r="46" spans="1:11" x14ac:dyDescent="0.35">
      <c r="A46" s="95" t="s">
        <v>46</v>
      </c>
      <c r="B46" s="95"/>
      <c r="C46" s="97" t="s">
        <v>283</v>
      </c>
      <c r="D46" s="97"/>
      <c r="E46" s="97"/>
      <c r="F46" s="45" t="s">
        <v>47</v>
      </c>
      <c r="G46" s="175">
        <v>44648</v>
      </c>
      <c r="H46" s="97"/>
    </row>
    <row r="47" spans="1:11" x14ac:dyDescent="0.35">
      <c r="A47" s="179" t="s">
        <v>48</v>
      </c>
      <c r="B47" s="179"/>
      <c r="C47" s="97" t="str">
        <f>C46</f>
        <v>RJP/BDKM/NSVP/75/2022</v>
      </c>
      <c r="D47" s="97"/>
      <c r="E47" s="97"/>
      <c r="F47" s="45" t="s">
        <v>47</v>
      </c>
      <c r="G47" s="175">
        <f>G46</f>
        <v>44648</v>
      </c>
      <c r="H47" s="175"/>
    </row>
    <row r="48" spans="1:11" s="54" customFormat="1" x14ac:dyDescent="0.35">
      <c r="A48" s="97" t="s">
        <v>49</v>
      </c>
      <c r="B48" s="97"/>
      <c r="C48" s="97" t="str">
        <f>C47</f>
        <v>RJP/BDKM/NSVP/75/2022</v>
      </c>
      <c r="D48" s="98"/>
      <c r="E48" s="98"/>
      <c r="F48" s="53" t="s">
        <v>47</v>
      </c>
      <c r="G48" s="181">
        <f>G47</f>
        <v>44648</v>
      </c>
      <c r="H48" s="181"/>
    </row>
    <row r="49" spans="1:11" s="54" customFormat="1" ht="64.5" customHeight="1" x14ac:dyDescent="0.35">
      <c r="A49" s="97"/>
      <c r="B49" s="97"/>
      <c r="C49" s="176" t="s">
        <v>284</v>
      </c>
      <c r="D49" s="177"/>
      <c r="E49" s="177"/>
      <c r="F49" s="177"/>
      <c r="G49" s="177"/>
      <c r="H49" s="178"/>
    </row>
    <row r="50" spans="1:11" s="54" customFormat="1" ht="48.75" customHeight="1" x14ac:dyDescent="0.35">
      <c r="A50" s="121" t="s">
        <v>50</v>
      </c>
      <c r="B50" s="121"/>
      <c r="C50" s="121" t="s">
        <v>307</v>
      </c>
      <c r="D50" s="128"/>
      <c r="E50" s="128" t="s">
        <v>51</v>
      </c>
      <c r="F50" s="50" t="s">
        <v>47</v>
      </c>
      <c r="G50" s="182">
        <v>44722</v>
      </c>
      <c r="H50" s="183"/>
    </row>
    <row r="51" spans="1:11" s="54" customFormat="1" ht="154" customHeight="1" x14ac:dyDescent="0.35">
      <c r="A51" s="121"/>
      <c r="B51" s="121"/>
      <c r="C51" s="121" t="s">
        <v>319</v>
      </c>
      <c r="D51" s="128"/>
      <c r="E51" s="128" t="s">
        <v>51</v>
      </c>
      <c r="F51" s="87" t="s">
        <v>47</v>
      </c>
      <c r="G51" s="182">
        <v>45492</v>
      </c>
      <c r="H51" s="183"/>
    </row>
    <row r="52" spans="1:11" x14ac:dyDescent="0.35">
      <c r="A52" s="180" t="s">
        <v>53</v>
      </c>
      <c r="B52" s="180"/>
      <c r="C52" s="180"/>
      <c r="D52" s="180"/>
      <c r="E52" s="180"/>
      <c r="F52" s="180"/>
      <c r="G52" s="180"/>
      <c r="H52" s="180"/>
    </row>
    <row r="53" spans="1:11" x14ac:dyDescent="0.35">
      <c r="A53" s="95" t="s">
        <v>132</v>
      </c>
      <c r="B53" s="95"/>
      <c r="C53" s="95"/>
      <c r="D53" s="98">
        <f>E43</f>
        <v>15628.326999999999</v>
      </c>
      <c r="E53" s="98"/>
      <c r="F53" s="98"/>
      <c r="G53" s="98"/>
      <c r="H53" s="98"/>
    </row>
    <row r="54" spans="1:11" x14ac:dyDescent="0.35">
      <c r="A54" s="97" t="s">
        <v>54</v>
      </c>
      <c r="B54" s="98"/>
      <c r="C54" s="98"/>
      <c r="D54" s="98" t="s">
        <v>303</v>
      </c>
      <c r="E54" s="98"/>
      <c r="F54" s="98"/>
      <c r="G54" s="98"/>
      <c r="H54" s="98"/>
    </row>
    <row r="55" spans="1:11" ht="51.75" customHeight="1" x14ac:dyDescent="0.35">
      <c r="A55" s="97" t="s">
        <v>55</v>
      </c>
      <c r="B55" s="98"/>
      <c r="C55" s="98"/>
      <c r="D55" s="97" t="s">
        <v>285</v>
      </c>
      <c r="E55" s="98"/>
      <c r="F55" s="98"/>
      <c r="G55" s="98"/>
      <c r="H55" s="98"/>
    </row>
    <row r="56" spans="1:11" ht="53.25" customHeight="1" x14ac:dyDescent="0.35">
      <c r="A56" s="97" t="s">
        <v>130</v>
      </c>
      <c r="B56" s="98"/>
      <c r="C56" s="98"/>
      <c r="D56" s="97" t="s">
        <v>285</v>
      </c>
      <c r="E56" s="98"/>
      <c r="F56" s="98"/>
      <c r="G56" s="98"/>
      <c r="H56" s="98"/>
    </row>
    <row r="57" spans="1:11" ht="15.75" customHeight="1" x14ac:dyDescent="0.35">
      <c r="A57" s="113" t="s">
        <v>52</v>
      </c>
      <c r="B57" s="113"/>
      <c r="C57" s="113"/>
      <c r="D57" s="95" t="s">
        <v>316</v>
      </c>
      <c r="E57" s="95"/>
      <c r="F57" s="95"/>
      <c r="G57" s="95"/>
      <c r="H57" s="95"/>
    </row>
    <row r="58" spans="1:11" ht="15.75" customHeight="1" x14ac:dyDescent="0.35">
      <c r="A58" s="113" t="s">
        <v>128</v>
      </c>
      <c r="B58" s="113"/>
      <c r="C58" s="113"/>
      <c r="D58" s="95" t="s">
        <v>321</v>
      </c>
      <c r="E58" s="95"/>
      <c r="F58" s="95"/>
      <c r="G58" s="95"/>
      <c r="H58" s="95"/>
    </row>
    <row r="59" spans="1:11" ht="15.75" customHeight="1" x14ac:dyDescent="0.35">
      <c r="A59" s="113" t="s">
        <v>129</v>
      </c>
      <c r="B59" s="113"/>
      <c r="C59" s="113"/>
      <c r="D59" s="95" t="s">
        <v>26</v>
      </c>
      <c r="E59" s="95"/>
      <c r="F59" s="95"/>
      <c r="G59" s="95"/>
      <c r="H59" s="95"/>
      <c r="J59" s="42"/>
      <c r="K59" s="42"/>
    </row>
    <row r="60" spans="1:11" ht="15.75" customHeight="1" thickBot="1" x14ac:dyDescent="0.4">
      <c r="A60" s="113" t="s">
        <v>127</v>
      </c>
      <c r="B60" s="113"/>
      <c r="C60" s="113"/>
      <c r="D60" s="97" t="s">
        <v>317</v>
      </c>
      <c r="E60" s="97"/>
      <c r="F60" s="97"/>
      <c r="G60" s="97"/>
      <c r="H60" s="97"/>
      <c r="J60" s="42"/>
      <c r="K60" s="42"/>
    </row>
    <row r="61" spans="1:11" ht="15.75" customHeight="1" x14ac:dyDescent="0.35">
      <c r="A61" s="121" t="s">
        <v>248</v>
      </c>
      <c r="B61" s="121"/>
      <c r="C61" s="121" t="s">
        <v>315</v>
      </c>
      <c r="D61" s="121"/>
      <c r="E61" s="121"/>
      <c r="F61" s="121"/>
      <c r="G61" s="121"/>
      <c r="H61" s="121"/>
      <c r="I61" s="41" t="str">
        <f ca="1">(IF(E66&gt;99%,"All work completed. Please provide OC.",IF(E66&gt;89.8%,"Plinth, RCC, Brick, Plaster, Flooring, Painting work Completed. Finishing work is in process.",IF(E66&lt;94%,(IF(C66=0,"Work not yet Started.",IF(D66=25%,"Piling work in process",IF(D66=50%,"Excavation work in process",IF(D66=100%,"Excavation work Completed. ","0")))&amp;(IF(C67=0%,"",IF(C67=J68,"Footing work is process",IF(C67=J69,"Footing work Completed",IF(C67=J70,"1st Basement Completed",IF(C67=J71,"1st &amp; 2nd Basement Completed",IF(C67=J72,"1st to 3rd Basement Completed",IF(C67=J73,"1st to 4th Basement Completed",IF(C67=J74,"Plinth work is process",IF(C67=J75,"Plinth work completed","0")))))))))))&amp;(IF(C68=(D62+F62+H62),", RCC Slab",IF(C68&gt;0,", RCC upto "&amp;C68&amp;" Slab",""))&amp;(IF(C69=H62,", Brickwork",IF(C69&gt;0,", Brickwork upto "&amp;C69&amp;" Floor",""))&amp;(IF(C70=H62,", Internal Plaster",IF(C70&gt;0,", Internal Plaster upto "&amp;C70&amp;" Floor",""))&amp;(IF(C71=H62,", External Plaster",IF(C71&gt;0,", External Plaster upto "&amp;C71&amp;" Floor",""))&amp;(IF(C72=H62,", Flooring",IF(C72&gt;0,", Flooring upto "&amp;C72&amp;" Floor",""))&amp;(IF(C73=H62,", Painting",IF(C73&gt;0,", Painting upto "&amp;C73&amp;" Floor",""))&amp;(IF(C74&gt;0,", Finishing upto "&amp;C74&amp;" Floor","")&amp;(IF(C68&gt;0.5," Completed",""))))))))))))))</f>
        <v>All work completed. Please provide OC.</v>
      </c>
      <c r="J61" s="55"/>
    </row>
    <row r="62" spans="1:11" x14ac:dyDescent="0.35">
      <c r="A62" s="91" t="s">
        <v>106</v>
      </c>
      <c r="B62" s="91">
        <v>0</v>
      </c>
      <c r="C62" s="91" t="s">
        <v>108</v>
      </c>
      <c r="D62" s="91">
        <v>1</v>
      </c>
      <c r="E62" s="91" t="s">
        <v>107</v>
      </c>
      <c r="F62" s="91">
        <v>0</v>
      </c>
      <c r="G62" s="91" t="s">
        <v>121</v>
      </c>
      <c r="H62" s="91">
        <f ca="1">--TRIM(RIGHT(SUBSTITUTE(LEFT(C61,_xlfn.AGGREGATE(16,6,FIND({0,1,2,3,4,5,6,7,8,9},C61,ROW(INDIRECT("1:"&amp;LEN(C61)))),1))," ",REPT(" ",LEN(C61))),LEN(C61)))</f>
        <v>7</v>
      </c>
      <c r="I62" s="42"/>
      <c r="J62" s="56"/>
    </row>
    <row r="63" spans="1:11" x14ac:dyDescent="0.35">
      <c r="A63" s="128" t="s">
        <v>131</v>
      </c>
      <c r="B63" s="128"/>
      <c r="C63" s="121" t="str">
        <f>I63</f>
        <v>All work Completed. OC Received.</v>
      </c>
      <c r="D63" s="121"/>
      <c r="E63" s="121"/>
      <c r="F63" s="121"/>
      <c r="G63" s="121"/>
      <c r="H63" s="121"/>
      <c r="I63" s="42" t="s">
        <v>149</v>
      </c>
      <c r="J63" s="56"/>
    </row>
    <row r="64" spans="1:11" ht="31" customHeight="1" thickBot="1" x14ac:dyDescent="0.4">
      <c r="A64" s="99" t="s">
        <v>126</v>
      </c>
      <c r="B64" s="99"/>
      <c r="C64" s="100">
        <f ca="1">E66</f>
        <v>1</v>
      </c>
      <c r="D64" s="101"/>
      <c r="E64" s="101" t="s">
        <v>125</v>
      </c>
      <c r="F64" s="101"/>
      <c r="G64" s="100">
        <f ca="1">G66</f>
        <v>1</v>
      </c>
      <c r="H64" s="101"/>
      <c r="I64" s="42"/>
      <c r="J64" s="56"/>
    </row>
    <row r="65" spans="1:10" ht="16" hidden="1" thickBot="1" x14ac:dyDescent="0.4">
      <c r="A65" s="96" t="s">
        <v>56</v>
      </c>
      <c r="B65" s="96"/>
      <c r="C65" s="90" t="s">
        <v>249</v>
      </c>
      <c r="D65" s="89" t="s">
        <v>124</v>
      </c>
      <c r="E65" s="96" t="s">
        <v>126</v>
      </c>
      <c r="F65" s="96"/>
      <c r="G65" s="96" t="s">
        <v>125</v>
      </c>
      <c r="H65" s="96"/>
      <c r="I65" s="43" t="s">
        <v>250</v>
      </c>
      <c r="J65" s="57">
        <f ca="1">H62*25%</f>
        <v>1.75</v>
      </c>
    </row>
    <row r="66" spans="1:10" ht="16" hidden="1" thickBot="1" x14ac:dyDescent="0.4">
      <c r="A66" s="96" t="s">
        <v>251</v>
      </c>
      <c r="B66" s="96"/>
      <c r="C66" s="58">
        <f ca="1">J67</f>
        <v>7</v>
      </c>
      <c r="D66" s="92">
        <f ca="1">((100/H62)*C66)/100</f>
        <v>1</v>
      </c>
      <c r="E66" s="131">
        <f ca="1">(((C67/H62*10)+(40/(D62+F62+H62)*C68)+(7.5/(H62)*C69)+(7.5/(H62)*C70)+(10/H62*C71)+(10/H62*C72)+(5/H62*C73)+(5/H62*C74)+(5/H62*C75))/100)</f>
        <v>1</v>
      </c>
      <c r="F66" s="131"/>
      <c r="G66" s="131">
        <f ca="1">((((C66/H62)*20)+((C67/H62)*25)+(30/(H62+F62+D62)*C68)+(5/H62*C69)+(5/H62*C70)+(5/H62*C71)+(5/H62*C72)+(0/H62*C73)+(0/H62*C74)+(5/H62*C75))/100)</f>
        <v>1</v>
      </c>
      <c r="H66" s="131"/>
      <c r="I66" s="43" t="s">
        <v>143</v>
      </c>
      <c r="J66" s="60">
        <f ca="1">H62*50%</f>
        <v>3.5</v>
      </c>
    </row>
    <row r="67" spans="1:10" ht="16" hidden="1" thickBot="1" x14ac:dyDescent="0.4">
      <c r="A67" s="96" t="s">
        <v>57</v>
      </c>
      <c r="B67" s="96"/>
      <c r="C67" s="61">
        <f ca="1">J75</f>
        <v>7</v>
      </c>
      <c r="D67" s="92">
        <f ca="1">((100/H62)*C67)/100</f>
        <v>1</v>
      </c>
      <c r="E67" s="131"/>
      <c r="F67" s="131"/>
      <c r="G67" s="131"/>
      <c r="H67" s="131"/>
      <c r="I67" s="43" t="s">
        <v>144</v>
      </c>
      <c r="J67" s="60">
        <f ca="1">H62</f>
        <v>7</v>
      </c>
    </row>
    <row r="68" spans="1:10" ht="16" hidden="1" thickBot="1" x14ac:dyDescent="0.4">
      <c r="A68" s="150" t="s">
        <v>252</v>
      </c>
      <c r="B68" s="150"/>
      <c r="C68" s="61">
        <v>8</v>
      </c>
      <c r="D68" s="92">
        <f ca="1">((100/(D62+F62+H62))*C68)/100</f>
        <v>1</v>
      </c>
      <c r="E68" s="131"/>
      <c r="F68" s="131"/>
      <c r="G68" s="131"/>
      <c r="H68" s="131"/>
      <c r="I68" s="43" t="s">
        <v>145</v>
      </c>
      <c r="J68" s="62">
        <f ca="1">(IF(B62&gt;1,(H62/(B62+2)),H62/4))</f>
        <v>1.75</v>
      </c>
    </row>
    <row r="69" spans="1:10" ht="16" hidden="1" thickBot="1" x14ac:dyDescent="0.4">
      <c r="A69" s="96" t="s">
        <v>253</v>
      </c>
      <c r="B69" s="96" t="s">
        <v>254</v>
      </c>
      <c r="C69" s="58">
        <v>7</v>
      </c>
      <c r="D69" s="92">
        <f ca="1">((100/H62)*C69)/100</f>
        <v>1</v>
      </c>
      <c r="E69" s="131"/>
      <c r="F69" s="131"/>
      <c r="G69" s="131"/>
      <c r="H69" s="131"/>
      <c r="I69" s="43" t="s">
        <v>146</v>
      </c>
      <c r="J69" s="62">
        <f ca="1">(IF(B62&gt;1,(H62/(B62+2)+J68),H62/4+J68))</f>
        <v>3.5</v>
      </c>
    </row>
    <row r="70" spans="1:10" ht="16" hidden="1" thickBot="1" x14ac:dyDescent="0.4">
      <c r="A70" s="96" t="s">
        <v>255</v>
      </c>
      <c r="B70" s="96" t="s">
        <v>254</v>
      </c>
      <c r="C70" s="58">
        <v>7</v>
      </c>
      <c r="D70" s="92">
        <f ca="1">((100/H62)*C70)/100</f>
        <v>1</v>
      </c>
      <c r="E70" s="131"/>
      <c r="F70" s="131"/>
      <c r="G70" s="131"/>
      <c r="H70" s="131"/>
      <c r="I70" s="43" t="s">
        <v>256</v>
      </c>
      <c r="J70" s="62">
        <f>(IF(B62&gt;1,(H62/(B62+2)+J69),0))</f>
        <v>0</v>
      </c>
    </row>
    <row r="71" spans="1:10" ht="15" hidden="1" customHeight="1" x14ac:dyDescent="0.35">
      <c r="A71" s="150" t="s">
        <v>257</v>
      </c>
      <c r="B71" s="150" t="s">
        <v>258</v>
      </c>
      <c r="C71" s="58">
        <v>7</v>
      </c>
      <c r="D71" s="92">
        <f ca="1">((100/(H62))*C71)/100</f>
        <v>1</v>
      </c>
      <c r="E71" s="131"/>
      <c r="F71" s="131"/>
      <c r="G71" s="131"/>
      <c r="H71" s="131"/>
      <c r="I71" s="43" t="s">
        <v>259</v>
      </c>
      <c r="J71" s="62">
        <f>(IF(B62&gt;2,(H62/(B62+2)+J70),0))</f>
        <v>0</v>
      </c>
    </row>
    <row r="72" spans="1:10" ht="16" hidden="1" thickBot="1" x14ac:dyDescent="0.4">
      <c r="A72" s="96" t="s">
        <v>260</v>
      </c>
      <c r="B72" s="96" t="s">
        <v>260</v>
      </c>
      <c r="C72" s="58">
        <v>7</v>
      </c>
      <c r="D72" s="92">
        <f ca="1">((100/H62)*C72)/100</f>
        <v>1</v>
      </c>
      <c r="E72" s="131"/>
      <c r="F72" s="131"/>
      <c r="G72" s="131"/>
      <c r="H72" s="131"/>
      <c r="I72" s="43" t="s">
        <v>261</v>
      </c>
      <c r="J72" s="63">
        <f>(IF(B62&gt;3,(H62/(B62+2)+J71),0))</f>
        <v>0</v>
      </c>
    </row>
    <row r="73" spans="1:10" ht="16" hidden="1" thickBot="1" x14ac:dyDescent="0.4">
      <c r="A73" s="96" t="s">
        <v>262</v>
      </c>
      <c r="B73" s="96"/>
      <c r="C73" s="58">
        <v>7</v>
      </c>
      <c r="D73" s="92">
        <f ca="1">((100/H62)*C73)/100</f>
        <v>1</v>
      </c>
      <c r="E73" s="131"/>
      <c r="F73" s="131"/>
      <c r="G73" s="131"/>
      <c r="H73" s="131"/>
      <c r="I73" s="43" t="s">
        <v>263</v>
      </c>
      <c r="J73" s="62">
        <f>(IF(B62&gt;4,(H62/(B62+2)+J72),0))</f>
        <v>0</v>
      </c>
    </row>
    <row r="74" spans="1:10" ht="15" hidden="1" customHeight="1" x14ac:dyDescent="0.35">
      <c r="A74" s="96" t="s">
        <v>264</v>
      </c>
      <c r="B74" s="96" t="s">
        <v>264</v>
      </c>
      <c r="C74" s="58">
        <v>7</v>
      </c>
      <c r="D74" s="92">
        <f ca="1">((100/(H62))*C74)/100</f>
        <v>1</v>
      </c>
      <c r="E74" s="131"/>
      <c r="F74" s="131"/>
      <c r="G74" s="131"/>
      <c r="H74" s="131"/>
      <c r="I74" s="43" t="s">
        <v>147</v>
      </c>
      <c r="J74" s="62">
        <f ca="1">(IF(B62=1,(H62/(B62+3)+J69),IF(B62=0,(H62/4+J69),IF(B62&gt;1,0))))</f>
        <v>5.25</v>
      </c>
    </row>
    <row r="75" spans="1:10" ht="16" hidden="1" thickBot="1" x14ac:dyDescent="0.4">
      <c r="A75" s="96" t="s">
        <v>265</v>
      </c>
      <c r="B75" s="96"/>
      <c r="C75" s="58">
        <v>7</v>
      </c>
      <c r="D75" s="92">
        <f ca="1">((100/(H62))*C75)/100</f>
        <v>1</v>
      </c>
      <c r="E75" s="131"/>
      <c r="F75" s="131"/>
      <c r="G75" s="131"/>
      <c r="H75" s="131"/>
      <c r="I75" s="44" t="s">
        <v>148</v>
      </c>
      <c r="J75" s="66">
        <f ca="1">(IF(B62&gt;1.5,(H62/(B62+2)+J69+MAX(0,J70-J69)+MAX(0,J71-J70)+MAX(0,J72-J71)+MAX(0,J73-J72)+MAX(0,J74-J73)),IF(B62=1,(H62/(B62+3)+J74),IF(B62=0,H62/4+J74))))</f>
        <v>7</v>
      </c>
    </row>
    <row r="76" spans="1:10" ht="15.75" customHeight="1" x14ac:dyDescent="0.35">
      <c r="A76" s="121" t="s">
        <v>248</v>
      </c>
      <c r="B76" s="121"/>
      <c r="C76" s="121" t="s">
        <v>282</v>
      </c>
      <c r="D76" s="121"/>
      <c r="E76" s="121"/>
      <c r="F76" s="121"/>
      <c r="G76" s="121"/>
      <c r="H76" s="121"/>
      <c r="I76" s="41" t="str">
        <f ca="1">(IF(E81&gt;99%,"All work completed. Please provide OC.",IF(E81&gt;89.8%,"Plinth, RCC, Brick, Plaster, Flooring, Painting work Completed. Finishing work is in process.",IF(E81&lt;94%,(IF(C81=0,"Work not yet Started.",IF(D81=25%,"Piling work in process",IF(D81=50%,"Excavation work in process",IF(D81=100%,"Excavation work Completed. ","0")))&amp;(IF(C82=0%,"",IF(C82=J83,"Footing work is process",IF(C82=J84,"Footing work Completed",IF(C82=J85,"1st Basement Completed",IF(C82=J86,"1st &amp; 2nd Basement Completed",IF(C82=J87,"1st to 3rd Basement Completed",IF(C82=J88,"1st to 4th Basement Completed",IF(C82=J89,"Plinth work is process",IF(C82=J90,"Plinth work completed","0")))))))))))&amp;(IF(C83=(D77+F77+H77),", RCC Slab",IF(C83&gt;0,", RCC upto "&amp;C83&amp;" Slab",""))&amp;(IF(C84=H77,", Brickwork",IF(C84&gt;0,", Brickwork upto "&amp;C84&amp;" Floor",""))&amp;(IF(C85=H77,", Internal Plaster",IF(C85&gt;0,", Internal Plaster upto "&amp;C85&amp;" Floor",""))&amp;(IF(C86=H77,", External Plaster",IF(C86&gt;0,", External Plaster upto "&amp;C86&amp;" Floor",""))&amp;(IF(C87=H77,", Flooring",IF(C87&gt;0,", Flooring upto "&amp;C87&amp;" Floor",""))&amp;(IF(C88=H77,", Painting",IF(C88&gt;0,", Painting upto "&amp;C88&amp;" Floor",""))&amp;(IF(C89&gt;0,", Finishing upto "&amp;C89&amp;" Floor","")&amp;(IF(C83&gt;0.5," Completed",""))))))))))))))</f>
        <v>All work completed. Please provide OC.</v>
      </c>
      <c r="J76" s="55"/>
    </row>
    <row r="77" spans="1:10" x14ac:dyDescent="0.35">
      <c r="A77" s="91" t="s">
        <v>106</v>
      </c>
      <c r="B77" s="91">
        <v>0</v>
      </c>
      <c r="C77" s="91" t="s">
        <v>108</v>
      </c>
      <c r="D77" s="91">
        <v>1</v>
      </c>
      <c r="E77" s="91" t="s">
        <v>107</v>
      </c>
      <c r="F77" s="91">
        <v>0</v>
      </c>
      <c r="G77" s="91" t="s">
        <v>121</v>
      </c>
      <c r="H77" s="91">
        <f ca="1">--TRIM(RIGHT(SUBSTITUTE(LEFT(C76,_xlfn.AGGREGATE(16,6,FIND({0,1,2,3,4,5,6,7,8,9},C76,ROW(INDIRECT("1:"&amp;LEN(C76)))),1))," ",REPT(" ",LEN(C76))),LEN(C76)))</f>
        <v>8</v>
      </c>
      <c r="I77" s="42"/>
      <c r="J77" s="56"/>
    </row>
    <row r="78" spans="1:10" x14ac:dyDescent="0.35">
      <c r="A78" s="128" t="s">
        <v>131</v>
      </c>
      <c r="B78" s="128"/>
      <c r="C78" s="121" t="str">
        <f>I78</f>
        <v>All work Completed. OC Received.</v>
      </c>
      <c r="D78" s="121"/>
      <c r="E78" s="121"/>
      <c r="F78" s="121"/>
      <c r="G78" s="121"/>
      <c r="H78" s="121"/>
      <c r="I78" s="42" t="s">
        <v>149</v>
      </c>
      <c r="J78" s="56"/>
    </row>
    <row r="79" spans="1:10" ht="31" customHeight="1" thickBot="1" x14ac:dyDescent="0.4">
      <c r="A79" s="99" t="s">
        <v>126</v>
      </c>
      <c r="B79" s="99"/>
      <c r="C79" s="100">
        <f ca="1">E81</f>
        <v>1</v>
      </c>
      <c r="D79" s="101"/>
      <c r="E79" s="101" t="s">
        <v>125</v>
      </c>
      <c r="F79" s="101"/>
      <c r="G79" s="100">
        <f ca="1">G81</f>
        <v>1</v>
      </c>
      <c r="H79" s="101"/>
      <c r="I79" s="42"/>
      <c r="J79" s="56"/>
    </row>
    <row r="80" spans="1:10" hidden="1" x14ac:dyDescent="0.35">
      <c r="A80" s="161" t="s">
        <v>56</v>
      </c>
      <c r="B80" s="162"/>
      <c r="C80" s="93" t="s">
        <v>249</v>
      </c>
      <c r="D80" s="94" t="s">
        <v>124</v>
      </c>
      <c r="E80" s="162" t="s">
        <v>126</v>
      </c>
      <c r="F80" s="162"/>
      <c r="G80" s="162" t="s">
        <v>125</v>
      </c>
      <c r="H80" s="163"/>
      <c r="I80" s="43" t="s">
        <v>250</v>
      </c>
      <c r="J80" s="57">
        <f ca="1">H77*25%</f>
        <v>2</v>
      </c>
    </row>
    <row r="81" spans="1:10" hidden="1" x14ac:dyDescent="0.35">
      <c r="A81" s="148" t="s">
        <v>251</v>
      </c>
      <c r="B81" s="96"/>
      <c r="C81" s="58">
        <f ca="1">J82</f>
        <v>8</v>
      </c>
      <c r="D81" s="59">
        <f ca="1">((100/H77)*C81)/100</f>
        <v>1</v>
      </c>
      <c r="E81" s="131">
        <f ca="1">(((C82/H77*10)+(40/(D77+F77+H77)*C83)+(7.5/(H77)*C84)+(7.5/(H77)*C85)+(10/H77*C86)+(10/H77*C87)+(5/H77*C88)+(5/H77*C89)+(5/H77*C90))/100)</f>
        <v>1</v>
      </c>
      <c r="F81" s="131"/>
      <c r="G81" s="131">
        <f ca="1">((((C81/H77)*20)+((C82/H77)*25)+(30/(H77+F77+D77)*C83)+(5/H77*C84)+(5/H77*C85)+(5/H77*C86)+(5/H77*C87)+(0/H77*C88)+(0/H77*C89)+(5/H77*C90))/100)</f>
        <v>1</v>
      </c>
      <c r="H81" s="133"/>
      <c r="I81" s="43" t="s">
        <v>143</v>
      </c>
      <c r="J81" s="60">
        <f ca="1">H77*50%</f>
        <v>4</v>
      </c>
    </row>
    <row r="82" spans="1:10" hidden="1" x14ac:dyDescent="0.35">
      <c r="A82" s="148" t="s">
        <v>57</v>
      </c>
      <c r="B82" s="96"/>
      <c r="C82" s="61">
        <v>8</v>
      </c>
      <c r="D82" s="59">
        <f ca="1">((100/H77)*C82)/100</f>
        <v>1</v>
      </c>
      <c r="E82" s="131"/>
      <c r="F82" s="131"/>
      <c r="G82" s="131"/>
      <c r="H82" s="133"/>
      <c r="I82" s="43" t="s">
        <v>144</v>
      </c>
      <c r="J82" s="60">
        <f ca="1">H77</f>
        <v>8</v>
      </c>
    </row>
    <row r="83" spans="1:10" hidden="1" x14ac:dyDescent="0.35">
      <c r="A83" s="149" t="s">
        <v>252</v>
      </c>
      <c r="B83" s="150"/>
      <c r="C83" s="61">
        <v>9</v>
      </c>
      <c r="D83" s="59">
        <f ca="1">((100/(D77+F77+H77))*C83)/100</f>
        <v>1</v>
      </c>
      <c r="E83" s="131"/>
      <c r="F83" s="131"/>
      <c r="G83" s="131"/>
      <c r="H83" s="133"/>
      <c r="I83" s="43" t="s">
        <v>145</v>
      </c>
      <c r="J83" s="62">
        <f ca="1">(IF(B77&gt;1,(H77/(B77+2)),H77/4))</f>
        <v>2</v>
      </c>
    </row>
    <row r="84" spans="1:10" hidden="1" x14ac:dyDescent="0.35">
      <c r="A84" s="148" t="s">
        <v>253</v>
      </c>
      <c r="B84" s="96" t="s">
        <v>254</v>
      </c>
      <c r="C84" s="58">
        <v>8</v>
      </c>
      <c r="D84" s="59">
        <f ca="1">((100/H77)*C84)/100</f>
        <v>1</v>
      </c>
      <c r="E84" s="131"/>
      <c r="F84" s="131"/>
      <c r="G84" s="131"/>
      <c r="H84" s="133"/>
      <c r="I84" s="43" t="s">
        <v>146</v>
      </c>
      <c r="J84" s="62">
        <f ca="1">(IF(B77&gt;1,(H77/(B77+2)+J83),H77/4+J83))</f>
        <v>4</v>
      </c>
    </row>
    <row r="85" spans="1:10" hidden="1" x14ac:dyDescent="0.35">
      <c r="A85" s="148" t="s">
        <v>255</v>
      </c>
      <c r="B85" s="96" t="s">
        <v>254</v>
      </c>
      <c r="C85" s="58">
        <v>8</v>
      </c>
      <c r="D85" s="59">
        <f ca="1">((100/H77)*C85)/100</f>
        <v>1</v>
      </c>
      <c r="E85" s="131"/>
      <c r="F85" s="131"/>
      <c r="G85" s="131"/>
      <c r="H85" s="133"/>
      <c r="I85" s="43" t="s">
        <v>256</v>
      </c>
      <c r="J85" s="62">
        <f>(IF(B77&gt;1,(H77/(B77+2)+J84),0))</f>
        <v>0</v>
      </c>
    </row>
    <row r="86" spans="1:10" ht="15" hidden="1" customHeight="1" x14ac:dyDescent="0.35">
      <c r="A86" s="149" t="s">
        <v>257</v>
      </c>
      <c r="B86" s="150" t="s">
        <v>258</v>
      </c>
      <c r="C86" s="58">
        <v>8</v>
      </c>
      <c r="D86" s="59">
        <f ca="1">((100/(H77))*C86)/100</f>
        <v>1</v>
      </c>
      <c r="E86" s="131"/>
      <c r="F86" s="131"/>
      <c r="G86" s="131"/>
      <c r="H86" s="133"/>
      <c r="I86" s="43" t="s">
        <v>259</v>
      </c>
      <c r="J86" s="62">
        <f>(IF(B77&gt;2,(H77/(B77+2)+J85),0))</f>
        <v>0</v>
      </c>
    </row>
    <row r="87" spans="1:10" hidden="1" x14ac:dyDescent="0.35">
      <c r="A87" s="148" t="s">
        <v>260</v>
      </c>
      <c r="B87" s="96" t="s">
        <v>260</v>
      </c>
      <c r="C87" s="58">
        <v>8</v>
      </c>
      <c r="D87" s="59">
        <f ca="1">((100/H77)*C87)/100</f>
        <v>1</v>
      </c>
      <c r="E87" s="131"/>
      <c r="F87" s="131"/>
      <c r="G87" s="131"/>
      <c r="H87" s="133"/>
      <c r="I87" s="43" t="s">
        <v>261</v>
      </c>
      <c r="J87" s="63">
        <f>(IF(B77&gt;3,(H77/(B77+2)+J86),0))</f>
        <v>0</v>
      </c>
    </row>
    <row r="88" spans="1:10" hidden="1" x14ac:dyDescent="0.35">
      <c r="A88" s="148" t="s">
        <v>262</v>
      </c>
      <c r="B88" s="96"/>
      <c r="C88" s="58">
        <v>8</v>
      </c>
      <c r="D88" s="59">
        <f ca="1">((100/H77)*C88)/100</f>
        <v>1</v>
      </c>
      <c r="E88" s="131"/>
      <c r="F88" s="131"/>
      <c r="G88" s="131"/>
      <c r="H88" s="133"/>
      <c r="I88" s="43" t="s">
        <v>263</v>
      </c>
      <c r="J88" s="62">
        <f>(IF(B77&gt;4,(H77/(B77+2)+J87),0))</f>
        <v>0</v>
      </c>
    </row>
    <row r="89" spans="1:10" ht="15" hidden="1" customHeight="1" x14ac:dyDescent="0.35">
      <c r="A89" s="148" t="s">
        <v>264</v>
      </c>
      <c r="B89" s="96" t="s">
        <v>264</v>
      </c>
      <c r="C89" s="58">
        <v>8</v>
      </c>
      <c r="D89" s="59">
        <f ca="1">((100/(H77))*C89)/100</f>
        <v>1</v>
      </c>
      <c r="E89" s="131"/>
      <c r="F89" s="131"/>
      <c r="G89" s="131"/>
      <c r="H89" s="133"/>
      <c r="I89" s="43" t="s">
        <v>147</v>
      </c>
      <c r="J89" s="62">
        <f ca="1">(IF(B77=1,(H77/(B77+3)+J84),IF(B77=0,(H77/4+J84),IF(B77&gt;1,0))))</f>
        <v>6</v>
      </c>
    </row>
    <row r="90" spans="1:10" ht="16" hidden="1" thickBot="1" x14ac:dyDescent="0.4">
      <c r="A90" s="151" t="s">
        <v>265</v>
      </c>
      <c r="B90" s="152"/>
      <c r="C90" s="64">
        <v>8</v>
      </c>
      <c r="D90" s="65">
        <f ca="1">((100/(H77))*C90)/100</f>
        <v>1</v>
      </c>
      <c r="E90" s="132"/>
      <c r="F90" s="132"/>
      <c r="G90" s="132"/>
      <c r="H90" s="134"/>
      <c r="I90" s="44" t="s">
        <v>148</v>
      </c>
      <c r="J90" s="66">
        <f ca="1">(IF(B77&gt;1.5,(H77/(B77+2)+J84+MAX(0,J85-J84)+MAX(0,J86-J85)+MAX(0,J87-J86)+MAX(0,J88-J87)+MAX(0,J89-J88)),IF(B77=1,(H77/(B77+3)+J89),IF(B77=0,H77/4+J89))))</f>
        <v>8</v>
      </c>
    </row>
    <row r="91" spans="1:10" ht="15.75" hidden="1" customHeight="1" x14ac:dyDescent="0.35">
      <c r="A91" s="164" t="s">
        <v>248</v>
      </c>
      <c r="B91" s="153"/>
      <c r="C91" s="153" t="s">
        <v>267</v>
      </c>
      <c r="D91" s="153"/>
      <c r="E91" s="153"/>
      <c r="F91" s="153"/>
      <c r="G91" s="153"/>
      <c r="H91" s="154"/>
      <c r="I91" s="41" t="str">
        <f ca="1">(IF(E95&gt;99%,"All work completed. Please provide OC.",IF(E95&gt;89.8%,"Plinth, RCC, Brick, Plaster, Flooring, Painting work Completed. Finishing work is in process.",IF(E95&lt;94%,(IF(C95=0,"Work not yet Started.",IF(D95=25%,"Piling work in process",IF(D95=50%,"Excavation work in process",IF(D95=100%,"Excavation work Completed. ","0")))&amp;(IF(C96=0%,"",IF(C96=J97,"Footing work is process",IF(C96=J98,"Footing work Completed",IF(C96=J99,"1st Basement Completed",IF(C96=J100,"1st &amp; 2nd Basement Completed",IF(C96=J101,"1st to 3rd Basement Completed",IF(C96=J102,"1st to 4th Basement Completed",IF(C96=J103,"Plinth work is process",IF(C96=J104,"Plinth work completed","0")))))))))))&amp;(IF(C97=(D92+F92+H92),", RCC Slab",IF(C97&gt;0,", RCC upto "&amp;C97&amp;" Slab",""))&amp;(IF(C98=H92,", Brickwork",IF(C98&gt;0,", Brickwork upto "&amp;C98&amp;" Floor",""))&amp;(IF(C99=H92,", Internal Plaster",IF(C99&gt;0,", Internal Plaster upto "&amp;C99&amp;" Floor",""))&amp;(IF(C100=H92,", External Plaster",IF(C100&gt;0,", External Plaster upto "&amp;C100&amp;" Floor",""))&amp;(IF(C101=H92,", Flooring",IF(C101&gt;0,", Flooring upto "&amp;C101&amp;" Floor",""))&amp;(IF(C102=H92,", Painting",IF(C102&gt;0,", Painting upto "&amp;C102&amp;" Floor",""))&amp;(IF(C103&gt;0,", Finishing upto "&amp;C103&amp;" Floor","")&amp;(IF(C97&gt;0.5," Completed",""))))))))))))))</f>
        <v>Excavation work Completed. Plinth work completed, RCC Slab, Brickwork, Internal Plaster, External Plaster upto 5 Floor, Flooring upto 4 Floor, Painting upto 3 Floor Completed</v>
      </c>
      <c r="J91" s="55"/>
    </row>
    <row r="92" spans="1:10" hidden="1" x14ac:dyDescent="0.35">
      <c r="A92" s="49" t="s">
        <v>106</v>
      </c>
      <c r="B92" s="48">
        <v>0</v>
      </c>
      <c r="C92" s="48" t="s">
        <v>108</v>
      </c>
      <c r="D92" s="48">
        <v>1</v>
      </c>
      <c r="E92" s="48" t="s">
        <v>107</v>
      </c>
      <c r="F92" s="48">
        <v>0</v>
      </c>
      <c r="G92" s="48" t="s">
        <v>121</v>
      </c>
      <c r="H92" s="40">
        <f ca="1">--TRIM(RIGHT(SUBSTITUTE(LEFT(C91,_xlfn.AGGREGATE(16,6,FIND({0,1,2,3,4,5,6,7,8,9},C91,ROW(INDIRECT("1:"&amp;LEN(C91)))),1))," ",REPT(" ",LEN(C91))),LEN(C91)))</f>
        <v>7</v>
      </c>
      <c r="I92" s="42"/>
      <c r="J92" s="56"/>
    </row>
    <row r="93" spans="1:10" ht="50" hidden="1" customHeight="1" x14ac:dyDescent="0.35">
      <c r="A93" s="127" t="s">
        <v>131</v>
      </c>
      <c r="B93" s="128"/>
      <c r="C93" s="121" t="str">
        <f ca="1">I91</f>
        <v>Excavation work Completed. Plinth work completed, RCC Slab, Brickwork, Internal Plaster, External Plaster upto 5 Floor, Flooring upto 4 Floor, Painting upto 3 Floor Completed</v>
      </c>
      <c r="D93" s="121"/>
      <c r="E93" s="121"/>
      <c r="F93" s="121"/>
      <c r="G93" s="121"/>
      <c r="H93" s="129"/>
      <c r="I93" s="42" t="s">
        <v>149</v>
      </c>
      <c r="J93" s="56"/>
    </row>
    <row r="94" spans="1:10" ht="31" hidden="1" x14ac:dyDescent="0.35">
      <c r="A94" s="148" t="s">
        <v>56</v>
      </c>
      <c r="B94" s="96"/>
      <c r="C94" s="47" t="s">
        <v>249</v>
      </c>
      <c r="D94" s="47" t="s">
        <v>124</v>
      </c>
      <c r="E94" s="96" t="s">
        <v>126</v>
      </c>
      <c r="F94" s="96"/>
      <c r="G94" s="96" t="s">
        <v>125</v>
      </c>
      <c r="H94" s="130"/>
      <c r="I94" s="43" t="s">
        <v>250</v>
      </c>
      <c r="J94" s="57">
        <f ca="1">H92*25%</f>
        <v>1.75</v>
      </c>
    </row>
    <row r="95" spans="1:10" hidden="1" x14ac:dyDescent="0.35">
      <c r="A95" s="148" t="s">
        <v>251</v>
      </c>
      <c r="B95" s="96"/>
      <c r="C95" s="58">
        <f ca="1">J96</f>
        <v>7</v>
      </c>
      <c r="D95" s="59">
        <f ca="1">((100/H92)*C95)/100</f>
        <v>1</v>
      </c>
      <c r="E95" s="131">
        <f ca="1">(((C96/H92*10)+(40/(D92+F92+H92)*C97)+(7.5/(H92)*C98)+(7.5/(H92)*C99)+(10/H92*C100)+(10/H92*C101)+(5/H92*C102)+(5/H92*C103)+(5/H92*C104))/100)</f>
        <v>0.79999999999999982</v>
      </c>
      <c r="F95" s="131"/>
      <c r="G95" s="131">
        <f ca="1">((((C95/H92)*20)+((C96/H92)*25)+(30/(H92+F92+D92)*C97)+(5/H92*C98)+(5/H92*C99)+(5/H92*C100)+(5/H92*C101)+(0/H92*C102)+(0/H92*C103)+(5/H92*C104))/100)</f>
        <v>0.91428571428571426</v>
      </c>
      <c r="H95" s="133"/>
      <c r="I95" s="43" t="s">
        <v>143</v>
      </c>
      <c r="J95" s="60">
        <f ca="1">H92*50%</f>
        <v>3.5</v>
      </c>
    </row>
    <row r="96" spans="1:10" hidden="1" x14ac:dyDescent="0.35">
      <c r="A96" s="148" t="s">
        <v>57</v>
      </c>
      <c r="B96" s="96"/>
      <c r="C96" s="61">
        <v>7</v>
      </c>
      <c r="D96" s="59">
        <f ca="1">((100/H92)*C96)/100</f>
        <v>1</v>
      </c>
      <c r="E96" s="131"/>
      <c r="F96" s="131"/>
      <c r="G96" s="131"/>
      <c r="H96" s="133"/>
      <c r="I96" s="43" t="s">
        <v>144</v>
      </c>
      <c r="J96" s="60">
        <f ca="1">H92</f>
        <v>7</v>
      </c>
    </row>
    <row r="97" spans="1:10" hidden="1" x14ac:dyDescent="0.35">
      <c r="A97" s="149" t="s">
        <v>252</v>
      </c>
      <c r="B97" s="150"/>
      <c r="C97" s="61">
        <v>8</v>
      </c>
      <c r="D97" s="59">
        <f ca="1">((100/(D92+F92+H92))*C97)/100</f>
        <v>1</v>
      </c>
      <c r="E97" s="131"/>
      <c r="F97" s="131"/>
      <c r="G97" s="131"/>
      <c r="H97" s="133"/>
      <c r="I97" s="43" t="s">
        <v>145</v>
      </c>
      <c r="J97" s="62">
        <f ca="1">(IF(B92&gt;1,(H92/(B92+2)),H92/4))</f>
        <v>1.75</v>
      </c>
    </row>
    <row r="98" spans="1:10" hidden="1" x14ac:dyDescent="0.35">
      <c r="A98" s="148" t="s">
        <v>253</v>
      </c>
      <c r="B98" s="96" t="s">
        <v>254</v>
      </c>
      <c r="C98" s="58">
        <v>7</v>
      </c>
      <c r="D98" s="59">
        <f ca="1">((100/H92)*C98)/100</f>
        <v>1</v>
      </c>
      <c r="E98" s="131"/>
      <c r="F98" s="131"/>
      <c r="G98" s="131"/>
      <c r="H98" s="133"/>
      <c r="I98" s="43" t="s">
        <v>146</v>
      </c>
      <c r="J98" s="62">
        <f ca="1">(IF(B92&gt;1,(H92/(B92+2)+J97),H92/4+J97))</f>
        <v>3.5</v>
      </c>
    </row>
    <row r="99" spans="1:10" hidden="1" x14ac:dyDescent="0.35">
      <c r="A99" s="148" t="s">
        <v>255</v>
      </c>
      <c r="B99" s="96" t="s">
        <v>254</v>
      </c>
      <c r="C99" s="58">
        <v>7</v>
      </c>
      <c r="D99" s="59">
        <f ca="1">((100/H92)*C99)/100</f>
        <v>1</v>
      </c>
      <c r="E99" s="131"/>
      <c r="F99" s="131"/>
      <c r="G99" s="131"/>
      <c r="H99" s="133"/>
      <c r="I99" s="43" t="s">
        <v>256</v>
      </c>
      <c r="J99" s="62">
        <f>(IF(B92&gt;1,(H92/(B92+2)+J98),0))</f>
        <v>0</v>
      </c>
    </row>
    <row r="100" spans="1:10" ht="15" hidden="1" customHeight="1" x14ac:dyDescent="0.35">
      <c r="A100" s="149" t="s">
        <v>257</v>
      </c>
      <c r="B100" s="150" t="s">
        <v>258</v>
      </c>
      <c r="C100" s="58">
        <v>5</v>
      </c>
      <c r="D100" s="59">
        <f ca="1">((100/(H92))*C100)/100</f>
        <v>0.7142857142857143</v>
      </c>
      <c r="E100" s="131"/>
      <c r="F100" s="131"/>
      <c r="G100" s="131"/>
      <c r="H100" s="133"/>
      <c r="I100" s="43" t="s">
        <v>259</v>
      </c>
      <c r="J100" s="62">
        <f>(IF(B92&gt;2,(H92/(B92+2)+J99),0))</f>
        <v>0</v>
      </c>
    </row>
    <row r="101" spans="1:10" hidden="1" x14ac:dyDescent="0.35">
      <c r="A101" s="148" t="s">
        <v>260</v>
      </c>
      <c r="B101" s="96" t="s">
        <v>260</v>
      </c>
      <c r="C101" s="58">
        <v>4</v>
      </c>
      <c r="D101" s="59">
        <f ca="1">((100/H92)*C101)/100</f>
        <v>0.57142857142857151</v>
      </c>
      <c r="E101" s="131"/>
      <c r="F101" s="131"/>
      <c r="G101" s="131"/>
      <c r="H101" s="133"/>
      <c r="I101" s="43" t="s">
        <v>261</v>
      </c>
      <c r="J101" s="63">
        <f>(IF(B92&gt;3,(H92/(B92+2)+J100),0))</f>
        <v>0</v>
      </c>
    </row>
    <row r="102" spans="1:10" hidden="1" x14ac:dyDescent="0.35">
      <c r="A102" s="148" t="s">
        <v>262</v>
      </c>
      <c r="B102" s="96"/>
      <c r="C102" s="58">
        <v>3</v>
      </c>
      <c r="D102" s="59">
        <f ca="1">((100/H92)*C102)/100</f>
        <v>0.4285714285714286</v>
      </c>
      <c r="E102" s="131"/>
      <c r="F102" s="131"/>
      <c r="G102" s="131"/>
      <c r="H102" s="133"/>
      <c r="I102" s="43" t="s">
        <v>263</v>
      </c>
      <c r="J102" s="62">
        <f>(IF(B92&gt;4,(H92/(B92+2)+J101),0))</f>
        <v>0</v>
      </c>
    </row>
    <row r="103" spans="1:10" ht="15" hidden="1" customHeight="1" x14ac:dyDescent="0.35">
      <c r="A103" s="148" t="s">
        <v>264</v>
      </c>
      <c r="B103" s="96" t="s">
        <v>264</v>
      </c>
      <c r="C103" s="58">
        <v>0</v>
      </c>
      <c r="D103" s="59">
        <f ca="1">((100/(H92))*C103)/100</f>
        <v>0</v>
      </c>
      <c r="E103" s="131"/>
      <c r="F103" s="131"/>
      <c r="G103" s="131"/>
      <c r="H103" s="133"/>
      <c r="I103" s="43" t="s">
        <v>147</v>
      </c>
      <c r="J103" s="62">
        <f ca="1">(IF(B92=1,(H92/(B92+3)+J98),IF(B92=0,(H92/4+J98),IF(B92&gt;1,0))))</f>
        <v>5.25</v>
      </c>
    </row>
    <row r="104" spans="1:10" ht="16" hidden="1" thickBot="1" x14ac:dyDescent="0.4">
      <c r="A104" s="151" t="s">
        <v>265</v>
      </c>
      <c r="B104" s="152"/>
      <c r="C104" s="64">
        <v>0</v>
      </c>
      <c r="D104" s="65">
        <f ca="1">((100/(H92))*C104)/100</f>
        <v>0</v>
      </c>
      <c r="E104" s="132"/>
      <c r="F104" s="132"/>
      <c r="G104" s="132"/>
      <c r="H104" s="134"/>
      <c r="I104" s="44" t="s">
        <v>148</v>
      </c>
      <c r="J104" s="66">
        <f ca="1">(IF(B92&gt;1.5,(H92/(B92+2)+J98+MAX(0,J99-J98)+MAX(0,J100-J99)+MAX(0,J101-J100)+MAX(0,J102-J101)+MAX(0,J103-J102)),IF(B92=1,(H92/(B92+3)+J103),IF(B92=0,H92/4+J103))))</f>
        <v>7</v>
      </c>
    </row>
    <row r="105" spans="1:10" ht="15.75" customHeight="1" x14ac:dyDescent="0.35">
      <c r="A105" s="122" t="s">
        <v>248</v>
      </c>
      <c r="B105" s="123"/>
      <c r="C105" s="124" t="s">
        <v>266</v>
      </c>
      <c r="D105" s="125"/>
      <c r="E105" s="125"/>
      <c r="F105" s="125"/>
      <c r="G105" s="125"/>
      <c r="H105" s="126"/>
      <c r="I105" s="41" t="str">
        <f ca="1">(IF(E110&gt;99%,"All work completed. Please provide OC.",IF(E110&gt;89.8%,"Plinth, RCC, Brick, Plaster, Flooring, Painting work Completed. Finishing work is in process.",IF(E110&lt;94%,(IF(C110=0,"Work not yet Started.",IF(D110=25%,"Piling work in process",IF(D110=50%,"Excavation work in process",IF(D110=100%,"Excavation work Completed. ","0")))&amp;(IF(C111=0%,"",IF(C111=J112,"Footing work is process",IF(C111=J113,"Footing work Completed",IF(C111=J114,"1st Basement Completed",IF(C111=J115,"1st &amp; 2nd Basement Completed",IF(C111=J116,"1st to 3rd Basement Completed",IF(C111=J117,"1st to 4th Basement Completed",IF(C111=J118,"Plinth work is process",IF(C111=J119,"Plinth work completed","0")))))))))))&amp;(IF(C112=(D106+F106+H106),", RCC Slab",IF(C112&gt;0,", RCC upto "&amp;C112&amp;" Slab",""))&amp;(IF(C113=H106,", Brickwork",IF(C113&gt;0,", Brickwork upto "&amp;C113&amp;" Floor",""))&amp;(IF(C114=H106,", Internal Plaster",IF(C114&gt;0,", Internal Plaster upto "&amp;C114&amp;" Floor",""))&amp;(IF(C115=H106,", External Plaster",IF(C115&gt;0,", External Plaster upto "&amp;C115&amp;" Floor",""))&amp;(IF(C116=H106,", Flooring",IF(C116&gt;0,", Flooring upto "&amp;C116&amp;" Floor",""))&amp;(IF(C117=H106,", Painting",IF(C117&gt;0,", Painting upto "&amp;C117&amp;" Floor",""))&amp;(IF(C118&gt;0,", Finishing upto "&amp;C118&amp;" Floor","")&amp;(IF(C112&gt;0.5," Completed",""))))))))))))))</f>
        <v>All work completed. Please provide OC.</v>
      </c>
      <c r="J105" s="55"/>
    </row>
    <row r="106" spans="1:10" x14ac:dyDescent="0.35">
      <c r="A106" s="49" t="s">
        <v>106</v>
      </c>
      <c r="B106" s="48">
        <v>0</v>
      </c>
      <c r="C106" s="48" t="s">
        <v>108</v>
      </c>
      <c r="D106" s="48">
        <v>1</v>
      </c>
      <c r="E106" s="48" t="s">
        <v>107</v>
      </c>
      <c r="F106" s="48">
        <v>0</v>
      </c>
      <c r="G106" s="48" t="s">
        <v>121</v>
      </c>
      <c r="H106" s="40">
        <f ca="1">--TRIM(RIGHT(SUBSTITUTE(LEFT(C105,_xlfn.AGGREGATE(16,6,FIND({0,1,2,3,4,5,6,7,8,9},C105,ROW(INDIRECT("1:"&amp;LEN(C105)))),1))," ",REPT(" ",LEN(C105))),LEN(C105)))</f>
        <v>3</v>
      </c>
      <c r="I106" s="42"/>
      <c r="J106" s="56"/>
    </row>
    <row r="107" spans="1:10" ht="16" thickBot="1" x14ac:dyDescent="0.4">
      <c r="A107" s="127" t="s">
        <v>131</v>
      </c>
      <c r="B107" s="128"/>
      <c r="C107" s="121" t="str">
        <f>I107</f>
        <v>All work Completed. OC Received.</v>
      </c>
      <c r="D107" s="121"/>
      <c r="E107" s="121"/>
      <c r="F107" s="121"/>
      <c r="G107" s="121"/>
      <c r="H107" s="129"/>
      <c r="I107" s="42" t="s">
        <v>149</v>
      </c>
      <c r="J107" s="56"/>
    </row>
    <row r="108" spans="1:10" ht="31" customHeight="1" thickBot="1" x14ac:dyDescent="0.4">
      <c r="A108" s="155" t="s">
        <v>126</v>
      </c>
      <c r="B108" s="156"/>
      <c r="C108" s="157">
        <f ca="1">E110</f>
        <v>1</v>
      </c>
      <c r="D108" s="158"/>
      <c r="E108" s="159" t="s">
        <v>125</v>
      </c>
      <c r="F108" s="158"/>
      <c r="G108" s="157">
        <f ca="1">G110</f>
        <v>1</v>
      </c>
      <c r="H108" s="160"/>
      <c r="I108" s="42"/>
      <c r="J108" s="56"/>
    </row>
    <row r="109" spans="1:10" ht="31" hidden="1" x14ac:dyDescent="0.35">
      <c r="A109" s="109" t="s">
        <v>56</v>
      </c>
      <c r="B109" s="110"/>
      <c r="C109" s="47" t="s">
        <v>249</v>
      </c>
      <c r="D109" s="47" t="s">
        <v>124</v>
      </c>
      <c r="E109" s="96" t="s">
        <v>126</v>
      </c>
      <c r="F109" s="96"/>
      <c r="G109" s="96" t="s">
        <v>125</v>
      </c>
      <c r="H109" s="130"/>
      <c r="I109" s="43" t="s">
        <v>250</v>
      </c>
      <c r="J109" s="57">
        <f ca="1">H106*25%</f>
        <v>0.75</v>
      </c>
    </row>
    <row r="110" spans="1:10" hidden="1" x14ac:dyDescent="0.35">
      <c r="A110" s="109" t="s">
        <v>251</v>
      </c>
      <c r="B110" s="110"/>
      <c r="C110" s="58">
        <f ca="1">J111</f>
        <v>3</v>
      </c>
      <c r="D110" s="59">
        <f ca="1">((100/H106)*C110)/100</f>
        <v>1</v>
      </c>
      <c r="E110" s="131">
        <f ca="1">(((C111/H106*10)+(40/(D106+F106+H106)*C112)+(7.5/(H106)*C113)+(7.5/(H106)*C114)+(10/H106*C115)+(10/H106*C116)+(5/H106*C117)+(5/H106*C118)+(5/H106*C119))/100)</f>
        <v>1</v>
      </c>
      <c r="F110" s="131"/>
      <c r="G110" s="131">
        <f ca="1">((((C110/H106)*20)+((C111/H106)*25)+(30/(H106+F106+D106)*C112)+(5/H106*C113)+(5/H106*C114)+(5/H106*C115)+(5/H106*C116)+(0/H106*C117)+(0/H106*C118)+(5/H106*C119))/100)</f>
        <v>1</v>
      </c>
      <c r="H110" s="133"/>
      <c r="I110" s="43" t="s">
        <v>143</v>
      </c>
      <c r="J110" s="60">
        <f ca="1">H106*50%</f>
        <v>1.5</v>
      </c>
    </row>
    <row r="111" spans="1:10" hidden="1" x14ac:dyDescent="0.35">
      <c r="A111" s="109" t="s">
        <v>57</v>
      </c>
      <c r="B111" s="110"/>
      <c r="C111" s="61">
        <v>3</v>
      </c>
      <c r="D111" s="59">
        <f ca="1">((100/H106)*C111)/100</f>
        <v>1</v>
      </c>
      <c r="E111" s="131"/>
      <c r="F111" s="131"/>
      <c r="G111" s="131"/>
      <c r="H111" s="133"/>
      <c r="I111" s="43" t="s">
        <v>144</v>
      </c>
      <c r="J111" s="60">
        <f ca="1">H106</f>
        <v>3</v>
      </c>
    </row>
    <row r="112" spans="1:10" hidden="1" x14ac:dyDescent="0.35">
      <c r="A112" s="135" t="s">
        <v>252</v>
      </c>
      <c r="B112" s="136"/>
      <c r="C112" s="61">
        <v>4</v>
      </c>
      <c r="D112" s="59">
        <f ca="1">((100/(D106+F106+H106))*C112)/100</f>
        <v>1</v>
      </c>
      <c r="E112" s="131"/>
      <c r="F112" s="131"/>
      <c r="G112" s="131"/>
      <c r="H112" s="133"/>
      <c r="I112" s="43" t="s">
        <v>145</v>
      </c>
      <c r="J112" s="62">
        <f ca="1">(IF(B106&gt;1,(H106/(B106+2)),H106/4))</f>
        <v>0.75</v>
      </c>
    </row>
    <row r="113" spans="1:12" hidden="1" x14ac:dyDescent="0.35">
      <c r="A113" s="109" t="s">
        <v>253</v>
      </c>
      <c r="B113" s="110" t="s">
        <v>254</v>
      </c>
      <c r="C113" s="58">
        <v>3</v>
      </c>
      <c r="D113" s="59">
        <f ca="1">((100/H106)*C113)/100</f>
        <v>1</v>
      </c>
      <c r="E113" s="131"/>
      <c r="F113" s="131"/>
      <c r="G113" s="131"/>
      <c r="H113" s="133"/>
      <c r="I113" s="43" t="s">
        <v>146</v>
      </c>
      <c r="J113" s="62">
        <f ca="1">(IF(B106&gt;1,(H106/(B106+2)+J112),H106/4+J112))</f>
        <v>1.5</v>
      </c>
    </row>
    <row r="114" spans="1:12" hidden="1" x14ac:dyDescent="0.35">
      <c r="A114" s="109" t="s">
        <v>255</v>
      </c>
      <c r="B114" s="110" t="s">
        <v>254</v>
      </c>
      <c r="C114" s="58">
        <v>3</v>
      </c>
      <c r="D114" s="59">
        <f ca="1">((100/H106)*C114)/100</f>
        <v>1</v>
      </c>
      <c r="E114" s="131"/>
      <c r="F114" s="131"/>
      <c r="G114" s="131"/>
      <c r="H114" s="133"/>
      <c r="I114" s="43" t="s">
        <v>256</v>
      </c>
      <c r="J114" s="62">
        <f>(IF(B106&gt;1,(H106/(B106+2)+J113),0))</f>
        <v>0</v>
      </c>
    </row>
    <row r="115" spans="1:12" ht="15" hidden="1" customHeight="1" x14ac:dyDescent="0.35">
      <c r="A115" s="135" t="s">
        <v>257</v>
      </c>
      <c r="B115" s="136" t="s">
        <v>258</v>
      </c>
      <c r="C115" s="58">
        <v>3</v>
      </c>
      <c r="D115" s="59">
        <f ca="1">((100/(H106))*C115)/100</f>
        <v>1</v>
      </c>
      <c r="E115" s="131"/>
      <c r="F115" s="131"/>
      <c r="G115" s="131"/>
      <c r="H115" s="133"/>
      <c r="I115" s="43" t="s">
        <v>259</v>
      </c>
      <c r="J115" s="62">
        <f>(IF(B106&gt;2,(H106/(B106+2)+J114),0))</f>
        <v>0</v>
      </c>
    </row>
    <row r="116" spans="1:12" hidden="1" x14ac:dyDescent="0.35">
      <c r="A116" s="109" t="s">
        <v>260</v>
      </c>
      <c r="B116" s="110" t="s">
        <v>260</v>
      </c>
      <c r="C116" s="58">
        <v>3</v>
      </c>
      <c r="D116" s="59">
        <f ca="1">((100/H106)*C116)/100</f>
        <v>1</v>
      </c>
      <c r="E116" s="131"/>
      <c r="F116" s="131"/>
      <c r="G116" s="131"/>
      <c r="H116" s="133"/>
      <c r="I116" s="43" t="s">
        <v>261</v>
      </c>
      <c r="J116" s="63">
        <f>(IF(B106&gt;3,(H106/(B106+2)+J115),0))</f>
        <v>0</v>
      </c>
    </row>
    <row r="117" spans="1:12" hidden="1" x14ac:dyDescent="0.35">
      <c r="A117" s="109" t="s">
        <v>262</v>
      </c>
      <c r="B117" s="110"/>
      <c r="C117" s="58">
        <v>3</v>
      </c>
      <c r="D117" s="59">
        <f ca="1">((100/H106)*C117)/100</f>
        <v>1</v>
      </c>
      <c r="E117" s="131"/>
      <c r="F117" s="131"/>
      <c r="G117" s="131"/>
      <c r="H117" s="133"/>
      <c r="I117" s="43" t="s">
        <v>263</v>
      </c>
      <c r="J117" s="62">
        <f>(IF(B106&gt;4,(H106/(B106+2)+J116),0))</f>
        <v>0</v>
      </c>
    </row>
    <row r="118" spans="1:12" ht="15" hidden="1" customHeight="1" x14ac:dyDescent="0.35">
      <c r="A118" s="109" t="s">
        <v>264</v>
      </c>
      <c r="B118" s="110" t="s">
        <v>264</v>
      </c>
      <c r="C118" s="58">
        <v>3</v>
      </c>
      <c r="D118" s="59">
        <f ca="1">((100/(H106))*C118)/100</f>
        <v>1</v>
      </c>
      <c r="E118" s="131"/>
      <c r="F118" s="131"/>
      <c r="G118" s="131"/>
      <c r="H118" s="133"/>
      <c r="I118" s="43" t="s">
        <v>147</v>
      </c>
      <c r="J118" s="62">
        <f ca="1">(IF(B106=1,(H106/(B106+3)+J113),IF(B106=0,(H106/4+J113),IF(B106&gt;1,0))))</f>
        <v>2.25</v>
      </c>
    </row>
    <row r="119" spans="1:12" ht="16" hidden="1" thickBot="1" x14ac:dyDescent="0.4">
      <c r="A119" s="111" t="s">
        <v>265</v>
      </c>
      <c r="B119" s="112"/>
      <c r="C119" s="64">
        <v>3</v>
      </c>
      <c r="D119" s="65">
        <f ca="1">((100/(H106))*C119)/100</f>
        <v>1</v>
      </c>
      <c r="E119" s="132"/>
      <c r="F119" s="132"/>
      <c r="G119" s="132"/>
      <c r="H119" s="134"/>
      <c r="I119" s="44" t="s">
        <v>148</v>
      </c>
      <c r="J119" s="66">
        <f ca="1">(IF(B106&gt;1.5,(H106/(B106+2)+J113+MAX(0,J114-J113)+MAX(0,J115-J114)+MAX(0,J116-J115)+MAX(0,J117-J116)+MAX(0,J118-J117)),IF(B106=1,(H106/(B106+3)+J118),IF(B106=0,H106/4+J118))))</f>
        <v>3</v>
      </c>
    </row>
    <row r="120" spans="1:12" x14ac:dyDescent="0.35">
      <c r="A120" s="186" t="s">
        <v>318</v>
      </c>
      <c r="B120" s="186"/>
      <c r="C120" s="186"/>
      <c r="D120" s="186"/>
      <c r="E120" s="186"/>
      <c r="F120" s="186"/>
      <c r="G120" s="186"/>
      <c r="H120" s="186"/>
    </row>
    <row r="121" spans="1:12" x14ac:dyDescent="0.35">
      <c r="A121" s="113" t="s">
        <v>58</v>
      </c>
      <c r="B121" s="113"/>
      <c r="C121" s="113"/>
      <c r="D121" s="113"/>
      <c r="E121" s="113"/>
      <c r="F121" s="113"/>
      <c r="G121" s="113"/>
      <c r="H121" s="113"/>
    </row>
    <row r="122" spans="1:12" ht="35.25" customHeight="1" x14ac:dyDescent="0.35">
      <c r="A122" s="128" t="s">
        <v>111</v>
      </c>
      <c r="B122" s="128"/>
      <c r="C122" s="121" t="s">
        <v>272</v>
      </c>
      <c r="D122" s="121"/>
      <c r="E122" s="121"/>
      <c r="F122" s="121"/>
      <c r="G122" s="121"/>
      <c r="H122" s="121"/>
    </row>
    <row r="123" spans="1:12" x14ac:dyDescent="0.35">
      <c r="A123" s="114" t="s">
        <v>59</v>
      </c>
      <c r="B123" s="114"/>
      <c r="C123" s="114"/>
      <c r="D123" s="114"/>
      <c r="E123" s="114"/>
      <c r="F123" s="114"/>
      <c r="G123" s="114"/>
      <c r="H123" s="114"/>
    </row>
    <row r="124" spans="1:12" x14ac:dyDescent="0.35">
      <c r="A124" s="113" t="s">
        <v>112</v>
      </c>
      <c r="B124" s="113"/>
      <c r="C124" s="113"/>
      <c r="D124" s="113"/>
      <c r="E124" s="113"/>
      <c r="F124" s="120">
        <v>3700</v>
      </c>
      <c r="G124" s="120"/>
      <c r="H124" s="120"/>
      <c r="I124" s="85" t="s">
        <v>308</v>
      </c>
      <c r="J124" s="85" t="s">
        <v>309</v>
      </c>
      <c r="K124" s="85" t="s">
        <v>310</v>
      </c>
      <c r="L124" s="86">
        <v>45132</v>
      </c>
    </row>
    <row r="125" spans="1:12" x14ac:dyDescent="0.35">
      <c r="A125" s="174" t="s">
        <v>120</v>
      </c>
      <c r="B125" s="174"/>
      <c r="C125" s="174"/>
      <c r="D125" s="174"/>
      <c r="E125" s="174"/>
      <c r="F125" s="120">
        <v>3700</v>
      </c>
      <c r="G125" s="120"/>
      <c r="H125" s="120"/>
    </row>
    <row r="126" spans="1:12" s="67" customFormat="1" hidden="1" x14ac:dyDescent="0.3">
      <c r="A126" s="113" t="s">
        <v>136</v>
      </c>
      <c r="B126" s="113"/>
      <c r="C126" s="113"/>
      <c r="D126" s="113"/>
      <c r="E126" s="113"/>
      <c r="F126" s="98" t="s">
        <v>32</v>
      </c>
      <c r="G126" s="98"/>
      <c r="H126" s="98"/>
    </row>
    <row r="127" spans="1:12" s="67" customFormat="1" x14ac:dyDescent="0.3">
      <c r="A127" s="113" t="s">
        <v>137</v>
      </c>
      <c r="B127" s="113"/>
      <c r="C127" s="113"/>
      <c r="D127" s="113"/>
      <c r="E127" s="113"/>
      <c r="F127" s="98" t="s">
        <v>270</v>
      </c>
      <c r="G127" s="98"/>
      <c r="H127" s="98"/>
    </row>
    <row r="128" spans="1:12" s="67" customFormat="1" hidden="1" x14ac:dyDescent="0.3">
      <c r="A128" s="113" t="s">
        <v>138</v>
      </c>
      <c r="B128" s="113"/>
      <c r="C128" s="113"/>
      <c r="D128" s="113"/>
      <c r="E128" s="113"/>
      <c r="F128" s="98" t="s">
        <v>32</v>
      </c>
      <c r="G128" s="98"/>
      <c r="H128" s="98"/>
    </row>
    <row r="129" spans="1:10" s="67" customFormat="1" hidden="1" x14ac:dyDescent="0.3">
      <c r="A129" s="113" t="s">
        <v>139</v>
      </c>
      <c r="B129" s="113"/>
      <c r="C129" s="113"/>
      <c r="D129" s="113"/>
      <c r="E129" s="113"/>
      <c r="F129" s="98" t="s">
        <v>32</v>
      </c>
      <c r="G129" s="98"/>
      <c r="H129" s="98"/>
    </row>
    <row r="130" spans="1:10" s="67" customFormat="1" hidden="1" x14ac:dyDescent="0.3">
      <c r="A130" s="113" t="s">
        <v>140</v>
      </c>
      <c r="B130" s="113"/>
      <c r="C130" s="113"/>
      <c r="D130" s="113"/>
      <c r="E130" s="113"/>
      <c r="F130" s="98" t="s">
        <v>32</v>
      </c>
      <c r="G130" s="98"/>
      <c r="H130" s="98"/>
    </row>
    <row r="131" spans="1:10" s="67" customFormat="1" x14ac:dyDescent="0.3">
      <c r="A131" s="113" t="s">
        <v>141</v>
      </c>
      <c r="B131" s="113"/>
      <c r="C131" s="113"/>
      <c r="D131" s="113"/>
      <c r="E131" s="113"/>
      <c r="F131" s="98" t="s">
        <v>271</v>
      </c>
      <c r="G131" s="98"/>
      <c r="H131" s="98"/>
    </row>
    <row r="132" spans="1:10" s="67" customFormat="1" hidden="1" x14ac:dyDescent="0.3">
      <c r="A132" s="113" t="s">
        <v>142</v>
      </c>
      <c r="B132" s="113"/>
      <c r="C132" s="113"/>
      <c r="D132" s="113"/>
      <c r="E132" s="113"/>
      <c r="F132" s="98" t="s">
        <v>32</v>
      </c>
      <c r="G132" s="98"/>
      <c r="H132" s="98"/>
    </row>
    <row r="133" spans="1:10" x14ac:dyDescent="0.35">
      <c r="A133" s="113" t="s">
        <v>60</v>
      </c>
      <c r="B133" s="113"/>
      <c r="C133" s="113"/>
      <c r="D133" s="113"/>
      <c r="E133" s="113"/>
      <c r="F133" s="97" t="s">
        <v>269</v>
      </c>
      <c r="G133" s="97"/>
      <c r="H133" s="97"/>
    </row>
    <row r="134" spans="1:10" s="68" customFormat="1" x14ac:dyDescent="0.35">
      <c r="A134" s="114" t="s">
        <v>61</v>
      </c>
      <c r="B134" s="114"/>
      <c r="C134" s="114"/>
      <c r="D134" s="114"/>
      <c r="E134" s="114"/>
      <c r="F134" s="98">
        <f>F124*0.8</f>
        <v>2960</v>
      </c>
      <c r="G134" s="98"/>
      <c r="H134" s="98"/>
    </row>
    <row r="135" spans="1:10" s="69" customFormat="1" ht="15.75" customHeight="1" x14ac:dyDescent="0.35">
      <c r="A135" s="104" t="s">
        <v>113</v>
      </c>
      <c r="B135" s="104"/>
      <c r="C135" s="104"/>
      <c r="D135" s="104"/>
      <c r="E135" s="104"/>
      <c r="F135" s="104"/>
      <c r="G135" s="104"/>
      <c r="H135" s="104"/>
    </row>
    <row r="136" spans="1:10" s="69" customFormat="1" ht="15.75" customHeight="1" x14ac:dyDescent="0.35">
      <c r="A136" s="116" t="s">
        <v>62</v>
      </c>
      <c r="B136" s="116"/>
      <c r="C136" s="70" t="s">
        <v>117</v>
      </c>
      <c r="D136" s="119" t="s">
        <v>63</v>
      </c>
      <c r="E136" s="119"/>
      <c r="F136" s="116" t="s">
        <v>64</v>
      </c>
      <c r="G136" s="116"/>
      <c r="H136" s="116"/>
    </row>
    <row r="137" spans="1:10" s="69" customFormat="1" ht="15.75" customHeight="1" x14ac:dyDescent="0.35">
      <c r="A137" s="106" t="s">
        <v>181</v>
      </c>
      <c r="B137" s="107"/>
      <c r="C137" s="71">
        <f>COUNT(D152:D162)+COUNT(D164:D175)+COUNT(D180:D191)</f>
        <v>35</v>
      </c>
      <c r="D137" s="108">
        <f>SUM(D152:D162)+SUM(D164:D175)+SUM(D180:D191)</f>
        <v>13131.183896999999</v>
      </c>
      <c r="E137" s="108"/>
      <c r="F137" s="195">
        <f>SUM(F152:F162)+SUM(F164:F175)+SUM(F180:F191)</f>
        <v>27838.109861639998</v>
      </c>
      <c r="G137" s="196"/>
      <c r="H137" s="197"/>
    </row>
    <row r="138" spans="1:10" s="69" customFormat="1" ht="15.75" customHeight="1" x14ac:dyDescent="0.35">
      <c r="A138" s="106" t="s">
        <v>224</v>
      </c>
      <c r="B138" s="107"/>
      <c r="C138" s="71">
        <f>COUNT(D250:D260)</f>
        <v>11</v>
      </c>
      <c r="D138" s="108">
        <f>SUM(D250:D260)</f>
        <v>4294.1212704</v>
      </c>
      <c r="E138" s="108"/>
      <c r="F138" s="195">
        <f>SUM(F250:F260)</f>
        <v>9103.537093248</v>
      </c>
      <c r="G138" s="196"/>
      <c r="H138" s="197"/>
    </row>
    <row r="139" spans="1:10" s="69" customFormat="1" ht="15.75" customHeight="1" x14ac:dyDescent="0.35">
      <c r="A139" s="106" t="s">
        <v>240</v>
      </c>
      <c r="B139" s="107"/>
      <c r="C139" s="71">
        <f>COUNT(D296:D315)+COUNT(D317:D338)+COUNT(D340:D361)+COUNT(D363:D384)</f>
        <v>86</v>
      </c>
      <c r="D139" s="108">
        <f>SUM(D296:D315)+SUM(D317:D338)+SUM(D340:D361)+SUM(D363:D384)</f>
        <v>37474.876763999979</v>
      </c>
      <c r="E139" s="108"/>
      <c r="F139" s="195">
        <f>SUM(F296:F315)+SUM(F317:F338)+SUM(F340:F361)+SUM(F363:F384)</f>
        <v>76264</v>
      </c>
      <c r="G139" s="196"/>
      <c r="H139" s="197"/>
    </row>
    <row r="140" spans="1:10" s="73" customFormat="1" ht="15" x14ac:dyDescent="0.35">
      <c r="A140" s="184" t="s">
        <v>66</v>
      </c>
      <c r="B140" s="185"/>
      <c r="C140" s="72">
        <f>SUM(C137:C139)</f>
        <v>132</v>
      </c>
      <c r="D140" s="115">
        <f>SUM(D137:D139)</f>
        <v>54900.181931399973</v>
      </c>
      <c r="E140" s="115"/>
      <c r="F140" s="116">
        <f>SUM(F137:F139)</f>
        <v>113205.646954888</v>
      </c>
      <c r="G140" s="116"/>
      <c r="H140" s="116"/>
      <c r="J140" s="83">
        <f>SUM(D140,D146)</f>
        <v>123806.14966979998</v>
      </c>
    </row>
    <row r="141" spans="1:10" s="69" customFormat="1" x14ac:dyDescent="0.35">
      <c r="A141" s="104" t="s">
        <v>105</v>
      </c>
      <c r="B141" s="104"/>
      <c r="C141" s="104"/>
      <c r="D141" s="104"/>
      <c r="E141" s="104"/>
      <c r="F141" s="104"/>
      <c r="G141" s="104"/>
      <c r="H141" s="104"/>
    </row>
    <row r="142" spans="1:10" s="69" customFormat="1" x14ac:dyDescent="0.35">
      <c r="A142" s="116" t="s">
        <v>62</v>
      </c>
      <c r="B142" s="116"/>
      <c r="C142" s="70" t="s">
        <v>117</v>
      </c>
      <c r="D142" s="119" t="s">
        <v>63</v>
      </c>
      <c r="E142" s="119"/>
      <c r="F142" s="116" t="s">
        <v>64</v>
      </c>
      <c r="G142" s="116"/>
      <c r="H142" s="116"/>
    </row>
    <row r="143" spans="1:10" s="69" customFormat="1" ht="15.75" customHeight="1" x14ac:dyDescent="0.35">
      <c r="A143" s="106" t="s">
        <v>181</v>
      </c>
      <c r="B143" s="107"/>
      <c r="C143" s="71">
        <f>COUNT(D176:D178)+COUNT(D192:D194)+COUNT(D196:D205)+COUNT(D207:D216)*2+COUNT(D218:D227)*2</f>
        <v>56</v>
      </c>
      <c r="D143" s="108">
        <f>SUM(D176:D178)+SUM(D192:D194)+SUM(D196:D205)+SUM(D207:D216)*2+SUM(D218:D227)*2</f>
        <v>22049.677260000004</v>
      </c>
      <c r="E143" s="108"/>
      <c r="F143" s="195">
        <f>SUM(F176:F178)+SUM(F192:F194)+SUM(F196:F205)+SUM(F207:F216)*2+SUM(F218:F227)*2</f>
        <v>39538</v>
      </c>
      <c r="G143" s="196"/>
      <c r="H143" s="197"/>
    </row>
    <row r="144" spans="1:10" s="69" customFormat="1" ht="15.75" customHeight="1" x14ac:dyDescent="0.35">
      <c r="A144" s="106" t="s">
        <v>201</v>
      </c>
      <c r="B144" s="107"/>
      <c r="C144" s="71">
        <f>COUNT(D231:D238)*4+COUNT(D240:D247)*4</f>
        <v>64</v>
      </c>
      <c r="D144" s="108">
        <f>SUM(D231:D238)*4+SUM(D240:D247)*4</f>
        <v>19317.6126</v>
      </c>
      <c r="E144" s="108"/>
      <c r="F144" s="195">
        <f>SUM(F231:F238)*4+SUM(F240:F247)*4</f>
        <v>33288</v>
      </c>
      <c r="G144" s="196"/>
      <c r="H144" s="197"/>
    </row>
    <row r="145" spans="1:10" s="69" customFormat="1" ht="15.75" customHeight="1" x14ac:dyDescent="0.35">
      <c r="A145" s="106" t="s">
        <v>224</v>
      </c>
      <c r="B145" s="107"/>
      <c r="C145" s="71">
        <f>COUNT(D262:D271)+COUNT(D273:D282)*3+COUNT(D284:D293)*3</f>
        <v>70</v>
      </c>
      <c r="D145" s="108">
        <f>SUM(D262:D271)+SUM(D273:D282)*3+SUM(D284:D293)*3</f>
        <v>27538.677878400005</v>
      </c>
      <c r="E145" s="108"/>
      <c r="F145" s="195">
        <f>SUM(F262:F271)+SUM(F273:F282)*3+SUM(F284:F293)*3</f>
        <v>49259</v>
      </c>
      <c r="G145" s="196"/>
      <c r="H145" s="197"/>
    </row>
    <row r="146" spans="1:10" s="73" customFormat="1" ht="15" x14ac:dyDescent="0.35">
      <c r="A146" s="184" t="s">
        <v>66</v>
      </c>
      <c r="B146" s="185"/>
      <c r="C146" s="72">
        <f>SUM(C143:C145)</f>
        <v>190</v>
      </c>
      <c r="D146" s="115">
        <f>SUM(D143:D145)</f>
        <v>68905.96773840001</v>
      </c>
      <c r="E146" s="115"/>
      <c r="F146" s="116">
        <f>SUM(F143:F145)</f>
        <v>122085</v>
      </c>
      <c r="G146" s="116"/>
      <c r="H146" s="116"/>
    </row>
    <row r="147" spans="1:10" s="68" customFormat="1" x14ac:dyDescent="0.35">
      <c r="A147" s="118" t="s">
        <v>67</v>
      </c>
      <c r="B147" s="118"/>
      <c r="C147" s="118"/>
      <c r="D147" s="118"/>
      <c r="E147" s="118"/>
      <c r="F147" s="118"/>
      <c r="G147" s="118"/>
      <c r="H147" s="118"/>
    </row>
    <row r="148" spans="1:10" x14ac:dyDescent="0.35">
      <c r="A148" s="118" t="s">
        <v>68</v>
      </c>
      <c r="B148" s="118"/>
      <c r="C148" s="118"/>
      <c r="D148" s="118"/>
      <c r="E148" s="118"/>
      <c r="F148" s="118"/>
      <c r="G148" s="118"/>
      <c r="H148" s="118"/>
    </row>
    <row r="149" spans="1:10" ht="47.25" customHeight="1" x14ac:dyDescent="0.35">
      <c r="A149" s="117" t="s">
        <v>114</v>
      </c>
      <c r="B149" s="117"/>
      <c r="C149" s="46" t="s">
        <v>69</v>
      </c>
      <c r="D149" s="46" t="s">
        <v>70</v>
      </c>
      <c r="E149" s="6" t="s">
        <v>71</v>
      </c>
      <c r="F149" s="46" t="s">
        <v>268</v>
      </c>
      <c r="G149" s="117" t="s">
        <v>72</v>
      </c>
      <c r="H149" s="117"/>
    </row>
    <row r="150" spans="1:10" customFormat="1" ht="15" customHeight="1" x14ac:dyDescent="0.35">
      <c r="A150" s="141" t="s">
        <v>181</v>
      </c>
      <c r="B150" s="141"/>
      <c r="C150" s="141"/>
      <c r="D150" s="141"/>
      <c r="E150" s="141"/>
      <c r="F150" s="141"/>
      <c r="G150" s="141"/>
      <c r="H150" s="141"/>
    </row>
    <row r="151" spans="1:10" customFormat="1" ht="15" customHeight="1" x14ac:dyDescent="0.35">
      <c r="A151" s="141" t="s">
        <v>275</v>
      </c>
      <c r="B151" s="141"/>
      <c r="C151" s="141"/>
      <c r="D151" s="141"/>
      <c r="E151" s="141"/>
      <c r="F151" s="141"/>
      <c r="G151" s="141"/>
      <c r="H151" s="141"/>
    </row>
    <row r="152" spans="1:10" customFormat="1" ht="15" customHeight="1" x14ac:dyDescent="0.35">
      <c r="A152" s="105">
        <v>1</v>
      </c>
      <c r="B152" s="105"/>
      <c r="C152" s="88" t="s">
        <v>183</v>
      </c>
      <c r="D152" s="88">
        <f>(3.6*9.76+2.15*1.2)*10.764</f>
        <v>405.97502399999996</v>
      </c>
      <c r="E152" s="88">
        <v>0</v>
      </c>
      <c r="F152" s="88">
        <f t="shared" ref="F152:F162" si="0">D152*2.12+E152</f>
        <v>860.66705087999992</v>
      </c>
      <c r="G152" s="105" t="str">
        <f>A151</f>
        <v>Ground Floor for Commercial &amp; Parking</v>
      </c>
      <c r="H152" s="105"/>
      <c r="J152">
        <f>F152/D152</f>
        <v>2.12</v>
      </c>
    </row>
    <row r="153" spans="1:10" customFormat="1" ht="14.5" x14ac:dyDescent="0.35">
      <c r="A153" s="105">
        <v>2</v>
      </c>
      <c r="B153" s="105"/>
      <c r="C153" s="88" t="s">
        <v>183</v>
      </c>
      <c r="D153" s="88">
        <f>(3.6*7.25+2.15*1.2)*10.764</f>
        <v>308.71151999999995</v>
      </c>
      <c r="E153" s="88">
        <v>0</v>
      </c>
      <c r="F153" s="88">
        <f t="shared" si="0"/>
        <v>654.46842239999989</v>
      </c>
      <c r="G153" s="105"/>
      <c r="H153" s="105"/>
      <c r="J153">
        <f t="shared" ref="J153:J216" si="1">F153/D153</f>
        <v>2.12</v>
      </c>
    </row>
    <row r="154" spans="1:10" customFormat="1" ht="14.5" x14ac:dyDescent="0.35">
      <c r="A154" s="105">
        <v>3</v>
      </c>
      <c r="B154" s="105"/>
      <c r="C154" s="88" t="s">
        <v>183</v>
      </c>
      <c r="D154" s="88">
        <f>(3.6*8.615+1.2*1.2)*10.764</f>
        <v>349.334856</v>
      </c>
      <c r="E154" s="88">
        <v>0</v>
      </c>
      <c r="F154" s="88">
        <f t="shared" si="0"/>
        <v>740.58989472000007</v>
      </c>
      <c r="G154" s="105"/>
      <c r="H154" s="105"/>
      <c r="J154">
        <f t="shared" si="1"/>
        <v>2.12</v>
      </c>
    </row>
    <row r="155" spans="1:10" customFormat="1" ht="14.5" x14ac:dyDescent="0.35">
      <c r="A155" s="105">
        <v>4</v>
      </c>
      <c r="B155" s="105"/>
      <c r="C155" s="88" t="s">
        <v>183</v>
      </c>
      <c r="D155" s="88">
        <f>(3.6*8.615+2.72*3.03+2*1.3+1.5*1.2)*10.764</f>
        <v>469.90887839999999</v>
      </c>
      <c r="E155" s="88">
        <v>0</v>
      </c>
      <c r="F155" s="88">
        <f t="shared" si="0"/>
        <v>996.20682220800006</v>
      </c>
      <c r="G155" s="105"/>
      <c r="H155" s="105"/>
      <c r="J155">
        <f t="shared" si="1"/>
        <v>2.12</v>
      </c>
    </row>
    <row r="156" spans="1:10" customFormat="1" ht="14.5" x14ac:dyDescent="0.35">
      <c r="A156" s="105">
        <v>5</v>
      </c>
      <c r="B156" s="105"/>
      <c r="C156" s="88" t="s">
        <v>183</v>
      </c>
      <c r="D156" s="88">
        <f>(3.6*11.65+2*1.3+1.5*1.2)*10.764</f>
        <v>498.80376000000001</v>
      </c>
      <c r="E156" s="88">
        <v>0</v>
      </c>
      <c r="F156" s="88">
        <f t="shared" si="0"/>
        <v>1057.4639712000001</v>
      </c>
      <c r="G156" s="105"/>
      <c r="H156" s="105"/>
      <c r="J156">
        <f t="shared" si="1"/>
        <v>2.12</v>
      </c>
    </row>
    <row r="157" spans="1:10" customFormat="1" ht="14.5" x14ac:dyDescent="0.35">
      <c r="A157" s="105">
        <v>6</v>
      </c>
      <c r="B157" s="105"/>
      <c r="C157" s="88" t="s">
        <v>183</v>
      </c>
      <c r="D157" s="88">
        <f t="shared" ref="D157:D158" si="2">(3.6*11.65+2*1.3+1.5*1.2)*10.764</f>
        <v>498.80376000000001</v>
      </c>
      <c r="E157" s="88">
        <v>0</v>
      </c>
      <c r="F157" s="88">
        <f t="shared" si="0"/>
        <v>1057.4639712000001</v>
      </c>
      <c r="G157" s="105"/>
      <c r="H157" s="105"/>
      <c r="J157">
        <f t="shared" si="1"/>
        <v>2.12</v>
      </c>
    </row>
    <row r="158" spans="1:10" customFormat="1" ht="14.5" x14ac:dyDescent="0.35">
      <c r="A158" s="105">
        <v>7</v>
      </c>
      <c r="B158" s="105"/>
      <c r="C158" s="88" t="s">
        <v>183</v>
      </c>
      <c r="D158" s="88">
        <f t="shared" si="2"/>
        <v>498.80376000000001</v>
      </c>
      <c r="E158" s="88">
        <v>0</v>
      </c>
      <c r="F158" s="88">
        <f t="shared" si="0"/>
        <v>1057.4639712000001</v>
      </c>
      <c r="G158" s="105"/>
      <c r="H158" s="105"/>
      <c r="J158">
        <f t="shared" si="1"/>
        <v>2.12</v>
      </c>
    </row>
    <row r="159" spans="1:10" customFormat="1" ht="14.5" x14ac:dyDescent="0.35">
      <c r="A159" s="105">
        <v>8</v>
      </c>
      <c r="B159" s="105"/>
      <c r="C159" s="88" t="s">
        <v>183</v>
      </c>
      <c r="D159" s="88">
        <f>(3.6*11.65+1.5*1.2)*10.764</f>
        <v>470.81736000000001</v>
      </c>
      <c r="E159" s="88">
        <v>0</v>
      </c>
      <c r="F159" s="88">
        <f t="shared" si="0"/>
        <v>998.13280320000001</v>
      </c>
      <c r="G159" s="105"/>
      <c r="H159" s="105"/>
      <c r="J159">
        <f t="shared" si="1"/>
        <v>2.12</v>
      </c>
    </row>
    <row r="160" spans="1:10" customFormat="1" ht="14.5" x14ac:dyDescent="0.35">
      <c r="A160" s="105">
        <v>9</v>
      </c>
      <c r="B160" s="105"/>
      <c r="C160" s="88" t="s">
        <v>183</v>
      </c>
      <c r="D160" s="88">
        <f>(3.6*9.55+1.5*1.2)*10.764</f>
        <v>389.44151999999997</v>
      </c>
      <c r="E160" s="88">
        <v>0</v>
      </c>
      <c r="F160" s="88">
        <f t="shared" si="0"/>
        <v>825.61602240000002</v>
      </c>
      <c r="G160" s="105"/>
      <c r="H160" s="105"/>
      <c r="J160">
        <f t="shared" si="1"/>
        <v>2.12</v>
      </c>
    </row>
    <row r="161" spans="1:11" customFormat="1" ht="14.5" x14ac:dyDescent="0.35">
      <c r="A161" s="105">
        <v>10</v>
      </c>
      <c r="B161" s="105"/>
      <c r="C161" s="88" t="s">
        <v>183</v>
      </c>
      <c r="D161" s="88">
        <f>(2.8*8.25+1.2*1.3+1.5*1.2)*10.764</f>
        <v>284.81543999999997</v>
      </c>
      <c r="E161" s="88">
        <v>0</v>
      </c>
      <c r="F161" s="88">
        <f t="shared" si="0"/>
        <v>603.80873279999992</v>
      </c>
      <c r="G161" s="105"/>
      <c r="H161" s="105"/>
      <c r="J161">
        <f t="shared" si="1"/>
        <v>2.12</v>
      </c>
    </row>
    <row r="162" spans="1:11" customFormat="1" ht="14.5" x14ac:dyDescent="0.35">
      <c r="A162" s="105">
        <v>11</v>
      </c>
      <c r="B162" s="105"/>
      <c r="C162" s="88" t="s">
        <v>183</v>
      </c>
      <c r="D162" s="88">
        <f>(2.8*8.25+1.5*1.2+1.2*1.3)*10.764</f>
        <v>284.81543999999997</v>
      </c>
      <c r="E162" s="88">
        <v>0</v>
      </c>
      <c r="F162" s="88">
        <f t="shared" si="0"/>
        <v>603.80873279999992</v>
      </c>
      <c r="G162" s="105"/>
      <c r="H162" s="105"/>
      <c r="J162">
        <f t="shared" si="1"/>
        <v>2.12</v>
      </c>
    </row>
    <row r="163" spans="1:11" customFormat="1" ht="15" customHeight="1" x14ac:dyDescent="0.35">
      <c r="A163" s="137" t="s">
        <v>276</v>
      </c>
      <c r="B163" s="138"/>
      <c r="C163" s="138"/>
      <c r="D163" s="138"/>
      <c r="E163" s="138"/>
      <c r="F163" s="138"/>
      <c r="G163" s="138"/>
      <c r="H163" s="139"/>
      <c r="J163" t="e">
        <f t="shared" si="1"/>
        <v>#DIV/0!</v>
      </c>
    </row>
    <row r="164" spans="1:11" customFormat="1" ht="15" customHeight="1" x14ac:dyDescent="0.35">
      <c r="A164" s="102">
        <v>12</v>
      </c>
      <c r="B164" s="103"/>
      <c r="C164" s="19" t="s">
        <v>183</v>
      </c>
      <c r="D164" s="26">
        <f>(3.87*3.775+1.15*1.2)*10.764</f>
        <v>172.10828699999996</v>
      </c>
      <c r="E164" s="19">
        <v>0</v>
      </c>
      <c r="F164" s="19">
        <f t="shared" ref="F164:F174" si="3">D164*2.12+E164</f>
        <v>364.86956843999991</v>
      </c>
      <c r="G164" s="142" t="str">
        <f>A163</f>
        <v>1st Floor for Commercial &amp; Residential</v>
      </c>
      <c r="H164" s="143"/>
      <c r="J164">
        <f t="shared" si="1"/>
        <v>2.12</v>
      </c>
    </row>
    <row r="165" spans="1:11" customFormat="1" ht="14.5" x14ac:dyDescent="0.35">
      <c r="A165" s="102">
        <v>13</v>
      </c>
      <c r="B165" s="103"/>
      <c r="C165" s="19" t="s">
        <v>183</v>
      </c>
      <c r="D165" s="26">
        <f>(3.87*4.95)*10.764</f>
        <v>206.20056600000001</v>
      </c>
      <c r="E165" s="19">
        <v>0</v>
      </c>
      <c r="F165" s="19">
        <f t="shared" si="3"/>
        <v>437.14519992000004</v>
      </c>
      <c r="G165" s="144"/>
      <c r="H165" s="145"/>
      <c r="J165">
        <f t="shared" si="1"/>
        <v>2.12</v>
      </c>
    </row>
    <row r="166" spans="1:11" customFormat="1" ht="14.5" x14ac:dyDescent="0.35">
      <c r="A166" s="102">
        <v>14</v>
      </c>
      <c r="B166" s="103"/>
      <c r="C166" s="19" t="s">
        <v>183</v>
      </c>
      <c r="D166" s="26">
        <f>(3.6*7.25+1.15*1.2)*10.764</f>
        <v>295.79471999999998</v>
      </c>
      <c r="E166" s="19">
        <v>0</v>
      </c>
      <c r="F166" s="19">
        <f t="shared" si="3"/>
        <v>627.08480640000005</v>
      </c>
      <c r="G166" s="144"/>
      <c r="H166" s="145"/>
      <c r="J166">
        <f t="shared" si="1"/>
        <v>2.12</v>
      </c>
    </row>
    <row r="167" spans="1:11" customFormat="1" ht="14.5" x14ac:dyDescent="0.35">
      <c r="A167" s="102">
        <v>15</v>
      </c>
      <c r="B167" s="103"/>
      <c r="C167" s="19" t="s">
        <v>183</v>
      </c>
      <c r="D167" s="26">
        <f>(3.6*8.615+1.2*1.2)*10.764</f>
        <v>349.334856</v>
      </c>
      <c r="E167" s="19">
        <v>0</v>
      </c>
      <c r="F167" s="19">
        <f t="shared" si="3"/>
        <v>740.58989472000007</v>
      </c>
      <c r="G167" s="144"/>
      <c r="H167" s="145"/>
      <c r="J167">
        <f t="shared" si="1"/>
        <v>2.12</v>
      </c>
    </row>
    <row r="168" spans="1:11" customFormat="1" ht="14.5" x14ac:dyDescent="0.35">
      <c r="A168" s="102">
        <v>16</v>
      </c>
      <c r="B168" s="103"/>
      <c r="C168" s="19" t="s">
        <v>183</v>
      </c>
      <c r="D168" s="26">
        <f>(3.6*8.615+2.72*3.035+1.12*1.3+1.5*1.2)*10.764</f>
        <v>457.74125280000004</v>
      </c>
      <c r="E168" s="19">
        <v>0</v>
      </c>
      <c r="F168" s="19">
        <f t="shared" si="3"/>
        <v>970.41145593600015</v>
      </c>
      <c r="G168" s="144"/>
      <c r="H168" s="145"/>
      <c r="J168">
        <f t="shared" si="1"/>
        <v>2.12</v>
      </c>
    </row>
    <row r="169" spans="1:11" customFormat="1" ht="14.5" x14ac:dyDescent="0.35">
      <c r="A169" s="102">
        <v>17</v>
      </c>
      <c r="B169" s="103"/>
      <c r="C169" s="19" t="s">
        <v>183</v>
      </c>
      <c r="D169" s="26">
        <f>(3.6*11.65+2*1.3+1.5*1.2)*10.764</f>
        <v>498.80376000000001</v>
      </c>
      <c r="E169" s="19">
        <v>0</v>
      </c>
      <c r="F169" s="19">
        <f t="shared" si="3"/>
        <v>1057.4639712000001</v>
      </c>
      <c r="G169" s="144"/>
      <c r="H169" s="145"/>
      <c r="J169">
        <f t="shared" si="1"/>
        <v>2.12</v>
      </c>
    </row>
    <row r="170" spans="1:11" customFormat="1" ht="14.5" x14ac:dyDescent="0.35">
      <c r="A170" s="102">
        <v>18</v>
      </c>
      <c r="B170" s="103"/>
      <c r="C170" s="19" t="s">
        <v>183</v>
      </c>
      <c r="D170" s="26">
        <f t="shared" ref="D170:D171" si="4">(3.6*11.65+2*1.3+1.5*1.2)*10.764</f>
        <v>498.80376000000001</v>
      </c>
      <c r="E170" s="19">
        <v>0</v>
      </c>
      <c r="F170" s="19">
        <f t="shared" si="3"/>
        <v>1057.4639712000001</v>
      </c>
      <c r="G170" s="144"/>
      <c r="H170" s="145"/>
      <c r="J170">
        <f t="shared" si="1"/>
        <v>2.12</v>
      </c>
    </row>
    <row r="171" spans="1:11" customFormat="1" ht="14.5" x14ac:dyDescent="0.35">
      <c r="A171" s="102">
        <v>19</v>
      </c>
      <c r="B171" s="103"/>
      <c r="C171" s="19" t="s">
        <v>183</v>
      </c>
      <c r="D171" s="26">
        <f t="shared" si="4"/>
        <v>498.80376000000001</v>
      </c>
      <c r="E171" s="19">
        <v>0</v>
      </c>
      <c r="F171" s="19">
        <f t="shared" si="3"/>
        <v>1057.4639712000001</v>
      </c>
      <c r="G171" s="144"/>
      <c r="H171" s="145"/>
      <c r="J171">
        <f t="shared" si="1"/>
        <v>2.12</v>
      </c>
    </row>
    <row r="172" spans="1:11" customFormat="1" ht="14.5" x14ac:dyDescent="0.35">
      <c r="A172" s="102">
        <v>20</v>
      </c>
      <c r="B172" s="103"/>
      <c r="C172" s="19" t="s">
        <v>183</v>
      </c>
      <c r="D172" s="26">
        <f>(3.6*12.95+1.5*1.2)*10.764</f>
        <v>521.19287999999995</v>
      </c>
      <c r="E172" s="19">
        <v>0</v>
      </c>
      <c r="F172" s="19">
        <f t="shared" si="3"/>
        <v>1104.9289056</v>
      </c>
      <c r="G172" s="144"/>
      <c r="H172" s="145"/>
      <c r="J172">
        <f t="shared" si="1"/>
        <v>2.12</v>
      </c>
    </row>
    <row r="173" spans="1:11" customFormat="1" ht="14.5" x14ac:dyDescent="0.35">
      <c r="A173" s="102">
        <v>21</v>
      </c>
      <c r="B173" s="103"/>
      <c r="C173" s="19" t="s">
        <v>183</v>
      </c>
      <c r="D173" s="26">
        <f>(3.6*9.55+1.5*1.2)*10.764</f>
        <v>389.44151999999997</v>
      </c>
      <c r="E173" s="19">
        <v>0</v>
      </c>
      <c r="F173" s="19">
        <f t="shared" si="3"/>
        <v>825.61602240000002</v>
      </c>
      <c r="G173" s="144"/>
      <c r="H173" s="145"/>
      <c r="J173">
        <f t="shared" si="1"/>
        <v>2.12</v>
      </c>
    </row>
    <row r="174" spans="1:11" customFormat="1" ht="14.5" x14ac:dyDescent="0.35">
      <c r="A174" s="102">
        <v>22</v>
      </c>
      <c r="B174" s="103"/>
      <c r="C174" s="19" t="s">
        <v>183</v>
      </c>
      <c r="D174" s="26">
        <f>(4.25*3.577)*10.764</f>
        <v>163.63701899999998</v>
      </c>
      <c r="E174" s="19">
        <v>0</v>
      </c>
      <c r="F174" s="19">
        <f t="shared" si="3"/>
        <v>346.91048028</v>
      </c>
      <c r="G174" s="144"/>
      <c r="H174" s="145"/>
      <c r="J174">
        <f t="shared" si="1"/>
        <v>2.12</v>
      </c>
    </row>
    <row r="175" spans="1:11" customFormat="1" ht="14.5" x14ac:dyDescent="0.35">
      <c r="A175" s="102" t="s">
        <v>286</v>
      </c>
      <c r="B175" s="103"/>
      <c r="C175" s="19" t="s">
        <v>183</v>
      </c>
      <c r="D175" s="26">
        <f>(4.25*5.824)*10.764</f>
        <v>266.43052799999998</v>
      </c>
      <c r="E175" s="19">
        <v>0</v>
      </c>
      <c r="F175" s="19">
        <f t="shared" ref="F175" si="5">D175*2.12+E175</f>
        <v>564.83271935999994</v>
      </c>
      <c r="G175" s="144"/>
      <c r="H175" s="145"/>
      <c r="J175">
        <f t="shared" si="1"/>
        <v>2.12</v>
      </c>
    </row>
    <row r="176" spans="1:11" customFormat="1" ht="14.5" x14ac:dyDescent="0.35">
      <c r="A176" s="102">
        <v>101</v>
      </c>
      <c r="B176" s="103"/>
      <c r="C176" s="19" t="s">
        <v>185</v>
      </c>
      <c r="D176" s="26">
        <f>(3*2.7+1.8*2+3*2.7+1.35*1+1.35*1.2+1.2*1.7+0.75*(2+2.7))*10.764</f>
        <v>304.99794000000009</v>
      </c>
      <c r="E176" s="19">
        <f>(1.85*1.5)*10.764</f>
        <v>29.870100000000001</v>
      </c>
      <c r="F176" s="19">
        <v>606</v>
      </c>
      <c r="G176" s="144"/>
      <c r="H176" s="145"/>
      <c r="I176">
        <f>(29.342)*10.764</f>
        <v>315.83728799999994</v>
      </c>
      <c r="J176">
        <f t="shared" si="1"/>
        <v>1.9868986656106591</v>
      </c>
      <c r="K176">
        <f>(2.97)*10.764</f>
        <v>31.969080000000002</v>
      </c>
    </row>
    <row r="177" spans="1:11" customFormat="1" ht="14.5" x14ac:dyDescent="0.35">
      <c r="A177" s="102">
        <v>102</v>
      </c>
      <c r="B177" s="103"/>
      <c r="C177" s="19" t="s">
        <v>185</v>
      </c>
      <c r="D177" s="26">
        <f>(3.9*2.7+2*2+3*2.7+1.35*1+1.35*1.2+1.2*1.8+0.75*(2+2.7))*10.764</f>
        <v>336.75174000000004</v>
      </c>
      <c r="E177" s="19">
        <f>(1.85*1.5)*10.764</f>
        <v>29.870100000000001</v>
      </c>
      <c r="F177" s="19">
        <v>606</v>
      </c>
      <c r="G177" s="144"/>
      <c r="H177" s="145"/>
      <c r="I177">
        <f>(25.9)*10.764</f>
        <v>278.78759999999994</v>
      </c>
      <c r="J177">
        <f t="shared" si="1"/>
        <v>1.7995452673830281</v>
      </c>
      <c r="K177">
        <f>(2.974)*10.764</f>
        <v>32.012135999999998</v>
      </c>
    </row>
    <row r="178" spans="1:11" customFormat="1" ht="14.5" x14ac:dyDescent="0.35">
      <c r="A178" s="102">
        <v>103</v>
      </c>
      <c r="B178" s="103"/>
      <c r="C178" s="19" t="s">
        <v>185</v>
      </c>
      <c r="D178" s="26">
        <f>(2.7*3.9+1.9*2.2+2.7*3.1+1*1.35+1.2*1.35+1.2*1.8+0.75*(2.7+1.9))*10.764</f>
        <v>340.78824000000003</v>
      </c>
      <c r="E178" s="19">
        <f>(1.95*1.5)*10.764</f>
        <v>31.484699999999997</v>
      </c>
      <c r="F178" s="19">
        <v>613</v>
      </c>
      <c r="G178" s="146"/>
      <c r="H178" s="147"/>
      <c r="I178">
        <f>(29.639)*10.764</f>
        <v>319.03419599999995</v>
      </c>
      <c r="J178">
        <f t="shared" si="1"/>
        <v>1.7987709904543654</v>
      </c>
      <c r="K178">
        <f>(2.632)*10.764</f>
        <v>28.330848</v>
      </c>
    </row>
    <row r="179" spans="1:11" customFormat="1" ht="15" customHeight="1" x14ac:dyDescent="0.35">
      <c r="A179" s="137" t="s">
        <v>277</v>
      </c>
      <c r="B179" s="138"/>
      <c r="C179" s="138"/>
      <c r="D179" s="138"/>
      <c r="E179" s="138"/>
      <c r="F179" s="138"/>
      <c r="G179" s="138"/>
      <c r="H179" s="139"/>
      <c r="J179" t="e">
        <f t="shared" si="1"/>
        <v>#DIV/0!</v>
      </c>
    </row>
    <row r="180" spans="1:11" customFormat="1" ht="15" customHeight="1" x14ac:dyDescent="0.35">
      <c r="A180" s="102">
        <v>23</v>
      </c>
      <c r="B180" s="103"/>
      <c r="C180" s="19" t="s">
        <v>183</v>
      </c>
      <c r="D180" s="26">
        <f>(3.87*3.775+1.15*1.2)*10.764</f>
        <v>172.10828699999996</v>
      </c>
      <c r="E180" s="19">
        <v>0</v>
      </c>
      <c r="F180" s="19">
        <f t="shared" ref="F180:F190" si="6">D180*2.12+E180</f>
        <v>364.86956843999991</v>
      </c>
      <c r="G180" s="142" t="str">
        <f>A179</f>
        <v>2nd Floor for Commercial &amp; Residential</v>
      </c>
      <c r="H180" s="143"/>
      <c r="J180">
        <f t="shared" si="1"/>
        <v>2.12</v>
      </c>
    </row>
    <row r="181" spans="1:11" customFormat="1" ht="14.5" x14ac:dyDescent="0.35">
      <c r="A181" s="102">
        <v>24</v>
      </c>
      <c r="B181" s="103"/>
      <c r="C181" s="19" t="s">
        <v>183</v>
      </c>
      <c r="D181" s="26">
        <f>(3.87*5.775)*10.764</f>
        <v>240.56732700000001</v>
      </c>
      <c r="E181" s="19">
        <v>0</v>
      </c>
      <c r="F181" s="19">
        <f t="shared" si="6"/>
        <v>510.00273324000005</v>
      </c>
      <c r="G181" s="144"/>
      <c r="H181" s="145"/>
      <c r="J181">
        <f t="shared" si="1"/>
        <v>2.12</v>
      </c>
    </row>
    <row r="182" spans="1:11" customFormat="1" ht="14.5" x14ac:dyDescent="0.35">
      <c r="A182" s="102">
        <v>25</v>
      </c>
      <c r="B182" s="103"/>
      <c r="C182" s="19" t="s">
        <v>183</v>
      </c>
      <c r="D182" s="26">
        <f>(3.6*7.25+1.15*1.2)*10.764</f>
        <v>295.79471999999998</v>
      </c>
      <c r="E182" s="19">
        <v>0</v>
      </c>
      <c r="F182" s="19">
        <f t="shared" si="6"/>
        <v>627.08480640000005</v>
      </c>
      <c r="G182" s="144"/>
      <c r="H182" s="145"/>
      <c r="J182">
        <f t="shared" si="1"/>
        <v>2.12</v>
      </c>
    </row>
    <row r="183" spans="1:11" customFormat="1" ht="14.5" x14ac:dyDescent="0.35">
      <c r="A183" s="102">
        <v>26</v>
      </c>
      <c r="B183" s="103"/>
      <c r="C183" s="19" t="s">
        <v>183</v>
      </c>
      <c r="D183" s="26">
        <f>(3.6*8.615+1.2*1.2)*10.764</f>
        <v>349.334856</v>
      </c>
      <c r="E183" s="19">
        <v>0</v>
      </c>
      <c r="F183" s="19">
        <f t="shared" si="6"/>
        <v>740.58989472000007</v>
      </c>
      <c r="G183" s="144"/>
      <c r="H183" s="145"/>
      <c r="J183">
        <f t="shared" si="1"/>
        <v>2.12</v>
      </c>
    </row>
    <row r="184" spans="1:11" customFormat="1" ht="14.5" x14ac:dyDescent="0.35">
      <c r="A184" s="102">
        <v>27</v>
      </c>
      <c r="B184" s="103"/>
      <c r="C184" s="19" t="s">
        <v>183</v>
      </c>
      <c r="D184" s="26">
        <f>(3.6*8.615+2.72*3.035+1.12*1.3+1.5*1.2)*10.764</f>
        <v>457.74125280000004</v>
      </c>
      <c r="E184" s="19">
        <v>0</v>
      </c>
      <c r="F184" s="19">
        <f t="shared" si="6"/>
        <v>970.41145593600015</v>
      </c>
      <c r="G184" s="144"/>
      <c r="H184" s="145"/>
      <c r="J184">
        <f t="shared" si="1"/>
        <v>2.12</v>
      </c>
    </row>
    <row r="185" spans="1:11" customFormat="1" ht="14.5" x14ac:dyDescent="0.35">
      <c r="A185" s="102">
        <v>28</v>
      </c>
      <c r="B185" s="103"/>
      <c r="C185" s="19" t="s">
        <v>183</v>
      </c>
      <c r="D185" s="26">
        <f>(3.6*11.65+2*1.3+1.5*1.2)*10.764</f>
        <v>498.80376000000001</v>
      </c>
      <c r="E185" s="19">
        <v>0</v>
      </c>
      <c r="F185" s="19">
        <f t="shared" si="6"/>
        <v>1057.4639712000001</v>
      </c>
      <c r="G185" s="144"/>
      <c r="H185" s="145"/>
      <c r="J185">
        <f t="shared" si="1"/>
        <v>2.12</v>
      </c>
    </row>
    <row r="186" spans="1:11" customFormat="1" ht="14.5" x14ac:dyDescent="0.35">
      <c r="A186" s="102">
        <v>29</v>
      </c>
      <c r="B186" s="103"/>
      <c r="C186" s="19" t="s">
        <v>183</v>
      </c>
      <c r="D186" s="26">
        <f t="shared" ref="D186:D187" si="7">(3.6*11.65+2*1.3+1.5*1.2)*10.764</f>
        <v>498.80376000000001</v>
      </c>
      <c r="E186" s="19">
        <v>0</v>
      </c>
      <c r="F186" s="19">
        <f t="shared" si="6"/>
        <v>1057.4639712000001</v>
      </c>
      <c r="G186" s="144"/>
      <c r="H186" s="145"/>
      <c r="J186">
        <f t="shared" si="1"/>
        <v>2.12</v>
      </c>
    </row>
    <row r="187" spans="1:11" customFormat="1" ht="14.5" x14ac:dyDescent="0.35">
      <c r="A187" s="102">
        <v>30</v>
      </c>
      <c r="B187" s="103"/>
      <c r="C187" s="19" t="s">
        <v>183</v>
      </c>
      <c r="D187" s="26">
        <f t="shared" si="7"/>
        <v>498.80376000000001</v>
      </c>
      <c r="E187" s="19">
        <v>0</v>
      </c>
      <c r="F187" s="19">
        <f t="shared" si="6"/>
        <v>1057.4639712000001</v>
      </c>
      <c r="G187" s="144"/>
      <c r="H187" s="145"/>
      <c r="J187">
        <f t="shared" si="1"/>
        <v>2.12</v>
      </c>
    </row>
    <row r="188" spans="1:11" customFormat="1" ht="14.5" x14ac:dyDescent="0.35">
      <c r="A188" s="102">
        <v>31</v>
      </c>
      <c r="B188" s="103"/>
      <c r="C188" s="19" t="s">
        <v>183</v>
      </c>
      <c r="D188" s="26">
        <f>(3.6*12.95+1.5*1.2)*10.764</f>
        <v>521.19287999999995</v>
      </c>
      <c r="E188" s="19">
        <v>0</v>
      </c>
      <c r="F188" s="19">
        <f t="shared" si="6"/>
        <v>1104.9289056</v>
      </c>
      <c r="G188" s="144"/>
      <c r="H188" s="145"/>
      <c r="J188">
        <f t="shared" si="1"/>
        <v>2.12</v>
      </c>
    </row>
    <row r="189" spans="1:11" customFormat="1" ht="14.5" x14ac:dyDescent="0.35">
      <c r="A189" s="102">
        <v>32</v>
      </c>
      <c r="B189" s="103"/>
      <c r="C189" s="19" t="s">
        <v>183</v>
      </c>
      <c r="D189" s="26">
        <f>(3.6*9.55+1.5*1.2)*10.764</f>
        <v>389.44151999999997</v>
      </c>
      <c r="E189" s="19">
        <v>0</v>
      </c>
      <c r="F189" s="19">
        <f t="shared" si="6"/>
        <v>825.61602240000002</v>
      </c>
      <c r="G189" s="144"/>
      <c r="H189" s="145"/>
      <c r="J189">
        <f t="shared" si="1"/>
        <v>2.12</v>
      </c>
    </row>
    <row r="190" spans="1:11" customFormat="1" ht="14.5" x14ac:dyDescent="0.35">
      <c r="A190" s="102">
        <v>33</v>
      </c>
      <c r="B190" s="103"/>
      <c r="C190" s="19" t="s">
        <v>183</v>
      </c>
      <c r="D190" s="26">
        <f>(4.25*3.577)*10.764</f>
        <v>163.63701899999998</v>
      </c>
      <c r="E190" s="19">
        <v>0</v>
      </c>
      <c r="F190" s="19">
        <f t="shared" si="6"/>
        <v>346.91048028</v>
      </c>
      <c r="G190" s="144"/>
      <c r="H190" s="145"/>
      <c r="J190">
        <f t="shared" si="1"/>
        <v>2.12</v>
      </c>
    </row>
    <row r="191" spans="1:11" customFormat="1" ht="14.5" x14ac:dyDescent="0.35">
      <c r="A191" s="102" t="s">
        <v>287</v>
      </c>
      <c r="B191" s="103"/>
      <c r="C191" s="19" t="s">
        <v>183</v>
      </c>
      <c r="D191" s="26">
        <f>(4.25*5.824)*10.764</f>
        <v>266.43052799999998</v>
      </c>
      <c r="E191" s="19">
        <v>0</v>
      </c>
      <c r="F191" s="19">
        <f t="shared" ref="F191" si="8">D191*2.12+E191</f>
        <v>564.83271935999994</v>
      </c>
      <c r="G191" s="144"/>
      <c r="H191" s="145"/>
      <c r="J191">
        <f t="shared" si="1"/>
        <v>2.12</v>
      </c>
    </row>
    <row r="192" spans="1:11" customFormat="1" ht="15" customHeight="1" x14ac:dyDescent="0.35">
      <c r="A192" s="102">
        <v>201</v>
      </c>
      <c r="B192" s="103"/>
      <c r="C192" s="19" t="s">
        <v>185</v>
      </c>
      <c r="D192" s="26">
        <f>(3*2.7+1.35*1.2+1.35*1.2+3*2.7+1.8*2+1.2*1.69+0.75*(2.7+2+1.92))*10.764</f>
        <v>323.27521200000001</v>
      </c>
      <c r="E192" s="19">
        <v>0</v>
      </c>
      <c r="F192" s="19">
        <v>583</v>
      </c>
      <c r="G192" s="144"/>
      <c r="H192" s="145"/>
      <c r="J192">
        <f t="shared" si="1"/>
        <v>1.8034169597884293</v>
      </c>
    </row>
    <row r="193" spans="1:10" customFormat="1" ht="14.5" x14ac:dyDescent="0.35">
      <c r="A193" s="102">
        <v>202</v>
      </c>
      <c r="B193" s="103"/>
      <c r="C193" s="19" t="s">
        <v>185</v>
      </c>
      <c r="D193" s="26">
        <f>(3.9*2.7+2*2+3*2.7+1.35*1+1.35*1.2+1.2*1.9+0.75*(1.8+2+2.7))*10.764</f>
        <v>352.5748200000001</v>
      </c>
      <c r="E193" s="19">
        <v>0</v>
      </c>
      <c r="F193" s="19">
        <v>583</v>
      </c>
      <c r="G193" s="144"/>
      <c r="H193" s="145"/>
      <c r="J193">
        <f t="shared" si="1"/>
        <v>1.6535497344932342</v>
      </c>
    </row>
    <row r="194" spans="1:10" customFormat="1" ht="14.5" x14ac:dyDescent="0.35">
      <c r="A194" s="102">
        <v>203</v>
      </c>
      <c r="B194" s="103"/>
      <c r="C194" s="19" t="s">
        <v>185</v>
      </c>
      <c r="D194" s="26">
        <f>(2.7*3.9+1.2*1.35+1*1.35+2.7*3.1+1.9*2.2+1.2*1.69+0.75*(1.92+1.9+2.7))*10.764</f>
        <v>354.86755199999999</v>
      </c>
      <c r="E194" s="19">
        <v>0</v>
      </c>
      <c r="F194" s="19">
        <v>588</v>
      </c>
      <c r="G194" s="146"/>
      <c r="H194" s="147"/>
      <c r="I194" s="84">
        <f>F194/D194</f>
        <v>1.6569562268685529</v>
      </c>
      <c r="J194">
        <f t="shared" si="1"/>
        <v>1.6569562268685529</v>
      </c>
    </row>
    <row r="195" spans="1:10" s="20" customFormat="1" ht="15" customHeight="1" x14ac:dyDescent="0.35">
      <c r="A195" s="137" t="s">
        <v>274</v>
      </c>
      <c r="B195" s="138"/>
      <c r="C195" s="138"/>
      <c r="D195" s="138"/>
      <c r="E195" s="138"/>
      <c r="F195" s="138"/>
      <c r="G195" s="138"/>
      <c r="H195" s="139"/>
      <c r="J195" t="e">
        <f t="shared" si="1"/>
        <v>#DIV/0!</v>
      </c>
    </row>
    <row r="196" spans="1:10" customFormat="1" ht="15" customHeight="1" x14ac:dyDescent="0.35">
      <c r="A196" s="102">
        <v>301</v>
      </c>
      <c r="B196" s="103"/>
      <c r="C196" s="21" t="s">
        <v>185</v>
      </c>
      <c r="D196" s="32">
        <f>(3*2.7+1.35*1.2+1.35*1+3*2.7+1.8*2+1.8*1.2+0.75*(2.7+2))*10.764</f>
        <v>306.28962000000001</v>
      </c>
      <c r="E196" s="21">
        <f>(1.85*1.5)*10.764</f>
        <v>29.870100000000001</v>
      </c>
      <c r="F196" s="19">
        <v>606</v>
      </c>
      <c r="G196" s="142" t="str">
        <f>A195</f>
        <v>3rd Floor for Residential</v>
      </c>
      <c r="H196" s="143"/>
      <c r="J196">
        <f t="shared" si="1"/>
        <v>1.9785195463039198</v>
      </c>
    </row>
    <row r="197" spans="1:10" customFormat="1" ht="14.5" x14ac:dyDescent="0.35">
      <c r="A197" s="102">
        <v>302</v>
      </c>
      <c r="B197" s="103"/>
      <c r="C197" s="19" t="s">
        <v>185</v>
      </c>
      <c r="D197" s="26">
        <f>(3.9*2.7+2*2+3*2.7+1.35*1+1.35*1.2+1.8*1.2+0.75*(2+2.7))*10.764</f>
        <v>336.75174000000004</v>
      </c>
      <c r="E197" s="19">
        <f>(1.85*1.5)*10.764</f>
        <v>29.870100000000001</v>
      </c>
      <c r="F197" s="19">
        <v>606</v>
      </c>
      <c r="G197" s="144"/>
      <c r="H197" s="145"/>
      <c r="J197">
        <f t="shared" si="1"/>
        <v>1.7995452673830281</v>
      </c>
    </row>
    <row r="198" spans="1:10" customFormat="1" ht="14.5" x14ac:dyDescent="0.35">
      <c r="A198" s="102">
        <v>303</v>
      </c>
      <c r="B198" s="103"/>
      <c r="C198" s="19" t="s">
        <v>185</v>
      </c>
      <c r="D198" s="26">
        <f>(3.78*2.71+2.7*3.12+2*2.25+1.4*1.3+0.9*1.2+0.9*1.2+0.75*1.7)*10.764</f>
        <v>305.94301919999992</v>
      </c>
      <c r="E198" s="19">
        <f>(4.5*6.8+1.356*3.616+1.35*0.678)*10.764</f>
        <v>392.00976734400001</v>
      </c>
      <c r="F198" s="19">
        <v>743</v>
      </c>
      <c r="G198" s="144"/>
      <c r="H198" s="145"/>
      <c r="I198">
        <f>2258110/F198</f>
        <v>3039.179004037685</v>
      </c>
      <c r="J198">
        <f t="shared" si="1"/>
        <v>2.4285568010110041</v>
      </c>
    </row>
    <row r="199" spans="1:10" customFormat="1" ht="14.5" x14ac:dyDescent="0.35">
      <c r="A199" s="102">
        <v>304</v>
      </c>
      <c r="B199" s="103"/>
      <c r="C199" s="19" t="s">
        <v>188</v>
      </c>
      <c r="D199" s="26">
        <f>(3*4.2+2.1*2.4+2.7*2.7+3*3.1+1.2*2.1+1.2*2.1+2.4*0.9)*10.764</f>
        <v>445.95252000000005</v>
      </c>
      <c r="E199" s="22">
        <f>(3.729*3.39+5.65*4.85+5.4*2.14+1.8*4.85)*10.764</f>
        <v>649.39007484000001</v>
      </c>
      <c r="F199" s="19">
        <v>1109</v>
      </c>
      <c r="G199" s="144"/>
      <c r="H199" s="145"/>
      <c r="J199">
        <f t="shared" si="1"/>
        <v>2.486811824720712</v>
      </c>
    </row>
    <row r="200" spans="1:10" customFormat="1" ht="14.5" x14ac:dyDescent="0.35">
      <c r="A200" s="102">
        <v>305</v>
      </c>
      <c r="B200" s="103"/>
      <c r="C200" s="19" t="s">
        <v>188</v>
      </c>
      <c r="D200" s="26">
        <f>(3*4.2+2.1*2.4+2.7*2.7+3*3.1+1.2*2.1*2+2.4*0.9)*10.764</f>
        <v>445.95252000000005</v>
      </c>
      <c r="E200" s="19">
        <f>(1.8*4.85+5.424*2+1.8*4.8)*10.764</f>
        <v>303.73855200000003</v>
      </c>
      <c r="F200" s="19">
        <v>945</v>
      </c>
      <c r="G200" s="144"/>
      <c r="H200" s="145"/>
      <c r="J200">
        <f t="shared" si="1"/>
        <v>2.1190596702985327</v>
      </c>
    </row>
    <row r="201" spans="1:10" customFormat="1" ht="14.5" x14ac:dyDescent="0.35">
      <c r="A201" s="102">
        <v>306</v>
      </c>
      <c r="B201" s="103"/>
      <c r="C201" s="19" t="s">
        <v>188</v>
      </c>
      <c r="D201" s="26">
        <f>(3*4.2+2.1*2.4+2.7*2.7+3*3.1+1.2*2.1*2+2.4*0.9)*10.764</f>
        <v>445.95252000000005</v>
      </c>
      <c r="E201" s="19">
        <f>(1.8*4.85+5.424*2+1.8*4.8)*10.764</f>
        <v>303.73855200000003</v>
      </c>
      <c r="F201" s="19">
        <v>945</v>
      </c>
      <c r="G201" s="144"/>
      <c r="H201" s="145"/>
      <c r="J201">
        <f t="shared" si="1"/>
        <v>2.1190596702985327</v>
      </c>
    </row>
    <row r="202" spans="1:10" customFormat="1" ht="14.5" x14ac:dyDescent="0.35">
      <c r="A202" s="102">
        <v>307</v>
      </c>
      <c r="B202" s="103"/>
      <c r="C202" s="19" t="s">
        <v>188</v>
      </c>
      <c r="D202" s="26">
        <f>(3*4.2+2.1*2.4+2.7*2.7+3.55*3.1+1.2*2.1+1.2*2.1+0.9*2.4)*10.764</f>
        <v>464.30514000000005</v>
      </c>
      <c r="E202" s="19">
        <f>(1.69*4.8+5.4*2.12+3.9*4.85+1.356*3.2)*10.764</f>
        <v>460.85204879999998</v>
      </c>
      <c r="F202" s="19">
        <v>1064</v>
      </c>
      <c r="G202" s="144"/>
      <c r="H202" s="145"/>
      <c r="J202">
        <f t="shared" si="1"/>
        <v>2.2915964272977893</v>
      </c>
    </row>
    <row r="203" spans="1:10" customFormat="1" ht="14.5" x14ac:dyDescent="0.35">
      <c r="A203" s="102">
        <v>308</v>
      </c>
      <c r="B203" s="103"/>
      <c r="C203" s="19" t="s">
        <v>185</v>
      </c>
      <c r="D203" s="26">
        <f>(3.6*3.05+2.7*2.85+1.2*1.85+2.35*1.9+1.35*1+0.9*0.9)*10.764</f>
        <v>296.22528</v>
      </c>
      <c r="E203" s="19">
        <f>(3.6*5+4.4*1.9+1.58*2.85)*10.764</f>
        <v>332.20933199999996</v>
      </c>
      <c r="F203" s="19">
        <v>711</v>
      </c>
      <c r="G203" s="144"/>
      <c r="H203" s="145"/>
      <c r="J203">
        <f t="shared" si="1"/>
        <v>2.4002002800031113</v>
      </c>
    </row>
    <row r="204" spans="1:10" customFormat="1" ht="14.5" x14ac:dyDescent="0.35">
      <c r="A204" s="102">
        <v>309</v>
      </c>
      <c r="B204" s="103"/>
      <c r="C204" s="19" t="s">
        <v>185</v>
      </c>
      <c r="D204" s="26">
        <f>(2.7*3.9+1.9*2.2+2.7*3.1+1*1.35+1.2*1.35+1.2*1.8+0.75*(1.9+2.7))*10.764</f>
        <v>340.78824000000003</v>
      </c>
      <c r="E204" s="19">
        <f>(1.95*1.5)*10.764</f>
        <v>31.484699999999997</v>
      </c>
      <c r="F204" s="19">
        <v>613</v>
      </c>
      <c r="G204" s="144"/>
      <c r="H204" s="145"/>
      <c r="J204">
        <f t="shared" si="1"/>
        <v>1.7987709904543654</v>
      </c>
    </row>
    <row r="205" spans="1:10" customFormat="1" ht="14.5" x14ac:dyDescent="0.35">
      <c r="A205" s="102">
        <v>310</v>
      </c>
      <c r="B205" s="103"/>
      <c r="C205" s="19" t="s">
        <v>185</v>
      </c>
      <c r="D205" s="26">
        <f>(2.7*3.9+1.9*2.2+2.7*3.1+1*1.35+1.2*1.35+1.2*1.8+0.75*(1.9+2.7))*10.764</f>
        <v>340.78824000000003</v>
      </c>
      <c r="E205" s="19">
        <f>(1.95*1.5)*10.764</f>
        <v>31.484699999999997</v>
      </c>
      <c r="F205" s="19">
        <v>613</v>
      </c>
      <c r="G205" s="146"/>
      <c r="H205" s="147"/>
      <c r="J205">
        <f t="shared" si="1"/>
        <v>1.7987709904543654</v>
      </c>
    </row>
    <row r="206" spans="1:10" s="20" customFormat="1" ht="15" customHeight="1" x14ac:dyDescent="0.35">
      <c r="A206" s="140" t="s">
        <v>189</v>
      </c>
      <c r="B206" s="140"/>
      <c r="C206" s="140"/>
      <c r="D206" s="140"/>
      <c r="E206" s="140"/>
      <c r="F206" s="140"/>
      <c r="G206" s="140"/>
      <c r="H206" s="140"/>
      <c r="J206" t="e">
        <f t="shared" si="1"/>
        <v>#DIV/0!</v>
      </c>
    </row>
    <row r="207" spans="1:10" customFormat="1" ht="15" customHeight="1" x14ac:dyDescent="0.35">
      <c r="A207" s="105" t="s">
        <v>190</v>
      </c>
      <c r="B207" s="105"/>
      <c r="C207" s="88" t="s">
        <v>185</v>
      </c>
      <c r="D207" s="88">
        <f>(3*2.7+1.8*2+3*2.7+1.35*1+1.35*1.2+1.2*1.8+0.75*(2.7+2+2))*10.764</f>
        <v>322.43562000000003</v>
      </c>
      <c r="E207" s="88">
        <v>0</v>
      </c>
      <c r="F207" s="88">
        <v>583</v>
      </c>
      <c r="G207" s="105" t="str">
        <f>A206</f>
        <v>4th &amp; 6th Floor</v>
      </c>
      <c r="H207" s="105"/>
      <c r="I207" s="82">
        <f>(3*2.7+1.8*2+3*2.7+1.35*1+1.35*1.2+1.2*1.8+0.75*(2.7+2+2))*10.764</f>
        <v>322.43562000000003</v>
      </c>
      <c r="J207">
        <f t="shared" si="1"/>
        <v>1.8081128877758603</v>
      </c>
    </row>
    <row r="208" spans="1:10" customFormat="1" ht="15" customHeight="1" x14ac:dyDescent="0.35">
      <c r="A208" s="105" t="s">
        <v>191</v>
      </c>
      <c r="B208" s="105"/>
      <c r="C208" s="88" t="s">
        <v>185</v>
      </c>
      <c r="D208" s="88">
        <f>(3.9*2.7+2*2+3*2.7+1.35*1+1.35*1.2+1.2*1.8+0.75*(2+2.7+2))*10.764</f>
        <v>352.89774</v>
      </c>
      <c r="E208" s="88">
        <v>0</v>
      </c>
      <c r="F208" s="88">
        <v>583</v>
      </c>
      <c r="G208" s="105"/>
      <c r="H208" s="105"/>
      <c r="J208">
        <f t="shared" si="1"/>
        <v>1.6520366494837853</v>
      </c>
    </row>
    <row r="209" spans="1:10" customFormat="1" ht="15" customHeight="1" x14ac:dyDescent="0.35">
      <c r="A209" s="105" t="s">
        <v>192</v>
      </c>
      <c r="B209" s="105"/>
      <c r="C209" s="88" t="s">
        <v>185</v>
      </c>
      <c r="D209" s="88">
        <f>(3.78*2.71+2.7*3.12+2*2.25+1.4*1.3+0.9*1.2+1.2*0.9+0.75*(2.71+3.12+2.88))*10.764</f>
        <v>362.53474919999991</v>
      </c>
      <c r="E209" s="88">
        <v>0</v>
      </c>
      <c r="F209" s="88">
        <v>580</v>
      </c>
      <c r="G209" s="105"/>
      <c r="H209" s="105"/>
      <c r="J209">
        <f t="shared" si="1"/>
        <v>1.599846638921862</v>
      </c>
    </row>
    <row r="210" spans="1:10" customFormat="1" ht="15" customHeight="1" x14ac:dyDescent="0.35">
      <c r="A210" s="105" t="s">
        <v>193</v>
      </c>
      <c r="B210" s="105"/>
      <c r="C210" s="88" t="s">
        <v>188</v>
      </c>
      <c r="D210" s="88">
        <f>(3*4.2+2.1*2.4+2.7*2.7+3*3.1+1.2*2.1+2.1*1.2+0.9*2.4+0.75*(1.8+2.1+2.7+1.58))*10.764</f>
        <v>511.98966000000001</v>
      </c>
      <c r="E210" s="88">
        <v>0</v>
      </c>
      <c r="F210" s="88">
        <v>833</v>
      </c>
      <c r="G210" s="105"/>
      <c r="H210" s="105"/>
      <c r="J210">
        <f t="shared" si="1"/>
        <v>1.6269859824903494</v>
      </c>
    </row>
    <row r="211" spans="1:10" customFormat="1" ht="15" customHeight="1" x14ac:dyDescent="0.35">
      <c r="A211" s="105" t="s">
        <v>194</v>
      </c>
      <c r="B211" s="105"/>
      <c r="C211" s="88" t="s">
        <v>188</v>
      </c>
      <c r="D211" s="88">
        <f>(3*4.2+2.1*2.4+2.7*2.7+3*3.1+1.2*2.1+2.1*1.2+0.9*2.4+0.75*(1.8+2.1+2.7+1.58))*10.764</f>
        <v>511.98966000000001</v>
      </c>
      <c r="E211" s="88">
        <v>0</v>
      </c>
      <c r="F211" s="88">
        <v>833</v>
      </c>
      <c r="G211" s="105"/>
      <c r="H211" s="105"/>
      <c r="J211">
        <f t="shared" si="1"/>
        <v>1.6269859824903494</v>
      </c>
    </row>
    <row r="212" spans="1:10" customFormat="1" ht="15" customHeight="1" x14ac:dyDescent="0.35">
      <c r="A212" s="105" t="s">
        <v>195</v>
      </c>
      <c r="B212" s="105"/>
      <c r="C212" s="88" t="s">
        <v>188</v>
      </c>
      <c r="D212" s="88">
        <f>(3*4.2+2.1*2.4+2.7*2.7+3*3.1+1.2*2.1+2.1*1.2+0.9*2.4+0.75*(1.8+2.1+2.7+1.58))*10.764</f>
        <v>511.98966000000001</v>
      </c>
      <c r="E212" s="88">
        <v>0</v>
      </c>
      <c r="F212" s="88">
        <v>833</v>
      </c>
      <c r="G212" s="105"/>
      <c r="H212" s="105"/>
      <c r="J212">
        <f t="shared" si="1"/>
        <v>1.6269859824903494</v>
      </c>
    </row>
    <row r="213" spans="1:10" customFormat="1" ht="15" customHeight="1" x14ac:dyDescent="0.35">
      <c r="A213" s="105" t="s">
        <v>196</v>
      </c>
      <c r="B213" s="105"/>
      <c r="C213" s="88" t="s">
        <v>188</v>
      </c>
      <c r="D213" s="88">
        <f>(3*4.2+2.1*2.4+2.7*2.7+3*3.1+1.2*2.1+2.1*1.2+0.9*2.4+0.75*(1.8+2.1+2.7+1.58))*10.764</f>
        <v>511.98966000000001</v>
      </c>
      <c r="E213" s="88">
        <v>0</v>
      </c>
      <c r="F213" s="88">
        <v>870</v>
      </c>
      <c r="G213" s="105"/>
      <c r="H213" s="105"/>
      <c r="J213">
        <f t="shared" si="1"/>
        <v>1.6992530669467034</v>
      </c>
    </row>
    <row r="214" spans="1:10" customFormat="1" ht="15" customHeight="1" x14ac:dyDescent="0.35">
      <c r="A214" s="105" t="s">
        <v>197</v>
      </c>
      <c r="B214" s="105"/>
      <c r="C214" s="88" t="s">
        <v>185</v>
      </c>
      <c r="D214" s="88">
        <f>(3.6*3.05+2.7*2.85+1.2*1.85+1.35*1+2.35*1.9+0.9*1+0.75*(2.85+2+3.39))*10.764</f>
        <v>363.71555999999998</v>
      </c>
      <c r="E214" s="88">
        <v>0</v>
      </c>
      <c r="F214" s="88">
        <v>577</v>
      </c>
      <c r="G214" s="105"/>
      <c r="H214" s="105"/>
      <c r="J214">
        <f t="shared" si="1"/>
        <v>1.5864044969646061</v>
      </c>
    </row>
    <row r="215" spans="1:10" customFormat="1" ht="15" customHeight="1" x14ac:dyDescent="0.35">
      <c r="A215" s="105" t="s">
        <v>198</v>
      </c>
      <c r="B215" s="105"/>
      <c r="C215" s="88" t="s">
        <v>185</v>
      </c>
      <c r="D215" s="88">
        <f>(2.7*3.9+1.9*2.2+2.7*3.1+1*1.35+1.2*1.35+1.2*1.8+0.75*(1.9+2.7+2))*10.764</f>
        <v>356.93424000000005</v>
      </c>
      <c r="E215" s="88">
        <v>0</v>
      </c>
      <c r="F215" s="88">
        <v>588</v>
      </c>
      <c r="G215" s="105"/>
      <c r="H215" s="105"/>
      <c r="J215">
        <f t="shared" si="1"/>
        <v>1.6473622704283006</v>
      </c>
    </row>
    <row r="216" spans="1:10" customFormat="1" ht="15" customHeight="1" x14ac:dyDescent="0.35">
      <c r="A216" s="105" t="s">
        <v>199</v>
      </c>
      <c r="B216" s="105"/>
      <c r="C216" s="88" t="s">
        <v>185</v>
      </c>
      <c r="D216" s="88">
        <f>(2.7*3.9+1.9*2.2+2.7*3.1+1*1.35+1.2*1.35+1.2*1.8+0.75*(1.9+2.7+2))*10.764</f>
        <v>356.93424000000005</v>
      </c>
      <c r="E216" s="88">
        <v>0</v>
      </c>
      <c r="F216" s="88">
        <v>588</v>
      </c>
      <c r="G216" s="105"/>
      <c r="H216" s="105"/>
      <c r="J216">
        <f t="shared" si="1"/>
        <v>1.6473622704283006</v>
      </c>
    </row>
    <row r="217" spans="1:10" s="20" customFormat="1" ht="15" customHeight="1" x14ac:dyDescent="0.35">
      <c r="A217" s="137" t="s">
        <v>288</v>
      </c>
      <c r="B217" s="138"/>
      <c r="C217" s="138"/>
      <c r="D217" s="138"/>
      <c r="E217" s="138"/>
      <c r="F217" s="138"/>
      <c r="G217" s="138"/>
      <c r="H217" s="139"/>
      <c r="J217" t="e">
        <f t="shared" ref="J217:J280" si="9">F217/D217</f>
        <v>#DIV/0!</v>
      </c>
    </row>
    <row r="218" spans="1:10" customFormat="1" ht="14.5" x14ac:dyDescent="0.35">
      <c r="A218" s="102" t="s">
        <v>289</v>
      </c>
      <c r="B218" s="103"/>
      <c r="C218" s="21" t="s">
        <v>185</v>
      </c>
      <c r="D218" s="32">
        <f>(3*2.7+1.8*2+3*2.7+1.35*1+1.35*1.2+1.8*1.2+0.75*(2.7+2))*10.764</f>
        <v>306.28962000000001</v>
      </c>
      <c r="E218" s="21">
        <f>(1.85*1.5)*10.764</f>
        <v>29.870100000000001</v>
      </c>
      <c r="F218" s="19">
        <v>606</v>
      </c>
      <c r="G218" s="142" t="str">
        <f>A217</f>
        <v>5th &amp; 7th Floor</v>
      </c>
      <c r="H218" s="143"/>
      <c r="J218">
        <f t="shared" si="9"/>
        <v>1.9785195463039198</v>
      </c>
    </row>
    <row r="219" spans="1:10" customFormat="1" ht="15" customHeight="1" x14ac:dyDescent="0.35">
      <c r="A219" s="102" t="s">
        <v>290</v>
      </c>
      <c r="B219" s="103"/>
      <c r="C219" s="19" t="s">
        <v>185</v>
      </c>
      <c r="D219" s="26">
        <f>(3.9*2.7+2*2+3*2.7+1.35*1+1.35*1.2+1.8*0.9+0.75*(2+2.7))*10.764</f>
        <v>330.93918000000002</v>
      </c>
      <c r="E219" s="21">
        <f>(1.85*1.5)*10.764</f>
        <v>29.870100000000001</v>
      </c>
      <c r="F219" s="19">
        <v>606</v>
      </c>
      <c r="G219" s="144"/>
      <c r="H219" s="145"/>
      <c r="J219">
        <f t="shared" si="9"/>
        <v>1.831152177267134</v>
      </c>
    </row>
    <row r="220" spans="1:10" customFormat="1" ht="15" customHeight="1" x14ac:dyDescent="0.35">
      <c r="A220" s="102" t="s">
        <v>291</v>
      </c>
      <c r="B220" s="103"/>
      <c r="C220" s="19" t="s">
        <v>185</v>
      </c>
      <c r="D220" s="26">
        <f>(3.78*2.71+2.7*3.12+2*2.25+1.4*1.3+0.9*1.2+1.2*0.9+0.75*3.12+0.75*2.5)*10.764</f>
        <v>337.58917919999993</v>
      </c>
      <c r="E220" s="21">
        <f>(2.71*1.5)*10.764</f>
        <v>43.755659999999992</v>
      </c>
      <c r="F220" s="19">
        <v>634</v>
      </c>
      <c r="G220" s="144"/>
      <c r="H220" s="145"/>
      <c r="J220">
        <f t="shared" si="9"/>
        <v>1.8780222799273898</v>
      </c>
    </row>
    <row r="221" spans="1:10" customFormat="1" ht="15" customHeight="1" x14ac:dyDescent="0.35">
      <c r="A221" s="102" t="s">
        <v>292</v>
      </c>
      <c r="B221" s="103"/>
      <c r="C221" s="19" t="s">
        <v>188</v>
      </c>
      <c r="D221" s="26">
        <f>(3*4.2+2.1*2.4+2.7*2.7+3*3.1+1.2*2.1*2+0.9*2.4+0.75*(2.1+2.7+1.8))*10.764</f>
        <v>499.23432000000008</v>
      </c>
      <c r="E221" s="21">
        <f>(1.85*1.5)*10.764</f>
        <v>29.870100000000001</v>
      </c>
      <c r="F221" s="19">
        <v>856</v>
      </c>
      <c r="G221" s="144"/>
      <c r="H221" s="145"/>
      <c r="J221">
        <f t="shared" si="9"/>
        <v>1.7146257092260802</v>
      </c>
    </row>
    <row r="222" spans="1:10" customFormat="1" ht="15" customHeight="1" x14ac:dyDescent="0.35">
      <c r="A222" s="102" t="s">
        <v>293</v>
      </c>
      <c r="B222" s="103"/>
      <c r="C222" s="19" t="s">
        <v>188</v>
      </c>
      <c r="D222" s="26">
        <f t="shared" ref="D222:D224" si="10">(3*4.2+2.1*2.4+2.7*2.7+3*3.1+1.2*2.1*2+0.9*2.4+0.75*(2.1+2.7+1.8))*10.764</f>
        <v>499.23432000000008</v>
      </c>
      <c r="E222" s="21">
        <f t="shared" ref="E222:E224" si="11">(1.85*1.5)*10.764</f>
        <v>29.870100000000001</v>
      </c>
      <c r="F222" s="19">
        <v>856</v>
      </c>
      <c r="G222" s="144"/>
      <c r="H222" s="145"/>
      <c r="J222">
        <f t="shared" si="9"/>
        <v>1.7146257092260802</v>
      </c>
    </row>
    <row r="223" spans="1:10" customFormat="1" ht="15" customHeight="1" x14ac:dyDescent="0.35">
      <c r="A223" s="102" t="s">
        <v>294</v>
      </c>
      <c r="B223" s="103"/>
      <c r="C223" s="19" t="s">
        <v>188</v>
      </c>
      <c r="D223" s="26">
        <f t="shared" si="10"/>
        <v>499.23432000000008</v>
      </c>
      <c r="E223" s="21">
        <f t="shared" si="11"/>
        <v>29.870100000000001</v>
      </c>
      <c r="F223" s="19">
        <v>856</v>
      </c>
      <c r="G223" s="144"/>
      <c r="H223" s="145"/>
      <c r="J223">
        <f t="shared" si="9"/>
        <v>1.7146257092260802</v>
      </c>
    </row>
    <row r="224" spans="1:10" customFormat="1" ht="15" customHeight="1" x14ac:dyDescent="0.35">
      <c r="A224" s="102" t="s">
        <v>295</v>
      </c>
      <c r="B224" s="103"/>
      <c r="C224" s="19" t="s">
        <v>188</v>
      </c>
      <c r="D224" s="26">
        <f t="shared" si="10"/>
        <v>499.23432000000008</v>
      </c>
      <c r="E224" s="21">
        <f t="shared" si="11"/>
        <v>29.870100000000001</v>
      </c>
      <c r="F224" s="19">
        <v>893</v>
      </c>
      <c r="G224" s="144"/>
      <c r="H224" s="145"/>
      <c r="J224">
        <f t="shared" si="9"/>
        <v>1.7887392036669272</v>
      </c>
    </row>
    <row r="225" spans="1:15" customFormat="1" ht="15" customHeight="1" x14ac:dyDescent="0.35">
      <c r="A225" s="102" t="s">
        <v>296</v>
      </c>
      <c r="B225" s="103"/>
      <c r="C225" s="19" t="s">
        <v>185</v>
      </c>
      <c r="D225" s="26">
        <f>(3.6*3.05+2.7*2.85+2.35*1.9+1.35*1+1.2*1.85+1*0.9+0.75*(1.9+2.85))*10.764</f>
        <v>335.54078999999996</v>
      </c>
      <c r="E225" s="21">
        <f>(1.5*2)*10.764</f>
        <v>32.292000000000002</v>
      </c>
      <c r="F225" s="19">
        <v>601</v>
      </c>
      <c r="G225" s="144"/>
      <c r="H225" s="145"/>
      <c r="I225">
        <f>1752600/F225</f>
        <v>2916.1397670549086</v>
      </c>
      <c r="J225">
        <f t="shared" si="9"/>
        <v>1.7911384186703503</v>
      </c>
    </row>
    <row r="226" spans="1:15" customFormat="1" ht="15" customHeight="1" x14ac:dyDescent="0.35">
      <c r="A226" s="102" t="s">
        <v>297</v>
      </c>
      <c r="B226" s="103"/>
      <c r="C226" s="19" t="s">
        <v>185</v>
      </c>
      <c r="D226" s="26">
        <f>(2.7*3.9+1.9*2.2+2.7*3.1+1*1.35+1.2*1.35+1.2*1.8+0.75*(1.99+2.7))*10.764</f>
        <v>341.51481000000007</v>
      </c>
      <c r="E226" s="21">
        <f>(1.95*1.5)*10.764</f>
        <v>31.484699999999997</v>
      </c>
      <c r="F226" s="19">
        <v>613</v>
      </c>
      <c r="G226" s="144"/>
      <c r="H226" s="145"/>
      <c r="J226">
        <f t="shared" si="9"/>
        <v>1.7949441197001086</v>
      </c>
    </row>
    <row r="227" spans="1:15" customFormat="1" ht="15" customHeight="1" x14ac:dyDescent="0.35">
      <c r="A227" s="102" t="s">
        <v>298</v>
      </c>
      <c r="B227" s="103"/>
      <c r="C227" s="19" t="s">
        <v>185</v>
      </c>
      <c r="D227" s="26">
        <f>(2.7*3.9+1.9*2.2+2.7*3.1+1*1.35+1.2*1.35+1.2*1.8+0.75*(1.99+2.7))*10.764</f>
        <v>341.51481000000007</v>
      </c>
      <c r="E227" s="21">
        <f>(1.95*1.5)*10.764</f>
        <v>31.484699999999997</v>
      </c>
      <c r="F227" s="19">
        <v>613</v>
      </c>
      <c r="G227" s="146"/>
      <c r="H227" s="147"/>
      <c r="J227">
        <f t="shared" si="9"/>
        <v>1.7949441197001086</v>
      </c>
    </row>
    <row r="228" spans="1:15" customFormat="1" ht="15" customHeight="1" x14ac:dyDescent="0.35">
      <c r="A228" s="137" t="s">
        <v>201</v>
      </c>
      <c r="B228" s="138"/>
      <c r="C228" s="138"/>
      <c r="D228" s="138"/>
      <c r="E228" s="138"/>
      <c r="F228" s="138"/>
      <c r="G228" s="138"/>
      <c r="H228" s="139"/>
      <c r="J228" t="e">
        <f t="shared" si="9"/>
        <v>#DIV/0!</v>
      </c>
    </row>
    <row r="229" spans="1:15" customFormat="1" ht="15" customHeight="1" x14ac:dyDescent="0.35">
      <c r="A229" s="137" t="s">
        <v>273</v>
      </c>
      <c r="B229" s="138"/>
      <c r="C229" s="138"/>
      <c r="D229" s="138"/>
      <c r="E229" s="138"/>
      <c r="F229" s="138"/>
      <c r="G229" s="138"/>
      <c r="H229" s="139"/>
      <c r="J229" t="e">
        <f t="shared" si="9"/>
        <v>#DIV/0!</v>
      </c>
    </row>
    <row r="230" spans="1:15" s="20" customFormat="1" ht="15" customHeight="1" x14ac:dyDescent="0.35">
      <c r="A230" s="137" t="s">
        <v>299</v>
      </c>
      <c r="B230" s="138"/>
      <c r="C230" s="138"/>
      <c r="D230" s="138"/>
      <c r="E230" s="138"/>
      <c r="F230" s="138"/>
      <c r="G230" s="138"/>
      <c r="H230" s="139"/>
      <c r="J230" t="e">
        <f t="shared" si="9"/>
        <v>#DIV/0!</v>
      </c>
    </row>
    <row r="231" spans="1:15" customFormat="1" ht="15" customHeight="1" x14ac:dyDescent="0.35">
      <c r="A231" s="102" t="str">
        <f>O231</f>
        <v>101 ,.., 701</v>
      </c>
      <c r="B231" s="103"/>
      <c r="C231" s="19" t="s">
        <v>185</v>
      </c>
      <c r="D231" s="19">
        <f>(3.9*2.7+2.05*1.2+1.3*1+3*2.7+2*2+0.9*2+0.9*1.2+0.75*(2.7+2))*10.764</f>
        <v>353.00538</v>
      </c>
      <c r="E231" s="19">
        <f>(2.7*2)*10.764</f>
        <v>58.125599999999999</v>
      </c>
      <c r="F231" s="19">
        <v>664</v>
      </c>
      <c r="G231" s="142" t="str">
        <f>A230</f>
        <v>1st, 3nd, 5th &amp; 7th Floor for Residential</v>
      </c>
      <c r="H231" s="143"/>
      <c r="J231">
        <f t="shared" si="9"/>
        <v>1.8809911622310118</v>
      </c>
      <c r="M231">
        <v>101</v>
      </c>
      <c r="N231">
        <v>701</v>
      </c>
      <c r="O231" t="str">
        <f>M231&amp;""&amp;" ,.., "&amp;""&amp;N231</f>
        <v>101 ,.., 701</v>
      </c>
    </row>
    <row r="232" spans="1:15" customFormat="1" ht="15" customHeight="1" x14ac:dyDescent="0.35">
      <c r="A232" s="102" t="str">
        <f t="shared" ref="A232:A238" si="12">O232</f>
        <v>102 ,.., 702</v>
      </c>
      <c r="B232" s="103"/>
      <c r="C232" s="19" t="s">
        <v>185</v>
      </c>
      <c r="D232" s="19">
        <f>(3.9*2.7+2.7*2.7+1.2*1.4+1*1.2+1.8*1.3+1.2*1+0.75*(2.7+1.8))*10.764</f>
        <v>297.24785999999995</v>
      </c>
      <c r="E232" s="19">
        <f>(2.7*2)*10.764</f>
        <v>58.125599999999999</v>
      </c>
      <c r="F232" s="19">
        <v>582</v>
      </c>
      <c r="G232" s="144"/>
      <c r="H232" s="145"/>
      <c r="J232">
        <f t="shared" si="9"/>
        <v>1.9579619513492885</v>
      </c>
      <c r="M232">
        <v>102</v>
      </c>
      <c r="N232">
        <v>702</v>
      </c>
      <c r="O232" t="str">
        <f t="shared" ref="O232:O238" si="13">M232&amp;""&amp;" ,.., "&amp;""&amp;N232</f>
        <v>102 ,.., 702</v>
      </c>
    </row>
    <row r="233" spans="1:15" customFormat="1" ht="15" customHeight="1" x14ac:dyDescent="0.35">
      <c r="A233" s="102" t="str">
        <f t="shared" si="12"/>
        <v>103 ,.., 703</v>
      </c>
      <c r="B233" s="103"/>
      <c r="C233" s="19" t="s">
        <v>206</v>
      </c>
      <c r="D233" s="19">
        <f>(2.7*3.9+1.2*1.35+1.2*1+2.5*1.9+1*1.2+0.75*2.5)*10.764</f>
        <v>227.92769999999999</v>
      </c>
      <c r="E233" s="19">
        <f>(2.65*1.8)*10.764</f>
        <v>51.344279999999991</v>
      </c>
      <c r="F233" s="19">
        <v>446</v>
      </c>
      <c r="G233" s="144"/>
      <c r="H233" s="145"/>
      <c r="J233">
        <f t="shared" si="9"/>
        <v>1.9567608500414826</v>
      </c>
      <c r="M233">
        <v>103</v>
      </c>
      <c r="N233">
        <v>703</v>
      </c>
      <c r="O233" t="str">
        <f t="shared" si="13"/>
        <v>103 ,.., 703</v>
      </c>
    </row>
    <row r="234" spans="1:15" customFormat="1" ht="15" customHeight="1" x14ac:dyDescent="0.35">
      <c r="A234" s="102" t="str">
        <f t="shared" si="12"/>
        <v>104 ,.., 704</v>
      </c>
      <c r="B234" s="103"/>
      <c r="C234" s="19" t="s">
        <v>185</v>
      </c>
      <c r="D234" s="19">
        <f>(2.7*3.9+1.85*2.15+2.5*1.9+1.2*1+1.2*1.35+1*1.2+0.75*(2.5+1.85))*10.764</f>
        <v>285.67655999999999</v>
      </c>
      <c r="E234" s="22">
        <f>(2.7*1.85)*10.764</f>
        <v>53.766180000000006</v>
      </c>
      <c r="F234" s="19">
        <v>533</v>
      </c>
      <c r="G234" s="144"/>
      <c r="H234" s="145"/>
      <c r="J234">
        <f t="shared" si="9"/>
        <v>1.8657463531484697</v>
      </c>
      <c r="M234">
        <v>104</v>
      </c>
      <c r="N234">
        <v>704</v>
      </c>
      <c r="O234" t="str">
        <f t="shared" si="13"/>
        <v>104 ,.., 704</v>
      </c>
    </row>
    <row r="235" spans="1:15" customFormat="1" ht="15" customHeight="1" x14ac:dyDescent="0.35">
      <c r="A235" s="102" t="str">
        <f t="shared" si="12"/>
        <v>105 ,.., 705</v>
      </c>
      <c r="B235" s="103"/>
      <c r="C235" s="19" t="s">
        <v>185</v>
      </c>
      <c r="D235" s="19">
        <f>(3.9*2.7+2.05*1.2+1.3*1+3*2.7+2*2+0.9*2+0.9*1.2+0.75*(2.7+2))*10.764</f>
        <v>353.00538</v>
      </c>
      <c r="E235" s="19">
        <f>(2.7*2)*10.764</f>
        <v>58.125599999999999</v>
      </c>
      <c r="F235" s="19">
        <v>664</v>
      </c>
      <c r="G235" s="144"/>
      <c r="H235" s="145"/>
      <c r="J235">
        <f t="shared" si="9"/>
        <v>1.8809911622310118</v>
      </c>
      <c r="M235">
        <v>105</v>
      </c>
      <c r="N235">
        <v>705</v>
      </c>
      <c r="O235" t="str">
        <f t="shared" si="13"/>
        <v>105 ,.., 705</v>
      </c>
    </row>
    <row r="236" spans="1:15" customFormat="1" ht="15" customHeight="1" x14ac:dyDescent="0.35">
      <c r="A236" s="102" t="str">
        <f t="shared" si="12"/>
        <v>106 ,.., 706</v>
      </c>
      <c r="B236" s="103"/>
      <c r="C236" s="19" t="s">
        <v>185</v>
      </c>
      <c r="D236" s="19">
        <f>(3.9*2.7+2.7*2.7+1.2*1.4+1*1.2+1.8*1.3+1.2*1+0.75*(2.7+1.8))*10.764</f>
        <v>297.24785999999995</v>
      </c>
      <c r="E236" s="19">
        <f>(2.7*2)*10.764</f>
        <v>58.125599999999999</v>
      </c>
      <c r="F236" s="19">
        <v>582</v>
      </c>
      <c r="G236" s="144"/>
      <c r="H236" s="145"/>
      <c r="J236">
        <f t="shared" si="9"/>
        <v>1.9579619513492885</v>
      </c>
      <c r="M236">
        <v>106</v>
      </c>
      <c r="N236">
        <v>706</v>
      </c>
      <c r="O236" t="str">
        <f t="shared" si="13"/>
        <v>106 ,.., 706</v>
      </c>
    </row>
    <row r="237" spans="1:15" customFormat="1" ht="15" customHeight="1" x14ac:dyDescent="0.35">
      <c r="A237" s="102" t="str">
        <f t="shared" si="12"/>
        <v>107 ,.., 707</v>
      </c>
      <c r="B237" s="103"/>
      <c r="C237" s="19" t="s">
        <v>206</v>
      </c>
      <c r="D237" s="19">
        <f>(2.7*3.9+1.2*1.35+1.2*1+2.5*1.9+1*1.2+0.75*2.5)*10.764</f>
        <v>227.92769999999999</v>
      </c>
      <c r="E237" s="19">
        <f>(2.65*1.8)*10.764</f>
        <v>51.344279999999991</v>
      </c>
      <c r="F237" s="19">
        <v>446</v>
      </c>
      <c r="G237" s="144"/>
      <c r="H237" s="145"/>
      <c r="J237">
        <f t="shared" si="9"/>
        <v>1.9567608500414826</v>
      </c>
      <c r="M237">
        <v>107</v>
      </c>
      <c r="N237">
        <v>707</v>
      </c>
      <c r="O237" t="str">
        <f t="shared" si="13"/>
        <v>107 ,.., 707</v>
      </c>
    </row>
    <row r="238" spans="1:15" customFormat="1" ht="15" customHeight="1" x14ac:dyDescent="0.35">
      <c r="A238" s="102" t="str">
        <f t="shared" si="12"/>
        <v>108 ,.., 708</v>
      </c>
      <c r="B238" s="103"/>
      <c r="C238" s="19" t="s">
        <v>185</v>
      </c>
      <c r="D238" s="19">
        <f>(2.7*3.9+1.85*2.15+2.5*1.9+1.2*1+1.2*1.35+1*1.2+0.75*(2.5+1.85))*10.764</f>
        <v>285.67655999999999</v>
      </c>
      <c r="E238" s="22">
        <f>(2.7*1.85)*10.764</f>
        <v>53.766180000000006</v>
      </c>
      <c r="F238" s="19">
        <v>446</v>
      </c>
      <c r="G238" s="146"/>
      <c r="H238" s="147"/>
      <c r="J238">
        <f t="shared" si="9"/>
        <v>1.5612061416589447</v>
      </c>
      <c r="M238">
        <v>108</v>
      </c>
      <c r="N238">
        <v>708</v>
      </c>
      <c r="O238" t="str">
        <f t="shared" si="13"/>
        <v>108 ,.., 708</v>
      </c>
    </row>
    <row r="239" spans="1:15" s="20" customFormat="1" ht="15" customHeight="1" x14ac:dyDescent="0.35">
      <c r="A239" s="137" t="s">
        <v>300</v>
      </c>
      <c r="B239" s="138"/>
      <c r="C239" s="138"/>
      <c r="D239" s="138"/>
      <c r="E239" s="138"/>
      <c r="F239" s="138"/>
      <c r="G239" s="138"/>
      <c r="H239" s="139"/>
      <c r="J239" t="e">
        <f t="shared" si="9"/>
        <v>#DIV/0!</v>
      </c>
    </row>
    <row r="240" spans="1:15" customFormat="1" ht="15" customHeight="1" x14ac:dyDescent="0.35">
      <c r="A240" s="102" t="str">
        <f>O240</f>
        <v>201 ,.., 801</v>
      </c>
      <c r="B240" s="103"/>
      <c r="C240" s="19" t="s">
        <v>185</v>
      </c>
      <c r="D240" s="19">
        <f>(3.9*2.7+2.05*1.2+1.3*1+3*2.7+2*2+0.9*2+0.9*1.2+0.75*(2.7+2+2.7))*10.764</f>
        <v>374.80248000000006</v>
      </c>
      <c r="E240" s="21">
        <v>0</v>
      </c>
      <c r="F240" s="19">
        <v>605</v>
      </c>
      <c r="G240" s="142" t="str">
        <f>A239</f>
        <v>2nd, 4th, 6th &amp; 8th Floor</v>
      </c>
      <c r="H240" s="143"/>
      <c r="J240">
        <f t="shared" si="9"/>
        <v>1.6141835560960001</v>
      </c>
      <c r="M240">
        <v>201</v>
      </c>
      <c r="N240">
        <v>801</v>
      </c>
      <c r="O240" t="str">
        <f>M240&amp;""&amp;" ,.., "&amp;""&amp;N240</f>
        <v>201 ,.., 801</v>
      </c>
    </row>
    <row r="241" spans="1:15" customFormat="1" ht="15" customHeight="1" x14ac:dyDescent="0.35">
      <c r="A241" s="102" t="str">
        <f t="shared" ref="A241:A247" si="14">O241</f>
        <v>202 ,.., 802</v>
      </c>
      <c r="B241" s="103"/>
      <c r="C241" s="19" t="s">
        <v>185</v>
      </c>
      <c r="D241" s="19">
        <f>(3.9*2.7+2.7*2.7+1.2*1.4+1*1.2+1.8*1.3+1.2*1+0.75*(2.7+1.8+2.7))*10.764</f>
        <v>319.04496</v>
      </c>
      <c r="E241" s="21">
        <v>0</v>
      </c>
      <c r="F241" s="19">
        <v>523</v>
      </c>
      <c r="G241" s="144"/>
      <c r="H241" s="145"/>
      <c r="J241">
        <f t="shared" si="9"/>
        <v>1.6392673935360083</v>
      </c>
      <c r="M241">
        <v>202</v>
      </c>
      <c r="N241">
        <v>802</v>
      </c>
      <c r="O241" t="str">
        <f t="shared" ref="O241:O247" si="15">M241&amp;""&amp;" ,.., "&amp;""&amp;N241</f>
        <v>202 ,.., 802</v>
      </c>
    </row>
    <row r="242" spans="1:15" customFormat="1" ht="15" customHeight="1" x14ac:dyDescent="0.35">
      <c r="A242" s="102" t="str">
        <f t="shared" si="14"/>
        <v>203 ,.., 803</v>
      </c>
      <c r="B242" s="103"/>
      <c r="C242" s="19" t="s">
        <v>206</v>
      </c>
      <c r="D242" s="19">
        <f>(2.7*3.9+1.2*1.35+1.2*1+2.5*1.9+1*1.2+0.75*2.5+0.75*2.7)*10.764</f>
        <v>249.72480000000002</v>
      </c>
      <c r="E242" s="19">
        <v>0</v>
      </c>
      <c r="F242" s="19">
        <v>404</v>
      </c>
      <c r="G242" s="144"/>
      <c r="H242" s="145"/>
      <c r="J242">
        <f t="shared" si="9"/>
        <v>1.6177808531631619</v>
      </c>
      <c r="M242">
        <v>203</v>
      </c>
      <c r="N242">
        <v>803</v>
      </c>
      <c r="O242" t="str">
        <f t="shared" si="15"/>
        <v>203 ,.., 803</v>
      </c>
    </row>
    <row r="243" spans="1:15" customFormat="1" ht="15" customHeight="1" x14ac:dyDescent="0.35">
      <c r="A243" s="102" t="str">
        <f t="shared" si="14"/>
        <v>204 ,.., 804</v>
      </c>
      <c r="B243" s="103"/>
      <c r="C243" s="19" t="s">
        <v>185</v>
      </c>
      <c r="D243" s="19">
        <f>(2.7*3.9+1.85*2.15+2.5*1.9+1.2*1+1.2*1.35+1*1.2+0.75*(2.5+1.85+2.7))*10.764</f>
        <v>307.47365999999994</v>
      </c>
      <c r="E243" s="22">
        <v>0</v>
      </c>
      <c r="F243" s="19">
        <v>491</v>
      </c>
      <c r="G243" s="144"/>
      <c r="H243" s="145"/>
      <c r="J243">
        <f t="shared" si="9"/>
        <v>1.5968847542908231</v>
      </c>
      <c r="M243">
        <v>204</v>
      </c>
      <c r="N243">
        <v>804</v>
      </c>
      <c r="O243" t="str">
        <f t="shared" si="15"/>
        <v>204 ,.., 804</v>
      </c>
    </row>
    <row r="244" spans="1:15" customFormat="1" ht="15" customHeight="1" x14ac:dyDescent="0.35">
      <c r="A244" s="102" t="str">
        <f t="shared" si="14"/>
        <v>205 ,.., 805</v>
      </c>
      <c r="B244" s="103"/>
      <c r="C244" s="19" t="s">
        <v>185</v>
      </c>
      <c r="D244" s="19">
        <f>(3.9*2.7+2.05*1.2+1.3*1+3*2.7+2*2+0.9*2+0.9*1.2+0.75*(2.7+2+2.7))*10.764</f>
        <v>374.80248000000006</v>
      </c>
      <c r="E244" s="21">
        <v>0</v>
      </c>
      <c r="F244" s="19">
        <v>605</v>
      </c>
      <c r="G244" s="144"/>
      <c r="H244" s="145"/>
      <c r="J244">
        <f t="shared" si="9"/>
        <v>1.6141835560960001</v>
      </c>
      <c r="M244">
        <v>205</v>
      </c>
      <c r="N244">
        <v>805</v>
      </c>
      <c r="O244" t="str">
        <f t="shared" si="15"/>
        <v>205 ,.., 805</v>
      </c>
    </row>
    <row r="245" spans="1:15" customFormat="1" ht="15" customHeight="1" x14ac:dyDescent="0.35">
      <c r="A245" s="102" t="str">
        <f t="shared" si="14"/>
        <v>206 ,.., 806</v>
      </c>
      <c r="B245" s="103"/>
      <c r="C245" s="19" t="s">
        <v>185</v>
      </c>
      <c r="D245" s="19">
        <f>(3.9*2.7+2.7*2.7+1.2*1.4+1*1.2+1.8*1.3+1.2*1+0.75*(2.7+1.8+2.7))*10.764</f>
        <v>319.04496</v>
      </c>
      <c r="E245" s="21">
        <v>0</v>
      </c>
      <c r="F245" s="19">
        <v>523</v>
      </c>
      <c r="G245" s="144"/>
      <c r="H245" s="145"/>
      <c r="J245">
        <f t="shared" si="9"/>
        <v>1.6392673935360083</v>
      </c>
      <c r="M245">
        <v>206</v>
      </c>
      <c r="N245">
        <v>806</v>
      </c>
      <c r="O245" t="str">
        <f t="shared" si="15"/>
        <v>206 ,.., 806</v>
      </c>
    </row>
    <row r="246" spans="1:15" customFormat="1" ht="15" customHeight="1" x14ac:dyDescent="0.35">
      <c r="A246" s="102" t="str">
        <f t="shared" si="14"/>
        <v>207 ,.., 807</v>
      </c>
      <c r="B246" s="103"/>
      <c r="C246" s="19" t="s">
        <v>206</v>
      </c>
      <c r="D246" s="19">
        <f>(2.7*3.9+1.2*1.35+1.2*1+2.5*1.9+1*1.2+0.75*2.5+0.75*2.7)*10.764</f>
        <v>249.72480000000002</v>
      </c>
      <c r="E246" s="19">
        <v>0</v>
      </c>
      <c r="F246" s="19">
        <v>404</v>
      </c>
      <c r="G246" s="144"/>
      <c r="H246" s="145"/>
      <c r="J246">
        <f t="shared" si="9"/>
        <v>1.6177808531631619</v>
      </c>
      <c r="M246">
        <v>207</v>
      </c>
      <c r="N246">
        <v>807</v>
      </c>
      <c r="O246" t="str">
        <f t="shared" si="15"/>
        <v>207 ,.., 807</v>
      </c>
    </row>
    <row r="247" spans="1:15" customFormat="1" ht="15" customHeight="1" x14ac:dyDescent="0.35">
      <c r="A247" s="102" t="str">
        <f t="shared" si="14"/>
        <v>208 ,.., 808</v>
      </c>
      <c r="B247" s="103"/>
      <c r="C247" s="19" t="s">
        <v>185</v>
      </c>
      <c r="D247" s="19">
        <f>(2.7*3.9+1.85*2.15+2.5*1.9+1.2*1+1.2*1.35+1*1.2+0.75*(2.5+1.85+2.65))*10.764</f>
        <v>307.07000999999997</v>
      </c>
      <c r="E247" s="19">
        <v>0</v>
      </c>
      <c r="F247" s="19">
        <v>404</v>
      </c>
      <c r="G247" s="146"/>
      <c r="H247" s="147"/>
      <c r="J247">
        <f t="shared" si="9"/>
        <v>1.3156608813735995</v>
      </c>
      <c r="M247">
        <v>208</v>
      </c>
      <c r="N247">
        <v>808</v>
      </c>
      <c r="O247" t="str">
        <f t="shared" si="15"/>
        <v>208 ,.., 808</v>
      </c>
    </row>
    <row r="248" spans="1:15" customFormat="1" ht="15" customHeight="1" x14ac:dyDescent="0.35">
      <c r="A248" s="141" t="s">
        <v>224</v>
      </c>
      <c r="B248" s="141"/>
      <c r="C248" s="141"/>
      <c r="D248" s="141"/>
      <c r="E248" s="141"/>
      <c r="F248" s="141"/>
      <c r="G248" s="141"/>
      <c r="H248" s="141"/>
      <c r="J248" t="e">
        <f t="shared" si="9"/>
        <v>#DIV/0!</v>
      </c>
    </row>
    <row r="249" spans="1:15" customFormat="1" ht="15" customHeight="1" x14ac:dyDescent="0.35">
      <c r="A249" s="141" t="s">
        <v>275</v>
      </c>
      <c r="B249" s="141"/>
      <c r="C249" s="141"/>
      <c r="D249" s="141"/>
      <c r="E249" s="141"/>
      <c r="F249" s="141"/>
      <c r="G249" s="141"/>
      <c r="H249" s="141"/>
      <c r="J249" t="e">
        <f t="shared" si="9"/>
        <v>#DIV/0!</v>
      </c>
    </row>
    <row r="250" spans="1:15" customFormat="1" ht="15" customHeight="1" x14ac:dyDescent="0.35">
      <c r="A250" s="105">
        <v>1</v>
      </c>
      <c r="B250" s="105"/>
      <c r="C250" s="88" t="s">
        <v>183</v>
      </c>
      <c r="D250" s="88">
        <f>(3.6*9.55+2*1.3+1.5*1.2)*10.764</f>
        <v>417.42791999999997</v>
      </c>
      <c r="E250" s="88">
        <v>0</v>
      </c>
      <c r="F250" s="88">
        <f>D250*2.12+E250</f>
        <v>884.94719039999995</v>
      </c>
      <c r="G250" s="105" t="str">
        <f>A249</f>
        <v>Ground Floor for Commercial &amp; Parking</v>
      </c>
      <c r="H250" s="105"/>
      <c r="J250">
        <f t="shared" si="9"/>
        <v>2.12</v>
      </c>
    </row>
    <row r="251" spans="1:15" customFormat="1" ht="14.5" x14ac:dyDescent="0.35">
      <c r="A251" s="105">
        <v>2</v>
      </c>
      <c r="B251" s="105"/>
      <c r="C251" s="88" t="s">
        <v>183</v>
      </c>
      <c r="D251" s="88">
        <f t="shared" ref="D251:D255" si="16">(3.6*9.55+2*1.3+1.5*1.2)*10.764</f>
        <v>417.42791999999997</v>
      </c>
      <c r="E251" s="88">
        <v>0</v>
      </c>
      <c r="F251" s="88">
        <f t="shared" ref="F251:F260" si="17">D251*2.12+E251</f>
        <v>884.94719039999995</v>
      </c>
      <c r="G251" s="105"/>
      <c r="H251" s="105"/>
      <c r="J251">
        <f t="shared" si="9"/>
        <v>2.12</v>
      </c>
    </row>
    <row r="252" spans="1:15" customFormat="1" ht="14.5" x14ac:dyDescent="0.35">
      <c r="A252" s="105">
        <v>3</v>
      </c>
      <c r="B252" s="105"/>
      <c r="C252" s="88" t="s">
        <v>183</v>
      </c>
      <c r="D252" s="88">
        <f t="shared" si="16"/>
        <v>417.42791999999997</v>
      </c>
      <c r="E252" s="88">
        <v>0</v>
      </c>
      <c r="F252" s="88">
        <f t="shared" si="17"/>
        <v>884.94719039999995</v>
      </c>
      <c r="G252" s="105"/>
      <c r="H252" s="105"/>
      <c r="J252">
        <f t="shared" si="9"/>
        <v>2.12</v>
      </c>
    </row>
    <row r="253" spans="1:15" customFormat="1" ht="14.5" x14ac:dyDescent="0.35">
      <c r="A253" s="105">
        <v>4</v>
      </c>
      <c r="B253" s="105"/>
      <c r="C253" s="88" t="s">
        <v>183</v>
      </c>
      <c r="D253" s="88">
        <f t="shared" si="16"/>
        <v>417.42791999999997</v>
      </c>
      <c r="E253" s="88">
        <v>0</v>
      </c>
      <c r="F253" s="88">
        <f t="shared" si="17"/>
        <v>884.94719039999995</v>
      </c>
      <c r="G253" s="105"/>
      <c r="H253" s="105"/>
      <c r="J253">
        <f t="shared" si="9"/>
        <v>2.12</v>
      </c>
    </row>
    <row r="254" spans="1:15" customFormat="1" ht="14.5" x14ac:dyDescent="0.35">
      <c r="A254" s="105">
        <v>5</v>
      </c>
      <c r="B254" s="105"/>
      <c r="C254" s="88" t="s">
        <v>183</v>
      </c>
      <c r="D254" s="88">
        <f t="shared" si="16"/>
        <v>417.42791999999997</v>
      </c>
      <c r="E254" s="88">
        <v>0</v>
      </c>
      <c r="F254" s="88">
        <f t="shared" si="17"/>
        <v>884.94719039999995</v>
      </c>
      <c r="G254" s="105"/>
      <c r="H254" s="105"/>
      <c r="J254">
        <f t="shared" si="9"/>
        <v>2.12</v>
      </c>
    </row>
    <row r="255" spans="1:15" customFormat="1" ht="14.5" x14ac:dyDescent="0.35">
      <c r="A255" s="105">
        <v>6</v>
      </c>
      <c r="B255" s="105"/>
      <c r="C255" s="88" t="s">
        <v>183</v>
      </c>
      <c r="D255" s="88">
        <f t="shared" si="16"/>
        <v>417.42791999999997</v>
      </c>
      <c r="E255" s="88">
        <v>0</v>
      </c>
      <c r="F255" s="88">
        <f t="shared" si="17"/>
        <v>884.94719039999995</v>
      </c>
      <c r="G255" s="105"/>
      <c r="H255" s="105"/>
      <c r="J255">
        <f t="shared" si="9"/>
        <v>2.12</v>
      </c>
    </row>
    <row r="256" spans="1:15" customFormat="1" ht="14.5" x14ac:dyDescent="0.35">
      <c r="A256" s="105">
        <v>7</v>
      </c>
      <c r="B256" s="105"/>
      <c r="C256" s="88" t="s">
        <v>183</v>
      </c>
      <c r="D256" s="88">
        <f>(3.6*8.616+2*1.3+2.1*1.2)*10.764</f>
        <v>388.98512639999996</v>
      </c>
      <c r="E256" s="88">
        <v>0</v>
      </c>
      <c r="F256" s="88">
        <f t="shared" si="17"/>
        <v>824.64846796799998</v>
      </c>
      <c r="G256" s="105"/>
      <c r="H256" s="105"/>
      <c r="J256">
        <f t="shared" si="9"/>
        <v>2.12</v>
      </c>
    </row>
    <row r="257" spans="1:10" customFormat="1" ht="14.5" x14ac:dyDescent="0.35">
      <c r="A257" s="105">
        <v>8</v>
      </c>
      <c r="B257" s="105"/>
      <c r="C257" s="88" t="s">
        <v>183</v>
      </c>
      <c r="D257" s="88">
        <f>(3.6*8.67)*10.764</f>
        <v>335.96596799999998</v>
      </c>
      <c r="E257" s="88">
        <v>0</v>
      </c>
      <c r="F257" s="88">
        <f t="shared" si="17"/>
        <v>712.24785215999998</v>
      </c>
      <c r="G257" s="105"/>
      <c r="H257" s="105"/>
      <c r="J257">
        <f t="shared" si="9"/>
        <v>2.12</v>
      </c>
    </row>
    <row r="258" spans="1:10" customFormat="1" ht="14.5" x14ac:dyDescent="0.35">
      <c r="A258" s="105">
        <v>9</v>
      </c>
      <c r="B258" s="105"/>
      <c r="C258" s="88" t="s">
        <v>183</v>
      </c>
      <c r="D258" s="88">
        <f>(3.6*10.85+2.1*1.2)*10.764</f>
        <v>447.56712000000005</v>
      </c>
      <c r="E258" s="88">
        <v>0</v>
      </c>
      <c r="F258" s="88">
        <f t="shared" si="17"/>
        <v>948.84229440000013</v>
      </c>
      <c r="G258" s="105"/>
      <c r="H258" s="105"/>
      <c r="J258">
        <f t="shared" si="9"/>
        <v>2.12</v>
      </c>
    </row>
    <row r="259" spans="1:10" customFormat="1" ht="14.5" x14ac:dyDescent="0.35">
      <c r="A259" s="105">
        <v>10</v>
      </c>
      <c r="B259" s="105"/>
      <c r="C259" s="88" t="s">
        <v>183</v>
      </c>
      <c r="D259" s="88">
        <f>(3.6*9.55+2.1*1.2)*10.764</f>
        <v>397.19160000000005</v>
      </c>
      <c r="E259" s="88">
        <v>0</v>
      </c>
      <c r="F259" s="88">
        <f t="shared" si="17"/>
        <v>842.04619200000013</v>
      </c>
      <c r="G259" s="105"/>
      <c r="H259" s="105"/>
      <c r="J259">
        <f t="shared" si="9"/>
        <v>2.12</v>
      </c>
    </row>
    <row r="260" spans="1:10" customFormat="1" ht="14.5" x14ac:dyDescent="0.35">
      <c r="A260" s="105">
        <v>11</v>
      </c>
      <c r="B260" s="105"/>
      <c r="C260" s="88" t="s">
        <v>183</v>
      </c>
      <c r="D260" s="88">
        <f>(3.6*5.13+1.63*1.2)*10.764</f>
        <v>219.84393599999999</v>
      </c>
      <c r="E260" s="88">
        <v>0</v>
      </c>
      <c r="F260" s="88">
        <f t="shared" si="17"/>
        <v>466.06914431999996</v>
      </c>
      <c r="G260" s="105"/>
      <c r="H260" s="105"/>
      <c r="J260">
        <f t="shared" si="9"/>
        <v>2.12</v>
      </c>
    </row>
    <row r="261" spans="1:10" s="20" customFormat="1" ht="15" customHeight="1" x14ac:dyDescent="0.35">
      <c r="A261" s="137" t="s">
        <v>225</v>
      </c>
      <c r="B261" s="138"/>
      <c r="C261" s="138"/>
      <c r="D261" s="138"/>
      <c r="E261" s="138"/>
      <c r="F261" s="138"/>
      <c r="G261" s="138"/>
      <c r="H261" s="139"/>
      <c r="J261" t="e">
        <f t="shared" si="9"/>
        <v>#DIV/0!</v>
      </c>
    </row>
    <row r="262" spans="1:10" customFormat="1" ht="15" customHeight="1" x14ac:dyDescent="0.35">
      <c r="A262" s="102">
        <v>101</v>
      </c>
      <c r="B262" s="103"/>
      <c r="C262" s="19" t="s">
        <v>185</v>
      </c>
      <c r="D262" s="19">
        <f>(3*2.7+1.35*1.2+1.35*1+3*2.7+1.8*2+1.2*1.69+0.75*(2.7+2))*10.764</f>
        <v>304.86877199999998</v>
      </c>
      <c r="E262" s="19">
        <f>(1.5*2)*10.764</f>
        <v>32.292000000000002</v>
      </c>
      <c r="F262" s="19">
        <v>607</v>
      </c>
      <c r="G262" s="142" t="str">
        <f>A261</f>
        <v>1st Floor for Residential</v>
      </c>
      <c r="H262" s="143"/>
      <c r="J262">
        <f t="shared" si="9"/>
        <v>1.9910205824557199</v>
      </c>
    </row>
    <row r="263" spans="1:10" customFormat="1" ht="15" customHeight="1" x14ac:dyDescent="0.35">
      <c r="A263" s="102">
        <v>102</v>
      </c>
      <c r="B263" s="103"/>
      <c r="C263" s="19" t="s">
        <v>185</v>
      </c>
      <c r="D263" s="19">
        <f>(3*2.7+1.35*1.2+1.35*1+3*2.7+1.8*2+1.2*1.69+0.75*(2.7+2))*10.764</f>
        <v>304.86877199999998</v>
      </c>
      <c r="E263" s="19">
        <f>(1.5*2)*10.764</f>
        <v>32.292000000000002</v>
      </c>
      <c r="F263" s="19">
        <v>607</v>
      </c>
      <c r="G263" s="144"/>
      <c r="H263" s="145"/>
      <c r="J263">
        <f t="shared" si="9"/>
        <v>1.9910205824557199</v>
      </c>
    </row>
    <row r="264" spans="1:10" customFormat="1" ht="15" customHeight="1" x14ac:dyDescent="0.35">
      <c r="A264" s="102">
        <v>103</v>
      </c>
      <c r="B264" s="103"/>
      <c r="C264" s="19" t="s">
        <v>185</v>
      </c>
      <c r="D264" s="19">
        <f>(3.78*2.71+2*2.25+1.4*1.3+0.9*1.2+1.2*0.9+2.7*3.12+0.75*2.85)*10.764</f>
        <v>315.22696919999993</v>
      </c>
      <c r="E264" s="19">
        <f>(2.93*2.71+3.12*1.8)*10.764</f>
        <v>145.9200132</v>
      </c>
      <c r="F264" s="19">
        <v>656</v>
      </c>
      <c r="G264" s="144"/>
      <c r="H264" s="145"/>
      <c r="J264">
        <f t="shared" si="9"/>
        <v>2.0810402157684424</v>
      </c>
    </row>
    <row r="265" spans="1:10" customFormat="1" ht="15" customHeight="1" x14ac:dyDescent="0.35">
      <c r="A265" s="102">
        <v>104</v>
      </c>
      <c r="B265" s="103"/>
      <c r="C265" s="19" t="s">
        <v>188</v>
      </c>
      <c r="D265" s="19">
        <f>(3*4.2+2.3*2.4+2.7*2.7+3*3.1+1.2*2.1+1.2*2.1+0.9*2.4+0.75*2.7+2.3*1)*10.764</f>
        <v>497.67354000000006</v>
      </c>
      <c r="E265" s="22">
        <f>(1.8*3.5+2.713*3.39+3.1*0.9)*10.764</f>
        <v>196.84202148</v>
      </c>
      <c r="F265" s="19">
        <v>996</v>
      </c>
      <c r="G265" s="144"/>
      <c r="H265" s="145"/>
      <c r="J265">
        <f t="shared" si="9"/>
        <v>2.0013119443722083</v>
      </c>
    </row>
    <row r="266" spans="1:10" customFormat="1" ht="15" customHeight="1" x14ac:dyDescent="0.35">
      <c r="A266" s="102">
        <v>105</v>
      </c>
      <c r="B266" s="103"/>
      <c r="C266" s="19" t="s">
        <v>188</v>
      </c>
      <c r="D266" s="19">
        <f>(3*4.2+2.1*2.4+2.7*2.4+3*3.1+2.1*1.2*2+0.9*2.4+0.75*2.7+0.9*2.1)*10.764</f>
        <v>479.37474000000003</v>
      </c>
      <c r="E266" s="22">
        <f>(1.8*3.5+1.8*3.5)*10.764</f>
        <v>135.62639999999999</v>
      </c>
      <c r="F266" s="19">
        <v>939</v>
      </c>
      <c r="G266" s="144"/>
      <c r="H266" s="145"/>
      <c r="J266">
        <f t="shared" si="9"/>
        <v>1.9588015839132449</v>
      </c>
    </row>
    <row r="267" spans="1:10" customFormat="1" ht="15" customHeight="1" x14ac:dyDescent="0.35">
      <c r="A267" s="102">
        <v>106</v>
      </c>
      <c r="B267" s="103"/>
      <c r="C267" s="19" t="s">
        <v>188</v>
      </c>
      <c r="D267" s="19">
        <f>(3*4.2+2.1*2.4+2.7*2.4+3*3.1+2.1*1.2*2+0.9*2.4+0.75*2.7+0.9*2.1)*10.764</f>
        <v>479.37474000000003</v>
      </c>
      <c r="E267" s="22">
        <f>(1.8*3.5+1.8*3.5)*10.764</f>
        <v>135.62639999999999</v>
      </c>
      <c r="F267" s="19">
        <v>939</v>
      </c>
      <c r="G267" s="144"/>
      <c r="H267" s="145"/>
      <c r="J267">
        <f t="shared" si="9"/>
        <v>1.9588015839132449</v>
      </c>
    </row>
    <row r="268" spans="1:10" customFormat="1" ht="15" customHeight="1" x14ac:dyDescent="0.35">
      <c r="A268" s="102">
        <v>107</v>
      </c>
      <c r="B268" s="103"/>
      <c r="C268" s="19" t="s">
        <v>188</v>
      </c>
      <c r="D268" s="19">
        <f>(3*4.2+2.1*2.4+2.7*2.7+3.55*3.1+1.2*2.1*2+0.9*2.4+0.75*2.7+0.9*2.1)*10.764</f>
        <v>506.44620000000003</v>
      </c>
      <c r="E268" s="22">
        <f>(3.5*1.8+1.69*3.5+4.6*2.833+2.3*3.1+0.5*2.3*4.5)*10.764</f>
        <v>404.20757519999995</v>
      </c>
      <c r="F268" s="19">
        <v>1012</v>
      </c>
      <c r="G268" s="144"/>
      <c r="H268" s="145"/>
      <c r="I268">
        <f>3018000/F268</f>
        <v>2982.213438735178</v>
      </c>
      <c r="J268">
        <f t="shared" si="9"/>
        <v>1.9982379174727738</v>
      </c>
    </row>
    <row r="269" spans="1:10" customFormat="1" ht="14.5" x14ac:dyDescent="0.35">
      <c r="A269" s="102">
        <v>108</v>
      </c>
      <c r="B269" s="103"/>
      <c r="C269" s="19" t="s">
        <v>185</v>
      </c>
      <c r="D269" s="19">
        <f>(3.6*3.05+1.2*1.85+2.7*2.85+1.2*1.85+1.35*1+2.35*1.9+1*0.9+0.75*(2.85+1.9))*10.764</f>
        <v>359.43686999999994</v>
      </c>
      <c r="E269" s="19">
        <f>(3.5*2)*10.764</f>
        <v>75.347999999999999</v>
      </c>
      <c r="F269" s="19">
        <v>628</v>
      </c>
      <c r="G269" s="144"/>
      <c r="H269" s="145"/>
      <c r="J269">
        <f t="shared" si="9"/>
        <v>1.7471774667968818</v>
      </c>
    </row>
    <row r="270" spans="1:10" customFormat="1" ht="14.5" x14ac:dyDescent="0.35">
      <c r="A270" s="102">
        <v>109</v>
      </c>
      <c r="B270" s="103"/>
      <c r="C270" s="19" t="s">
        <v>185</v>
      </c>
      <c r="D270" s="19">
        <f>(2.7*3.9+1.2*1.35+1*1.35+2.7*3.1+1.9*2.2+1.2*1.7+0.75*(2.7+1.9))*10.764</f>
        <v>339.49655999999999</v>
      </c>
      <c r="E270" s="19">
        <f>(1.5*1.8)*10.764</f>
        <v>29.062799999999999</v>
      </c>
      <c r="F270" s="19">
        <v>613</v>
      </c>
      <c r="G270" s="144"/>
      <c r="H270" s="145"/>
      <c r="J270">
        <f t="shared" si="9"/>
        <v>1.8056147608682693</v>
      </c>
    </row>
    <row r="271" spans="1:10" customFormat="1" ht="15" customHeight="1" x14ac:dyDescent="0.35">
      <c r="A271" s="102">
        <v>110</v>
      </c>
      <c r="B271" s="103"/>
      <c r="C271" s="19" t="s">
        <v>185</v>
      </c>
      <c r="D271" s="19">
        <f>(2.7*3.9+1.2*1.35+1*1.35+2.7*3.1+1.9*2.2+1.2*1.7+0.75*(2.7+1.9))*10.764</f>
        <v>339.49655999999999</v>
      </c>
      <c r="E271" s="19">
        <f>(1.5*1.8)*10.764</f>
        <v>29.062799999999999</v>
      </c>
      <c r="F271" s="19">
        <v>613</v>
      </c>
      <c r="G271" s="146"/>
      <c r="H271" s="147"/>
      <c r="J271">
        <f t="shared" si="9"/>
        <v>1.8056147608682693</v>
      </c>
    </row>
    <row r="272" spans="1:10" s="20" customFormat="1" ht="15" customHeight="1" x14ac:dyDescent="0.35">
      <c r="A272" s="137" t="s">
        <v>226</v>
      </c>
      <c r="B272" s="138"/>
      <c r="C272" s="138"/>
      <c r="D272" s="138"/>
      <c r="E272" s="138"/>
      <c r="F272" s="138"/>
      <c r="G272" s="138"/>
      <c r="H272" s="139"/>
      <c r="J272" t="e">
        <f t="shared" si="9"/>
        <v>#DIV/0!</v>
      </c>
    </row>
    <row r="273" spans="1:15" customFormat="1" ht="15" customHeight="1" x14ac:dyDescent="0.35">
      <c r="A273" s="102" t="s">
        <v>214</v>
      </c>
      <c r="B273" s="103"/>
      <c r="C273" s="19" t="s">
        <v>185</v>
      </c>
      <c r="D273" s="19">
        <f>(3*2.7+1.35*1.2+1.35*1+3*2.7+1.8*2+1.2*1.8+0.75*(1.8+2.7+1.8))*10.764</f>
        <v>319.20641999999998</v>
      </c>
      <c r="E273" s="19">
        <v>0</v>
      </c>
      <c r="F273" s="19">
        <v>583</v>
      </c>
      <c r="G273" s="142" t="str">
        <f>A272</f>
        <v>2nd, 4th, 6th Floor for Residential</v>
      </c>
      <c r="H273" s="143"/>
      <c r="J273">
        <f t="shared" si="9"/>
        <v>1.8264043686840636</v>
      </c>
    </row>
    <row r="274" spans="1:15" customFormat="1" ht="15" customHeight="1" x14ac:dyDescent="0.35">
      <c r="A274" s="102" t="s">
        <v>215</v>
      </c>
      <c r="B274" s="103"/>
      <c r="C274" s="19" t="s">
        <v>185</v>
      </c>
      <c r="D274" s="19">
        <f>(3.9*2.7+1.35*1.2+1.35*1+3*2.7+2*2+1.2*1.8+0.75*(2+2.7+1.8))*10.764</f>
        <v>351.28314000000006</v>
      </c>
      <c r="E274" s="19">
        <v>0</v>
      </c>
      <c r="F274" s="19">
        <v>583</v>
      </c>
      <c r="G274" s="144"/>
      <c r="H274" s="145"/>
      <c r="J274">
        <f t="shared" si="9"/>
        <v>1.659629892855091</v>
      </c>
    </row>
    <row r="275" spans="1:15" customFormat="1" ht="15" customHeight="1" x14ac:dyDescent="0.35">
      <c r="A275" s="102" t="s">
        <v>216</v>
      </c>
      <c r="B275" s="103"/>
      <c r="C275" s="19" t="s">
        <v>185</v>
      </c>
      <c r="D275" s="19">
        <f>(3.78*2.71+2*2.2+1.4*1.3+0.9*1.2+2.7*3.12+1.2*1+0.75*(2.8+2.7+3.12))*10.764</f>
        <v>362.02345919999993</v>
      </c>
      <c r="E275" s="19">
        <v>0</v>
      </c>
      <c r="F275" s="19">
        <v>566</v>
      </c>
      <c r="G275" s="144"/>
      <c r="H275" s="145"/>
      <c r="J275">
        <f t="shared" si="9"/>
        <v>1.5634345941303025</v>
      </c>
    </row>
    <row r="276" spans="1:15" customFormat="1" ht="15" customHeight="1" x14ac:dyDescent="0.35">
      <c r="A276" s="102" t="s">
        <v>217</v>
      </c>
      <c r="B276" s="103"/>
      <c r="C276" s="19" t="s">
        <v>188</v>
      </c>
      <c r="D276" s="19">
        <f>(3*4.2+2.1*2.4+2.7*2.7+3*3.1+1.2*2.1*2+0.75*(2.7+2.1+1.8))*10.764</f>
        <v>475.98408000000006</v>
      </c>
      <c r="E276" s="19">
        <v>0</v>
      </c>
      <c r="F276" s="19">
        <v>834</v>
      </c>
      <c r="G276" s="144"/>
      <c r="H276" s="145"/>
      <c r="J276">
        <f t="shared" si="9"/>
        <v>1.7521594419712523</v>
      </c>
    </row>
    <row r="277" spans="1:15" customFormat="1" ht="15" customHeight="1" x14ac:dyDescent="0.35">
      <c r="A277" s="102" t="s">
        <v>218</v>
      </c>
      <c r="B277" s="103"/>
      <c r="C277" s="19" t="s">
        <v>188</v>
      </c>
      <c r="D277" s="19">
        <f t="shared" ref="D277:D279" si="18">(3*4.2+2.1*2.4+2.7*2.7+3*3.1+1.2*2.1*2+0.75*(2.7+2.1+1.8))*10.764</f>
        <v>475.98408000000006</v>
      </c>
      <c r="E277" s="19">
        <v>0</v>
      </c>
      <c r="F277" s="19">
        <v>834</v>
      </c>
      <c r="G277" s="144"/>
      <c r="H277" s="145"/>
      <c r="J277">
        <f t="shared" si="9"/>
        <v>1.7521594419712523</v>
      </c>
    </row>
    <row r="278" spans="1:15" customFormat="1" ht="15" customHeight="1" x14ac:dyDescent="0.35">
      <c r="A278" s="102" t="s">
        <v>219</v>
      </c>
      <c r="B278" s="103"/>
      <c r="C278" s="19" t="s">
        <v>188</v>
      </c>
      <c r="D278" s="19">
        <f t="shared" si="18"/>
        <v>475.98408000000006</v>
      </c>
      <c r="E278" s="19">
        <v>0</v>
      </c>
      <c r="F278" s="19">
        <v>834</v>
      </c>
      <c r="G278" s="144"/>
      <c r="H278" s="145"/>
      <c r="J278">
        <f t="shared" si="9"/>
        <v>1.7521594419712523</v>
      </c>
    </row>
    <row r="279" spans="1:15" customFormat="1" ht="15" customHeight="1" x14ac:dyDescent="0.35">
      <c r="A279" s="102" t="s">
        <v>220</v>
      </c>
      <c r="B279" s="103"/>
      <c r="C279" s="19" t="s">
        <v>188</v>
      </c>
      <c r="D279" s="19">
        <f t="shared" si="18"/>
        <v>475.98408000000006</v>
      </c>
      <c r="E279" s="19">
        <v>0</v>
      </c>
      <c r="F279" s="19">
        <v>834</v>
      </c>
      <c r="G279" s="144"/>
      <c r="H279" s="145"/>
      <c r="J279">
        <f t="shared" si="9"/>
        <v>1.7521594419712523</v>
      </c>
    </row>
    <row r="280" spans="1:15" customFormat="1" ht="15" customHeight="1" x14ac:dyDescent="0.35">
      <c r="A280" s="102" t="s">
        <v>221</v>
      </c>
      <c r="B280" s="103"/>
      <c r="C280" s="19" t="s">
        <v>185</v>
      </c>
      <c r="D280" s="19">
        <f>(3.6*3.05+1.2*1.85+2.7*2.85+1.35*1+2.35*1.9+0.75*(1.9+2+2.85))*10.764</f>
        <v>341.99919</v>
      </c>
      <c r="E280" s="19">
        <v>0</v>
      </c>
      <c r="F280" s="19">
        <v>577</v>
      </c>
      <c r="G280" s="144"/>
      <c r="H280" s="145"/>
      <c r="J280">
        <f t="shared" si="9"/>
        <v>1.6871384987783158</v>
      </c>
    </row>
    <row r="281" spans="1:15" customFormat="1" ht="15" customHeight="1" x14ac:dyDescent="0.35">
      <c r="A281" s="102" t="s">
        <v>227</v>
      </c>
      <c r="B281" s="103"/>
      <c r="C281" s="19" t="s">
        <v>185</v>
      </c>
      <c r="D281" s="19">
        <f>(2.7*3.9+1.9*2.2+2.7*3.1+1*1.35+1.2*1.35+1.2*1.8+0.75*(2.7+1.9+2))*10.764</f>
        <v>356.93424000000005</v>
      </c>
      <c r="E281" s="19">
        <v>0</v>
      </c>
      <c r="F281" s="19">
        <v>588</v>
      </c>
      <c r="G281" s="144"/>
      <c r="H281" s="145"/>
      <c r="J281">
        <f t="shared" ref="J281:J344" si="19">F281/D281</f>
        <v>1.6473622704283006</v>
      </c>
    </row>
    <row r="282" spans="1:15" customFormat="1" ht="15" customHeight="1" x14ac:dyDescent="0.35">
      <c r="A282" s="102" t="s">
        <v>228</v>
      </c>
      <c r="B282" s="103"/>
      <c r="C282" s="19" t="s">
        <v>185</v>
      </c>
      <c r="D282" s="19">
        <f>(2.7*3.9+1.9*2.2+2.7*3.1+1*1.35+1.2*1.35+1.2*1.8+0.75*(2.7+1.9+2))*10.764</f>
        <v>356.93424000000005</v>
      </c>
      <c r="E282" s="19">
        <v>0</v>
      </c>
      <c r="F282" s="19">
        <v>588</v>
      </c>
      <c r="G282" s="146"/>
      <c r="H282" s="147"/>
      <c r="J282">
        <f t="shared" si="19"/>
        <v>1.6473622704283006</v>
      </c>
    </row>
    <row r="283" spans="1:15" s="20" customFormat="1" ht="15" customHeight="1" x14ac:dyDescent="0.35">
      <c r="A283" s="137" t="s">
        <v>301</v>
      </c>
      <c r="B283" s="138"/>
      <c r="C283" s="138"/>
      <c r="D283" s="138"/>
      <c r="E283" s="138"/>
      <c r="F283" s="138"/>
      <c r="G283" s="138"/>
      <c r="H283" s="139"/>
      <c r="J283" t="e">
        <f t="shared" si="19"/>
        <v>#DIV/0!</v>
      </c>
    </row>
    <row r="284" spans="1:15" customFormat="1" ht="15" customHeight="1" x14ac:dyDescent="0.35">
      <c r="A284" s="102" t="str">
        <f>O284</f>
        <v>301 ,…,701</v>
      </c>
      <c r="B284" s="103"/>
      <c r="C284" s="19" t="s">
        <v>185</v>
      </c>
      <c r="D284" s="19">
        <f>(3*2.7+1.35*1.2+1.35*1+3*2.7+1.8*2+1.2*1.8+0.75*(2.7+1.8))*10.764</f>
        <v>304.67502000000002</v>
      </c>
      <c r="E284" s="19">
        <f>(1.5*1.85)*10.764</f>
        <v>29.870100000000001</v>
      </c>
      <c r="F284" s="19">
        <v>606</v>
      </c>
      <c r="G284" s="142" t="str">
        <f>A283</f>
        <v>3rd, 5th &amp; 7th Floor for Residential</v>
      </c>
      <c r="H284" s="143"/>
      <c r="I284">
        <f>1771200/F284</f>
        <v>2922.772277227723</v>
      </c>
      <c r="J284">
        <f t="shared" si="19"/>
        <v>1.9890045465493034</v>
      </c>
      <c r="M284">
        <v>301</v>
      </c>
      <c r="N284">
        <v>701</v>
      </c>
      <c r="O284" t="str">
        <f>M284&amp;""&amp;" ,…,"&amp;""&amp;N284</f>
        <v>301 ,…,701</v>
      </c>
    </row>
    <row r="285" spans="1:15" customFormat="1" ht="15" customHeight="1" x14ac:dyDescent="0.35">
      <c r="A285" s="102" t="str">
        <f t="shared" ref="A285:A293" si="20">O285</f>
        <v>302 ,…,702</v>
      </c>
      <c r="B285" s="103"/>
      <c r="C285" s="19" t="s">
        <v>185</v>
      </c>
      <c r="D285" s="19">
        <f>(3.9*2.7+1.35*1.2+1.35*1+3*2.7+2*2+1.2*1.8+0.75*(2+2.7))*10.764</f>
        <v>336.75174000000004</v>
      </c>
      <c r="E285" s="19">
        <f>(1.8*1.5)*10.764</f>
        <v>29.062799999999999</v>
      </c>
      <c r="F285" s="19">
        <v>606</v>
      </c>
      <c r="G285" s="144"/>
      <c r="H285" s="145"/>
      <c r="J285">
        <f t="shared" si="19"/>
        <v>1.7995452673830281</v>
      </c>
      <c r="M285">
        <v>302</v>
      </c>
      <c r="N285">
        <v>702</v>
      </c>
      <c r="O285" t="str">
        <f t="shared" ref="O285:O293" si="21">M285&amp;""&amp;" ,…,"&amp;""&amp;N285</f>
        <v>302 ,…,702</v>
      </c>
    </row>
    <row r="286" spans="1:15" customFormat="1" ht="15" customHeight="1" x14ac:dyDescent="0.35">
      <c r="A286" s="102" t="str">
        <f t="shared" si="20"/>
        <v>303 ,…,703</v>
      </c>
      <c r="B286" s="103"/>
      <c r="C286" s="19" t="s">
        <v>185</v>
      </c>
      <c r="D286" s="19">
        <f>(3.78*2.71+2*2.2+1.4*1.3+0.9*1.2+2.7*3.12+1.2*1+0.75*(2.8+3.12))*10.764</f>
        <v>340.22635919999993</v>
      </c>
      <c r="E286" s="19">
        <f>(1.5*2.71)*10.764</f>
        <v>43.755659999999992</v>
      </c>
      <c r="F286" s="19">
        <v>599</v>
      </c>
      <c r="G286" s="144"/>
      <c r="H286" s="145"/>
      <c r="J286">
        <f t="shared" si="19"/>
        <v>1.7605925696306253</v>
      </c>
      <c r="M286">
        <v>303</v>
      </c>
      <c r="N286">
        <v>703</v>
      </c>
      <c r="O286" t="str">
        <f t="shared" si="21"/>
        <v>303 ,…,703</v>
      </c>
    </row>
    <row r="287" spans="1:15" customFormat="1" ht="15" customHeight="1" x14ac:dyDescent="0.35">
      <c r="A287" s="102" t="str">
        <f t="shared" si="20"/>
        <v>304 ,…,704</v>
      </c>
      <c r="B287" s="103"/>
      <c r="C287" s="19" t="s">
        <v>188</v>
      </c>
      <c r="D287" s="19">
        <f>(3*4.2+2.1*2.4+2.7*2.7+3*3.1+1.2*2.1*2+0.75*(2.7+2.1))*10.764</f>
        <v>461.45268000000004</v>
      </c>
      <c r="E287" s="19">
        <f>(1.8*1.5)*10.764</f>
        <v>29.062799999999999</v>
      </c>
      <c r="F287" s="19">
        <v>856</v>
      </c>
      <c r="G287" s="144"/>
      <c r="H287" s="145"/>
      <c r="J287">
        <f t="shared" si="19"/>
        <v>1.8550114390927364</v>
      </c>
      <c r="M287">
        <v>304</v>
      </c>
      <c r="N287">
        <v>704</v>
      </c>
      <c r="O287" t="str">
        <f t="shared" si="21"/>
        <v>304 ,…,704</v>
      </c>
    </row>
    <row r="288" spans="1:15" customFormat="1" ht="15" customHeight="1" x14ac:dyDescent="0.35">
      <c r="A288" s="102" t="str">
        <f t="shared" si="20"/>
        <v>305 ,…,705</v>
      </c>
      <c r="B288" s="103"/>
      <c r="C288" s="19" t="s">
        <v>188</v>
      </c>
      <c r="D288" s="19">
        <f t="shared" ref="D288:D290" si="22">(3*4.2+2.1*2.4+2.7*2.7+3*3.1+1.2*2.1*2+0.75*(2.7+2.1+1.8))*10.764</f>
        <v>475.98408000000006</v>
      </c>
      <c r="E288" s="19">
        <f t="shared" ref="E288:E290" si="23">(1.8*1.5)*10.764</f>
        <v>29.062799999999999</v>
      </c>
      <c r="F288" s="19">
        <v>856</v>
      </c>
      <c r="G288" s="144"/>
      <c r="H288" s="145"/>
      <c r="J288">
        <f t="shared" si="19"/>
        <v>1.7983794752127003</v>
      </c>
      <c r="M288">
        <v>305</v>
      </c>
      <c r="N288">
        <v>705</v>
      </c>
      <c r="O288" t="str">
        <f t="shared" si="21"/>
        <v>305 ,…,705</v>
      </c>
    </row>
    <row r="289" spans="1:15" customFormat="1" ht="15" customHeight="1" x14ac:dyDescent="0.35">
      <c r="A289" s="102" t="str">
        <f t="shared" si="20"/>
        <v>306 ,…,706</v>
      </c>
      <c r="B289" s="103"/>
      <c r="C289" s="19" t="s">
        <v>188</v>
      </c>
      <c r="D289" s="19">
        <f t="shared" si="22"/>
        <v>475.98408000000006</v>
      </c>
      <c r="E289" s="19">
        <f t="shared" si="23"/>
        <v>29.062799999999999</v>
      </c>
      <c r="F289" s="19">
        <v>856</v>
      </c>
      <c r="G289" s="144"/>
      <c r="H289" s="145"/>
      <c r="J289">
        <f t="shared" si="19"/>
        <v>1.7983794752127003</v>
      </c>
      <c r="M289">
        <v>306</v>
      </c>
      <c r="N289">
        <v>706</v>
      </c>
      <c r="O289" t="str">
        <f t="shared" si="21"/>
        <v>306 ,…,706</v>
      </c>
    </row>
    <row r="290" spans="1:15" customFormat="1" ht="15" customHeight="1" x14ac:dyDescent="0.35">
      <c r="A290" s="102" t="str">
        <f t="shared" si="20"/>
        <v>307 ,…,707</v>
      </c>
      <c r="B290" s="103"/>
      <c r="C290" s="19" t="s">
        <v>188</v>
      </c>
      <c r="D290" s="19">
        <f t="shared" si="22"/>
        <v>475.98408000000006</v>
      </c>
      <c r="E290" s="19">
        <f t="shared" si="23"/>
        <v>29.062799999999999</v>
      </c>
      <c r="F290" s="19">
        <v>856</v>
      </c>
      <c r="G290" s="144"/>
      <c r="H290" s="145"/>
      <c r="J290">
        <f t="shared" si="19"/>
        <v>1.7983794752127003</v>
      </c>
      <c r="M290">
        <v>307</v>
      </c>
      <c r="N290">
        <v>707</v>
      </c>
      <c r="O290" t="str">
        <f t="shared" si="21"/>
        <v>307 ,…,707</v>
      </c>
    </row>
    <row r="291" spans="1:15" customFormat="1" ht="15" customHeight="1" x14ac:dyDescent="0.35">
      <c r="A291" s="102" t="str">
        <f t="shared" si="20"/>
        <v>308 ,…,708</v>
      </c>
      <c r="B291" s="103"/>
      <c r="C291" s="19" t="s">
        <v>185</v>
      </c>
      <c r="D291" s="19">
        <f>(3.6*3.05+1.2*1.85+2.7*2.85+1.35*1+2.35*1.9+0.75*(1.9+2.85))*10.764</f>
        <v>325.85319000000004</v>
      </c>
      <c r="E291" s="19">
        <f>(2*1.5)*10.764</f>
        <v>32.292000000000002</v>
      </c>
      <c r="F291" s="19">
        <v>601</v>
      </c>
      <c r="G291" s="144"/>
      <c r="H291" s="145"/>
      <c r="I291">
        <f xml:space="preserve"> 1742400/F291</f>
        <v>2899.1680532445926</v>
      </c>
      <c r="J291">
        <f t="shared" si="19"/>
        <v>1.8443888795441896</v>
      </c>
      <c r="M291">
        <v>308</v>
      </c>
      <c r="N291">
        <v>708</v>
      </c>
      <c r="O291" t="str">
        <f t="shared" si="21"/>
        <v>308 ,…,708</v>
      </c>
    </row>
    <row r="292" spans="1:15" customFormat="1" ht="15" customHeight="1" x14ac:dyDescent="0.35">
      <c r="A292" s="102" t="str">
        <f t="shared" si="20"/>
        <v>309 ,…,709</v>
      </c>
      <c r="B292" s="103"/>
      <c r="C292" s="19" t="s">
        <v>185</v>
      </c>
      <c r="D292" s="19">
        <f>(2.7*3.9+1.9*2.2+2.7*3.1+1*1.35+1.2*1.35+1.2*1.8+0.75*(2.7+1.9))*10.764</f>
        <v>340.78824000000003</v>
      </c>
      <c r="E292" s="19">
        <f>(1.5*2)*10.764</f>
        <v>32.292000000000002</v>
      </c>
      <c r="F292" s="19">
        <v>613</v>
      </c>
      <c r="G292" s="144"/>
      <c r="H292" s="145"/>
      <c r="J292">
        <f t="shared" si="19"/>
        <v>1.7987709904543654</v>
      </c>
      <c r="M292">
        <v>309</v>
      </c>
      <c r="N292">
        <v>709</v>
      </c>
      <c r="O292" t="str">
        <f t="shared" si="21"/>
        <v>309 ,…,709</v>
      </c>
    </row>
    <row r="293" spans="1:15" customFormat="1" ht="15" customHeight="1" x14ac:dyDescent="0.35">
      <c r="A293" s="102" t="str">
        <f t="shared" si="20"/>
        <v>310 ,…,710</v>
      </c>
      <c r="B293" s="103"/>
      <c r="C293" s="19" t="s">
        <v>185</v>
      </c>
      <c r="D293" s="19">
        <f>(2.7*3.9+1.9*2.2+2.7*3.1+1*1.35+1.2*1.35+1.2*1.8+0.75*(2.7+1.9))*10.764</f>
        <v>340.78824000000003</v>
      </c>
      <c r="E293" s="19">
        <f>(1.5*2)*10.764</f>
        <v>32.292000000000002</v>
      </c>
      <c r="F293" s="19">
        <v>613</v>
      </c>
      <c r="G293" s="146"/>
      <c r="H293" s="147"/>
      <c r="J293">
        <f t="shared" si="19"/>
        <v>1.7987709904543654</v>
      </c>
      <c r="M293">
        <v>310</v>
      </c>
      <c r="N293">
        <v>710</v>
      </c>
      <c r="O293" t="str">
        <f t="shared" si="21"/>
        <v>310 ,…,710</v>
      </c>
    </row>
    <row r="294" spans="1:15" customFormat="1" ht="15" customHeight="1" x14ac:dyDescent="0.35">
      <c r="A294" s="137" t="s">
        <v>240</v>
      </c>
      <c r="B294" s="138"/>
      <c r="C294" s="138"/>
      <c r="D294" s="138"/>
      <c r="E294" s="138"/>
      <c r="F294" s="138"/>
      <c r="G294" s="138"/>
      <c r="H294" s="139"/>
      <c r="J294" t="e">
        <f t="shared" si="19"/>
        <v>#DIV/0!</v>
      </c>
    </row>
    <row r="295" spans="1:15" customFormat="1" ht="15" customHeight="1" x14ac:dyDescent="0.35">
      <c r="A295" s="141" t="s">
        <v>278</v>
      </c>
      <c r="B295" s="141"/>
      <c r="C295" s="141"/>
      <c r="D295" s="141"/>
      <c r="E295" s="141"/>
      <c r="F295" s="141"/>
      <c r="G295" s="141"/>
      <c r="H295" s="141"/>
      <c r="J295" t="e">
        <f t="shared" si="19"/>
        <v>#DIV/0!</v>
      </c>
    </row>
    <row r="296" spans="1:15" customFormat="1" ht="15" customHeight="1" x14ac:dyDescent="0.35">
      <c r="A296" s="105">
        <v>1</v>
      </c>
      <c r="B296" s="105"/>
      <c r="C296" s="88" t="s">
        <v>183</v>
      </c>
      <c r="D296" s="88">
        <f>43.195*10.764</f>
        <v>464.95097999999996</v>
      </c>
      <c r="E296" s="88">
        <v>0</v>
      </c>
      <c r="F296" s="88">
        <v>986</v>
      </c>
      <c r="G296" s="105" t="str">
        <f>A295</f>
        <v>Ground Floor for Commercial</v>
      </c>
      <c r="H296" s="105"/>
      <c r="I296">
        <f>(3.5*11.1+1.9*1.3+1.5*1.2)*10.764</f>
        <v>464.14367999999996</v>
      </c>
      <c r="J296">
        <f t="shared" si="19"/>
        <v>2.1206536654681321</v>
      </c>
    </row>
    <row r="297" spans="1:15" customFormat="1" ht="14.5" x14ac:dyDescent="0.35">
      <c r="A297" s="105">
        <v>2</v>
      </c>
      <c r="B297" s="105"/>
      <c r="C297" s="88" t="s">
        <v>183</v>
      </c>
      <c r="D297" s="88">
        <f t="shared" ref="D297:D336" si="24">43.195*10.764</f>
        <v>464.95097999999996</v>
      </c>
      <c r="E297" s="88">
        <v>0</v>
      </c>
      <c r="F297" s="88">
        <v>986</v>
      </c>
      <c r="G297" s="105"/>
      <c r="H297" s="105"/>
      <c r="J297">
        <f t="shared" si="19"/>
        <v>2.1206536654681321</v>
      </c>
    </row>
    <row r="298" spans="1:15" customFormat="1" ht="14.5" x14ac:dyDescent="0.35">
      <c r="A298" s="105">
        <v>3</v>
      </c>
      <c r="B298" s="105"/>
      <c r="C298" s="88" t="s">
        <v>183</v>
      </c>
      <c r="D298" s="88">
        <f t="shared" si="24"/>
        <v>464.95097999999996</v>
      </c>
      <c r="E298" s="88">
        <v>0</v>
      </c>
      <c r="F298" s="88">
        <v>986</v>
      </c>
      <c r="G298" s="105"/>
      <c r="H298" s="105"/>
      <c r="J298">
        <f t="shared" si="19"/>
        <v>2.1206536654681321</v>
      </c>
    </row>
    <row r="299" spans="1:15" customFormat="1" ht="14.5" x14ac:dyDescent="0.35">
      <c r="A299" s="105">
        <v>4</v>
      </c>
      <c r="B299" s="105"/>
      <c r="C299" s="88" t="s">
        <v>183</v>
      </c>
      <c r="D299" s="88">
        <f t="shared" si="24"/>
        <v>464.95097999999996</v>
      </c>
      <c r="E299" s="88">
        <v>0</v>
      </c>
      <c r="F299" s="88">
        <v>986</v>
      </c>
      <c r="G299" s="105"/>
      <c r="H299" s="105"/>
      <c r="J299">
        <f t="shared" si="19"/>
        <v>2.1206536654681321</v>
      </c>
    </row>
    <row r="300" spans="1:15" customFormat="1" ht="14.5" x14ac:dyDescent="0.35">
      <c r="A300" s="105">
        <v>5</v>
      </c>
      <c r="B300" s="105"/>
      <c r="C300" s="88" t="s">
        <v>183</v>
      </c>
      <c r="D300" s="88">
        <f t="shared" si="24"/>
        <v>464.95097999999996</v>
      </c>
      <c r="E300" s="88">
        <v>0</v>
      </c>
      <c r="F300" s="88">
        <v>986</v>
      </c>
      <c r="G300" s="105"/>
      <c r="H300" s="105"/>
      <c r="J300">
        <f t="shared" si="19"/>
        <v>2.1206536654681321</v>
      </c>
    </row>
    <row r="301" spans="1:15" customFormat="1" ht="14.5" x14ac:dyDescent="0.35">
      <c r="A301" s="105">
        <v>6</v>
      </c>
      <c r="B301" s="105"/>
      <c r="C301" s="88" t="s">
        <v>183</v>
      </c>
      <c r="D301" s="88">
        <f t="shared" si="24"/>
        <v>464.95097999999996</v>
      </c>
      <c r="E301" s="88">
        <v>0</v>
      </c>
      <c r="F301" s="88">
        <v>986</v>
      </c>
      <c r="G301" s="105"/>
      <c r="H301" s="105"/>
      <c r="J301">
        <f t="shared" si="19"/>
        <v>2.1206536654681321</v>
      </c>
    </row>
    <row r="302" spans="1:15" customFormat="1" ht="14.5" x14ac:dyDescent="0.35">
      <c r="A302" s="105">
        <v>7</v>
      </c>
      <c r="B302" s="105"/>
      <c r="C302" s="88" t="s">
        <v>183</v>
      </c>
      <c r="D302" s="88">
        <f t="shared" si="24"/>
        <v>464.95097999999996</v>
      </c>
      <c r="E302" s="88">
        <v>0</v>
      </c>
      <c r="F302" s="88">
        <v>986</v>
      </c>
      <c r="G302" s="105"/>
      <c r="H302" s="105"/>
      <c r="J302">
        <f t="shared" si="19"/>
        <v>2.1206536654681321</v>
      </c>
    </row>
    <row r="303" spans="1:15" customFormat="1" ht="14.5" x14ac:dyDescent="0.35">
      <c r="A303" s="105">
        <v>8</v>
      </c>
      <c r="B303" s="105"/>
      <c r="C303" s="88" t="s">
        <v>183</v>
      </c>
      <c r="D303" s="88">
        <f t="shared" si="24"/>
        <v>464.95097999999996</v>
      </c>
      <c r="E303" s="88">
        <v>0</v>
      </c>
      <c r="F303" s="88">
        <v>986</v>
      </c>
      <c r="G303" s="105"/>
      <c r="H303" s="105"/>
      <c r="I303">
        <f>2900000/F303</f>
        <v>2941.1764705882351</v>
      </c>
      <c r="J303">
        <f t="shared" si="19"/>
        <v>2.1206536654681321</v>
      </c>
    </row>
    <row r="304" spans="1:15" customFormat="1" ht="14.5" x14ac:dyDescent="0.35">
      <c r="A304" s="105">
        <v>9</v>
      </c>
      <c r="B304" s="105"/>
      <c r="C304" s="88" t="s">
        <v>183</v>
      </c>
      <c r="D304" s="88">
        <f t="shared" si="24"/>
        <v>464.95097999999996</v>
      </c>
      <c r="E304" s="88">
        <v>0</v>
      </c>
      <c r="F304" s="88">
        <v>986</v>
      </c>
      <c r="G304" s="105"/>
      <c r="H304" s="105"/>
      <c r="J304">
        <f t="shared" si="19"/>
        <v>2.1206536654681321</v>
      </c>
    </row>
    <row r="305" spans="1:10" customFormat="1" ht="14.5" x14ac:dyDescent="0.35">
      <c r="A305" s="105">
        <v>10</v>
      </c>
      <c r="B305" s="105"/>
      <c r="C305" s="88" t="s">
        <v>183</v>
      </c>
      <c r="D305" s="88">
        <f>47.69*10.764</f>
        <v>513.33515999999997</v>
      </c>
      <c r="E305" s="88">
        <v>0</v>
      </c>
      <c r="F305" s="88">
        <v>986</v>
      </c>
      <c r="G305" s="105"/>
      <c r="H305" s="105"/>
      <c r="J305">
        <f t="shared" si="19"/>
        <v>1.9207723858229389</v>
      </c>
    </row>
    <row r="306" spans="1:10" customFormat="1" ht="14.5" x14ac:dyDescent="0.35">
      <c r="A306" s="105">
        <v>11</v>
      </c>
      <c r="B306" s="105"/>
      <c r="C306" s="88" t="s">
        <v>183</v>
      </c>
      <c r="D306" s="88">
        <f>47.69*10.764</f>
        <v>513.33515999999997</v>
      </c>
      <c r="E306" s="88">
        <v>0</v>
      </c>
      <c r="F306" s="88">
        <v>986</v>
      </c>
      <c r="G306" s="105"/>
      <c r="H306" s="105"/>
      <c r="J306">
        <f t="shared" si="19"/>
        <v>1.9207723858229389</v>
      </c>
    </row>
    <row r="307" spans="1:10" customFormat="1" ht="14.5" x14ac:dyDescent="0.35">
      <c r="A307" s="105">
        <v>12</v>
      </c>
      <c r="B307" s="105"/>
      <c r="C307" s="88" t="s">
        <v>183</v>
      </c>
      <c r="D307" s="88">
        <f>(41.32)*10.764</f>
        <v>444.76847999999995</v>
      </c>
      <c r="E307" s="88">
        <v>0</v>
      </c>
      <c r="F307" s="88">
        <v>986</v>
      </c>
      <c r="G307" s="105"/>
      <c r="H307" s="105"/>
      <c r="J307">
        <f t="shared" si="19"/>
        <v>2.2168837144214897</v>
      </c>
    </row>
    <row r="308" spans="1:10" customFormat="1" ht="14.5" x14ac:dyDescent="0.35">
      <c r="A308" s="105">
        <v>13</v>
      </c>
      <c r="B308" s="105"/>
      <c r="C308" s="88" t="s">
        <v>183</v>
      </c>
      <c r="D308" s="88">
        <f t="shared" ref="D308:D315" si="25">(41.32)*10.764</f>
        <v>444.76847999999995</v>
      </c>
      <c r="E308" s="88">
        <v>0</v>
      </c>
      <c r="F308" s="88">
        <v>986</v>
      </c>
      <c r="G308" s="105"/>
      <c r="H308" s="105"/>
      <c r="J308">
        <f t="shared" si="19"/>
        <v>2.2168837144214897</v>
      </c>
    </row>
    <row r="309" spans="1:10" customFormat="1" ht="15" customHeight="1" x14ac:dyDescent="0.35">
      <c r="A309" s="105">
        <v>14</v>
      </c>
      <c r="B309" s="105"/>
      <c r="C309" s="88" t="s">
        <v>183</v>
      </c>
      <c r="D309" s="88">
        <f t="shared" si="25"/>
        <v>444.76847999999995</v>
      </c>
      <c r="E309" s="88">
        <v>0</v>
      </c>
      <c r="F309" s="88">
        <v>986</v>
      </c>
      <c r="G309" s="105"/>
      <c r="H309" s="105"/>
      <c r="J309">
        <f t="shared" si="19"/>
        <v>2.2168837144214897</v>
      </c>
    </row>
    <row r="310" spans="1:10" customFormat="1" ht="14.5" x14ac:dyDescent="0.35">
      <c r="A310" s="105">
        <v>15</v>
      </c>
      <c r="B310" s="105"/>
      <c r="C310" s="88" t="s">
        <v>183</v>
      </c>
      <c r="D310" s="88">
        <f t="shared" si="25"/>
        <v>444.76847999999995</v>
      </c>
      <c r="E310" s="88">
        <v>0</v>
      </c>
      <c r="F310" s="88">
        <v>986</v>
      </c>
      <c r="G310" s="105"/>
      <c r="H310" s="105"/>
      <c r="J310">
        <f t="shared" si="19"/>
        <v>2.2168837144214897</v>
      </c>
    </row>
    <row r="311" spans="1:10" customFormat="1" ht="14.5" x14ac:dyDescent="0.35">
      <c r="A311" s="105">
        <v>16</v>
      </c>
      <c r="B311" s="105"/>
      <c r="C311" s="88" t="s">
        <v>183</v>
      </c>
      <c r="D311" s="88">
        <f t="shared" si="25"/>
        <v>444.76847999999995</v>
      </c>
      <c r="E311" s="88">
        <v>0</v>
      </c>
      <c r="F311" s="88">
        <v>986</v>
      </c>
      <c r="G311" s="105"/>
      <c r="H311" s="105"/>
      <c r="J311">
        <f t="shared" si="19"/>
        <v>2.2168837144214897</v>
      </c>
    </row>
    <row r="312" spans="1:10" customFormat="1" ht="14.5" x14ac:dyDescent="0.35">
      <c r="A312" s="105">
        <v>17</v>
      </c>
      <c r="B312" s="105"/>
      <c r="C312" s="88" t="s">
        <v>183</v>
      </c>
      <c r="D312" s="88">
        <f t="shared" si="25"/>
        <v>444.76847999999995</v>
      </c>
      <c r="E312" s="88">
        <v>0</v>
      </c>
      <c r="F312" s="88">
        <v>986</v>
      </c>
      <c r="G312" s="105"/>
      <c r="H312" s="105"/>
      <c r="J312">
        <f t="shared" si="19"/>
        <v>2.2168837144214897</v>
      </c>
    </row>
    <row r="313" spans="1:10" customFormat="1" ht="14.5" x14ac:dyDescent="0.35">
      <c r="A313" s="105">
        <v>18</v>
      </c>
      <c r="B313" s="105"/>
      <c r="C313" s="88" t="s">
        <v>183</v>
      </c>
      <c r="D313" s="88">
        <f t="shared" si="25"/>
        <v>444.76847999999995</v>
      </c>
      <c r="E313" s="88">
        <v>0</v>
      </c>
      <c r="F313" s="88">
        <v>986</v>
      </c>
      <c r="G313" s="105"/>
      <c r="H313" s="105"/>
      <c r="J313">
        <f t="shared" si="19"/>
        <v>2.2168837144214897</v>
      </c>
    </row>
    <row r="314" spans="1:10" customFormat="1" ht="14.5" x14ac:dyDescent="0.35">
      <c r="A314" s="105">
        <v>19</v>
      </c>
      <c r="B314" s="105"/>
      <c r="C314" s="88" t="s">
        <v>183</v>
      </c>
      <c r="D314" s="88">
        <f t="shared" si="25"/>
        <v>444.76847999999995</v>
      </c>
      <c r="E314" s="88">
        <v>0</v>
      </c>
      <c r="F314" s="88">
        <v>986</v>
      </c>
      <c r="G314" s="105"/>
      <c r="H314" s="105"/>
      <c r="J314">
        <f t="shared" si="19"/>
        <v>2.2168837144214897</v>
      </c>
    </row>
    <row r="315" spans="1:10" customFormat="1" ht="14.5" x14ac:dyDescent="0.35">
      <c r="A315" s="105">
        <v>20</v>
      </c>
      <c r="B315" s="105"/>
      <c r="C315" s="88" t="s">
        <v>183</v>
      </c>
      <c r="D315" s="88">
        <f t="shared" si="25"/>
        <v>444.76847999999995</v>
      </c>
      <c r="E315" s="88">
        <v>0</v>
      </c>
      <c r="F315" s="88">
        <v>986</v>
      </c>
      <c r="G315" s="105"/>
      <c r="H315" s="105"/>
      <c r="J315">
        <f t="shared" si="19"/>
        <v>2.2168837144214897</v>
      </c>
    </row>
    <row r="316" spans="1:10" customFormat="1" ht="15" customHeight="1" x14ac:dyDescent="0.35">
      <c r="A316" s="137" t="s">
        <v>279</v>
      </c>
      <c r="B316" s="138"/>
      <c r="C316" s="138"/>
      <c r="D316" s="138"/>
      <c r="E316" s="138"/>
      <c r="F316" s="138"/>
      <c r="G316" s="138"/>
      <c r="H316" s="139"/>
      <c r="J316" t="e">
        <f t="shared" si="19"/>
        <v>#DIV/0!</v>
      </c>
    </row>
    <row r="317" spans="1:10" customFormat="1" ht="15" customHeight="1" x14ac:dyDescent="0.35">
      <c r="A317" s="102">
        <v>21</v>
      </c>
      <c r="B317" s="103"/>
      <c r="C317" s="19" t="s">
        <v>183</v>
      </c>
      <c r="D317" s="26">
        <f>21.226*10.764</f>
        <v>228.47666399999997</v>
      </c>
      <c r="E317" s="19">
        <v>0</v>
      </c>
      <c r="F317" s="19">
        <v>456</v>
      </c>
      <c r="G317" s="142" t="str">
        <f>A316</f>
        <v>1st Floor for Commercial</v>
      </c>
      <c r="H317" s="143"/>
      <c r="J317">
        <f t="shared" si="19"/>
        <v>1.9958274600858146</v>
      </c>
    </row>
    <row r="318" spans="1:10" customFormat="1" ht="14.5" x14ac:dyDescent="0.35">
      <c r="A318" s="102">
        <v>22</v>
      </c>
      <c r="B318" s="103"/>
      <c r="C318" s="19" t="s">
        <v>183</v>
      </c>
      <c r="D318" s="26">
        <f>23.105*10.764</f>
        <v>248.70221999999998</v>
      </c>
      <c r="E318" s="19">
        <v>0</v>
      </c>
      <c r="F318" s="19">
        <v>498</v>
      </c>
      <c r="G318" s="144"/>
      <c r="H318" s="145"/>
      <c r="J318">
        <f t="shared" si="19"/>
        <v>2.0023946710246494</v>
      </c>
    </row>
    <row r="319" spans="1:10" customFormat="1" ht="14.5" x14ac:dyDescent="0.35">
      <c r="A319" s="102">
        <v>23</v>
      </c>
      <c r="B319" s="103"/>
      <c r="C319" s="19" t="s">
        <v>183</v>
      </c>
      <c r="D319" s="26">
        <f t="shared" si="24"/>
        <v>464.95097999999996</v>
      </c>
      <c r="E319" s="19">
        <v>0</v>
      </c>
      <c r="F319" s="19">
        <v>930</v>
      </c>
      <c r="G319" s="144"/>
      <c r="H319" s="145"/>
      <c r="J319">
        <f t="shared" si="19"/>
        <v>2.0002108609385019</v>
      </c>
    </row>
    <row r="320" spans="1:10" customFormat="1" ht="14.5" x14ac:dyDescent="0.35">
      <c r="A320" s="102">
        <v>24</v>
      </c>
      <c r="B320" s="103"/>
      <c r="C320" s="19" t="s">
        <v>183</v>
      </c>
      <c r="D320" s="26">
        <f t="shared" si="24"/>
        <v>464.95097999999996</v>
      </c>
      <c r="E320" s="19">
        <v>0</v>
      </c>
      <c r="F320" s="19">
        <v>930</v>
      </c>
      <c r="G320" s="144"/>
      <c r="H320" s="145"/>
      <c r="J320">
        <f t="shared" si="19"/>
        <v>2.0002108609385019</v>
      </c>
    </row>
    <row r="321" spans="1:10" customFormat="1" ht="14.5" x14ac:dyDescent="0.35">
      <c r="A321" s="102">
        <v>25</v>
      </c>
      <c r="B321" s="103"/>
      <c r="C321" s="19" t="s">
        <v>183</v>
      </c>
      <c r="D321" s="26">
        <f t="shared" si="24"/>
        <v>464.95097999999996</v>
      </c>
      <c r="E321" s="19">
        <v>0</v>
      </c>
      <c r="F321" s="19">
        <v>930</v>
      </c>
      <c r="G321" s="144"/>
      <c r="H321" s="145"/>
      <c r="J321">
        <f t="shared" si="19"/>
        <v>2.0002108609385019</v>
      </c>
    </row>
    <row r="322" spans="1:10" customFormat="1" ht="14.5" x14ac:dyDescent="0.35">
      <c r="A322" s="102">
        <v>26</v>
      </c>
      <c r="B322" s="103"/>
      <c r="C322" s="19" t="s">
        <v>183</v>
      </c>
      <c r="D322" s="26">
        <f t="shared" si="24"/>
        <v>464.95097999999996</v>
      </c>
      <c r="E322" s="19">
        <v>0</v>
      </c>
      <c r="F322" s="19">
        <v>930</v>
      </c>
      <c r="G322" s="144"/>
      <c r="H322" s="145"/>
      <c r="J322">
        <f t="shared" si="19"/>
        <v>2.0002108609385019</v>
      </c>
    </row>
    <row r="323" spans="1:10" customFormat="1" ht="14.5" x14ac:dyDescent="0.35">
      <c r="A323" s="102">
        <v>27</v>
      </c>
      <c r="B323" s="103"/>
      <c r="C323" s="19" t="s">
        <v>183</v>
      </c>
      <c r="D323" s="26">
        <f t="shared" si="24"/>
        <v>464.95097999999996</v>
      </c>
      <c r="E323" s="19">
        <v>0</v>
      </c>
      <c r="F323" s="19">
        <v>930</v>
      </c>
      <c r="G323" s="144"/>
      <c r="H323" s="145"/>
      <c r="J323">
        <f t="shared" si="19"/>
        <v>2.0002108609385019</v>
      </c>
    </row>
    <row r="324" spans="1:10" customFormat="1" ht="14.5" x14ac:dyDescent="0.35">
      <c r="A324" s="102">
        <v>28</v>
      </c>
      <c r="B324" s="103"/>
      <c r="C324" s="19" t="s">
        <v>183</v>
      </c>
      <c r="D324" s="26">
        <f t="shared" si="24"/>
        <v>464.95097999999996</v>
      </c>
      <c r="E324" s="19">
        <v>0</v>
      </c>
      <c r="F324" s="19">
        <v>930</v>
      </c>
      <c r="G324" s="144"/>
      <c r="H324" s="145"/>
      <c r="J324">
        <f t="shared" si="19"/>
        <v>2.0002108609385019</v>
      </c>
    </row>
    <row r="325" spans="1:10" customFormat="1" ht="14.5" x14ac:dyDescent="0.35">
      <c r="A325" s="102">
        <v>29</v>
      </c>
      <c r="B325" s="103"/>
      <c r="C325" s="19" t="s">
        <v>183</v>
      </c>
      <c r="D325" s="26">
        <f t="shared" si="24"/>
        <v>464.95097999999996</v>
      </c>
      <c r="E325" s="19">
        <v>0</v>
      </c>
      <c r="F325" s="19">
        <v>930</v>
      </c>
      <c r="G325" s="144"/>
      <c r="H325" s="145"/>
      <c r="J325">
        <f t="shared" si="19"/>
        <v>2.0002108609385019</v>
      </c>
    </row>
    <row r="326" spans="1:10" customFormat="1" ht="14.5" x14ac:dyDescent="0.35">
      <c r="A326" s="102">
        <v>30</v>
      </c>
      <c r="B326" s="103"/>
      <c r="C326" s="19" t="s">
        <v>183</v>
      </c>
      <c r="D326" s="26">
        <f t="shared" si="24"/>
        <v>464.95097999999996</v>
      </c>
      <c r="E326" s="19">
        <v>0</v>
      </c>
      <c r="F326" s="19">
        <v>930</v>
      </c>
      <c r="G326" s="144"/>
      <c r="H326" s="145"/>
      <c r="J326">
        <f t="shared" si="19"/>
        <v>2.0002108609385019</v>
      </c>
    </row>
    <row r="327" spans="1:10" customFormat="1" ht="14.5" x14ac:dyDescent="0.35">
      <c r="A327" s="102">
        <v>31</v>
      </c>
      <c r="B327" s="103"/>
      <c r="C327" s="19" t="s">
        <v>183</v>
      </c>
      <c r="D327" s="26">
        <f>47.69*10.764</f>
        <v>513.33515999999997</v>
      </c>
      <c r="E327" s="19">
        <v>0</v>
      </c>
      <c r="F327" s="19">
        <v>1030</v>
      </c>
      <c r="G327" s="144"/>
      <c r="H327" s="145"/>
      <c r="J327">
        <f t="shared" si="19"/>
        <v>2.0064863665290336</v>
      </c>
    </row>
    <row r="328" spans="1:10" customFormat="1" ht="14.5" x14ac:dyDescent="0.35">
      <c r="A328" s="102">
        <v>32</v>
      </c>
      <c r="B328" s="103"/>
      <c r="C328" s="19" t="s">
        <v>183</v>
      </c>
      <c r="D328" s="26">
        <f>47.69*10.764</f>
        <v>513.33515999999997</v>
      </c>
      <c r="E328" s="19">
        <v>0</v>
      </c>
      <c r="F328" s="19">
        <v>1030</v>
      </c>
      <c r="G328" s="144"/>
      <c r="H328" s="145"/>
      <c r="J328">
        <f t="shared" si="19"/>
        <v>2.0064863665290336</v>
      </c>
    </row>
    <row r="329" spans="1:10" customFormat="1" ht="14.5" x14ac:dyDescent="0.35">
      <c r="A329" s="102">
        <v>33</v>
      </c>
      <c r="B329" s="103"/>
      <c r="C329" s="19" t="s">
        <v>183</v>
      </c>
      <c r="D329" s="26">
        <f t="shared" si="24"/>
        <v>464.95097999999996</v>
      </c>
      <c r="E329" s="19">
        <v>0</v>
      </c>
      <c r="F329" s="19">
        <v>930</v>
      </c>
      <c r="G329" s="144"/>
      <c r="H329" s="145"/>
      <c r="J329">
        <f t="shared" si="19"/>
        <v>2.0002108609385019</v>
      </c>
    </row>
    <row r="330" spans="1:10" customFormat="1" ht="14.5" x14ac:dyDescent="0.35">
      <c r="A330" s="102">
        <v>34</v>
      </c>
      <c r="B330" s="103"/>
      <c r="C330" s="19" t="s">
        <v>183</v>
      </c>
      <c r="D330" s="26">
        <f t="shared" si="24"/>
        <v>464.95097999999996</v>
      </c>
      <c r="E330" s="19">
        <v>0</v>
      </c>
      <c r="F330" s="19">
        <v>930</v>
      </c>
      <c r="G330" s="144"/>
      <c r="H330" s="145"/>
      <c r="J330">
        <f t="shared" si="19"/>
        <v>2.0002108609385019</v>
      </c>
    </row>
    <row r="331" spans="1:10" customFormat="1" ht="14.5" x14ac:dyDescent="0.35">
      <c r="A331" s="102">
        <v>35</v>
      </c>
      <c r="B331" s="103"/>
      <c r="C331" s="19" t="s">
        <v>183</v>
      </c>
      <c r="D331" s="26">
        <f t="shared" si="24"/>
        <v>464.95097999999996</v>
      </c>
      <c r="E331" s="19">
        <v>0</v>
      </c>
      <c r="F331" s="19">
        <v>930</v>
      </c>
      <c r="G331" s="144"/>
      <c r="H331" s="145"/>
      <c r="J331">
        <f t="shared" si="19"/>
        <v>2.0002108609385019</v>
      </c>
    </row>
    <row r="332" spans="1:10" customFormat="1" ht="14.5" x14ac:dyDescent="0.35">
      <c r="A332" s="102">
        <v>36</v>
      </c>
      <c r="B332" s="103"/>
      <c r="C332" s="19" t="s">
        <v>183</v>
      </c>
      <c r="D332" s="26">
        <f t="shared" si="24"/>
        <v>464.95097999999996</v>
      </c>
      <c r="E332" s="19">
        <v>0</v>
      </c>
      <c r="F332" s="19">
        <v>930</v>
      </c>
      <c r="G332" s="144"/>
      <c r="H332" s="145"/>
      <c r="J332">
        <f t="shared" si="19"/>
        <v>2.0002108609385019</v>
      </c>
    </row>
    <row r="333" spans="1:10" customFormat="1" ht="14.5" x14ac:dyDescent="0.35">
      <c r="A333" s="102">
        <v>37</v>
      </c>
      <c r="B333" s="103"/>
      <c r="C333" s="19" t="s">
        <v>183</v>
      </c>
      <c r="D333" s="26">
        <f t="shared" si="24"/>
        <v>464.95097999999996</v>
      </c>
      <c r="E333" s="19">
        <v>0</v>
      </c>
      <c r="F333" s="19">
        <v>930</v>
      </c>
      <c r="G333" s="144"/>
      <c r="H333" s="145"/>
      <c r="J333">
        <f t="shared" si="19"/>
        <v>2.0002108609385019</v>
      </c>
    </row>
    <row r="334" spans="1:10" customFormat="1" ht="14.5" x14ac:dyDescent="0.35">
      <c r="A334" s="102">
        <v>38</v>
      </c>
      <c r="B334" s="103"/>
      <c r="C334" s="19" t="s">
        <v>183</v>
      </c>
      <c r="D334" s="26">
        <f t="shared" si="24"/>
        <v>464.95097999999996</v>
      </c>
      <c r="E334" s="19">
        <v>0</v>
      </c>
      <c r="F334" s="19">
        <v>930</v>
      </c>
      <c r="G334" s="144"/>
      <c r="H334" s="145"/>
      <c r="J334">
        <f t="shared" si="19"/>
        <v>2.0002108609385019</v>
      </c>
    </row>
    <row r="335" spans="1:10" customFormat="1" ht="14.5" x14ac:dyDescent="0.35">
      <c r="A335" s="102">
        <v>39</v>
      </c>
      <c r="B335" s="103"/>
      <c r="C335" s="19" t="s">
        <v>183</v>
      </c>
      <c r="D335" s="26">
        <f t="shared" si="24"/>
        <v>464.95097999999996</v>
      </c>
      <c r="E335" s="19">
        <v>0</v>
      </c>
      <c r="F335" s="19">
        <v>930</v>
      </c>
      <c r="G335" s="144"/>
      <c r="H335" s="145"/>
      <c r="J335">
        <f t="shared" si="19"/>
        <v>2.0002108609385019</v>
      </c>
    </row>
    <row r="336" spans="1:10" customFormat="1" ht="14.5" x14ac:dyDescent="0.35">
      <c r="A336" s="102">
        <v>40</v>
      </c>
      <c r="B336" s="103"/>
      <c r="C336" s="19" t="s">
        <v>183</v>
      </c>
      <c r="D336" s="26">
        <f t="shared" si="24"/>
        <v>464.95097999999996</v>
      </c>
      <c r="E336" s="19">
        <v>0</v>
      </c>
      <c r="F336" s="19">
        <v>930</v>
      </c>
      <c r="G336" s="144"/>
      <c r="H336" s="145"/>
      <c r="J336">
        <f t="shared" si="19"/>
        <v>2.0002108609385019</v>
      </c>
    </row>
    <row r="337" spans="1:10" customFormat="1" ht="14.5" x14ac:dyDescent="0.35">
      <c r="A337" s="102">
        <v>41</v>
      </c>
      <c r="B337" s="103"/>
      <c r="C337" s="19" t="s">
        <v>183</v>
      </c>
      <c r="D337" s="26">
        <f>21.226*10.764</f>
        <v>228.47666399999997</v>
      </c>
      <c r="E337" s="19">
        <v>0</v>
      </c>
      <c r="F337" s="19">
        <v>456</v>
      </c>
      <c r="G337" s="144"/>
      <c r="H337" s="145"/>
      <c r="J337">
        <f t="shared" si="19"/>
        <v>1.9958274600858146</v>
      </c>
    </row>
    <row r="338" spans="1:10" customFormat="1" ht="14.5" x14ac:dyDescent="0.35">
      <c r="A338" s="102">
        <v>42</v>
      </c>
      <c r="B338" s="103"/>
      <c r="C338" s="19" t="s">
        <v>183</v>
      </c>
      <c r="D338" s="26">
        <f>23.105*10.764</f>
        <v>248.70221999999998</v>
      </c>
      <c r="E338" s="19">
        <v>0</v>
      </c>
      <c r="F338" s="19">
        <v>498</v>
      </c>
      <c r="G338" s="146"/>
      <c r="H338" s="147"/>
      <c r="J338">
        <f t="shared" si="19"/>
        <v>2.0023946710246494</v>
      </c>
    </row>
    <row r="339" spans="1:10" customFormat="1" ht="15" customHeight="1" x14ac:dyDescent="0.35">
      <c r="A339" s="141" t="s">
        <v>280</v>
      </c>
      <c r="B339" s="141"/>
      <c r="C339" s="141"/>
      <c r="D339" s="141"/>
      <c r="E339" s="141"/>
      <c r="F339" s="141"/>
      <c r="G339" s="141"/>
      <c r="H339" s="141"/>
      <c r="J339" t="e">
        <f t="shared" si="19"/>
        <v>#DIV/0!</v>
      </c>
    </row>
    <row r="340" spans="1:10" customFormat="1" ht="15" customHeight="1" x14ac:dyDescent="0.35">
      <c r="A340" s="105">
        <v>43</v>
      </c>
      <c r="B340" s="105"/>
      <c r="C340" s="88" t="s">
        <v>183</v>
      </c>
      <c r="D340" s="88">
        <f>21.226*10.764</f>
        <v>228.47666399999997</v>
      </c>
      <c r="E340" s="88">
        <v>0</v>
      </c>
      <c r="F340" s="88">
        <v>456</v>
      </c>
      <c r="G340" s="105" t="str">
        <f>A339</f>
        <v>2nd Floor for Commercial</v>
      </c>
      <c r="H340" s="105"/>
      <c r="J340">
        <f t="shared" si="19"/>
        <v>1.9958274600858146</v>
      </c>
    </row>
    <row r="341" spans="1:10" customFormat="1" ht="14.5" x14ac:dyDescent="0.35">
      <c r="A341" s="105">
        <v>44</v>
      </c>
      <c r="B341" s="105"/>
      <c r="C341" s="88" t="s">
        <v>183</v>
      </c>
      <c r="D341" s="88">
        <f>23.105*10.764</f>
        <v>248.70221999999998</v>
      </c>
      <c r="E341" s="88">
        <v>0</v>
      </c>
      <c r="F341" s="88">
        <v>498</v>
      </c>
      <c r="G341" s="105"/>
      <c r="H341" s="105"/>
      <c r="J341">
        <f t="shared" si="19"/>
        <v>2.0023946710246494</v>
      </c>
    </row>
    <row r="342" spans="1:10" customFormat="1" ht="14.5" x14ac:dyDescent="0.35">
      <c r="A342" s="105">
        <v>45</v>
      </c>
      <c r="B342" s="105"/>
      <c r="C342" s="88" t="s">
        <v>183</v>
      </c>
      <c r="D342" s="88">
        <f t="shared" ref="D342:D359" si="26">43.195*10.764</f>
        <v>464.95097999999996</v>
      </c>
      <c r="E342" s="88">
        <v>0</v>
      </c>
      <c r="F342" s="88">
        <v>930</v>
      </c>
      <c r="G342" s="105"/>
      <c r="H342" s="105"/>
      <c r="J342">
        <f t="shared" si="19"/>
        <v>2.0002108609385019</v>
      </c>
    </row>
    <row r="343" spans="1:10" customFormat="1" ht="14.5" x14ac:dyDescent="0.35">
      <c r="A343" s="105">
        <v>46</v>
      </c>
      <c r="B343" s="105"/>
      <c r="C343" s="88" t="s">
        <v>183</v>
      </c>
      <c r="D343" s="88">
        <f t="shared" si="26"/>
        <v>464.95097999999996</v>
      </c>
      <c r="E343" s="88">
        <v>0</v>
      </c>
      <c r="F343" s="88">
        <v>930</v>
      </c>
      <c r="G343" s="105"/>
      <c r="H343" s="105"/>
      <c r="J343">
        <f t="shared" si="19"/>
        <v>2.0002108609385019</v>
      </c>
    </row>
    <row r="344" spans="1:10" customFormat="1" ht="14.5" x14ac:dyDescent="0.35">
      <c r="A344" s="105">
        <v>47</v>
      </c>
      <c r="B344" s="105"/>
      <c r="C344" s="88" t="s">
        <v>183</v>
      </c>
      <c r="D344" s="88">
        <f t="shared" si="26"/>
        <v>464.95097999999996</v>
      </c>
      <c r="E344" s="88">
        <v>0</v>
      </c>
      <c r="F344" s="88">
        <v>930</v>
      </c>
      <c r="G344" s="105"/>
      <c r="H344" s="105"/>
      <c r="J344">
        <f t="shared" si="19"/>
        <v>2.0002108609385019</v>
      </c>
    </row>
    <row r="345" spans="1:10" customFormat="1" ht="14.5" x14ac:dyDescent="0.35">
      <c r="A345" s="105">
        <v>48</v>
      </c>
      <c r="B345" s="105"/>
      <c r="C345" s="88" t="s">
        <v>183</v>
      </c>
      <c r="D345" s="88">
        <f t="shared" si="26"/>
        <v>464.95097999999996</v>
      </c>
      <c r="E345" s="88">
        <v>0</v>
      </c>
      <c r="F345" s="88">
        <v>930</v>
      </c>
      <c r="G345" s="105"/>
      <c r="H345" s="105"/>
      <c r="J345">
        <f t="shared" ref="J345:J384" si="27">F345/D345</f>
        <v>2.0002108609385019</v>
      </c>
    </row>
    <row r="346" spans="1:10" customFormat="1" ht="14.5" x14ac:dyDescent="0.35">
      <c r="A346" s="105">
        <v>49</v>
      </c>
      <c r="B346" s="105"/>
      <c r="C346" s="88" t="s">
        <v>183</v>
      </c>
      <c r="D346" s="88">
        <f t="shared" si="26"/>
        <v>464.95097999999996</v>
      </c>
      <c r="E346" s="88">
        <v>0</v>
      </c>
      <c r="F346" s="88">
        <v>930</v>
      </c>
      <c r="G346" s="105"/>
      <c r="H346" s="105"/>
      <c r="J346">
        <f t="shared" si="27"/>
        <v>2.0002108609385019</v>
      </c>
    </row>
    <row r="347" spans="1:10" customFormat="1" ht="14.5" x14ac:dyDescent="0.35">
      <c r="A347" s="105">
        <v>50</v>
      </c>
      <c r="B347" s="105"/>
      <c r="C347" s="88" t="s">
        <v>183</v>
      </c>
      <c r="D347" s="88">
        <f t="shared" si="26"/>
        <v>464.95097999999996</v>
      </c>
      <c r="E347" s="88">
        <v>0</v>
      </c>
      <c r="F347" s="88">
        <v>930</v>
      </c>
      <c r="G347" s="105"/>
      <c r="H347" s="105"/>
      <c r="J347">
        <f t="shared" si="27"/>
        <v>2.0002108609385019</v>
      </c>
    </row>
    <row r="348" spans="1:10" customFormat="1" ht="14.5" x14ac:dyDescent="0.35">
      <c r="A348" s="105">
        <v>51</v>
      </c>
      <c r="B348" s="105"/>
      <c r="C348" s="88" t="s">
        <v>183</v>
      </c>
      <c r="D348" s="88">
        <f t="shared" si="26"/>
        <v>464.95097999999996</v>
      </c>
      <c r="E348" s="88">
        <v>0</v>
      </c>
      <c r="F348" s="88">
        <v>930</v>
      </c>
      <c r="G348" s="105"/>
      <c r="H348" s="105"/>
      <c r="J348">
        <f t="shared" si="27"/>
        <v>2.0002108609385019</v>
      </c>
    </row>
    <row r="349" spans="1:10" customFormat="1" ht="14.5" x14ac:dyDescent="0.35">
      <c r="A349" s="105">
        <v>52</v>
      </c>
      <c r="B349" s="105"/>
      <c r="C349" s="88" t="s">
        <v>183</v>
      </c>
      <c r="D349" s="88">
        <f t="shared" si="26"/>
        <v>464.95097999999996</v>
      </c>
      <c r="E349" s="88">
        <v>0</v>
      </c>
      <c r="F349" s="88">
        <v>930</v>
      </c>
      <c r="G349" s="105"/>
      <c r="H349" s="105"/>
      <c r="J349">
        <f t="shared" si="27"/>
        <v>2.0002108609385019</v>
      </c>
    </row>
    <row r="350" spans="1:10" customFormat="1" ht="14.5" x14ac:dyDescent="0.35">
      <c r="A350" s="105">
        <v>53</v>
      </c>
      <c r="B350" s="105"/>
      <c r="C350" s="88" t="s">
        <v>183</v>
      </c>
      <c r="D350" s="88">
        <f>47.69*10.764</f>
        <v>513.33515999999997</v>
      </c>
      <c r="E350" s="88">
        <v>0</v>
      </c>
      <c r="F350" s="88">
        <v>1030</v>
      </c>
      <c r="G350" s="105"/>
      <c r="H350" s="105"/>
      <c r="J350">
        <f t="shared" si="27"/>
        <v>2.0064863665290336</v>
      </c>
    </row>
    <row r="351" spans="1:10" customFormat="1" ht="14.5" x14ac:dyDescent="0.35">
      <c r="A351" s="105">
        <v>54</v>
      </c>
      <c r="B351" s="105"/>
      <c r="C351" s="88" t="s">
        <v>183</v>
      </c>
      <c r="D351" s="88">
        <f>47.69*10.764</f>
        <v>513.33515999999997</v>
      </c>
      <c r="E351" s="88">
        <v>0</v>
      </c>
      <c r="F351" s="88">
        <v>1030</v>
      </c>
      <c r="G351" s="105"/>
      <c r="H351" s="105"/>
      <c r="J351">
        <f t="shared" si="27"/>
        <v>2.0064863665290336</v>
      </c>
    </row>
    <row r="352" spans="1:10" customFormat="1" ht="14.5" x14ac:dyDescent="0.35">
      <c r="A352" s="105">
        <v>55</v>
      </c>
      <c r="B352" s="105"/>
      <c r="C352" s="88" t="s">
        <v>183</v>
      </c>
      <c r="D352" s="88">
        <f t="shared" si="26"/>
        <v>464.95097999999996</v>
      </c>
      <c r="E352" s="88">
        <v>0</v>
      </c>
      <c r="F352" s="88">
        <v>930</v>
      </c>
      <c r="G352" s="105"/>
      <c r="H352" s="105"/>
      <c r="J352">
        <f t="shared" si="27"/>
        <v>2.0002108609385019</v>
      </c>
    </row>
    <row r="353" spans="1:10" customFormat="1" ht="14.5" x14ac:dyDescent="0.35">
      <c r="A353" s="105">
        <v>56</v>
      </c>
      <c r="B353" s="105"/>
      <c r="C353" s="88" t="s">
        <v>183</v>
      </c>
      <c r="D353" s="88">
        <f t="shared" si="26"/>
        <v>464.95097999999996</v>
      </c>
      <c r="E353" s="88">
        <v>0</v>
      </c>
      <c r="F353" s="88">
        <v>930</v>
      </c>
      <c r="G353" s="105"/>
      <c r="H353" s="105"/>
      <c r="J353">
        <f t="shared" si="27"/>
        <v>2.0002108609385019</v>
      </c>
    </row>
    <row r="354" spans="1:10" customFormat="1" ht="15" customHeight="1" x14ac:dyDescent="0.35">
      <c r="A354" s="105">
        <v>57</v>
      </c>
      <c r="B354" s="105"/>
      <c r="C354" s="88" t="s">
        <v>183</v>
      </c>
      <c r="D354" s="88">
        <f t="shared" si="26"/>
        <v>464.95097999999996</v>
      </c>
      <c r="E354" s="88">
        <v>0</v>
      </c>
      <c r="F354" s="88">
        <v>930</v>
      </c>
      <c r="G354" s="105"/>
      <c r="H354" s="105"/>
      <c r="J354">
        <f t="shared" si="27"/>
        <v>2.0002108609385019</v>
      </c>
    </row>
    <row r="355" spans="1:10" customFormat="1" ht="15" customHeight="1" x14ac:dyDescent="0.35">
      <c r="A355" s="105">
        <v>58</v>
      </c>
      <c r="B355" s="105"/>
      <c r="C355" s="88" t="s">
        <v>183</v>
      </c>
      <c r="D355" s="88">
        <f t="shared" si="26"/>
        <v>464.95097999999996</v>
      </c>
      <c r="E355" s="88">
        <v>0</v>
      </c>
      <c r="F355" s="88">
        <v>930</v>
      </c>
      <c r="G355" s="105"/>
      <c r="H355" s="105"/>
      <c r="J355">
        <f t="shared" si="27"/>
        <v>2.0002108609385019</v>
      </c>
    </row>
    <row r="356" spans="1:10" customFormat="1" ht="14.5" x14ac:dyDescent="0.35">
      <c r="A356" s="105">
        <v>59</v>
      </c>
      <c r="B356" s="105"/>
      <c r="C356" s="88" t="s">
        <v>183</v>
      </c>
      <c r="D356" s="88">
        <f t="shared" si="26"/>
        <v>464.95097999999996</v>
      </c>
      <c r="E356" s="88">
        <v>0</v>
      </c>
      <c r="F356" s="88">
        <v>930</v>
      </c>
      <c r="G356" s="105"/>
      <c r="H356" s="105"/>
      <c r="J356">
        <f t="shared" si="27"/>
        <v>2.0002108609385019</v>
      </c>
    </row>
    <row r="357" spans="1:10" customFormat="1" ht="14.5" x14ac:dyDescent="0.35">
      <c r="A357" s="105">
        <v>60</v>
      </c>
      <c r="B357" s="105"/>
      <c r="C357" s="88" t="s">
        <v>183</v>
      </c>
      <c r="D357" s="88">
        <f t="shared" si="26"/>
        <v>464.95097999999996</v>
      </c>
      <c r="E357" s="88">
        <v>0</v>
      </c>
      <c r="F357" s="88">
        <v>930</v>
      </c>
      <c r="G357" s="105"/>
      <c r="H357" s="105"/>
      <c r="J357">
        <f t="shared" si="27"/>
        <v>2.0002108609385019</v>
      </c>
    </row>
    <row r="358" spans="1:10" customFormat="1" ht="14.5" x14ac:dyDescent="0.35">
      <c r="A358" s="105">
        <v>61</v>
      </c>
      <c r="B358" s="105"/>
      <c r="C358" s="88" t="s">
        <v>183</v>
      </c>
      <c r="D358" s="88">
        <f t="shared" si="26"/>
        <v>464.95097999999996</v>
      </c>
      <c r="E358" s="88">
        <v>0</v>
      </c>
      <c r="F358" s="88">
        <v>930</v>
      </c>
      <c r="G358" s="105"/>
      <c r="H358" s="105"/>
      <c r="J358">
        <f t="shared" si="27"/>
        <v>2.0002108609385019</v>
      </c>
    </row>
    <row r="359" spans="1:10" customFormat="1" ht="14.5" x14ac:dyDescent="0.35">
      <c r="A359" s="105">
        <v>62</v>
      </c>
      <c r="B359" s="105"/>
      <c r="C359" s="88" t="s">
        <v>183</v>
      </c>
      <c r="D359" s="88">
        <f t="shared" si="26"/>
        <v>464.95097999999996</v>
      </c>
      <c r="E359" s="88">
        <v>0</v>
      </c>
      <c r="F359" s="88">
        <v>930</v>
      </c>
      <c r="G359" s="105"/>
      <c r="H359" s="105"/>
      <c r="J359">
        <f t="shared" si="27"/>
        <v>2.0002108609385019</v>
      </c>
    </row>
    <row r="360" spans="1:10" customFormat="1" ht="14.5" x14ac:dyDescent="0.35">
      <c r="A360" s="105">
        <v>63</v>
      </c>
      <c r="B360" s="105"/>
      <c r="C360" s="88" t="s">
        <v>183</v>
      </c>
      <c r="D360" s="88">
        <f>21.226*10.764</f>
        <v>228.47666399999997</v>
      </c>
      <c r="E360" s="88">
        <v>0</v>
      </c>
      <c r="F360" s="88">
        <v>456</v>
      </c>
      <c r="G360" s="105"/>
      <c r="H360" s="105"/>
      <c r="J360">
        <f t="shared" si="27"/>
        <v>1.9958274600858146</v>
      </c>
    </row>
    <row r="361" spans="1:10" customFormat="1" ht="14.5" x14ac:dyDescent="0.35">
      <c r="A361" s="105">
        <v>64</v>
      </c>
      <c r="B361" s="105"/>
      <c r="C361" s="88" t="s">
        <v>183</v>
      </c>
      <c r="D361" s="88">
        <f>23.105*10.764</f>
        <v>248.70221999999998</v>
      </c>
      <c r="E361" s="88">
        <v>0</v>
      </c>
      <c r="F361" s="88">
        <v>498</v>
      </c>
      <c r="G361" s="105"/>
      <c r="H361" s="105"/>
      <c r="J361">
        <f t="shared" si="27"/>
        <v>2.0023946710246494</v>
      </c>
    </row>
    <row r="362" spans="1:10" customFormat="1" ht="15" customHeight="1" x14ac:dyDescent="0.35">
      <c r="A362" s="137" t="s">
        <v>302</v>
      </c>
      <c r="B362" s="138"/>
      <c r="C362" s="138"/>
      <c r="D362" s="138"/>
      <c r="E362" s="138"/>
      <c r="F362" s="138"/>
      <c r="G362" s="138"/>
      <c r="H362" s="139"/>
      <c r="J362" t="e">
        <f t="shared" si="27"/>
        <v>#DIV/0!</v>
      </c>
    </row>
    <row r="363" spans="1:10" customFormat="1" ht="15" customHeight="1" x14ac:dyDescent="0.35">
      <c r="A363" s="102">
        <v>65</v>
      </c>
      <c r="B363" s="103"/>
      <c r="C363" s="19" t="s">
        <v>183</v>
      </c>
      <c r="D363" s="19">
        <f>21.226*10.764</f>
        <v>228.47666399999997</v>
      </c>
      <c r="E363" s="19">
        <v>0</v>
      </c>
      <c r="F363" s="19">
        <v>456</v>
      </c>
      <c r="G363" s="142" t="str">
        <f>A362</f>
        <v xml:space="preserve">3rd Floor </v>
      </c>
      <c r="H363" s="143"/>
      <c r="J363">
        <f t="shared" si="27"/>
        <v>1.9958274600858146</v>
      </c>
    </row>
    <row r="364" spans="1:10" customFormat="1" ht="14.5" x14ac:dyDescent="0.35">
      <c r="A364" s="102">
        <v>66</v>
      </c>
      <c r="B364" s="103"/>
      <c r="C364" s="19" t="s">
        <v>183</v>
      </c>
      <c r="D364" s="19">
        <f>23.105*10.764</f>
        <v>248.70221999999998</v>
      </c>
      <c r="E364" s="19">
        <v>0</v>
      </c>
      <c r="F364" s="19">
        <v>498</v>
      </c>
      <c r="G364" s="144"/>
      <c r="H364" s="145"/>
      <c r="J364">
        <f t="shared" si="27"/>
        <v>2.0023946710246494</v>
      </c>
    </row>
    <row r="365" spans="1:10" customFormat="1" ht="14.5" x14ac:dyDescent="0.35">
      <c r="A365" s="102">
        <v>67</v>
      </c>
      <c r="B365" s="103"/>
      <c r="C365" s="19" t="s">
        <v>183</v>
      </c>
      <c r="D365" s="19">
        <f t="shared" ref="D365:D382" si="28">43.195*10.764</f>
        <v>464.95097999999996</v>
      </c>
      <c r="E365" s="19">
        <v>0</v>
      </c>
      <c r="F365" s="19">
        <v>930</v>
      </c>
      <c r="G365" s="144"/>
      <c r="H365" s="145"/>
      <c r="J365">
        <f t="shared" si="27"/>
        <v>2.0002108609385019</v>
      </c>
    </row>
    <row r="366" spans="1:10" customFormat="1" ht="14.5" x14ac:dyDescent="0.35">
      <c r="A366" s="102">
        <v>68</v>
      </c>
      <c r="B366" s="103"/>
      <c r="C366" s="19" t="s">
        <v>183</v>
      </c>
      <c r="D366" s="19">
        <f t="shared" si="28"/>
        <v>464.95097999999996</v>
      </c>
      <c r="E366" s="19">
        <v>0</v>
      </c>
      <c r="F366" s="19">
        <v>930</v>
      </c>
      <c r="G366" s="144"/>
      <c r="H366" s="145"/>
      <c r="J366">
        <f t="shared" si="27"/>
        <v>2.0002108609385019</v>
      </c>
    </row>
    <row r="367" spans="1:10" customFormat="1" ht="14.5" x14ac:dyDescent="0.35">
      <c r="A367" s="102">
        <v>69</v>
      </c>
      <c r="B367" s="103"/>
      <c r="C367" s="19" t="s">
        <v>183</v>
      </c>
      <c r="D367" s="19">
        <f t="shared" si="28"/>
        <v>464.95097999999996</v>
      </c>
      <c r="E367" s="19">
        <v>0</v>
      </c>
      <c r="F367" s="19">
        <v>930</v>
      </c>
      <c r="G367" s="144"/>
      <c r="H367" s="145"/>
      <c r="J367">
        <f t="shared" si="27"/>
        <v>2.0002108609385019</v>
      </c>
    </row>
    <row r="368" spans="1:10" customFormat="1" ht="14.5" x14ac:dyDescent="0.35">
      <c r="A368" s="102">
        <v>70</v>
      </c>
      <c r="B368" s="103"/>
      <c r="C368" s="19" t="s">
        <v>183</v>
      </c>
      <c r="D368" s="19">
        <f t="shared" si="28"/>
        <v>464.95097999999996</v>
      </c>
      <c r="E368" s="19">
        <v>0</v>
      </c>
      <c r="F368" s="19">
        <v>930</v>
      </c>
      <c r="G368" s="144"/>
      <c r="H368" s="145"/>
      <c r="J368">
        <f t="shared" si="27"/>
        <v>2.0002108609385019</v>
      </c>
    </row>
    <row r="369" spans="1:10" customFormat="1" ht="14.5" x14ac:dyDescent="0.35">
      <c r="A369" s="102">
        <v>71</v>
      </c>
      <c r="B369" s="103"/>
      <c r="C369" s="19" t="s">
        <v>183</v>
      </c>
      <c r="D369" s="19">
        <f t="shared" si="28"/>
        <v>464.95097999999996</v>
      </c>
      <c r="E369" s="19">
        <v>0</v>
      </c>
      <c r="F369" s="19">
        <v>930</v>
      </c>
      <c r="G369" s="144"/>
      <c r="H369" s="145"/>
      <c r="J369">
        <f t="shared" si="27"/>
        <v>2.0002108609385019</v>
      </c>
    </row>
    <row r="370" spans="1:10" customFormat="1" ht="14.5" x14ac:dyDescent="0.35">
      <c r="A370" s="102">
        <v>72</v>
      </c>
      <c r="B370" s="103"/>
      <c r="C370" s="19" t="s">
        <v>183</v>
      </c>
      <c r="D370" s="19">
        <f t="shared" si="28"/>
        <v>464.95097999999996</v>
      </c>
      <c r="E370" s="19">
        <v>0</v>
      </c>
      <c r="F370" s="19">
        <v>930</v>
      </c>
      <c r="G370" s="144"/>
      <c r="H370" s="145"/>
      <c r="J370">
        <f t="shared" si="27"/>
        <v>2.0002108609385019</v>
      </c>
    </row>
    <row r="371" spans="1:10" customFormat="1" ht="14.5" x14ac:dyDescent="0.35">
      <c r="A371" s="102">
        <v>73</v>
      </c>
      <c r="B371" s="103"/>
      <c r="C371" s="19" t="s">
        <v>183</v>
      </c>
      <c r="D371" s="19">
        <f t="shared" si="28"/>
        <v>464.95097999999996</v>
      </c>
      <c r="E371" s="19">
        <v>0</v>
      </c>
      <c r="F371" s="19">
        <v>930</v>
      </c>
      <c r="G371" s="144"/>
      <c r="H371" s="145"/>
      <c r="J371">
        <f t="shared" si="27"/>
        <v>2.0002108609385019</v>
      </c>
    </row>
    <row r="372" spans="1:10" customFormat="1" ht="14.5" x14ac:dyDescent="0.35">
      <c r="A372" s="102">
        <v>74</v>
      </c>
      <c r="B372" s="103"/>
      <c r="C372" s="19" t="s">
        <v>183</v>
      </c>
      <c r="D372" s="19">
        <f t="shared" si="28"/>
        <v>464.95097999999996</v>
      </c>
      <c r="E372" s="19">
        <v>0</v>
      </c>
      <c r="F372" s="19">
        <v>930</v>
      </c>
      <c r="G372" s="144"/>
      <c r="H372" s="145"/>
      <c r="J372">
        <f t="shared" si="27"/>
        <v>2.0002108609385019</v>
      </c>
    </row>
    <row r="373" spans="1:10" customFormat="1" ht="14.5" x14ac:dyDescent="0.35">
      <c r="A373" s="102">
        <v>75</v>
      </c>
      <c r="B373" s="103"/>
      <c r="C373" s="19" t="s">
        <v>183</v>
      </c>
      <c r="D373" s="19">
        <f>47.69*10.764</f>
        <v>513.33515999999997</v>
      </c>
      <c r="E373" s="19">
        <v>0</v>
      </c>
      <c r="F373" s="19">
        <v>1030</v>
      </c>
      <c r="G373" s="144"/>
      <c r="H373" s="145"/>
      <c r="J373">
        <f t="shared" si="27"/>
        <v>2.0064863665290336</v>
      </c>
    </row>
    <row r="374" spans="1:10" customFormat="1" ht="14.5" x14ac:dyDescent="0.35">
      <c r="A374" s="102">
        <v>76</v>
      </c>
      <c r="B374" s="103"/>
      <c r="C374" s="19" t="s">
        <v>183</v>
      </c>
      <c r="D374" s="19">
        <f>47.69*10.764</f>
        <v>513.33515999999997</v>
      </c>
      <c r="E374" s="19">
        <v>0</v>
      </c>
      <c r="F374" s="19">
        <v>1030</v>
      </c>
      <c r="G374" s="144"/>
      <c r="H374" s="145"/>
      <c r="J374">
        <f t="shared" si="27"/>
        <v>2.0064863665290336</v>
      </c>
    </row>
    <row r="375" spans="1:10" customFormat="1" ht="14.5" x14ac:dyDescent="0.35">
      <c r="A375" s="102">
        <v>77</v>
      </c>
      <c r="B375" s="103"/>
      <c r="C375" s="19" t="s">
        <v>183</v>
      </c>
      <c r="D375" s="19">
        <f t="shared" si="28"/>
        <v>464.95097999999996</v>
      </c>
      <c r="E375" s="19">
        <v>0</v>
      </c>
      <c r="F375" s="19">
        <v>930</v>
      </c>
      <c r="G375" s="144"/>
      <c r="H375" s="145"/>
      <c r="J375">
        <f t="shared" si="27"/>
        <v>2.0002108609385019</v>
      </c>
    </row>
    <row r="376" spans="1:10" customFormat="1" ht="14.5" x14ac:dyDescent="0.35">
      <c r="A376" s="102">
        <v>78</v>
      </c>
      <c r="B376" s="103"/>
      <c r="C376" s="19" t="s">
        <v>183</v>
      </c>
      <c r="D376" s="19">
        <f t="shared" si="28"/>
        <v>464.95097999999996</v>
      </c>
      <c r="E376" s="19">
        <v>0</v>
      </c>
      <c r="F376" s="19">
        <v>930</v>
      </c>
      <c r="G376" s="144"/>
      <c r="H376" s="145"/>
      <c r="J376">
        <f t="shared" si="27"/>
        <v>2.0002108609385019</v>
      </c>
    </row>
    <row r="377" spans="1:10" customFormat="1" ht="15" customHeight="1" x14ac:dyDescent="0.35">
      <c r="A377" s="102">
        <v>79</v>
      </c>
      <c r="B377" s="103"/>
      <c r="C377" s="19" t="s">
        <v>183</v>
      </c>
      <c r="D377" s="19">
        <f t="shared" si="28"/>
        <v>464.95097999999996</v>
      </c>
      <c r="E377" s="19">
        <v>0</v>
      </c>
      <c r="F377" s="19">
        <v>930</v>
      </c>
      <c r="G377" s="144"/>
      <c r="H377" s="145"/>
      <c r="J377">
        <f t="shared" si="27"/>
        <v>2.0002108609385019</v>
      </c>
    </row>
    <row r="378" spans="1:10" customFormat="1" ht="15" customHeight="1" x14ac:dyDescent="0.35">
      <c r="A378" s="102">
        <v>80</v>
      </c>
      <c r="B378" s="103"/>
      <c r="C378" s="19" t="s">
        <v>183</v>
      </c>
      <c r="D378" s="19">
        <f t="shared" si="28"/>
        <v>464.95097999999996</v>
      </c>
      <c r="E378" s="19">
        <v>0</v>
      </c>
      <c r="F378" s="19">
        <v>930</v>
      </c>
      <c r="G378" s="144"/>
      <c r="H378" s="145"/>
      <c r="J378">
        <f t="shared" si="27"/>
        <v>2.0002108609385019</v>
      </c>
    </row>
    <row r="379" spans="1:10" customFormat="1" ht="14.5" x14ac:dyDescent="0.35">
      <c r="A379" s="102">
        <v>81</v>
      </c>
      <c r="B379" s="103"/>
      <c r="C379" s="19" t="s">
        <v>183</v>
      </c>
      <c r="D379" s="19">
        <f t="shared" si="28"/>
        <v>464.95097999999996</v>
      </c>
      <c r="E379" s="19">
        <v>0</v>
      </c>
      <c r="F379" s="19">
        <v>930</v>
      </c>
      <c r="G379" s="144"/>
      <c r="H379" s="145"/>
      <c r="J379">
        <f t="shared" si="27"/>
        <v>2.0002108609385019</v>
      </c>
    </row>
    <row r="380" spans="1:10" customFormat="1" ht="14.5" x14ac:dyDescent="0.35">
      <c r="A380" s="102">
        <v>82</v>
      </c>
      <c r="B380" s="103"/>
      <c r="C380" s="19" t="s">
        <v>183</v>
      </c>
      <c r="D380" s="19">
        <f t="shared" si="28"/>
        <v>464.95097999999996</v>
      </c>
      <c r="E380" s="19">
        <v>0</v>
      </c>
      <c r="F380" s="19">
        <v>930</v>
      </c>
      <c r="G380" s="144"/>
      <c r="H380" s="145"/>
      <c r="J380">
        <f t="shared" si="27"/>
        <v>2.0002108609385019</v>
      </c>
    </row>
    <row r="381" spans="1:10" customFormat="1" ht="14.5" x14ac:dyDescent="0.35">
      <c r="A381" s="102">
        <v>83</v>
      </c>
      <c r="B381" s="103"/>
      <c r="C381" s="19" t="s">
        <v>183</v>
      </c>
      <c r="D381" s="19">
        <f t="shared" si="28"/>
        <v>464.95097999999996</v>
      </c>
      <c r="E381" s="19">
        <v>0</v>
      </c>
      <c r="F381" s="19">
        <v>930</v>
      </c>
      <c r="G381" s="144"/>
      <c r="H381" s="145"/>
      <c r="J381">
        <f t="shared" si="27"/>
        <v>2.0002108609385019</v>
      </c>
    </row>
    <row r="382" spans="1:10" customFormat="1" ht="14.5" x14ac:dyDescent="0.35">
      <c r="A382" s="102">
        <v>84</v>
      </c>
      <c r="B382" s="103"/>
      <c r="C382" s="19" t="s">
        <v>183</v>
      </c>
      <c r="D382" s="19">
        <f t="shared" si="28"/>
        <v>464.95097999999996</v>
      </c>
      <c r="E382" s="19">
        <v>0</v>
      </c>
      <c r="F382" s="19">
        <v>930</v>
      </c>
      <c r="G382" s="144"/>
      <c r="H382" s="145"/>
      <c r="J382">
        <f t="shared" si="27"/>
        <v>2.0002108609385019</v>
      </c>
    </row>
    <row r="383" spans="1:10" customFormat="1" ht="14.5" x14ac:dyDescent="0.35">
      <c r="A383" s="102">
        <v>85</v>
      </c>
      <c r="B383" s="103"/>
      <c r="C383" s="19" t="s">
        <v>183</v>
      </c>
      <c r="D383" s="19">
        <f>21.226*10.764</f>
        <v>228.47666399999997</v>
      </c>
      <c r="E383" s="19">
        <v>0</v>
      </c>
      <c r="F383" s="19">
        <v>456</v>
      </c>
      <c r="G383" s="144"/>
      <c r="H383" s="145"/>
      <c r="J383">
        <f t="shared" si="27"/>
        <v>1.9958274600858146</v>
      </c>
    </row>
    <row r="384" spans="1:10" customFormat="1" ht="14.5" x14ac:dyDescent="0.35">
      <c r="A384" s="102">
        <v>86</v>
      </c>
      <c r="B384" s="103"/>
      <c r="C384" s="19" t="s">
        <v>183</v>
      </c>
      <c r="D384" s="19">
        <f>23.105*10.764</f>
        <v>248.70221999999998</v>
      </c>
      <c r="E384" s="19">
        <v>0</v>
      </c>
      <c r="F384" s="19">
        <v>498</v>
      </c>
      <c r="G384" s="146"/>
      <c r="H384" s="147"/>
      <c r="J384">
        <f t="shared" si="27"/>
        <v>2.0023946710246494</v>
      </c>
    </row>
    <row r="385" spans="1:8" s="69" customFormat="1" x14ac:dyDescent="0.35">
      <c r="A385" s="193" t="s">
        <v>82</v>
      </c>
      <c r="B385" s="193"/>
      <c r="C385" s="193"/>
      <c r="D385" s="193"/>
      <c r="E385" s="193"/>
      <c r="F385" s="193"/>
      <c r="G385" s="193"/>
      <c r="H385" s="193"/>
    </row>
    <row r="386" spans="1:8" s="74" customFormat="1" ht="198" customHeight="1" x14ac:dyDescent="0.35">
      <c r="A386" s="194" t="s">
        <v>320</v>
      </c>
      <c r="B386" s="194"/>
      <c r="C386" s="194"/>
      <c r="D386" s="194"/>
      <c r="E386" s="194"/>
      <c r="F386" s="194"/>
      <c r="G386" s="194"/>
      <c r="H386" s="194"/>
    </row>
    <row r="387" spans="1:8" x14ac:dyDescent="0.35">
      <c r="A387" s="189" t="s">
        <v>73</v>
      </c>
      <c r="B387" s="189"/>
      <c r="C387" s="189"/>
      <c r="D387" s="189"/>
      <c r="E387" s="189"/>
      <c r="F387" s="189"/>
      <c r="G387" s="189"/>
      <c r="H387" s="189"/>
    </row>
    <row r="388" spans="1:8" x14ac:dyDescent="0.35">
      <c r="A388" s="113" t="s">
        <v>74</v>
      </c>
      <c r="B388" s="113"/>
      <c r="C388" s="113"/>
      <c r="D388" s="113"/>
      <c r="E388" s="113"/>
      <c r="F388" s="113"/>
      <c r="G388" s="113"/>
      <c r="H388" s="113"/>
    </row>
    <row r="389" spans="1:8" ht="15.75" customHeight="1" x14ac:dyDescent="0.35">
      <c r="A389" s="189" t="s">
        <v>75</v>
      </c>
      <c r="B389" s="189"/>
      <c r="C389" s="189"/>
      <c r="D389" s="189"/>
      <c r="E389" s="189"/>
      <c r="F389" s="189"/>
      <c r="G389" s="189"/>
      <c r="H389" s="189"/>
    </row>
    <row r="390" spans="1:8" x14ac:dyDescent="0.35">
      <c r="A390" s="113" t="s">
        <v>76</v>
      </c>
      <c r="B390" s="113"/>
      <c r="C390" s="113"/>
      <c r="D390" s="113"/>
      <c r="E390" s="113"/>
      <c r="F390" s="113"/>
      <c r="G390" s="113"/>
      <c r="H390" s="113"/>
    </row>
    <row r="391" spans="1:8" x14ac:dyDescent="0.35">
      <c r="A391" s="113" t="s">
        <v>77</v>
      </c>
      <c r="B391" s="113"/>
      <c r="C391" s="113"/>
      <c r="D391" s="113"/>
      <c r="E391" s="113"/>
      <c r="F391" s="113"/>
      <c r="G391" s="113"/>
      <c r="H391" s="113"/>
    </row>
    <row r="392" spans="1:8" x14ac:dyDescent="0.35">
      <c r="A392" s="113" t="s">
        <v>78</v>
      </c>
      <c r="B392" s="113"/>
      <c r="C392" s="113"/>
      <c r="D392" s="113"/>
      <c r="E392" s="113"/>
      <c r="F392" s="113"/>
      <c r="G392" s="113"/>
      <c r="H392" s="113"/>
    </row>
    <row r="393" spans="1:8" x14ac:dyDescent="0.35">
      <c r="A393" s="95" t="s">
        <v>79</v>
      </c>
      <c r="B393" s="95"/>
      <c r="C393" s="95"/>
      <c r="D393" s="95"/>
      <c r="E393" s="95"/>
      <c r="F393" s="95"/>
      <c r="G393" s="95"/>
      <c r="H393" s="95"/>
    </row>
    <row r="394" spans="1:8" x14ac:dyDescent="0.35">
      <c r="A394" s="188" t="s">
        <v>116</v>
      </c>
      <c r="B394" s="188"/>
      <c r="C394" s="188" t="s">
        <v>311</v>
      </c>
      <c r="D394" s="188"/>
      <c r="E394" s="188" t="s">
        <v>150</v>
      </c>
      <c r="F394" s="188"/>
      <c r="G394" s="188" t="s">
        <v>314</v>
      </c>
      <c r="H394" s="188"/>
    </row>
    <row r="395" spans="1:8" x14ac:dyDescent="0.35">
      <c r="A395" s="187" t="s">
        <v>118</v>
      </c>
      <c r="B395" s="187"/>
      <c r="C395" s="187"/>
      <c r="D395" s="187"/>
      <c r="E395" s="187"/>
      <c r="F395" s="187"/>
      <c r="G395" s="187"/>
      <c r="H395" s="187"/>
    </row>
    <row r="396" spans="1:8" x14ac:dyDescent="0.35">
      <c r="A396" s="187"/>
      <c r="B396" s="187"/>
      <c r="C396" s="187"/>
      <c r="D396" s="187"/>
      <c r="E396" s="187"/>
      <c r="F396" s="187"/>
      <c r="G396" s="187"/>
      <c r="H396" s="187"/>
    </row>
    <row r="397" spans="1:8" x14ac:dyDescent="0.35">
      <c r="A397" s="187"/>
      <c r="B397" s="187"/>
      <c r="C397" s="187"/>
      <c r="D397" s="187"/>
      <c r="E397" s="187"/>
      <c r="F397" s="187"/>
      <c r="G397" s="187"/>
      <c r="H397" s="187"/>
    </row>
    <row r="398" spans="1:8" x14ac:dyDescent="0.35">
      <c r="A398" s="187"/>
      <c r="B398" s="187"/>
      <c r="C398" s="187"/>
      <c r="D398" s="187"/>
      <c r="E398" s="187"/>
      <c r="F398" s="187"/>
      <c r="G398" s="187"/>
      <c r="H398" s="187"/>
    </row>
    <row r="399" spans="1:8" x14ac:dyDescent="0.35">
      <c r="A399" s="75" t="s">
        <v>80</v>
      </c>
      <c r="B399" s="76"/>
      <c r="C399" s="76"/>
      <c r="D399" s="77" t="str">
        <f>E8</f>
        <v>Laxmi Icon</v>
      </c>
      <c r="F399" s="76"/>
      <c r="G399" s="76"/>
      <c r="H399" s="76"/>
    </row>
    <row r="400" spans="1:8" x14ac:dyDescent="0.35">
      <c r="A400" s="76"/>
      <c r="B400" s="76"/>
      <c r="C400" s="76"/>
      <c r="D400" s="79"/>
      <c r="E400" s="76"/>
      <c r="F400" s="76"/>
      <c r="G400" s="76"/>
      <c r="H400" s="76"/>
    </row>
    <row r="401" spans="1:8" x14ac:dyDescent="0.35">
      <c r="A401" s="76"/>
      <c r="B401" s="76"/>
      <c r="C401" s="76"/>
      <c r="D401" s="79"/>
      <c r="E401" s="76"/>
      <c r="F401" s="76"/>
      <c r="G401" s="76"/>
      <c r="H401" s="76"/>
    </row>
    <row r="402" spans="1:8" ht="15" customHeight="1" x14ac:dyDescent="0.35"/>
    <row r="442" spans="1:1" x14ac:dyDescent="0.35">
      <c r="A442" s="81" t="s">
        <v>81</v>
      </c>
    </row>
  </sheetData>
  <mergeCells count="547">
    <mergeCell ref="A384:B384"/>
    <mergeCell ref="A189:B189"/>
    <mergeCell ref="A362:H362"/>
    <mergeCell ref="A363:B363"/>
    <mergeCell ref="G363:H384"/>
    <mergeCell ref="A364:B364"/>
    <mergeCell ref="A365:B365"/>
    <mergeCell ref="A366:B366"/>
    <mergeCell ref="A367:B367"/>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A179:H179"/>
    <mergeCell ref="A195:H195"/>
    <mergeCell ref="F137:H137"/>
    <mergeCell ref="F138:H138"/>
    <mergeCell ref="F139:H139"/>
    <mergeCell ref="F143:H143"/>
    <mergeCell ref="F144:H144"/>
    <mergeCell ref="F145:H145"/>
    <mergeCell ref="A137:B137"/>
    <mergeCell ref="A138:B138"/>
    <mergeCell ref="A144:B144"/>
    <mergeCell ref="A145:B145"/>
    <mergeCell ref="A183:B183"/>
    <mergeCell ref="A184:B184"/>
    <mergeCell ref="A185:B185"/>
    <mergeCell ref="A186:B186"/>
    <mergeCell ref="A187:B187"/>
    <mergeCell ref="A167:B167"/>
    <mergeCell ref="A168:B168"/>
    <mergeCell ref="A170:B170"/>
    <mergeCell ref="A171:B171"/>
    <mergeCell ref="A172:B172"/>
    <mergeCell ref="A173:B173"/>
    <mergeCell ref="A212:B212"/>
    <mergeCell ref="A391:H391"/>
    <mergeCell ref="A385:H385"/>
    <mergeCell ref="A386:H386"/>
    <mergeCell ref="A387:H387"/>
    <mergeCell ref="A388:H388"/>
    <mergeCell ref="A148:H148"/>
    <mergeCell ref="A213:B213"/>
    <mergeCell ref="A214:B214"/>
    <mergeCell ref="A215:B215"/>
    <mergeCell ref="A216:B216"/>
    <mergeCell ref="A253:B253"/>
    <mergeCell ref="A254:B254"/>
    <mergeCell ref="A218:B218"/>
    <mergeCell ref="A219:B219"/>
    <mergeCell ref="A220:B220"/>
    <mergeCell ref="A200:B200"/>
    <mergeCell ref="A201:B201"/>
    <mergeCell ref="A235:B235"/>
    <mergeCell ref="A236:B236"/>
    <mergeCell ref="G164:H178"/>
    <mergeCell ref="G180:H194"/>
    <mergeCell ref="G196:H205"/>
    <mergeCell ref="A383:B383"/>
    <mergeCell ref="G262:H271"/>
    <mergeCell ref="A238:B238"/>
    <mergeCell ref="A240:B240"/>
    <mergeCell ref="A193:B193"/>
    <mergeCell ref="A194:B194"/>
    <mergeCell ref="A196:B196"/>
    <mergeCell ref="A197:B197"/>
    <mergeCell ref="A198:B198"/>
    <mergeCell ref="A199:B199"/>
    <mergeCell ref="G207:H216"/>
    <mergeCell ref="G218:H227"/>
    <mergeCell ref="A224:B224"/>
    <mergeCell ref="A225:B225"/>
    <mergeCell ref="A226:B226"/>
    <mergeCell ref="A227:B227"/>
    <mergeCell ref="A231:B231"/>
    <mergeCell ref="A232:B232"/>
    <mergeCell ref="A209:B209"/>
    <mergeCell ref="A210:B210"/>
    <mergeCell ref="A211:B211"/>
    <mergeCell ref="A246:B246"/>
    <mergeCell ref="A239:H239"/>
    <mergeCell ref="A247:B247"/>
    <mergeCell ref="A259:B259"/>
    <mergeCell ref="A260:B260"/>
    <mergeCell ref="A252:B252"/>
    <mergeCell ref="A250:B250"/>
    <mergeCell ref="A251:B251"/>
    <mergeCell ref="A248:H248"/>
    <mergeCell ref="A249:H249"/>
    <mergeCell ref="A237:B237"/>
    <mergeCell ref="A229:H229"/>
    <mergeCell ref="A255:B255"/>
    <mergeCell ref="A256:B256"/>
    <mergeCell ref="A257:B257"/>
    <mergeCell ref="A258:B258"/>
    <mergeCell ref="A233:B233"/>
    <mergeCell ref="A230:H230"/>
    <mergeCell ref="G231:H238"/>
    <mergeCell ref="G240:H247"/>
    <mergeCell ref="G250:H260"/>
    <mergeCell ref="A234:B234"/>
    <mergeCell ref="A16:B16"/>
    <mergeCell ref="C16:D16"/>
    <mergeCell ref="E16:F16"/>
    <mergeCell ref="G16:H16"/>
    <mergeCell ref="A24:D24"/>
    <mergeCell ref="E24:H24"/>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17:B17"/>
    <mergeCell ref="C17:D17"/>
    <mergeCell ref="E17:F17"/>
    <mergeCell ref="G17:H17"/>
    <mergeCell ref="A1:H1"/>
    <mergeCell ref="A2:H2"/>
    <mergeCell ref="A3:D3"/>
    <mergeCell ref="E3:H3"/>
    <mergeCell ref="A4:D4"/>
    <mergeCell ref="A8:D8"/>
    <mergeCell ref="E8:H8"/>
    <mergeCell ref="A10:D10"/>
    <mergeCell ref="E10:H10"/>
    <mergeCell ref="E4:H4"/>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9:D9"/>
    <mergeCell ref="E9:H9"/>
    <mergeCell ref="A395:H398"/>
    <mergeCell ref="A394:B394"/>
    <mergeCell ref="E394:F394"/>
    <mergeCell ref="C394:D394"/>
    <mergeCell ref="G394:H394"/>
    <mergeCell ref="A389:H389"/>
    <mergeCell ref="A392:H392"/>
    <mergeCell ref="A393:H393"/>
    <mergeCell ref="A176:B176"/>
    <mergeCell ref="A177:B177"/>
    <mergeCell ref="A390:H390"/>
    <mergeCell ref="A241:B241"/>
    <mergeCell ref="A242:B242"/>
    <mergeCell ref="A243:B243"/>
    <mergeCell ref="A244:B244"/>
    <mergeCell ref="A245:B245"/>
    <mergeCell ref="A277:B277"/>
    <mergeCell ref="A278:B278"/>
    <mergeCell ref="G273:H282"/>
    <mergeCell ref="A279:B279"/>
    <mergeCell ref="A280:B280"/>
    <mergeCell ref="A281:B281"/>
    <mergeCell ref="A293:B293"/>
    <mergeCell ref="A296:B296"/>
    <mergeCell ref="A203:B203"/>
    <mergeCell ref="A205:B205"/>
    <mergeCell ref="A207:B207"/>
    <mergeCell ref="A208:B208"/>
    <mergeCell ref="A57:C57"/>
    <mergeCell ref="A58:C58"/>
    <mergeCell ref="A59:C59"/>
    <mergeCell ref="A73:B73"/>
    <mergeCell ref="A74:B74"/>
    <mergeCell ref="A75:B75"/>
    <mergeCell ref="A68:B68"/>
    <mergeCell ref="A69:B69"/>
    <mergeCell ref="A70:B70"/>
    <mergeCell ref="A71:B71"/>
    <mergeCell ref="A120:H120"/>
    <mergeCell ref="A123:H123"/>
    <mergeCell ref="A124:E124"/>
    <mergeCell ref="F124:H124"/>
    <mergeCell ref="A122:B122"/>
    <mergeCell ref="E94:F94"/>
    <mergeCell ref="G94:H94"/>
    <mergeCell ref="G149:H149"/>
    <mergeCell ref="F142:H142"/>
    <mergeCell ref="A136:B136"/>
    <mergeCell ref="D53:H53"/>
    <mergeCell ref="A53:C53"/>
    <mergeCell ref="G50:H50"/>
    <mergeCell ref="A50:B50"/>
    <mergeCell ref="C50:E50"/>
    <mergeCell ref="A190:B190"/>
    <mergeCell ref="A192:B192"/>
    <mergeCell ref="A202:B202"/>
    <mergeCell ref="A139:B139"/>
    <mergeCell ref="D138:E138"/>
    <mergeCell ref="D139:E139"/>
    <mergeCell ref="D136:E136"/>
    <mergeCell ref="F136:H136"/>
    <mergeCell ref="D140:E140"/>
    <mergeCell ref="F140:H140"/>
    <mergeCell ref="D145:E145"/>
    <mergeCell ref="A146:B146"/>
    <mergeCell ref="A140:B140"/>
    <mergeCell ref="A188:B188"/>
    <mergeCell ref="D137:E137"/>
    <mergeCell ref="A150:H150"/>
    <mergeCell ref="A151:H151"/>
    <mergeCell ref="G152:H162"/>
    <mergeCell ref="A163:H163"/>
    <mergeCell ref="G46:H46"/>
    <mergeCell ref="C49:H49"/>
    <mergeCell ref="C47:E47"/>
    <mergeCell ref="C48:E48"/>
    <mergeCell ref="A46:B46"/>
    <mergeCell ref="C46:E46"/>
    <mergeCell ref="G47:H47"/>
    <mergeCell ref="A47:B47"/>
    <mergeCell ref="A52:H52"/>
    <mergeCell ref="A48:B49"/>
    <mergeCell ref="G48:H48"/>
    <mergeCell ref="A51:B51"/>
    <mergeCell ref="C51:E51"/>
    <mergeCell ref="G51:H51"/>
    <mergeCell ref="F130:H130"/>
    <mergeCell ref="A130:E130"/>
    <mergeCell ref="F132:H132"/>
    <mergeCell ref="F131:H131"/>
    <mergeCell ref="A60:C60"/>
    <mergeCell ref="D60:H60"/>
    <mergeCell ref="A126:E126"/>
    <mergeCell ref="F126:H126"/>
    <mergeCell ref="A127:E127"/>
    <mergeCell ref="F127:H127"/>
    <mergeCell ref="A131:E131"/>
    <mergeCell ref="A132:E132"/>
    <mergeCell ref="C63:H63"/>
    <mergeCell ref="A65:B65"/>
    <mergeCell ref="A63:B63"/>
    <mergeCell ref="A90:B90"/>
    <mergeCell ref="E66:F75"/>
    <mergeCell ref="A128:E128"/>
    <mergeCell ref="F128:H128"/>
    <mergeCell ref="A61:B61"/>
    <mergeCell ref="C61:H61"/>
    <mergeCell ref="A125:E125"/>
    <mergeCell ref="A121:H121"/>
    <mergeCell ref="G81:H90"/>
    <mergeCell ref="A25:D25"/>
    <mergeCell ref="E25:H25"/>
    <mergeCell ref="A26:D26"/>
    <mergeCell ref="E26:H26"/>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C31:E31"/>
    <mergeCell ref="A32:B32"/>
    <mergeCell ref="C32:E32"/>
    <mergeCell ref="A33:B33"/>
    <mergeCell ref="C33:E33"/>
    <mergeCell ref="C34:E34"/>
    <mergeCell ref="A30:B30"/>
    <mergeCell ref="E41:H41"/>
    <mergeCell ref="E42:H42"/>
    <mergeCell ref="E43:H43"/>
    <mergeCell ref="E44:H44"/>
    <mergeCell ref="A42:D42"/>
    <mergeCell ref="A43:D43"/>
    <mergeCell ref="A44:D44"/>
    <mergeCell ref="A45:H45"/>
    <mergeCell ref="F32:H32"/>
    <mergeCell ref="C30:E30"/>
    <mergeCell ref="F33:H33"/>
    <mergeCell ref="F34:H34"/>
    <mergeCell ref="F30:H30"/>
    <mergeCell ref="A31:B31"/>
    <mergeCell ref="A36:B36"/>
    <mergeCell ref="E36:F36"/>
    <mergeCell ref="C36:D36"/>
    <mergeCell ref="G36:H36"/>
    <mergeCell ref="A41:D41"/>
    <mergeCell ref="A37:B37"/>
    <mergeCell ref="C37:H37"/>
    <mergeCell ref="G66:H75"/>
    <mergeCell ref="A76:B76"/>
    <mergeCell ref="C76:H76"/>
    <mergeCell ref="A78:B78"/>
    <mergeCell ref="C78:H78"/>
    <mergeCell ref="A80:B80"/>
    <mergeCell ref="E80:F80"/>
    <mergeCell ref="G80:H80"/>
    <mergeCell ref="A91:B91"/>
    <mergeCell ref="A81:B81"/>
    <mergeCell ref="A85:B85"/>
    <mergeCell ref="A86:B86"/>
    <mergeCell ref="A95:B95"/>
    <mergeCell ref="G95:H104"/>
    <mergeCell ref="A96:B96"/>
    <mergeCell ref="C91:H91"/>
    <mergeCell ref="A108:B108"/>
    <mergeCell ref="C108:D108"/>
    <mergeCell ref="E108:F108"/>
    <mergeCell ref="G108:H108"/>
    <mergeCell ref="E81:F90"/>
    <mergeCell ref="A82:B82"/>
    <mergeCell ref="A83:B83"/>
    <mergeCell ref="A84:B84"/>
    <mergeCell ref="A116:B116"/>
    <mergeCell ref="A87:B87"/>
    <mergeCell ref="A88:B88"/>
    <mergeCell ref="A89:B89"/>
    <mergeCell ref="E95:F104"/>
    <mergeCell ref="A93:B93"/>
    <mergeCell ref="C93:H93"/>
    <mergeCell ref="A97:B97"/>
    <mergeCell ref="A98:B98"/>
    <mergeCell ref="A99:B99"/>
    <mergeCell ref="A100:B100"/>
    <mergeCell ref="A101:B101"/>
    <mergeCell ref="A102:B102"/>
    <mergeCell ref="A103:B103"/>
    <mergeCell ref="A104:B104"/>
    <mergeCell ref="A94:B94"/>
    <mergeCell ref="A282:B282"/>
    <mergeCell ref="A262:B262"/>
    <mergeCell ref="A263:B263"/>
    <mergeCell ref="A264:B264"/>
    <mergeCell ref="A265:B265"/>
    <mergeCell ref="A266:B266"/>
    <mergeCell ref="A267:B267"/>
    <mergeCell ref="A268:B268"/>
    <mergeCell ref="A269:B269"/>
    <mergeCell ref="A270:B270"/>
    <mergeCell ref="A271:B271"/>
    <mergeCell ref="A273:B273"/>
    <mergeCell ref="A274:B274"/>
    <mergeCell ref="A275:B275"/>
    <mergeCell ref="A276:B276"/>
    <mergeCell ref="A304:B304"/>
    <mergeCell ref="A355:B355"/>
    <mergeCell ref="A327:B327"/>
    <mergeCell ref="A345:B345"/>
    <mergeCell ref="A287:B287"/>
    <mergeCell ref="A288:B288"/>
    <mergeCell ref="A289:B289"/>
    <mergeCell ref="A290:B290"/>
    <mergeCell ref="A291:B291"/>
    <mergeCell ref="A292:B292"/>
    <mergeCell ref="A295:H295"/>
    <mergeCell ref="G284:H293"/>
    <mergeCell ref="A297:B297"/>
    <mergeCell ref="A294:H294"/>
    <mergeCell ref="G296:H315"/>
    <mergeCell ref="A301:B301"/>
    <mergeCell ref="A302:B302"/>
    <mergeCell ref="A303:B303"/>
    <mergeCell ref="A284:B284"/>
    <mergeCell ref="A285:B285"/>
    <mergeCell ref="A286:B286"/>
    <mergeCell ref="A298:B298"/>
    <mergeCell ref="A299:B299"/>
    <mergeCell ref="A300:B300"/>
    <mergeCell ref="A325:B325"/>
    <mergeCell ref="A326:B326"/>
    <mergeCell ref="A307:B307"/>
    <mergeCell ref="A308:B308"/>
    <mergeCell ref="A309:B309"/>
    <mergeCell ref="A310:B310"/>
    <mergeCell ref="A305:B305"/>
    <mergeCell ref="A306:B306"/>
    <mergeCell ref="A311:B311"/>
    <mergeCell ref="A312:B312"/>
    <mergeCell ref="A313:B313"/>
    <mergeCell ref="A314:B314"/>
    <mergeCell ref="A315:B315"/>
    <mergeCell ref="A344:B344"/>
    <mergeCell ref="A316:H316"/>
    <mergeCell ref="A356:B356"/>
    <mergeCell ref="A357:B357"/>
    <mergeCell ref="A358:B358"/>
    <mergeCell ref="A328:B328"/>
    <mergeCell ref="A329:B329"/>
    <mergeCell ref="A330:B330"/>
    <mergeCell ref="A331:B331"/>
    <mergeCell ref="A332:B332"/>
    <mergeCell ref="A339:H339"/>
    <mergeCell ref="A346:B346"/>
    <mergeCell ref="A347:B347"/>
    <mergeCell ref="A333:B333"/>
    <mergeCell ref="A334:B334"/>
    <mergeCell ref="G317:H338"/>
    <mergeCell ref="A317:B317"/>
    <mergeCell ref="A318:B318"/>
    <mergeCell ref="A319:B319"/>
    <mergeCell ref="A320:B320"/>
    <mergeCell ref="A321:B321"/>
    <mergeCell ref="A322:B322"/>
    <mergeCell ref="A323:B323"/>
    <mergeCell ref="A324:B324"/>
    <mergeCell ref="A165:B165"/>
    <mergeCell ref="A166:B166"/>
    <mergeCell ref="A360:B360"/>
    <mergeCell ref="A361:B361"/>
    <mergeCell ref="A338:B338"/>
    <mergeCell ref="A340:B340"/>
    <mergeCell ref="A341:B341"/>
    <mergeCell ref="A342:B342"/>
    <mergeCell ref="A206:H206"/>
    <mergeCell ref="A217:H217"/>
    <mergeCell ref="A228:H228"/>
    <mergeCell ref="A221:B221"/>
    <mergeCell ref="A222:B222"/>
    <mergeCell ref="A223:B223"/>
    <mergeCell ref="A359:B359"/>
    <mergeCell ref="A350:B350"/>
    <mergeCell ref="A351:B351"/>
    <mergeCell ref="A352:B352"/>
    <mergeCell ref="A353:B353"/>
    <mergeCell ref="A354:B354"/>
    <mergeCell ref="A335:B335"/>
    <mergeCell ref="A336:B336"/>
    <mergeCell ref="A337:B337"/>
    <mergeCell ref="A343:B343"/>
    <mergeCell ref="F125:H125"/>
    <mergeCell ref="C122:H122"/>
    <mergeCell ref="G340:H361"/>
    <mergeCell ref="A105:B105"/>
    <mergeCell ref="C105:H105"/>
    <mergeCell ref="A107:B107"/>
    <mergeCell ref="C107:H107"/>
    <mergeCell ref="A109:B109"/>
    <mergeCell ref="E109:F109"/>
    <mergeCell ref="G109:H109"/>
    <mergeCell ref="A110:B110"/>
    <mergeCell ref="E110:F119"/>
    <mergeCell ref="G110:H119"/>
    <mergeCell ref="A111:B111"/>
    <mergeCell ref="A112:B112"/>
    <mergeCell ref="A113:B113"/>
    <mergeCell ref="A114:B114"/>
    <mergeCell ref="A115:B115"/>
    <mergeCell ref="A261:H261"/>
    <mergeCell ref="A272:H272"/>
    <mergeCell ref="A283:H283"/>
    <mergeCell ref="A348:B348"/>
    <mergeCell ref="A349:B349"/>
    <mergeCell ref="A164:B164"/>
    <mergeCell ref="A178:B178"/>
    <mergeCell ref="A180:B180"/>
    <mergeCell ref="A141:H141"/>
    <mergeCell ref="A204:B204"/>
    <mergeCell ref="A181:B181"/>
    <mergeCell ref="A182:B182"/>
    <mergeCell ref="A156:B156"/>
    <mergeCell ref="A157:B157"/>
    <mergeCell ref="A158:B158"/>
    <mergeCell ref="A159:B159"/>
    <mergeCell ref="A160:B160"/>
    <mergeCell ref="A143:B143"/>
    <mergeCell ref="D143:E143"/>
    <mergeCell ref="D144:E144"/>
    <mergeCell ref="A175:B175"/>
    <mergeCell ref="A191:B191"/>
    <mergeCell ref="A169:B169"/>
    <mergeCell ref="A161:B161"/>
    <mergeCell ref="A162:B162"/>
    <mergeCell ref="A152:B152"/>
    <mergeCell ref="A153:B153"/>
    <mergeCell ref="A154:B154"/>
    <mergeCell ref="A155:B155"/>
    <mergeCell ref="D146:E146"/>
    <mergeCell ref="A79:B79"/>
    <mergeCell ref="C79:D79"/>
    <mergeCell ref="E79:F79"/>
    <mergeCell ref="G79:H79"/>
    <mergeCell ref="E65:F65"/>
    <mergeCell ref="A66:B66"/>
    <mergeCell ref="A67:B67"/>
    <mergeCell ref="A72:B72"/>
    <mergeCell ref="A174:B174"/>
    <mergeCell ref="A117:B117"/>
    <mergeCell ref="A118:B118"/>
    <mergeCell ref="A119:B119"/>
    <mergeCell ref="A135:H135"/>
    <mergeCell ref="A133:E133"/>
    <mergeCell ref="F133:H133"/>
    <mergeCell ref="A134:E134"/>
    <mergeCell ref="F134:H134"/>
    <mergeCell ref="F146:H146"/>
    <mergeCell ref="A149:B149"/>
    <mergeCell ref="A147:H147"/>
    <mergeCell ref="A142:B142"/>
    <mergeCell ref="D142:E142"/>
    <mergeCell ref="A129:E129"/>
    <mergeCell ref="F129:H129"/>
    <mergeCell ref="D59:H59"/>
    <mergeCell ref="G65:H65"/>
    <mergeCell ref="D57:H57"/>
    <mergeCell ref="D58:H58"/>
    <mergeCell ref="D55:H55"/>
    <mergeCell ref="A55:C55"/>
    <mergeCell ref="A56:C56"/>
    <mergeCell ref="D56:H56"/>
    <mergeCell ref="A54:C54"/>
    <mergeCell ref="A64:B64"/>
    <mergeCell ref="C64:D64"/>
    <mergeCell ref="E64:F64"/>
    <mergeCell ref="G64:H64"/>
    <mergeCell ref="D54:H54"/>
  </mergeCells>
  <hyperlinks>
    <hyperlink ref="C37" r:id="rId1"/>
  </hyperlinks>
  <printOptions horizontalCentered="1"/>
  <pageMargins left="0.39370078740157483" right="0.39370078740157483" top="0.98425196850393704" bottom="0.59055118110236227" header="0.19685039370078741" footer="0.19685039370078741"/>
  <pageSetup scale="94" fitToHeight="0" orientation="portrait" r:id="rId2"/>
  <headerFooter>
    <oddHeader>&amp;C&amp;G</oddHeader>
    <oddFooter>&amp;L&amp;"Times New Roman,Bold"&amp;12Ref No: &amp;F&amp;C&amp;G&amp;R&amp;"Times New Roman,Bold"&amp;12                             &amp;P</oddFooter>
  </headerFooter>
  <rowBreaks count="2" manualBreakCount="2">
    <brk id="398" max="16383" man="1"/>
    <brk id="44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4.5" x14ac:dyDescent="0.35"/>
  <cols>
    <col min="2" max="2" width="12.26953125" customWidth="1"/>
  </cols>
  <sheetData>
    <row r="2" spans="1:12" x14ac:dyDescent="0.35">
      <c r="B2" s="1" t="s">
        <v>83</v>
      </c>
      <c r="C2" s="198"/>
      <c r="D2" s="198"/>
    </row>
    <row r="3" spans="1:12" x14ac:dyDescent="0.35">
      <c r="D3" s="2"/>
      <c r="E3" s="2"/>
      <c r="F3" s="2"/>
      <c r="G3" s="2"/>
      <c r="H3" s="2"/>
      <c r="I3" s="2"/>
    </row>
    <row r="4" spans="1:12" x14ac:dyDescent="0.35">
      <c r="A4" s="1" t="s">
        <v>84</v>
      </c>
      <c r="B4" s="3" t="s">
        <v>85</v>
      </c>
      <c r="C4" s="199" t="s">
        <v>86</v>
      </c>
      <c r="D4" s="199"/>
      <c r="E4" s="199"/>
      <c r="F4" s="4"/>
      <c r="G4" s="199" t="s">
        <v>87</v>
      </c>
      <c r="H4" s="199"/>
      <c r="I4" s="199"/>
      <c r="J4" s="199" t="s">
        <v>88</v>
      </c>
      <c r="K4" s="199"/>
      <c r="L4" s="199"/>
    </row>
    <row r="5" spans="1:12" x14ac:dyDescent="0.35">
      <c r="A5" s="1">
        <v>202</v>
      </c>
      <c r="B5" s="3"/>
      <c r="C5" s="3" t="s">
        <v>89</v>
      </c>
      <c r="D5" s="3" t="s">
        <v>90</v>
      </c>
      <c r="E5" s="3" t="s">
        <v>65</v>
      </c>
      <c r="F5" s="3"/>
      <c r="G5" s="3" t="s">
        <v>89</v>
      </c>
      <c r="H5" s="3" t="s">
        <v>90</v>
      </c>
      <c r="I5" s="3" t="s">
        <v>65</v>
      </c>
      <c r="J5" s="3" t="s">
        <v>89</v>
      </c>
      <c r="K5" s="3" t="s">
        <v>90</v>
      </c>
      <c r="L5" s="3" t="s">
        <v>65</v>
      </c>
    </row>
    <row r="6" spans="1:12" x14ac:dyDescent="0.35">
      <c r="B6" s="5" t="s">
        <v>91</v>
      </c>
      <c r="C6" s="5">
        <v>4.5</v>
      </c>
      <c r="D6" s="5">
        <v>2.9</v>
      </c>
      <c r="E6" s="5">
        <f>C6*D6</f>
        <v>13.049999999999999</v>
      </c>
      <c r="F6" s="5" t="s">
        <v>92</v>
      </c>
      <c r="G6" s="5"/>
      <c r="H6" s="5"/>
      <c r="I6" s="5">
        <f>G6*H6</f>
        <v>0</v>
      </c>
      <c r="J6" s="5"/>
      <c r="K6" s="5"/>
      <c r="L6" s="5">
        <f>J6*K6</f>
        <v>0</v>
      </c>
    </row>
    <row r="7" spans="1:12" x14ac:dyDescent="0.35">
      <c r="B7" s="5"/>
      <c r="C7" s="5"/>
      <c r="D7" s="5"/>
      <c r="E7" s="5">
        <f t="shared" ref="E7:E33" si="0">C7*D7</f>
        <v>0</v>
      </c>
      <c r="F7" s="5" t="s">
        <v>93</v>
      </c>
      <c r="G7" s="5"/>
      <c r="H7" s="5"/>
      <c r="I7" s="5">
        <f t="shared" ref="I7:I29" si="1">G7*H7</f>
        <v>0</v>
      </c>
      <c r="J7" s="5"/>
      <c r="K7" s="5"/>
      <c r="L7" s="5">
        <f t="shared" ref="L7:L29" si="2">J7*K7</f>
        <v>0</v>
      </c>
    </row>
    <row r="8" spans="1:12" x14ac:dyDescent="0.35">
      <c r="B8" s="5"/>
      <c r="C8" s="5"/>
      <c r="D8" s="5"/>
      <c r="E8" s="5">
        <f t="shared" si="0"/>
        <v>0</v>
      </c>
      <c r="F8" s="5"/>
      <c r="G8" s="5"/>
      <c r="H8" s="5"/>
      <c r="I8" s="5">
        <f t="shared" si="1"/>
        <v>0</v>
      </c>
      <c r="J8" s="5"/>
      <c r="K8" s="5"/>
      <c r="L8" s="5">
        <f t="shared" si="2"/>
        <v>0</v>
      </c>
    </row>
    <row r="9" spans="1:12" x14ac:dyDescent="0.35">
      <c r="B9" s="5" t="s">
        <v>94</v>
      </c>
      <c r="C9" s="5">
        <v>1.88</v>
      </c>
      <c r="D9" s="5">
        <v>2.13</v>
      </c>
      <c r="E9" s="5">
        <f t="shared" si="0"/>
        <v>4.0043999999999995</v>
      </c>
      <c r="F9" s="5" t="s">
        <v>92</v>
      </c>
      <c r="G9" s="5"/>
      <c r="H9" s="5"/>
      <c r="I9" s="5">
        <f t="shared" si="1"/>
        <v>0</v>
      </c>
      <c r="J9" s="5"/>
      <c r="K9" s="5"/>
      <c r="L9" s="5">
        <f t="shared" si="2"/>
        <v>0</v>
      </c>
    </row>
    <row r="10" spans="1:12" x14ac:dyDescent="0.35">
      <c r="B10" s="5"/>
      <c r="C10" s="5"/>
      <c r="D10" s="5"/>
      <c r="E10" s="5">
        <f t="shared" si="0"/>
        <v>0</v>
      </c>
      <c r="F10" s="5" t="s">
        <v>93</v>
      </c>
      <c r="G10" s="5"/>
      <c r="H10" s="5"/>
      <c r="I10" s="5">
        <f t="shared" si="1"/>
        <v>0</v>
      </c>
      <c r="J10" s="5"/>
      <c r="K10" s="5"/>
      <c r="L10" s="5">
        <f t="shared" si="2"/>
        <v>0</v>
      </c>
    </row>
    <row r="11" spans="1:12" x14ac:dyDescent="0.35">
      <c r="B11" s="5"/>
      <c r="C11" s="5"/>
      <c r="D11" s="5"/>
      <c r="E11" s="5">
        <f t="shared" si="0"/>
        <v>0</v>
      </c>
      <c r="F11" s="5"/>
      <c r="G11" s="5"/>
      <c r="H11" s="5"/>
      <c r="I11" s="5">
        <f t="shared" si="1"/>
        <v>0</v>
      </c>
      <c r="J11" s="5"/>
      <c r="K11" s="5"/>
      <c r="L11" s="5">
        <f t="shared" si="2"/>
        <v>0</v>
      </c>
    </row>
    <row r="12" spans="1:12" x14ac:dyDescent="0.35">
      <c r="B12" s="5"/>
      <c r="C12" s="5"/>
      <c r="D12" s="5"/>
      <c r="E12" s="5">
        <f t="shared" si="0"/>
        <v>0</v>
      </c>
      <c r="F12" s="5"/>
      <c r="G12" s="5"/>
      <c r="H12" s="5"/>
      <c r="I12" s="5">
        <f t="shared" si="1"/>
        <v>0</v>
      </c>
      <c r="J12" s="5"/>
      <c r="K12" s="5"/>
      <c r="L12" s="5">
        <f t="shared" si="2"/>
        <v>0</v>
      </c>
    </row>
    <row r="13" spans="1:12" x14ac:dyDescent="0.35">
      <c r="B13" s="5" t="s">
        <v>95</v>
      </c>
      <c r="C13" s="5"/>
      <c r="D13" s="5"/>
      <c r="E13" s="5">
        <f t="shared" si="0"/>
        <v>0</v>
      </c>
      <c r="F13" s="5" t="s">
        <v>92</v>
      </c>
      <c r="G13" s="5"/>
      <c r="H13" s="5"/>
      <c r="I13" s="5">
        <f t="shared" si="1"/>
        <v>0</v>
      </c>
      <c r="J13" s="5"/>
      <c r="K13" s="5"/>
      <c r="L13" s="5">
        <f t="shared" si="2"/>
        <v>0</v>
      </c>
    </row>
    <row r="14" spans="1:12" x14ac:dyDescent="0.35">
      <c r="B14" s="5"/>
      <c r="C14" s="5"/>
      <c r="D14" s="5"/>
      <c r="E14" s="5">
        <f t="shared" si="0"/>
        <v>0</v>
      </c>
      <c r="F14" s="5" t="s">
        <v>93</v>
      </c>
      <c r="G14" s="5"/>
      <c r="H14" s="5"/>
      <c r="I14" s="5">
        <f t="shared" si="1"/>
        <v>0</v>
      </c>
      <c r="J14" s="5"/>
      <c r="K14" s="5"/>
      <c r="L14" s="5">
        <f t="shared" si="2"/>
        <v>0</v>
      </c>
    </row>
    <row r="15" spans="1:12" x14ac:dyDescent="0.35">
      <c r="B15" s="5"/>
      <c r="C15" s="5"/>
      <c r="D15" s="5"/>
      <c r="E15" s="5">
        <f t="shared" si="0"/>
        <v>0</v>
      </c>
      <c r="F15" s="5"/>
      <c r="G15" s="5"/>
      <c r="H15" s="5"/>
      <c r="I15" s="5">
        <f t="shared" si="1"/>
        <v>0</v>
      </c>
      <c r="J15" s="5"/>
      <c r="K15" s="5"/>
      <c r="L15" s="5">
        <f t="shared" si="2"/>
        <v>0</v>
      </c>
    </row>
    <row r="16" spans="1:12" x14ac:dyDescent="0.35">
      <c r="B16" s="5"/>
      <c r="C16" s="5"/>
      <c r="D16" s="5"/>
      <c r="E16" s="5">
        <f t="shared" si="0"/>
        <v>0</v>
      </c>
      <c r="F16" s="5"/>
      <c r="G16" s="5"/>
      <c r="H16" s="5"/>
      <c r="I16" s="5">
        <f t="shared" si="1"/>
        <v>0</v>
      </c>
      <c r="J16" s="5"/>
      <c r="K16" s="5"/>
      <c r="L16" s="5">
        <f t="shared" si="2"/>
        <v>0</v>
      </c>
    </row>
    <row r="17" spans="2:12" x14ac:dyDescent="0.35">
      <c r="B17" s="5" t="s">
        <v>96</v>
      </c>
      <c r="C17" s="5"/>
      <c r="D17" s="5"/>
      <c r="E17" s="5">
        <f t="shared" si="0"/>
        <v>0</v>
      </c>
      <c r="F17" s="5" t="s">
        <v>92</v>
      </c>
      <c r="G17" s="5"/>
      <c r="H17" s="5"/>
      <c r="I17" s="5">
        <f t="shared" si="1"/>
        <v>0</v>
      </c>
      <c r="J17" s="5"/>
      <c r="K17" s="5"/>
      <c r="L17" s="5">
        <f t="shared" si="2"/>
        <v>0</v>
      </c>
    </row>
    <row r="18" spans="2:12" x14ac:dyDescent="0.35">
      <c r="B18" s="5"/>
      <c r="C18" s="5"/>
      <c r="D18" s="5"/>
      <c r="E18" s="5">
        <f t="shared" si="0"/>
        <v>0</v>
      </c>
      <c r="F18" s="5" t="s">
        <v>93</v>
      </c>
      <c r="G18" s="5"/>
      <c r="H18" s="5"/>
      <c r="I18" s="5">
        <f t="shared" si="1"/>
        <v>0</v>
      </c>
      <c r="J18" s="5"/>
      <c r="K18" s="5"/>
      <c r="L18" s="5">
        <f t="shared" si="2"/>
        <v>0</v>
      </c>
    </row>
    <row r="19" spans="2:12" x14ac:dyDescent="0.35">
      <c r="B19" s="5"/>
      <c r="C19" s="5"/>
      <c r="D19" s="5"/>
      <c r="E19" s="5">
        <f t="shared" si="0"/>
        <v>0</v>
      </c>
      <c r="F19" s="5"/>
      <c r="G19" s="5"/>
      <c r="H19" s="5"/>
      <c r="I19" s="5">
        <f t="shared" si="1"/>
        <v>0</v>
      </c>
      <c r="J19" s="5"/>
      <c r="K19" s="5"/>
      <c r="L19" s="5">
        <f t="shared" si="2"/>
        <v>0</v>
      </c>
    </row>
    <row r="20" spans="2:12" x14ac:dyDescent="0.35">
      <c r="B20" s="5" t="s">
        <v>96</v>
      </c>
      <c r="C20" s="5"/>
      <c r="D20" s="5"/>
      <c r="E20" s="5">
        <f t="shared" si="0"/>
        <v>0</v>
      </c>
      <c r="F20" s="5" t="s">
        <v>92</v>
      </c>
      <c r="G20" s="5"/>
      <c r="H20" s="5"/>
      <c r="I20" s="5">
        <f t="shared" si="1"/>
        <v>0</v>
      </c>
      <c r="J20" s="5"/>
      <c r="K20" s="5"/>
      <c r="L20" s="5">
        <f t="shared" si="2"/>
        <v>0</v>
      </c>
    </row>
    <row r="21" spans="2:12" x14ac:dyDescent="0.35">
      <c r="B21" s="5"/>
      <c r="C21" s="5"/>
      <c r="D21" s="5"/>
      <c r="E21" s="5">
        <f t="shared" si="0"/>
        <v>0</v>
      </c>
      <c r="F21" s="5" t="s">
        <v>93</v>
      </c>
      <c r="G21" s="5"/>
      <c r="H21" s="5"/>
      <c r="I21" s="5">
        <f t="shared" si="1"/>
        <v>0</v>
      </c>
      <c r="J21" s="5"/>
      <c r="K21" s="5"/>
      <c r="L21" s="5">
        <f t="shared" si="2"/>
        <v>0</v>
      </c>
    </row>
    <row r="22" spans="2:12" x14ac:dyDescent="0.35">
      <c r="B22" s="5"/>
      <c r="C22" s="5"/>
      <c r="D22" s="5"/>
      <c r="E22" s="5">
        <f t="shared" si="0"/>
        <v>0</v>
      </c>
      <c r="F22" s="5"/>
      <c r="G22" s="5"/>
      <c r="H22" s="5"/>
      <c r="I22" s="5">
        <f t="shared" si="1"/>
        <v>0</v>
      </c>
      <c r="J22" s="5"/>
      <c r="K22" s="5"/>
      <c r="L22" s="5">
        <f t="shared" si="2"/>
        <v>0</v>
      </c>
    </row>
    <row r="23" spans="2:12" x14ac:dyDescent="0.35">
      <c r="B23" s="5" t="s">
        <v>97</v>
      </c>
      <c r="C23" s="5">
        <v>1.9</v>
      </c>
      <c r="D23" s="5">
        <v>1.07</v>
      </c>
      <c r="E23" s="5">
        <f t="shared" si="0"/>
        <v>2.0329999999999999</v>
      </c>
      <c r="F23" s="5" t="s">
        <v>98</v>
      </c>
      <c r="G23" s="5"/>
      <c r="H23" s="5"/>
      <c r="I23" s="5">
        <f t="shared" si="1"/>
        <v>0</v>
      </c>
      <c r="J23" s="5"/>
      <c r="K23" s="5"/>
      <c r="L23" s="5">
        <f t="shared" si="2"/>
        <v>0</v>
      </c>
    </row>
    <row r="24" spans="2:12" x14ac:dyDescent="0.35">
      <c r="B24" s="5" t="s">
        <v>99</v>
      </c>
      <c r="C24" s="5"/>
      <c r="D24" s="5"/>
      <c r="E24" s="5">
        <f t="shared" si="0"/>
        <v>0</v>
      </c>
      <c r="F24" s="5" t="s">
        <v>98</v>
      </c>
      <c r="G24" s="5"/>
      <c r="H24" s="5"/>
      <c r="I24" s="5">
        <f t="shared" si="1"/>
        <v>0</v>
      </c>
      <c r="J24" s="5"/>
      <c r="K24" s="5"/>
      <c r="L24" s="5">
        <f t="shared" si="2"/>
        <v>0</v>
      </c>
    </row>
    <row r="25" spans="2:12" x14ac:dyDescent="0.35">
      <c r="B25" s="5" t="s">
        <v>100</v>
      </c>
      <c r="C25" s="5"/>
      <c r="D25" s="5"/>
      <c r="E25" s="5">
        <f t="shared" si="0"/>
        <v>0</v>
      </c>
      <c r="F25" s="5" t="s">
        <v>98</v>
      </c>
      <c r="G25" s="5"/>
      <c r="H25" s="5"/>
      <c r="I25" s="5">
        <f t="shared" si="1"/>
        <v>0</v>
      </c>
      <c r="J25" s="5"/>
      <c r="K25" s="5"/>
      <c r="L25" s="5">
        <f t="shared" si="2"/>
        <v>0</v>
      </c>
    </row>
    <row r="26" spans="2:12" x14ac:dyDescent="0.35">
      <c r="B26" s="5"/>
      <c r="C26" s="5"/>
      <c r="D26" s="5"/>
      <c r="E26" s="5">
        <f t="shared" si="0"/>
        <v>0</v>
      </c>
      <c r="F26" s="5"/>
      <c r="G26" s="5"/>
      <c r="H26" s="5"/>
      <c r="I26" s="5">
        <f t="shared" si="1"/>
        <v>0</v>
      </c>
      <c r="J26" s="5"/>
      <c r="K26" s="5"/>
      <c r="L26" s="5">
        <f t="shared" si="2"/>
        <v>0</v>
      </c>
    </row>
    <row r="27" spans="2:12" x14ac:dyDescent="0.35">
      <c r="B27" s="5" t="s">
        <v>101</v>
      </c>
      <c r="C27" s="5"/>
      <c r="D27" s="5"/>
      <c r="E27" s="5">
        <f t="shared" si="0"/>
        <v>0</v>
      </c>
      <c r="F27" s="5"/>
      <c r="G27" s="5"/>
      <c r="H27" s="5"/>
      <c r="I27" s="5">
        <f t="shared" si="1"/>
        <v>0</v>
      </c>
      <c r="J27" s="5"/>
      <c r="K27" s="5"/>
      <c r="L27" s="5">
        <f t="shared" si="2"/>
        <v>0</v>
      </c>
    </row>
    <row r="28" spans="2:12" x14ac:dyDescent="0.35">
      <c r="B28" s="5" t="s">
        <v>102</v>
      </c>
      <c r="C28" s="5"/>
      <c r="D28" s="5"/>
      <c r="E28" s="5">
        <f t="shared" si="0"/>
        <v>0</v>
      </c>
      <c r="F28" s="5"/>
      <c r="G28" s="5"/>
      <c r="H28" s="5"/>
      <c r="I28" s="5">
        <f t="shared" si="1"/>
        <v>0</v>
      </c>
      <c r="J28" s="5"/>
      <c r="K28" s="5"/>
      <c r="L28" s="5">
        <f t="shared" si="2"/>
        <v>0</v>
      </c>
    </row>
    <row r="29" spans="2:12" x14ac:dyDescent="0.35">
      <c r="B29" s="5" t="s">
        <v>103</v>
      </c>
      <c r="C29" s="5"/>
      <c r="D29" s="5"/>
      <c r="E29" s="5">
        <f t="shared" si="0"/>
        <v>0</v>
      </c>
      <c r="F29" s="5"/>
      <c r="G29" s="5"/>
      <c r="H29" s="5"/>
      <c r="I29" s="5">
        <f t="shared" si="1"/>
        <v>0</v>
      </c>
      <c r="J29" s="5"/>
      <c r="K29" s="5"/>
      <c r="L29" s="5">
        <f t="shared" si="2"/>
        <v>0</v>
      </c>
    </row>
    <row r="30" spans="2:12" x14ac:dyDescent="0.35">
      <c r="B30" s="5" t="s">
        <v>104</v>
      </c>
      <c r="C30" s="5"/>
      <c r="D30" s="5"/>
      <c r="E30" s="5">
        <f t="shared" si="0"/>
        <v>0</v>
      </c>
      <c r="F30" s="5"/>
      <c r="G30" s="5"/>
      <c r="H30" s="5"/>
      <c r="I30" s="5">
        <f>G30*H30</f>
        <v>0</v>
      </c>
      <c r="J30" s="5"/>
      <c r="K30" s="5"/>
      <c r="L30" s="5">
        <f>J30*K30</f>
        <v>0</v>
      </c>
    </row>
    <row r="31" spans="2:12" x14ac:dyDescent="0.35">
      <c r="B31" s="5"/>
      <c r="C31" s="5"/>
      <c r="D31" s="5"/>
      <c r="E31" s="5">
        <f t="shared" si="0"/>
        <v>0</v>
      </c>
      <c r="F31" s="5"/>
      <c r="G31" s="5"/>
      <c r="H31" s="5"/>
      <c r="I31" s="5">
        <f>G31*H31</f>
        <v>0</v>
      </c>
      <c r="J31" s="5"/>
      <c r="K31" s="5"/>
      <c r="L31" s="5">
        <f>J31*K31</f>
        <v>0</v>
      </c>
    </row>
    <row r="32" spans="2:12" x14ac:dyDescent="0.35">
      <c r="B32" s="5"/>
      <c r="C32" s="5"/>
      <c r="D32" s="5"/>
      <c r="E32" s="5">
        <f t="shared" si="0"/>
        <v>0</v>
      </c>
      <c r="F32" s="5"/>
      <c r="G32" s="5"/>
      <c r="H32" s="5"/>
      <c r="I32" s="5">
        <f>G32*H32</f>
        <v>0</v>
      </c>
      <c r="J32" s="5"/>
      <c r="K32" s="5"/>
      <c r="L32" s="5">
        <f>J32*K32</f>
        <v>0</v>
      </c>
    </row>
    <row r="33" spans="2:12" x14ac:dyDescent="0.35">
      <c r="B33" s="5"/>
      <c r="C33" s="5"/>
      <c r="D33" s="5"/>
      <c r="E33" s="5">
        <f t="shared" si="0"/>
        <v>0</v>
      </c>
      <c r="F33" s="5"/>
      <c r="G33" s="5"/>
      <c r="H33" s="5"/>
      <c r="I33" s="5">
        <f>G33*H33</f>
        <v>0</v>
      </c>
      <c r="J33" s="5"/>
      <c r="K33" s="5"/>
      <c r="L33" s="5">
        <f>J33*K33</f>
        <v>0</v>
      </c>
    </row>
    <row r="34" spans="2:12" x14ac:dyDescent="0.35">
      <c r="B34" s="5" t="s">
        <v>66</v>
      </c>
      <c r="C34" s="5"/>
      <c r="D34" s="5">
        <f>E34*10.764</f>
        <v>205.45677359999996</v>
      </c>
      <c r="E34" s="5">
        <f>SUM(E6:E33)</f>
        <v>19.087399999999999</v>
      </c>
      <c r="F34" s="5"/>
      <c r="G34" s="5"/>
      <c r="H34" s="5">
        <f>I34*10.764</f>
        <v>0</v>
      </c>
      <c r="I34" s="5">
        <f>SUM(I6:I33)</f>
        <v>0</v>
      </c>
      <c r="J34" s="5"/>
      <c r="K34" s="5">
        <f>L34*10.764</f>
        <v>0</v>
      </c>
      <c r="L34" s="5">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2"/>
  <sheetViews>
    <sheetView topLeftCell="A227" workbookViewId="0">
      <selection activeCell="C222" sqref="C222"/>
    </sheetView>
  </sheetViews>
  <sheetFormatPr defaultRowHeight="14.5" x14ac:dyDescent="0.35"/>
  <cols>
    <col min="1" max="1" width="39.7265625" bestFit="1" customWidth="1"/>
  </cols>
  <sheetData>
    <row r="2" spans="1:8" ht="15" customHeight="1" x14ac:dyDescent="0.35">
      <c r="A2" s="23" t="s">
        <v>181</v>
      </c>
      <c r="B2" s="24"/>
      <c r="C2" s="24"/>
      <c r="D2" s="24"/>
      <c r="E2" s="24"/>
      <c r="F2" s="24"/>
      <c r="G2" s="24"/>
      <c r="H2" s="25"/>
    </row>
    <row r="3" spans="1:8" ht="15" customHeight="1" x14ac:dyDescent="0.35">
      <c r="A3" s="23" t="s">
        <v>182</v>
      </c>
      <c r="B3" s="24"/>
      <c r="C3" s="24"/>
      <c r="D3" s="24"/>
      <c r="E3" s="24"/>
      <c r="F3" s="24"/>
      <c r="G3" s="24"/>
      <c r="H3" s="25"/>
    </row>
    <row r="4" spans="1:8" ht="15" customHeight="1" x14ac:dyDescent="0.35">
      <c r="A4" s="26">
        <v>1</v>
      </c>
      <c r="B4" s="27"/>
      <c r="C4" s="19" t="s">
        <v>183</v>
      </c>
      <c r="D4" s="36">
        <f>33.01*10.764</f>
        <v>355.31963999999994</v>
      </c>
      <c r="E4" s="19">
        <v>0</v>
      </c>
      <c r="F4" s="19">
        <f t="shared" ref="F4:F14" si="0">D4*1.6+E4</f>
        <v>568.51142399999992</v>
      </c>
      <c r="G4" s="28" t="str">
        <f>A3</f>
        <v>Ground floor for Commericial &amp; Parking</v>
      </c>
      <c r="H4" s="29"/>
    </row>
    <row r="5" spans="1:8" x14ac:dyDescent="0.35">
      <c r="A5" s="26">
        <v>2</v>
      </c>
      <c r="B5" s="27"/>
      <c r="C5" s="19" t="s">
        <v>183</v>
      </c>
      <c r="D5" s="36">
        <f>23.955*10.764</f>
        <v>257.85161999999997</v>
      </c>
      <c r="E5" s="19">
        <v>0</v>
      </c>
      <c r="F5" s="19">
        <f t="shared" si="0"/>
        <v>412.562592</v>
      </c>
      <c r="G5" s="30"/>
      <c r="H5" s="31"/>
    </row>
    <row r="6" spans="1:8" x14ac:dyDescent="0.35">
      <c r="A6" s="26">
        <v>3</v>
      </c>
      <c r="B6" s="27"/>
      <c r="C6" s="19" t="s">
        <v>183</v>
      </c>
      <c r="D6" s="36">
        <f>30.546*10.764</f>
        <v>328.79714399999995</v>
      </c>
      <c r="E6" s="19">
        <v>0</v>
      </c>
      <c r="F6" s="19">
        <f t="shared" si="0"/>
        <v>526.07543039999996</v>
      </c>
      <c r="G6" s="30"/>
      <c r="H6" s="31"/>
    </row>
    <row r="7" spans="1:8" x14ac:dyDescent="0.35">
      <c r="A7" s="26">
        <v>4</v>
      </c>
      <c r="B7" s="27"/>
      <c r="C7" s="19" t="s">
        <v>183</v>
      </c>
      <c r="D7" s="36">
        <f>39.52*10.764</f>
        <v>425.39328</v>
      </c>
      <c r="E7" s="19">
        <v>0</v>
      </c>
      <c r="F7" s="19">
        <f t="shared" si="0"/>
        <v>680.62924800000008</v>
      </c>
      <c r="G7" s="30"/>
      <c r="H7" s="31"/>
    </row>
    <row r="8" spans="1:8" x14ac:dyDescent="0.35">
      <c r="A8" s="26">
        <v>5</v>
      </c>
      <c r="B8" s="27"/>
      <c r="C8" s="19" t="s">
        <v>183</v>
      </c>
      <c r="D8" s="36">
        <f>42.995*10.764</f>
        <v>462.79817999999995</v>
      </c>
      <c r="E8" s="19">
        <v>0</v>
      </c>
      <c r="F8" s="19">
        <f t="shared" si="0"/>
        <v>740.47708799999998</v>
      </c>
      <c r="G8" s="30"/>
      <c r="H8" s="31"/>
    </row>
    <row r="9" spans="1:8" x14ac:dyDescent="0.35">
      <c r="A9" s="26">
        <v>6</v>
      </c>
      <c r="B9" s="27"/>
      <c r="C9" s="19" t="s">
        <v>183</v>
      </c>
      <c r="D9" s="36">
        <f>42.995*10.764</f>
        <v>462.79817999999995</v>
      </c>
      <c r="E9" s="19">
        <v>0</v>
      </c>
      <c r="F9" s="19">
        <f t="shared" si="0"/>
        <v>740.47708799999998</v>
      </c>
      <c r="G9" s="30"/>
      <c r="H9" s="31"/>
    </row>
    <row r="10" spans="1:8" x14ac:dyDescent="0.35">
      <c r="A10" s="26">
        <v>7</v>
      </c>
      <c r="B10" s="27"/>
      <c r="C10" s="19" t="s">
        <v>183</v>
      </c>
      <c r="D10" s="36">
        <f>42.995*10.764</f>
        <v>462.79817999999995</v>
      </c>
      <c r="E10" s="19">
        <v>0</v>
      </c>
      <c r="F10" s="19">
        <f t="shared" si="0"/>
        <v>740.47708799999998</v>
      </c>
      <c r="G10" s="30"/>
      <c r="H10" s="31"/>
    </row>
    <row r="11" spans="1:8" x14ac:dyDescent="0.35">
      <c r="A11" s="26">
        <v>8</v>
      </c>
      <c r="B11" s="27"/>
      <c r="C11" s="19" t="s">
        <v>183</v>
      </c>
      <c r="D11" s="36">
        <f>42.995*10.764</f>
        <v>462.79817999999995</v>
      </c>
      <c r="E11" s="19">
        <v>0</v>
      </c>
      <c r="F11" s="19">
        <f t="shared" si="0"/>
        <v>740.47708799999998</v>
      </c>
      <c r="G11" s="30"/>
      <c r="H11" s="31"/>
    </row>
    <row r="12" spans="1:8" x14ac:dyDescent="0.35">
      <c r="A12" s="26">
        <v>9</v>
      </c>
      <c r="B12" s="27"/>
      <c r="C12" s="19" t="s">
        <v>183</v>
      </c>
      <c r="D12" s="36">
        <f>30.755*10.764</f>
        <v>331.04681999999997</v>
      </c>
      <c r="E12" s="19">
        <v>0</v>
      </c>
      <c r="F12" s="19">
        <f t="shared" si="0"/>
        <v>529.67491199999995</v>
      </c>
      <c r="G12" s="30"/>
      <c r="H12" s="31"/>
    </row>
    <row r="13" spans="1:8" x14ac:dyDescent="0.35">
      <c r="A13" s="26">
        <v>10</v>
      </c>
      <c r="B13" s="27"/>
      <c r="C13" s="19" t="s">
        <v>183</v>
      </c>
      <c r="D13" s="36">
        <f>23.875*10.764</f>
        <v>256.9905</v>
      </c>
      <c r="E13" s="19">
        <v>0</v>
      </c>
      <c r="F13" s="19">
        <f t="shared" si="0"/>
        <v>411.1848</v>
      </c>
      <c r="G13" s="30"/>
      <c r="H13" s="31"/>
    </row>
    <row r="14" spans="1:8" x14ac:dyDescent="0.35">
      <c r="A14" s="26">
        <v>11</v>
      </c>
      <c r="B14" s="27"/>
      <c r="C14" s="19" t="s">
        <v>183</v>
      </c>
      <c r="D14" s="36">
        <f>23.875*10.764</f>
        <v>256.9905</v>
      </c>
      <c r="E14" s="19">
        <v>0</v>
      </c>
      <c r="F14" s="19">
        <f t="shared" si="0"/>
        <v>411.1848</v>
      </c>
      <c r="G14" s="32"/>
      <c r="H14" s="33"/>
    </row>
    <row r="15" spans="1:8" ht="15" customHeight="1" x14ac:dyDescent="0.35">
      <c r="A15" s="23" t="s">
        <v>184</v>
      </c>
      <c r="B15" s="24"/>
      <c r="C15" s="24"/>
      <c r="D15" s="24"/>
      <c r="E15" s="24"/>
      <c r="F15" s="24"/>
      <c r="G15" s="24"/>
      <c r="H15" s="25"/>
    </row>
    <row r="16" spans="1:8" ht="15" customHeight="1" x14ac:dyDescent="0.35">
      <c r="A16" s="26">
        <v>12</v>
      </c>
      <c r="B16" s="27"/>
      <c r="C16" s="19" t="s">
        <v>183</v>
      </c>
      <c r="D16" s="36">
        <f>15.204*10.764</f>
        <v>163.655856</v>
      </c>
      <c r="E16" s="19">
        <v>0</v>
      </c>
      <c r="F16" s="19">
        <f t="shared" ref="F16:F26" si="1">D16*1.6+E16</f>
        <v>261.84936959999999</v>
      </c>
      <c r="G16" s="28" t="str">
        <f>A15</f>
        <v>1st floor for Commericial &amp; Residential</v>
      </c>
      <c r="H16" s="29"/>
    </row>
    <row r="17" spans="1:8" x14ac:dyDescent="0.35">
      <c r="A17" s="26">
        <v>13</v>
      </c>
      <c r="B17" s="27"/>
      <c r="C17" s="19" t="s">
        <v>183</v>
      </c>
      <c r="D17" s="36">
        <f>18.563*10.764</f>
        <v>199.81213199999996</v>
      </c>
      <c r="E17" s="19">
        <v>0</v>
      </c>
      <c r="F17" s="19">
        <f t="shared" si="1"/>
        <v>319.69941119999999</v>
      </c>
      <c r="G17" s="30"/>
      <c r="H17" s="31"/>
    </row>
    <row r="18" spans="1:8" x14ac:dyDescent="0.35">
      <c r="A18" s="26">
        <v>14</v>
      </c>
      <c r="B18" s="27"/>
      <c r="C18" s="19" t="s">
        <v>183</v>
      </c>
      <c r="D18" s="36">
        <f>23.955*10.764</f>
        <v>257.85161999999997</v>
      </c>
      <c r="E18" s="19">
        <v>0</v>
      </c>
      <c r="F18" s="19">
        <f t="shared" si="1"/>
        <v>412.562592</v>
      </c>
      <c r="G18" s="30"/>
      <c r="H18" s="31"/>
    </row>
    <row r="19" spans="1:8" x14ac:dyDescent="0.35">
      <c r="A19" s="26">
        <v>15</v>
      </c>
      <c r="B19" s="27"/>
      <c r="C19" s="19" t="s">
        <v>183</v>
      </c>
      <c r="D19" s="36">
        <f>29.016*10.764</f>
        <v>312.32822399999998</v>
      </c>
      <c r="E19" s="19">
        <v>0</v>
      </c>
      <c r="F19" s="19">
        <f t="shared" si="1"/>
        <v>499.7251584</v>
      </c>
      <c r="G19" s="30"/>
      <c r="H19" s="31"/>
    </row>
    <row r="20" spans="1:8" x14ac:dyDescent="0.35">
      <c r="A20" s="26">
        <v>16</v>
      </c>
      <c r="B20" s="27"/>
      <c r="C20" s="19" t="s">
        <v>183</v>
      </c>
      <c r="D20" s="36">
        <f>39.52*10.764</f>
        <v>425.39328</v>
      </c>
      <c r="E20" s="19">
        <v>0</v>
      </c>
      <c r="F20" s="19">
        <f t="shared" si="1"/>
        <v>680.62924800000008</v>
      </c>
      <c r="G20" s="30"/>
      <c r="H20" s="31"/>
    </row>
    <row r="21" spans="1:8" x14ac:dyDescent="0.35">
      <c r="A21" s="26">
        <v>17</v>
      </c>
      <c r="B21" s="27"/>
      <c r="C21" s="19" t="s">
        <v>183</v>
      </c>
      <c r="D21" s="36">
        <f>42.995*10.764</f>
        <v>462.79817999999995</v>
      </c>
      <c r="E21" s="19">
        <v>0</v>
      </c>
      <c r="F21" s="19">
        <f t="shared" si="1"/>
        <v>740.47708799999998</v>
      </c>
      <c r="G21" s="30"/>
      <c r="H21" s="31"/>
    </row>
    <row r="22" spans="1:8" x14ac:dyDescent="0.35">
      <c r="A22" s="26">
        <v>18</v>
      </c>
      <c r="B22" s="27"/>
      <c r="C22" s="19" t="s">
        <v>183</v>
      </c>
      <c r="D22" s="36">
        <f>42.995*10.764</f>
        <v>462.79817999999995</v>
      </c>
      <c r="E22" s="19">
        <v>0</v>
      </c>
      <c r="F22" s="19">
        <f t="shared" si="1"/>
        <v>740.47708799999998</v>
      </c>
      <c r="G22" s="30"/>
      <c r="H22" s="31"/>
    </row>
    <row r="23" spans="1:8" x14ac:dyDescent="0.35">
      <c r="A23" s="26">
        <v>19</v>
      </c>
      <c r="B23" s="27"/>
      <c r="C23" s="19" t="s">
        <v>183</v>
      </c>
      <c r="D23" s="36">
        <f>42.995*10.764</f>
        <v>462.79817999999995</v>
      </c>
      <c r="E23" s="19">
        <v>0</v>
      </c>
      <c r="F23" s="19">
        <f t="shared" si="1"/>
        <v>740.47708799999998</v>
      </c>
      <c r="G23" s="30"/>
      <c r="H23" s="31"/>
    </row>
    <row r="24" spans="1:8" x14ac:dyDescent="0.35">
      <c r="A24" s="26">
        <v>20</v>
      </c>
      <c r="B24" s="27"/>
      <c r="C24" s="19" t="s">
        <v>183</v>
      </c>
      <c r="D24" s="36">
        <f>42.995*10.764</f>
        <v>462.79817999999995</v>
      </c>
      <c r="E24" s="19">
        <v>0</v>
      </c>
      <c r="F24" s="19">
        <f t="shared" si="1"/>
        <v>740.47708799999998</v>
      </c>
      <c r="G24" s="30"/>
      <c r="H24" s="31"/>
    </row>
    <row r="25" spans="1:8" x14ac:dyDescent="0.35">
      <c r="A25" s="26">
        <v>21</v>
      </c>
      <c r="B25" s="27"/>
      <c r="C25" s="19" t="s">
        <v>183</v>
      </c>
      <c r="D25" s="36">
        <f>30.96*10.764</f>
        <v>333.25344000000001</v>
      </c>
      <c r="E25" s="19">
        <v>0</v>
      </c>
      <c r="F25" s="19">
        <f t="shared" si="1"/>
        <v>533.20550400000002</v>
      </c>
      <c r="G25" s="30"/>
      <c r="H25" s="31"/>
    </row>
    <row r="26" spans="1:8" x14ac:dyDescent="0.35">
      <c r="A26" s="26">
        <v>22</v>
      </c>
      <c r="B26" s="27"/>
      <c r="C26" s="19" t="s">
        <v>183</v>
      </c>
      <c r="D26" s="36">
        <f>25.37*10.764</f>
        <v>273.08267999999998</v>
      </c>
      <c r="E26" s="19">
        <v>0</v>
      </c>
      <c r="F26" s="19">
        <f t="shared" si="1"/>
        <v>436.93228799999997</v>
      </c>
      <c r="G26" s="30"/>
      <c r="H26" s="31"/>
    </row>
    <row r="27" spans="1:8" x14ac:dyDescent="0.35">
      <c r="A27" s="26">
        <v>101</v>
      </c>
      <c r="B27" s="27"/>
      <c r="C27" s="19" t="s">
        <v>185</v>
      </c>
      <c r="D27" s="36">
        <f>28.102*10.764</f>
        <v>302.48992799999996</v>
      </c>
      <c r="E27" s="19">
        <v>0</v>
      </c>
      <c r="F27" s="19">
        <f>D27*1.45+E27</f>
        <v>438.61039559999995</v>
      </c>
      <c r="G27" s="30"/>
      <c r="H27" s="31"/>
    </row>
    <row r="28" spans="1:8" x14ac:dyDescent="0.35">
      <c r="A28" s="26">
        <v>102</v>
      </c>
      <c r="B28" s="27"/>
      <c r="C28" s="19" t="s">
        <v>185</v>
      </c>
      <c r="D28" s="36">
        <f>28.275*10.764</f>
        <v>304.35209999999995</v>
      </c>
      <c r="E28" s="19">
        <v>0</v>
      </c>
      <c r="F28" s="19">
        <f>D28*1.45+E28</f>
        <v>441.31054499999993</v>
      </c>
      <c r="G28" s="30"/>
      <c r="H28" s="31"/>
    </row>
    <row r="29" spans="1:8" x14ac:dyDescent="0.35">
      <c r="A29" s="26">
        <v>103</v>
      </c>
      <c r="B29" s="27"/>
      <c r="C29" s="19" t="s">
        <v>185</v>
      </c>
      <c r="D29" s="36">
        <f>28.275*10.764</f>
        <v>304.35209999999995</v>
      </c>
      <c r="E29" s="19">
        <v>0</v>
      </c>
      <c r="F29" s="19">
        <f>D29*1.45+E29</f>
        <v>441.31054499999993</v>
      </c>
      <c r="G29" s="32"/>
      <c r="H29" s="33"/>
    </row>
    <row r="30" spans="1:8" ht="15" customHeight="1" x14ac:dyDescent="0.35">
      <c r="A30" s="23" t="s">
        <v>186</v>
      </c>
      <c r="B30" s="24"/>
      <c r="C30" s="24"/>
      <c r="D30" s="24"/>
      <c r="E30" s="24"/>
      <c r="F30" s="24"/>
      <c r="G30" s="24"/>
      <c r="H30" s="25"/>
    </row>
    <row r="31" spans="1:8" ht="15" customHeight="1" x14ac:dyDescent="0.35">
      <c r="A31" s="26">
        <v>23</v>
      </c>
      <c r="B31" s="27"/>
      <c r="C31" s="19" t="s">
        <v>183</v>
      </c>
      <c r="D31" s="36">
        <f>15.204*10.764</f>
        <v>163.655856</v>
      </c>
      <c r="E31" s="19">
        <v>0</v>
      </c>
      <c r="F31" s="19">
        <f t="shared" ref="F31:F41" si="2">D31*1.6+E31</f>
        <v>261.84936959999999</v>
      </c>
      <c r="G31" s="28" t="str">
        <f>A30</f>
        <v>2nd floor for Commericial &amp; Residential</v>
      </c>
      <c r="H31" s="29"/>
    </row>
    <row r="32" spans="1:8" x14ac:dyDescent="0.35">
      <c r="A32" s="26">
        <v>24</v>
      </c>
      <c r="B32" s="27"/>
      <c r="C32" s="19" t="s">
        <v>183</v>
      </c>
      <c r="D32" s="36">
        <f>18.563*10.764</f>
        <v>199.81213199999996</v>
      </c>
      <c r="E32" s="19">
        <v>0</v>
      </c>
      <c r="F32" s="19">
        <f t="shared" si="2"/>
        <v>319.69941119999999</v>
      </c>
      <c r="G32" s="30"/>
      <c r="H32" s="31"/>
    </row>
    <row r="33" spans="1:8" x14ac:dyDescent="0.35">
      <c r="A33" s="26">
        <v>25</v>
      </c>
      <c r="B33" s="27"/>
      <c r="C33" s="19" t="s">
        <v>183</v>
      </c>
      <c r="D33" s="36">
        <f>23.955*10.764</f>
        <v>257.85161999999997</v>
      </c>
      <c r="E33" s="19">
        <v>0</v>
      </c>
      <c r="F33" s="19">
        <f t="shared" si="2"/>
        <v>412.562592</v>
      </c>
      <c r="G33" s="30"/>
      <c r="H33" s="31"/>
    </row>
    <row r="34" spans="1:8" x14ac:dyDescent="0.35">
      <c r="A34" s="26">
        <v>26</v>
      </c>
      <c r="B34" s="27"/>
      <c r="C34" s="19" t="s">
        <v>183</v>
      </c>
      <c r="D34" s="36">
        <f>29.016*10.764</f>
        <v>312.32822399999998</v>
      </c>
      <c r="E34" s="19">
        <v>0</v>
      </c>
      <c r="F34" s="19">
        <f t="shared" si="2"/>
        <v>499.7251584</v>
      </c>
      <c r="G34" s="30"/>
      <c r="H34" s="31"/>
    </row>
    <row r="35" spans="1:8" x14ac:dyDescent="0.35">
      <c r="A35" s="26">
        <v>27</v>
      </c>
      <c r="B35" s="27"/>
      <c r="C35" s="19" t="s">
        <v>183</v>
      </c>
      <c r="D35" s="36">
        <f>39.52*10.764</f>
        <v>425.39328</v>
      </c>
      <c r="E35" s="19">
        <v>0</v>
      </c>
      <c r="F35" s="19">
        <f t="shared" si="2"/>
        <v>680.62924800000008</v>
      </c>
      <c r="G35" s="30"/>
      <c r="H35" s="31"/>
    </row>
    <row r="36" spans="1:8" x14ac:dyDescent="0.35">
      <c r="A36" s="26">
        <v>28</v>
      </c>
      <c r="B36" s="27"/>
      <c r="C36" s="19" t="s">
        <v>183</v>
      </c>
      <c r="D36" s="36">
        <f>42.995*10.764</f>
        <v>462.79817999999995</v>
      </c>
      <c r="E36" s="19">
        <v>0</v>
      </c>
      <c r="F36" s="19">
        <f t="shared" si="2"/>
        <v>740.47708799999998</v>
      </c>
      <c r="G36" s="30"/>
      <c r="H36" s="31"/>
    </row>
    <row r="37" spans="1:8" x14ac:dyDescent="0.35">
      <c r="A37" s="26">
        <v>29</v>
      </c>
      <c r="B37" s="27"/>
      <c r="C37" s="19" t="s">
        <v>183</v>
      </c>
      <c r="D37" s="36">
        <f>42.995*10.764</f>
        <v>462.79817999999995</v>
      </c>
      <c r="E37" s="19">
        <v>0</v>
      </c>
      <c r="F37" s="19">
        <f t="shared" si="2"/>
        <v>740.47708799999998</v>
      </c>
      <c r="G37" s="30"/>
      <c r="H37" s="31"/>
    </row>
    <row r="38" spans="1:8" x14ac:dyDescent="0.35">
      <c r="A38" s="26">
        <v>30</v>
      </c>
      <c r="B38" s="27"/>
      <c r="C38" s="19" t="s">
        <v>183</v>
      </c>
      <c r="D38" s="36">
        <f>42.995*10.764</f>
        <v>462.79817999999995</v>
      </c>
      <c r="E38" s="19">
        <v>0</v>
      </c>
      <c r="F38" s="19">
        <f t="shared" si="2"/>
        <v>740.47708799999998</v>
      </c>
      <c r="G38" s="30"/>
      <c r="H38" s="31"/>
    </row>
    <row r="39" spans="1:8" x14ac:dyDescent="0.35">
      <c r="A39" s="26">
        <v>31</v>
      </c>
      <c r="B39" s="27"/>
      <c r="C39" s="19" t="s">
        <v>183</v>
      </c>
      <c r="D39" s="36">
        <f>42.995*10.764</f>
        <v>462.79817999999995</v>
      </c>
      <c r="E39" s="19">
        <v>0</v>
      </c>
      <c r="F39" s="19">
        <f t="shared" si="2"/>
        <v>740.47708799999998</v>
      </c>
      <c r="G39" s="30"/>
      <c r="H39" s="31"/>
    </row>
    <row r="40" spans="1:8" x14ac:dyDescent="0.35">
      <c r="A40" s="26">
        <v>32</v>
      </c>
      <c r="B40" s="27"/>
      <c r="C40" s="19" t="s">
        <v>183</v>
      </c>
      <c r="D40" s="36">
        <f>30.96*10.764</f>
        <v>333.25344000000001</v>
      </c>
      <c r="E40" s="19">
        <v>0</v>
      </c>
      <c r="F40" s="19">
        <f t="shared" si="2"/>
        <v>533.20550400000002</v>
      </c>
      <c r="G40" s="30"/>
      <c r="H40" s="31"/>
    </row>
    <row r="41" spans="1:8" x14ac:dyDescent="0.35">
      <c r="A41" s="26">
        <v>33</v>
      </c>
      <c r="B41" s="27"/>
      <c r="C41" s="19" t="s">
        <v>183</v>
      </c>
      <c r="D41" s="36">
        <f>25.37*10.764</f>
        <v>273.08267999999998</v>
      </c>
      <c r="E41" s="19">
        <v>0</v>
      </c>
      <c r="F41" s="19">
        <f t="shared" si="2"/>
        <v>436.93228799999997</v>
      </c>
      <c r="G41" s="30"/>
      <c r="H41" s="31"/>
    </row>
    <row r="42" spans="1:8" ht="15" customHeight="1" x14ac:dyDescent="0.35">
      <c r="A42" s="26">
        <v>201</v>
      </c>
      <c r="B42" s="27"/>
      <c r="C42" s="19" t="s">
        <v>185</v>
      </c>
      <c r="D42" s="36">
        <f>28.102*10.764</f>
        <v>302.48992799999996</v>
      </c>
      <c r="E42" s="19">
        <v>0</v>
      </c>
      <c r="F42" s="19">
        <f>D42*1.45+E42</f>
        <v>438.61039559999995</v>
      </c>
      <c r="G42" s="30"/>
      <c r="H42" s="31"/>
    </row>
    <row r="43" spans="1:8" x14ac:dyDescent="0.35">
      <c r="A43" s="26">
        <v>202</v>
      </c>
      <c r="B43" s="27"/>
      <c r="C43" s="19" t="s">
        <v>185</v>
      </c>
      <c r="D43" s="36">
        <f>28.275*10.764</f>
        <v>304.35209999999995</v>
      </c>
      <c r="E43" s="19">
        <v>0</v>
      </c>
      <c r="F43" s="19">
        <f>D43*1.45+E43</f>
        <v>441.31054499999993</v>
      </c>
      <c r="G43" s="30"/>
      <c r="H43" s="31"/>
    </row>
    <row r="44" spans="1:8" x14ac:dyDescent="0.35">
      <c r="A44" s="26">
        <v>203</v>
      </c>
      <c r="B44" s="27"/>
      <c r="C44" s="19" t="s">
        <v>185</v>
      </c>
      <c r="D44" s="36">
        <f>28.275*10.764</f>
        <v>304.35209999999995</v>
      </c>
      <c r="E44" s="19">
        <v>0</v>
      </c>
      <c r="F44" s="19">
        <f>D44*1.45+E44</f>
        <v>441.31054499999993</v>
      </c>
      <c r="G44" s="32"/>
      <c r="H44" s="33"/>
    </row>
    <row r="45" spans="1:8" s="20" customFormat="1" ht="15" customHeight="1" x14ac:dyDescent="0.35">
      <c r="A45" s="23" t="s">
        <v>187</v>
      </c>
      <c r="B45" s="24"/>
      <c r="C45" s="24"/>
      <c r="D45" s="24"/>
      <c r="E45" s="24"/>
      <c r="F45" s="24"/>
      <c r="G45" s="24"/>
      <c r="H45" s="25"/>
    </row>
    <row r="46" spans="1:8" ht="15" customHeight="1" x14ac:dyDescent="0.35">
      <c r="A46" s="32">
        <v>301</v>
      </c>
      <c r="B46" s="33"/>
      <c r="C46" s="21" t="s">
        <v>185</v>
      </c>
      <c r="D46" s="37">
        <f>28.275*10.764</f>
        <v>304.35209999999995</v>
      </c>
      <c r="E46" s="21">
        <f>1.925*1.5*10.764</f>
        <v>31.081050000000001</v>
      </c>
      <c r="F46" s="21">
        <f>D46*1.45+E46</f>
        <v>472.39159499999994</v>
      </c>
      <c r="G46" s="30" t="str">
        <f>A45</f>
        <v>3nd floor for Residential</v>
      </c>
      <c r="H46" s="31"/>
    </row>
    <row r="47" spans="1:8" x14ac:dyDescent="0.35">
      <c r="A47" s="26">
        <v>302</v>
      </c>
      <c r="B47" s="27"/>
      <c r="C47" s="19" t="s">
        <v>185</v>
      </c>
      <c r="D47" s="36">
        <f>28.275*10.764</f>
        <v>304.35209999999995</v>
      </c>
      <c r="E47" s="19">
        <f>1.925*1.5*10.764</f>
        <v>31.081050000000001</v>
      </c>
      <c r="F47" s="19">
        <f>D47*1.45+E47</f>
        <v>472.39159499999994</v>
      </c>
      <c r="G47" s="30"/>
      <c r="H47" s="31"/>
    </row>
    <row r="48" spans="1:8" x14ac:dyDescent="0.35">
      <c r="A48" s="26">
        <v>303</v>
      </c>
      <c r="B48" s="27"/>
      <c r="C48" s="19" t="s">
        <v>185</v>
      </c>
      <c r="D48" s="36">
        <f>26.18*10.764</f>
        <v>281.80151999999998</v>
      </c>
      <c r="E48" s="19">
        <f>(2.8*2.95+2.2*4+1.65*3.2+2.1*0.95)*10.764</f>
        <v>261.94194000000005</v>
      </c>
      <c r="F48" s="19">
        <f>D48*1.45+E48/3</f>
        <v>495.92618399999998</v>
      </c>
      <c r="G48" s="30"/>
      <c r="H48" s="31"/>
    </row>
    <row r="49" spans="1:8" x14ac:dyDescent="0.35">
      <c r="A49" s="26">
        <v>304</v>
      </c>
      <c r="B49" s="27"/>
      <c r="C49" s="19" t="s">
        <v>188</v>
      </c>
      <c r="D49" s="36">
        <f>41.415*10.764</f>
        <v>445.79105999999996</v>
      </c>
      <c r="E49" s="22">
        <f>(2.1*3.5+3.9*3+3.3*1.6+2.25*0.85+2.5*0.5)*10.764</f>
        <v>295.92927000000003</v>
      </c>
      <c r="F49" s="19">
        <f>D49*1.45+E49/3</f>
        <v>745.04012699999998</v>
      </c>
      <c r="G49" s="30"/>
      <c r="H49" s="31"/>
    </row>
    <row r="50" spans="1:8" x14ac:dyDescent="0.35">
      <c r="A50" s="26">
        <v>305</v>
      </c>
      <c r="B50" s="27"/>
      <c r="C50" s="19" t="s">
        <v>188</v>
      </c>
      <c r="D50" s="36">
        <f>40.188*10.764</f>
        <v>432.58363200000002</v>
      </c>
      <c r="E50" s="19">
        <f>(2.6*1.55+0.5*2.25+0.2*2.5+1.95*1.5+1.5*1.5)*10.764</f>
        <v>116.57411999999999</v>
      </c>
      <c r="F50" s="19">
        <f>D50*1.45+E50/2</f>
        <v>685.53332639999996</v>
      </c>
      <c r="G50" s="30"/>
      <c r="H50" s="31"/>
    </row>
    <row r="51" spans="1:8" x14ac:dyDescent="0.35">
      <c r="A51" s="26">
        <v>306</v>
      </c>
      <c r="B51" s="27"/>
      <c r="C51" s="19" t="s">
        <v>188</v>
      </c>
      <c r="D51" s="36">
        <f>40.188*10.764</f>
        <v>432.58363200000002</v>
      </c>
      <c r="E51" s="19">
        <f>(2.6*1.55+0.5*2.25+0.2*2.5+1.95*1.5+1.5*1.5)*10.764</f>
        <v>116.57411999999999</v>
      </c>
      <c r="F51" s="19">
        <f>D51*1.45+E51/2</f>
        <v>685.53332639999996</v>
      </c>
      <c r="G51" s="30"/>
      <c r="H51" s="31"/>
    </row>
    <row r="52" spans="1:8" x14ac:dyDescent="0.35">
      <c r="A52" s="26">
        <v>307</v>
      </c>
      <c r="B52" s="27"/>
      <c r="C52" s="19" t="s">
        <v>188</v>
      </c>
      <c r="D52" s="36">
        <f>41.415*10.764</f>
        <v>445.79105999999996</v>
      </c>
      <c r="E52" s="19">
        <f>(2.6*1.55+0.5*2.25+0.2*2.5+3.5*3+1.8*3.5)*10.764</f>
        <v>241.70562000000001</v>
      </c>
      <c r="F52" s="19">
        <f>D52*1.45+E52/3</f>
        <v>726.96557699999994</v>
      </c>
      <c r="G52" s="30"/>
      <c r="H52" s="31"/>
    </row>
    <row r="53" spans="1:8" x14ac:dyDescent="0.35">
      <c r="A53" s="26">
        <v>308</v>
      </c>
      <c r="B53" s="27"/>
      <c r="C53" s="19" t="s">
        <v>185</v>
      </c>
      <c r="D53" s="36">
        <f>28.006*10.764</f>
        <v>301.45658399999996</v>
      </c>
      <c r="E53" s="19">
        <f>(1.25*3.15+3.2*1.9+2*2.5)*10.764</f>
        <v>161.64837</v>
      </c>
      <c r="F53" s="19">
        <f>D53*1.45+E53/2</f>
        <v>517.93623179999986</v>
      </c>
      <c r="G53" s="30"/>
      <c r="H53" s="31"/>
    </row>
    <row r="54" spans="1:8" x14ac:dyDescent="0.35">
      <c r="A54" s="26">
        <v>309</v>
      </c>
      <c r="B54" s="27"/>
      <c r="C54" s="19" t="s">
        <v>185</v>
      </c>
      <c r="D54" s="36">
        <f>28.102*10.764</f>
        <v>302.48992799999996</v>
      </c>
      <c r="E54" s="19">
        <f>1.95*1.5*10.764</f>
        <v>31.484699999999997</v>
      </c>
      <c r="F54" s="19">
        <f>D54*1.45+E54</f>
        <v>470.09509559999992</v>
      </c>
      <c r="G54" s="30"/>
      <c r="H54" s="31"/>
    </row>
    <row r="55" spans="1:8" x14ac:dyDescent="0.35">
      <c r="A55" s="26">
        <v>310</v>
      </c>
      <c r="B55" s="27"/>
      <c r="C55" s="19" t="s">
        <v>185</v>
      </c>
      <c r="D55" s="36">
        <f>28.102*10.764</f>
        <v>302.48992799999996</v>
      </c>
      <c r="E55" s="19">
        <f>1.95*1.5*10.764</f>
        <v>31.484699999999997</v>
      </c>
      <c r="F55" s="19">
        <f>D55*1.45+E55</f>
        <v>470.09509559999992</v>
      </c>
      <c r="G55" s="32"/>
      <c r="H55" s="33"/>
    </row>
    <row r="56" spans="1:8" s="20" customFormat="1" ht="15" customHeight="1" x14ac:dyDescent="0.35">
      <c r="A56" s="23" t="s">
        <v>189</v>
      </c>
      <c r="B56" s="24"/>
      <c r="C56" s="24"/>
      <c r="D56" s="24"/>
      <c r="E56" s="24"/>
      <c r="F56" s="24"/>
      <c r="G56" s="24"/>
      <c r="H56" s="25"/>
    </row>
    <row r="57" spans="1:8" ht="15" customHeight="1" x14ac:dyDescent="0.35">
      <c r="A57" s="32" t="s">
        <v>190</v>
      </c>
      <c r="B57" s="33"/>
      <c r="C57" s="21" t="s">
        <v>185</v>
      </c>
      <c r="D57" s="37">
        <f>28.275*10.764</f>
        <v>304.35209999999995</v>
      </c>
      <c r="E57" s="21">
        <v>0</v>
      </c>
      <c r="F57" s="21">
        <f t="shared" ref="F57:F66" si="3">D57*1.45+E57</f>
        <v>441.31054499999993</v>
      </c>
      <c r="G57" s="30" t="str">
        <f>A56</f>
        <v>4th &amp; 6th Floor</v>
      </c>
      <c r="H57" s="31"/>
    </row>
    <row r="58" spans="1:8" ht="15" customHeight="1" x14ac:dyDescent="0.35">
      <c r="A58" s="32" t="s">
        <v>191</v>
      </c>
      <c r="B58" s="33"/>
      <c r="C58" s="19" t="s">
        <v>185</v>
      </c>
      <c r="D58" s="36">
        <f>28.275*10.764</f>
        <v>304.35209999999995</v>
      </c>
      <c r="E58" s="21">
        <v>0</v>
      </c>
      <c r="F58" s="19">
        <f t="shared" si="3"/>
        <v>441.31054499999993</v>
      </c>
      <c r="G58" s="30"/>
      <c r="H58" s="31"/>
    </row>
    <row r="59" spans="1:8" ht="15" customHeight="1" x14ac:dyDescent="0.35">
      <c r="A59" s="32" t="s">
        <v>192</v>
      </c>
      <c r="B59" s="33"/>
      <c r="C59" s="19" t="s">
        <v>185</v>
      </c>
      <c r="D59" s="36">
        <f>26.18*10.764</f>
        <v>281.80151999999998</v>
      </c>
      <c r="E59" s="21">
        <v>0</v>
      </c>
      <c r="F59" s="19">
        <f t="shared" si="3"/>
        <v>408.61220399999996</v>
      </c>
      <c r="G59" s="30"/>
      <c r="H59" s="31"/>
    </row>
    <row r="60" spans="1:8" ht="15" customHeight="1" x14ac:dyDescent="0.35">
      <c r="A60" s="32" t="s">
        <v>193</v>
      </c>
      <c r="B60" s="33"/>
      <c r="C60" s="19" t="s">
        <v>188</v>
      </c>
      <c r="D60" s="36">
        <f>41.415*10.764</f>
        <v>445.79105999999996</v>
      </c>
      <c r="E60" s="21">
        <v>0</v>
      </c>
      <c r="F60" s="19">
        <f t="shared" si="3"/>
        <v>646.39703699999995</v>
      </c>
      <c r="G60" s="30"/>
      <c r="H60" s="31"/>
    </row>
    <row r="61" spans="1:8" ht="15" customHeight="1" x14ac:dyDescent="0.35">
      <c r="A61" s="32" t="s">
        <v>194</v>
      </c>
      <c r="B61" s="33"/>
      <c r="C61" s="19" t="s">
        <v>188</v>
      </c>
      <c r="D61" s="36">
        <f>40.188*10.764</f>
        <v>432.58363200000002</v>
      </c>
      <c r="E61" s="21">
        <v>0</v>
      </c>
      <c r="F61" s="19">
        <f t="shared" si="3"/>
        <v>627.24626639999997</v>
      </c>
      <c r="G61" s="30"/>
      <c r="H61" s="31"/>
    </row>
    <row r="62" spans="1:8" ht="15" customHeight="1" x14ac:dyDescent="0.35">
      <c r="A62" s="32" t="s">
        <v>195</v>
      </c>
      <c r="B62" s="33"/>
      <c r="C62" s="19" t="s">
        <v>188</v>
      </c>
      <c r="D62" s="36">
        <f>40.188*10.764</f>
        <v>432.58363200000002</v>
      </c>
      <c r="E62" s="21">
        <v>0</v>
      </c>
      <c r="F62" s="19">
        <f t="shared" si="3"/>
        <v>627.24626639999997</v>
      </c>
      <c r="G62" s="30"/>
      <c r="H62" s="31"/>
    </row>
    <row r="63" spans="1:8" ht="15" customHeight="1" x14ac:dyDescent="0.35">
      <c r="A63" s="32" t="s">
        <v>196</v>
      </c>
      <c r="B63" s="33"/>
      <c r="C63" s="19" t="s">
        <v>188</v>
      </c>
      <c r="D63" s="36">
        <f>41.415*10.764</f>
        <v>445.79105999999996</v>
      </c>
      <c r="E63" s="21">
        <v>0</v>
      </c>
      <c r="F63" s="19">
        <f t="shared" si="3"/>
        <v>646.39703699999995</v>
      </c>
      <c r="G63" s="30"/>
      <c r="H63" s="31"/>
    </row>
    <row r="64" spans="1:8" ht="15" customHeight="1" x14ac:dyDescent="0.35">
      <c r="A64" s="32" t="s">
        <v>197</v>
      </c>
      <c r="B64" s="33"/>
      <c r="C64" s="19" t="s">
        <v>185</v>
      </c>
      <c r="D64" s="36">
        <f>28.006*10.764</f>
        <v>301.45658399999996</v>
      </c>
      <c r="E64" s="21">
        <v>0</v>
      </c>
      <c r="F64" s="19">
        <f t="shared" si="3"/>
        <v>437.11204679999992</v>
      </c>
      <c r="G64" s="30"/>
      <c r="H64" s="31"/>
    </row>
    <row r="65" spans="1:8" ht="15" customHeight="1" x14ac:dyDescent="0.35">
      <c r="A65" s="32" t="s">
        <v>198</v>
      </c>
      <c r="B65" s="33"/>
      <c r="C65" s="19" t="s">
        <v>185</v>
      </c>
      <c r="D65" s="36">
        <f>28.102*10.764</f>
        <v>302.48992799999996</v>
      </c>
      <c r="E65" s="21">
        <v>0</v>
      </c>
      <c r="F65" s="19">
        <f t="shared" si="3"/>
        <v>438.61039559999995</v>
      </c>
      <c r="G65" s="30"/>
      <c r="H65" s="31"/>
    </row>
    <row r="66" spans="1:8" ht="15" customHeight="1" x14ac:dyDescent="0.35">
      <c r="A66" s="32" t="s">
        <v>199</v>
      </c>
      <c r="B66" s="33"/>
      <c r="C66" s="19" t="s">
        <v>185</v>
      </c>
      <c r="D66" s="36">
        <f>28.102*10.764</f>
        <v>302.48992799999996</v>
      </c>
      <c r="E66" s="21">
        <v>0</v>
      </c>
      <c r="F66" s="19">
        <f t="shared" si="3"/>
        <v>438.61039559999995</v>
      </c>
      <c r="G66" s="32"/>
      <c r="H66" s="33"/>
    </row>
    <row r="67" spans="1:8" s="20" customFormat="1" ht="15" customHeight="1" x14ac:dyDescent="0.35">
      <c r="A67" s="23" t="s">
        <v>200</v>
      </c>
      <c r="B67" s="24"/>
      <c r="C67" s="24"/>
      <c r="D67" s="24"/>
      <c r="E67" s="24"/>
      <c r="F67" s="24"/>
      <c r="G67" s="24"/>
      <c r="H67" s="25"/>
    </row>
    <row r="68" spans="1:8" x14ac:dyDescent="0.35">
      <c r="A68" s="32">
        <v>501</v>
      </c>
      <c r="B68" s="33"/>
      <c r="C68" s="21" t="s">
        <v>185</v>
      </c>
      <c r="D68" s="37">
        <f>28.275*10.764</f>
        <v>304.35209999999995</v>
      </c>
      <c r="E68" s="21">
        <f>1.925*1.5*10.764</f>
        <v>31.081050000000001</v>
      </c>
      <c r="F68" s="21">
        <f t="shared" ref="F68:F77" si="4">D68*1.45+E68</f>
        <v>472.39159499999994</v>
      </c>
      <c r="G68" s="30" t="str">
        <f>A67</f>
        <v>5th Floor</v>
      </c>
      <c r="H68" s="31"/>
    </row>
    <row r="69" spans="1:8" ht="15" customHeight="1" x14ac:dyDescent="0.35">
      <c r="A69" s="32">
        <v>502</v>
      </c>
      <c r="B69" s="33"/>
      <c r="C69" s="19" t="s">
        <v>185</v>
      </c>
      <c r="D69" s="36">
        <f>28.275*10.764</f>
        <v>304.35209999999995</v>
      </c>
      <c r="E69" s="21">
        <f>1.925*1.5*10.764</f>
        <v>31.081050000000001</v>
      </c>
      <c r="F69" s="19">
        <f t="shared" si="4"/>
        <v>472.39159499999994</v>
      </c>
      <c r="G69" s="30"/>
      <c r="H69" s="31"/>
    </row>
    <row r="70" spans="1:8" ht="15" customHeight="1" x14ac:dyDescent="0.35">
      <c r="A70" s="32">
        <v>503</v>
      </c>
      <c r="B70" s="33"/>
      <c r="C70" s="19" t="s">
        <v>185</v>
      </c>
      <c r="D70" s="36">
        <f>26.18*10.764</f>
        <v>281.80151999999998</v>
      </c>
      <c r="E70" s="21">
        <f>2.25*1.5*10.764</f>
        <v>36.328499999999998</v>
      </c>
      <c r="F70" s="19">
        <f t="shared" si="4"/>
        <v>444.94070399999998</v>
      </c>
      <c r="G70" s="30"/>
      <c r="H70" s="31"/>
    </row>
    <row r="71" spans="1:8" ht="15" customHeight="1" x14ac:dyDescent="0.35">
      <c r="A71" s="32">
        <v>504</v>
      </c>
      <c r="B71" s="33"/>
      <c r="C71" s="19" t="s">
        <v>188</v>
      </c>
      <c r="D71" s="36">
        <f>41.415*10.764</f>
        <v>445.79105999999996</v>
      </c>
      <c r="E71" s="21">
        <f>1.875*1.5*10.764</f>
        <v>30.27375</v>
      </c>
      <c r="F71" s="19">
        <f t="shared" si="4"/>
        <v>676.6707869999999</v>
      </c>
      <c r="G71" s="30"/>
      <c r="H71" s="31"/>
    </row>
    <row r="72" spans="1:8" ht="15" customHeight="1" x14ac:dyDescent="0.35">
      <c r="A72" s="32">
        <v>505</v>
      </c>
      <c r="B72" s="33"/>
      <c r="C72" s="19" t="s">
        <v>188</v>
      </c>
      <c r="D72" s="36">
        <f>40.188*10.764</f>
        <v>432.58363200000002</v>
      </c>
      <c r="E72" s="21">
        <f>1.875*1.5*10.764</f>
        <v>30.27375</v>
      </c>
      <c r="F72" s="19">
        <f t="shared" si="4"/>
        <v>657.52001639999992</v>
      </c>
      <c r="G72" s="30"/>
      <c r="H72" s="31"/>
    </row>
    <row r="73" spans="1:8" ht="15" customHeight="1" x14ac:dyDescent="0.35">
      <c r="A73" s="32">
        <v>506</v>
      </c>
      <c r="B73" s="33"/>
      <c r="C73" s="19" t="s">
        <v>188</v>
      </c>
      <c r="D73" s="36">
        <f>40.188*10.764</f>
        <v>432.58363200000002</v>
      </c>
      <c r="E73" s="21">
        <f>1.875*1.5*10.764</f>
        <v>30.27375</v>
      </c>
      <c r="F73" s="19">
        <f t="shared" si="4"/>
        <v>657.52001639999992</v>
      </c>
      <c r="G73" s="30"/>
      <c r="H73" s="31"/>
    </row>
    <row r="74" spans="1:8" ht="15" customHeight="1" x14ac:dyDescent="0.35">
      <c r="A74" s="32">
        <v>507</v>
      </c>
      <c r="B74" s="33"/>
      <c r="C74" s="19" t="s">
        <v>188</v>
      </c>
      <c r="D74" s="36">
        <f>41.415*10.764</f>
        <v>445.79105999999996</v>
      </c>
      <c r="E74" s="21">
        <f>1.875*1.5*10.764</f>
        <v>30.27375</v>
      </c>
      <c r="F74" s="19">
        <f t="shared" si="4"/>
        <v>676.6707869999999</v>
      </c>
      <c r="G74" s="30"/>
      <c r="H74" s="31"/>
    </row>
    <row r="75" spans="1:8" ht="15" customHeight="1" x14ac:dyDescent="0.35">
      <c r="A75" s="32">
        <v>508</v>
      </c>
      <c r="B75" s="33"/>
      <c r="C75" s="19" t="s">
        <v>185</v>
      </c>
      <c r="D75" s="36">
        <f>28.006*10.764</f>
        <v>301.45658399999996</v>
      </c>
      <c r="E75" s="21">
        <f>1.9*1.5*10.764</f>
        <v>30.677399999999995</v>
      </c>
      <c r="F75" s="19">
        <f t="shared" si="4"/>
        <v>467.78944679999989</v>
      </c>
      <c r="G75" s="30"/>
      <c r="H75" s="31"/>
    </row>
    <row r="76" spans="1:8" ht="15" customHeight="1" x14ac:dyDescent="0.35">
      <c r="A76" s="32">
        <v>509</v>
      </c>
      <c r="B76" s="33"/>
      <c r="C76" s="19" t="s">
        <v>185</v>
      </c>
      <c r="D76" s="36">
        <f>28.102*10.764</f>
        <v>302.48992799999996</v>
      </c>
      <c r="E76" s="21">
        <f>1.95*1.5*10.764</f>
        <v>31.484699999999997</v>
      </c>
      <c r="F76" s="19">
        <f t="shared" si="4"/>
        <v>470.09509559999992</v>
      </c>
      <c r="G76" s="30"/>
      <c r="H76" s="31"/>
    </row>
    <row r="77" spans="1:8" ht="15" customHeight="1" x14ac:dyDescent="0.35">
      <c r="A77" s="32">
        <v>510</v>
      </c>
      <c r="B77" s="33"/>
      <c r="C77" s="19" t="s">
        <v>185</v>
      </c>
      <c r="D77" s="36">
        <f>28.102*10.764</f>
        <v>302.48992799999996</v>
      </c>
      <c r="E77" s="21">
        <f>1.95*1.5*10.764</f>
        <v>31.484699999999997</v>
      </c>
      <c r="F77" s="19">
        <f t="shared" si="4"/>
        <v>470.09509559999992</v>
      </c>
      <c r="G77" s="32"/>
      <c r="H77" s="33"/>
    </row>
    <row r="78" spans="1:8" ht="15" customHeight="1" x14ac:dyDescent="0.35">
      <c r="A78" s="23" t="s">
        <v>201</v>
      </c>
      <c r="B78" s="24"/>
      <c r="C78" s="24"/>
      <c r="D78" s="24"/>
      <c r="E78" s="24"/>
      <c r="F78" s="24"/>
      <c r="G78" s="24"/>
      <c r="H78" s="25"/>
    </row>
    <row r="79" spans="1:8" ht="15" customHeight="1" x14ac:dyDescent="0.35">
      <c r="A79" s="23" t="s">
        <v>202</v>
      </c>
      <c r="B79" s="24"/>
      <c r="C79" s="24"/>
      <c r="D79" s="24"/>
      <c r="E79" s="24"/>
      <c r="F79" s="24"/>
      <c r="G79" s="24"/>
      <c r="H79" s="25"/>
    </row>
    <row r="80" spans="1:8" s="20" customFormat="1" ht="15" customHeight="1" x14ac:dyDescent="0.35">
      <c r="A80" s="23" t="s">
        <v>203</v>
      </c>
      <c r="B80" s="24"/>
      <c r="C80" s="24"/>
      <c r="D80" s="24"/>
      <c r="E80" s="24"/>
      <c r="F80" s="24"/>
      <c r="G80" s="24"/>
      <c r="H80" s="25"/>
    </row>
    <row r="81" spans="1:8" ht="15" customHeight="1" x14ac:dyDescent="0.35">
      <c r="A81" s="19" t="s">
        <v>204</v>
      </c>
      <c r="B81" s="19"/>
      <c r="C81" s="19" t="s">
        <v>185</v>
      </c>
      <c r="D81" s="38">
        <f>28.608*10.764</f>
        <v>307.93651199999999</v>
      </c>
      <c r="E81" s="19">
        <f>2.1*2.725*10.764</f>
        <v>61.596989999999998</v>
      </c>
      <c r="F81" s="19">
        <f t="shared" ref="F81:F88" si="5">D81*1.45+E81</f>
        <v>508.1049324</v>
      </c>
      <c r="G81" s="19" t="str">
        <f>A80</f>
        <v>1st, 3nd, 5th Floor for Residential</v>
      </c>
      <c r="H81" s="19"/>
    </row>
    <row r="82" spans="1:8" ht="15" customHeight="1" x14ac:dyDescent="0.35">
      <c r="A82" s="19" t="s">
        <v>205</v>
      </c>
      <c r="B82" s="19"/>
      <c r="C82" s="19" t="s">
        <v>206</v>
      </c>
      <c r="D82" s="38">
        <f>24.225*10.764</f>
        <v>260.75790000000001</v>
      </c>
      <c r="E82" s="19">
        <f>2.1*2.725*10.764</f>
        <v>61.596989999999998</v>
      </c>
      <c r="F82" s="19">
        <f t="shared" si="5"/>
        <v>439.69594499999999</v>
      </c>
      <c r="G82" s="19"/>
      <c r="H82" s="19"/>
    </row>
    <row r="83" spans="1:8" ht="15" customHeight="1" x14ac:dyDescent="0.35">
      <c r="A83" s="19" t="s">
        <v>207</v>
      </c>
      <c r="B83" s="19"/>
      <c r="C83" s="19" t="s">
        <v>206</v>
      </c>
      <c r="D83" s="38">
        <f>19.797*10.764</f>
        <v>213.094908</v>
      </c>
      <c r="E83" s="19">
        <f>2.35*1.95*10.764</f>
        <v>49.326030000000003</v>
      </c>
      <c r="F83" s="19">
        <f t="shared" si="5"/>
        <v>358.31364660000003</v>
      </c>
      <c r="G83" s="19"/>
      <c r="H83" s="19"/>
    </row>
    <row r="84" spans="1:8" ht="15" customHeight="1" x14ac:dyDescent="0.35">
      <c r="A84" s="19" t="s">
        <v>208</v>
      </c>
      <c r="B84" s="19"/>
      <c r="C84" s="19" t="s">
        <v>206</v>
      </c>
      <c r="D84" s="38">
        <f>23.51*10.764</f>
        <v>253.06164000000001</v>
      </c>
      <c r="E84" s="22">
        <f>2.8*1.95*10.764</f>
        <v>58.771439999999998</v>
      </c>
      <c r="F84" s="19">
        <f t="shared" si="5"/>
        <v>425.71081800000002</v>
      </c>
      <c r="G84" s="19"/>
      <c r="H84" s="19"/>
    </row>
    <row r="85" spans="1:8" ht="15" customHeight="1" x14ac:dyDescent="0.35">
      <c r="A85" s="19" t="s">
        <v>209</v>
      </c>
      <c r="B85" s="19"/>
      <c r="C85" s="19" t="s">
        <v>185</v>
      </c>
      <c r="D85" s="38">
        <f>28.608*10.764</f>
        <v>307.93651199999999</v>
      </c>
      <c r="E85" s="19">
        <f>2.1*2.725*10.764</f>
        <v>61.596989999999998</v>
      </c>
      <c r="F85" s="19">
        <f t="shared" si="5"/>
        <v>508.1049324</v>
      </c>
      <c r="G85" s="19"/>
      <c r="H85" s="19"/>
    </row>
    <row r="86" spans="1:8" ht="15" customHeight="1" x14ac:dyDescent="0.35">
      <c r="A86" s="19" t="s">
        <v>210</v>
      </c>
      <c r="B86" s="19"/>
      <c r="C86" s="19" t="s">
        <v>206</v>
      </c>
      <c r="D86" s="38">
        <f>24.225*10.764</f>
        <v>260.75790000000001</v>
      </c>
      <c r="E86" s="19">
        <f>2.1*2.725*10.764</f>
        <v>61.596989999999998</v>
      </c>
      <c r="F86" s="19">
        <f t="shared" si="5"/>
        <v>439.69594499999999</v>
      </c>
      <c r="G86" s="19"/>
      <c r="H86" s="19"/>
    </row>
    <row r="87" spans="1:8" ht="15" customHeight="1" x14ac:dyDescent="0.35">
      <c r="A87" s="19" t="s">
        <v>211</v>
      </c>
      <c r="B87" s="19"/>
      <c r="C87" s="19" t="s">
        <v>206</v>
      </c>
      <c r="D87" s="38">
        <f>19.797*10.764</f>
        <v>213.094908</v>
      </c>
      <c r="E87" s="19">
        <f>2.35*1.95*10.764</f>
        <v>49.326030000000003</v>
      </c>
      <c r="F87" s="19">
        <f t="shared" si="5"/>
        <v>358.31364660000003</v>
      </c>
      <c r="G87" s="19"/>
      <c r="H87" s="19"/>
    </row>
    <row r="88" spans="1:8" ht="15" customHeight="1" x14ac:dyDescent="0.35">
      <c r="A88" s="19" t="s">
        <v>212</v>
      </c>
      <c r="B88" s="19"/>
      <c r="C88" s="19" t="s">
        <v>206</v>
      </c>
      <c r="D88" s="38">
        <f>19.797*10.764</f>
        <v>213.094908</v>
      </c>
      <c r="E88" s="19">
        <f>2.35*1.95*10.764</f>
        <v>49.326030000000003</v>
      </c>
      <c r="F88" s="19">
        <f t="shared" si="5"/>
        <v>358.31364660000003</v>
      </c>
      <c r="G88" s="19"/>
      <c r="H88" s="19"/>
    </row>
    <row r="89" spans="1:8" s="20" customFormat="1" ht="15" customHeight="1" x14ac:dyDescent="0.35">
      <c r="A89" s="23" t="s">
        <v>213</v>
      </c>
      <c r="B89" s="24"/>
      <c r="C89" s="24"/>
      <c r="D89" s="24"/>
      <c r="E89" s="24"/>
      <c r="F89" s="24"/>
      <c r="G89" s="24"/>
      <c r="H89" s="25"/>
    </row>
    <row r="90" spans="1:8" ht="15" customHeight="1" x14ac:dyDescent="0.35">
      <c r="A90" s="32" t="s">
        <v>214</v>
      </c>
      <c r="B90" s="33"/>
      <c r="C90" s="21" t="s">
        <v>185</v>
      </c>
      <c r="D90" s="37">
        <f>(28.608+2.725*0.75)*10.764</f>
        <v>329.93543699999998</v>
      </c>
      <c r="E90" s="21">
        <v>0</v>
      </c>
      <c r="F90" s="21">
        <f t="shared" ref="F90:F97" si="6">D90*1.45+E90</f>
        <v>478.40638364999995</v>
      </c>
      <c r="G90" s="30" t="str">
        <f>A89</f>
        <v>2nd, 4th, 6th Floor</v>
      </c>
      <c r="H90" s="31"/>
    </row>
    <row r="91" spans="1:8" ht="15" customHeight="1" x14ac:dyDescent="0.35">
      <c r="A91" s="32" t="s">
        <v>215</v>
      </c>
      <c r="B91" s="33"/>
      <c r="C91" s="19" t="s">
        <v>206</v>
      </c>
      <c r="D91" s="36">
        <f>(24.225+2.725*0.75)*10.764</f>
        <v>282.75682499999999</v>
      </c>
      <c r="E91" s="21">
        <v>0</v>
      </c>
      <c r="F91" s="19">
        <f t="shared" si="6"/>
        <v>409.99739624999995</v>
      </c>
      <c r="G91" s="30"/>
      <c r="H91" s="31"/>
    </row>
    <row r="92" spans="1:8" ht="15" customHeight="1" x14ac:dyDescent="0.35">
      <c r="A92" s="32" t="s">
        <v>216</v>
      </c>
      <c r="B92" s="33"/>
      <c r="C92" s="19" t="s">
        <v>206</v>
      </c>
      <c r="D92" s="36">
        <f>(19.797+2.35*0.75)*10.764</f>
        <v>232.06645799999998</v>
      </c>
      <c r="E92" s="19">
        <v>0</v>
      </c>
      <c r="F92" s="19">
        <f t="shared" si="6"/>
        <v>336.49636409999994</v>
      </c>
      <c r="G92" s="30"/>
      <c r="H92" s="31"/>
    </row>
    <row r="93" spans="1:8" ht="15" customHeight="1" x14ac:dyDescent="0.35">
      <c r="A93" s="32" t="s">
        <v>217</v>
      </c>
      <c r="B93" s="33"/>
      <c r="C93" s="19" t="s">
        <v>206</v>
      </c>
      <c r="D93" s="36">
        <f>(23.51+2.8*0.75)*10.764</f>
        <v>275.66603999999995</v>
      </c>
      <c r="E93" s="22">
        <v>0</v>
      </c>
      <c r="F93" s="19">
        <f t="shared" si="6"/>
        <v>399.71575799999994</v>
      </c>
      <c r="G93" s="30"/>
      <c r="H93" s="31"/>
    </row>
    <row r="94" spans="1:8" ht="15" customHeight="1" x14ac:dyDescent="0.35">
      <c r="A94" s="32" t="s">
        <v>218</v>
      </c>
      <c r="B94" s="33"/>
      <c r="C94" s="19" t="s">
        <v>185</v>
      </c>
      <c r="D94" s="36">
        <f>(28.608+2.725*0.75)*10.764</f>
        <v>329.93543699999998</v>
      </c>
      <c r="E94" s="21">
        <v>0</v>
      </c>
      <c r="F94" s="19">
        <f t="shared" si="6"/>
        <v>478.40638364999995</v>
      </c>
      <c r="G94" s="30"/>
      <c r="H94" s="31"/>
    </row>
    <row r="95" spans="1:8" ht="15" customHeight="1" x14ac:dyDescent="0.35">
      <c r="A95" s="32" t="s">
        <v>219</v>
      </c>
      <c r="B95" s="33"/>
      <c r="C95" s="19" t="s">
        <v>206</v>
      </c>
      <c r="D95" s="36">
        <f>(24.225+2.725*0.75)*10.764</f>
        <v>282.75682499999999</v>
      </c>
      <c r="E95" s="21">
        <v>0</v>
      </c>
      <c r="F95" s="19">
        <f t="shared" si="6"/>
        <v>409.99739624999995</v>
      </c>
      <c r="G95" s="30"/>
      <c r="H95" s="31"/>
    </row>
    <row r="96" spans="1:8" ht="15" customHeight="1" x14ac:dyDescent="0.35">
      <c r="A96" s="32" t="s">
        <v>220</v>
      </c>
      <c r="B96" s="33"/>
      <c r="C96" s="19" t="s">
        <v>206</v>
      </c>
      <c r="D96" s="36">
        <f>(19.797+2.35*0.75)*10.764</f>
        <v>232.06645799999998</v>
      </c>
      <c r="E96" s="19">
        <v>0</v>
      </c>
      <c r="F96" s="19">
        <f t="shared" si="6"/>
        <v>336.49636409999994</v>
      </c>
      <c r="G96" s="30"/>
      <c r="H96" s="31"/>
    </row>
    <row r="97" spans="1:8" ht="15" customHeight="1" x14ac:dyDescent="0.35">
      <c r="A97" s="32" t="s">
        <v>221</v>
      </c>
      <c r="B97" s="33"/>
      <c r="C97" s="19" t="s">
        <v>206</v>
      </c>
      <c r="D97" s="36">
        <f>(19.797+2.35*0.75)*10.764</f>
        <v>232.06645799999998</v>
      </c>
      <c r="E97" s="19">
        <v>0</v>
      </c>
      <c r="F97" s="19">
        <f t="shared" si="6"/>
        <v>336.49636409999994</v>
      </c>
      <c r="G97" s="30"/>
      <c r="H97" s="31"/>
    </row>
    <row r="98" spans="1:8" s="20" customFormat="1" ht="15" customHeight="1" x14ac:dyDescent="0.35">
      <c r="A98" s="23" t="s">
        <v>222</v>
      </c>
      <c r="B98" s="24"/>
      <c r="C98" s="24"/>
      <c r="D98" s="24"/>
      <c r="E98" s="24"/>
      <c r="F98" s="24"/>
      <c r="G98" s="24"/>
      <c r="H98" s="25"/>
    </row>
    <row r="99" spans="1:8" ht="15" customHeight="1" x14ac:dyDescent="0.35">
      <c r="A99" s="32">
        <v>701</v>
      </c>
      <c r="B99" s="33"/>
      <c r="C99" s="21" t="s">
        <v>185</v>
      </c>
      <c r="D99" s="37">
        <f>28.608*10.764</f>
        <v>307.93651199999999</v>
      </c>
      <c r="E99" s="21">
        <f>2.1*2.725*10.764</f>
        <v>61.596989999999998</v>
      </c>
      <c r="F99" s="21">
        <f t="shared" ref="F99:F104" si="7">D99*1.45+E99</f>
        <v>508.1049324</v>
      </c>
      <c r="G99" s="30" t="str">
        <f>A98</f>
        <v>7th Floor (Part Terrace Area)</v>
      </c>
      <c r="H99" s="31"/>
    </row>
    <row r="100" spans="1:8" ht="15" customHeight="1" x14ac:dyDescent="0.35">
      <c r="A100" s="32">
        <v>702</v>
      </c>
      <c r="B100" s="33"/>
      <c r="C100" s="19" t="s">
        <v>206</v>
      </c>
      <c r="D100" s="36">
        <f>24.225*10.764</f>
        <v>260.75790000000001</v>
      </c>
      <c r="E100" s="21">
        <f>2.1*2.725*10.764</f>
        <v>61.596989999999998</v>
      </c>
      <c r="F100" s="19">
        <f t="shared" si="7"/>
        <v>439.69594499999999</v>
      </c>
      <c r="G100" s="30"/>
      <c r="H100" s="31"/>
    </row>
    <row r="101" spans="1:8" ht="15" customHeight="1" x14ac:dyDescent="0.35">
      <c r="A101" s="32">
        <v>703</v>
      </c>
      <c r="B101" s="33"/>
      <c r="C101" s="19" t="s">
        <v>206</v>
      </c>
      <c r="D101" s="36">
        <f>19.797*10.764</f>
        <v>213.094908</v>
      </c>
      <c r="E101" s="19">
        <f>2.35*1.95*10.764</f>
        <v>49.326030000000003</v>
      </c>
      <c r="F101" s="19">
        <f t="shared" si="7"/>
        <v>358.31364660000003</v>
      </c>
      <c r="G101" s="30"/>
      <c r="H101" s="31"/>
    </row>
    <row r="102" spans="1:8" ht="15" customHeight="1" x14ac:dyDescent="0.35">
      <c r="A102" s="32">
        <v>704</v>
      </c>
      <c r="B102" s="33"/>
      <c r="C102" s="19" t="s">
        <v>206</v>
      </c>
      <c r="D102" s="36">
        <f>23.51*10.764</f>
        <v>253.06164000000001</v>
      </c>
      <c r="E102" s="22">
        <f>2.8*1.95*10.764</f>
        <v>58.771439999999998</v>
      </c>
      <c r="F102" s="19">
        <f t="shared" si="7"/>
        <v>425.71081800000002</v>
      </c>
      <c r="G102" s="30"/>
      <c r="H102" s="31"/>
    </row>
    <row r="103" spans="1:8" ht="15" customHeight="1" x14ac:dyDescent="0.35">
      <c r="A103" s="32">
        <v>705</v>
      </c>
      <c r="B103" s="33"/>
      <c r="C103" s="19" t="s">
        <v>185</v>
      </c>
      <c r="D103" s="36">
        <f>28.608*10.764</f>
        <v>307.93651199999999</v>
      </c>
      <c r="E103" s="21">
        <f>2.1*2.725*10.764</f>
        <v>61.596989999999998</v>
      </c>
      <c r="F103" s="19">
        <f t="shared" si="7"/>
        <v>508.1049324</v>
      </c>
      <c r="G103" s="30"/>
      <c r="H103" s="31"/>
    </row>
    <row r="104" spans="1:8" ht="15" customHeight="1" x14ac:dyDescent="0.35">
      <c r="A104" s="32">
        <v>706</v>
      </c>
      <c r="B104" s="33"/>
      <c r="C104" s="19" t="s">
        <v>206</v>
      </c>
      <c r="D104" s="36">
        <f>24.225*10.764</f>
        <v>260.75790000000001</v>
      </c>
      <c r="E104" s="21">
        <f>2.1*2.725*10.764</f>
        <v>61.596989999999998</v>
      </c>
      <c r="F104" s="19">
        <f t="shared" si="7"/>
        <v>439.69594499999999</v>
      </c>
      <c r="G104" s="30"/>
      <c r="H104" s="31"/>
    </row>
    <row r="105" spans="1:8" ht="15" customHeight="1" x14ac:dyDescent="0.35">
      <c r="A105" s="32">
        <v>707</v>
      </c>
      <c r="B105" s="33"/>
      <c r="C105" s="28" t="s">
        <v>223</v>
      </c>
      <c r="D105" s="34"/>
      <c r="E105" s="34"/>
      <c r="F105" s="34"/>
      <c r="G105" s="30"/>
      <c r="H105" s="31"/>
    </row>
    <row r="106" spans="1:8" ht="15" customHeight="1" x14ac:dyDescent="0.35">
      <c r="A106" s="32">
        <v>708</v>
      </c>
      <c r="B106" s="33"/>
      <c r="C106" s="32"/>
      <c r="D106" s="35"/>
      <c r="E106" s="35"/>
      <c r="F106" s="35"/>
      <c r="G106" s="30"/>
      <c r="H106" s="31"/>
    </row>
    <row r="107" spans="1:8" ht="15" customHeight="1" x14ac:dyDescent="0.35">
      <c r="A107" s="23" t="s">
        <v>224</v>
      </c>
      <c r="B107" s="24"/>
      <c r="C107" s="24"/>
      <c r="D107" s="24"/>
      <c r="E107" s="24"/>
      <c r="F107" s="24"/>
      <c r="G107" s="24"/>
      <c r="H107" s="25"/>
    </row>
    <row r="108" spans="1:8" ht="15" customHeight="1" x14ac:dyDescent="0.35">
      <c r="A108" s="23" t="s">
        <v>182</v>
      </c>
      <c r="B108" s="24"/>
      <c r="C108" s="24"/>
      <c r="D108" s="24"/>
      <c r="E108" s="24"/>
      <c r="F108" s="24"/>
      <c r="G108" s="24"/>
      <c r="H108" s="25"/>
    </row>
    <row r="109" spans="1:8" ht="15" customHeight="1" x14ac:dyDescent="0.35">
      <c r="A109" s="26">
        <v>1</v>
      </c>
      <c r="B109" s="27"/>
      <c r="C109" s="19" t="s">
        <v>183</v>
      </c>
      <c r="D109" s="36">
        <f>19.938*10.764</f>
        <v>214.61263199999996</v>
      </c>
      <c r="E109" s="19">
        <v>0</v>
      </c>
      <c r="F109" s="19">
        <f t="shared" ref="F109:F119" si="8">D109*1.6+E109</f>
        <v>343.38021119999996</v>
      </c>
      <c r="G109" s="28" t="str">
        <f>A108</f>
        <v>Ground floor for Commericial &amp; Parking</v>
      </c>
      <c r="H109" s="29"/>
    </row>
    <row r="110" spans="1:8" x14ac:dyDescent="0.35">
      <c r="A110" s="26">
        <v>2</v>
      </c>
      <c r="B110" s="27"/>
      <c r="C110" s="19" t="s">
        <v>183</v>
      </c>
      <c r="D110" s="36">
        <f>32.977*10.764</f>
        <v>354.96442799999994</v>
      </c>
      <c r="E110" s="19">
        <v>0</v>
      </c>
      <c r="F110" s="19">
        <f t="shared" si="8"/>
        <v>567.94308479999995</v>
      </c>
      <c r="G110" s="30"/>
      <c r="H110" s="31"/>
    </row>
    <row r="111" spans="1:8" x14ac:dyDescent="0.35">
      <c r="A111" s="26">
        <v>3</v>
      </c>
      <c r="B111" s="27"/>
      <c r="C111" s="19" t="s">
        <v>183</v>
      </c>
      <c r="D111" s="36">
        <f>38.372*10.764</f>
        <v>413.03620799999999</v>
      </c>
      <c r="E111" s="19">
        <v>0</v>
      </c>
      <c r="F111" s="19">
        <f t="shared" si="8"/>
        <v>660.85793280000007</v>
      </c>
      <c r="G111" s="30"/>
      <c r="H111" s="31"/>
    </row>
    <row r="112" spans="1:8" x14ac:dyDescent="0.35">
      <c r="A112" s="26">
        <v>4</v>
      </c>
      <c r="B112" s="27"/>
      <c r="C112" s="19" t="s">
        <v>183</v>
      </c>
      <c r="D112" s="36">
        <f>29.111*10.764</f>
        <v>313.35080399999998</v>
      </c>
      <c r="E112" s="19">
        <v>0</v>
      </c>
      <c r="F112" s="19">
        <f t="shared" si="8"/>
        <v>501.36128639999998</v>
      </c>
      <c r="G112" s="30"/>
      <c r="H112" s="31"/>
    </row>
    <row r="113" spans="1:8" x14ac:dyDescent="0.35">
      <c r="A113" s="26">
        <v>5</v>
      </c>
      <c r="B113" s="27"/>
      <c r="C113" s="19" t="s">
        <v>183</v>
      </c>
      <c r="D113" s="36">
        <f>34.114*10.764</f>
        <v>367.20309599999996</v>
      </c>
      <c r="E113" s="19">
        <v>0</v>
      </c>
      <c r="F113" s="19">
        <f t="shared" si="8"/>
        <v>587.5249536</v>
      </c>
      <c r="G113" s="30"/>
      <c r="H113" s="31"/>
    </row>
    <row r="114" spans="1:8" x14ac:dyDescent="0.35">
      <c r="A114" s="26">
        <v>6</v>
      </c>
      <c r="B114" s="27"/>
      <c r="C114" s="19" t="s">
        <v>183</v>
      </c>
      <c r="D114" s="36">
        <f>37.902*10.764</f>
        <v>407.97712799999999</v>
      </c>
      <c r="E114" s="19">
        <v>0</v>
      </c>
      <c r="F114" s="19">
        <f t="shared" si="8"/>
        <v>652.76340479999999</v>
      </c>
      <c r="G114" s="30"/>
      <c r="H114" s="31"/>
    </row>
    <row r="115" spans="1:8" x14ac:dyDescent="0.35">
      <c r="A115" s="26">
        <v>7</v>
      </c>
      <c r="B115" s="27"/>
      <c r="C115" s="19" t="s">
        <v>183</v>
      </c>
      <c r="D115" s="36">
        <f>38.558*10.764</f>
        <v>415.03831199999996</v>
      </c>
      <c r="E115" s="19">
        <v>0</v>
      </c>
      <c r="F115" s="19">
        <f t="shared" si="8"/>
        <v>664.06129920000001</v>
      </c>
      <c r="G115" s="30"/>
      <c r="H115" s="31"/>
    </row>
    <row r="116" spans="1:8" x14ac:dyDescent="0.35">
      <c r="A116" s="26">
        <v>8</v>
      </c>
      <c r="B116" s="27"/>
      <c r="C116" s="19" t="s">
        <v>183</v>
      </c>
      <c r="D116" s="36">
        <f>38.855*10.764</f>
        <v>418.23521999999991</v>
      </c>
      <c r="E116" s="19">
        <v>0</v>
      </c>
      <c r="F116" s="19">
        <f t="shared" si="8"/>
        <v>669.17635199999995</v>
      </c>
      <c r="G116" s="30"/>
      <c r="H116" s="31"/>
    </row>
    <row r="117" spans="1:8" x14ac:dyDescent="0.35">
      <c r="A117" s="26">
        <v>9</v>
      </c>
      <c r="B117" s="27"/>
      <c r="C117" s="19" t="s">
        <v>183</v>
      </c>
      <c r="D117" s="36">
        <f>38.855*10.764</f>
        <v>418.23521999999991</v>
      </c>
      <c r="E117" s="19">
        <v>0</v>
      </c>
      <c r="F117" s="19">
        <f t="shared" si="8"/>
        <v>669.17635199999995</v>
      </c>
      <c r="G117" s="30"/>
      <c r="H117" s="31"/>
    </row>
    <row r="118" spans="1:8" x14ac:dyDescent="0.35">
      <c r="A118" s="26">
        <v>10</v>
      </c>
      <c r="B118" s="27"/>
      <c r="C118" s="19" t="s">
        <v>183</v>
      </c>
      <c r="D118" s="36">
        <f>38.855*10.764</f>
        <v>418.23521999999991</v>
      </c>
      <c r="E118" s="19">
        <v>0</v>
      </c>
      <c r="F118" s="19">
        <f t="shared" si="8"/>
        <v>669.17635199999995</v>
      </c>
      <c r="G118" s="30"/>
      <c r="H118" s="31"/>
    </row>
    <row r="119" spans="1:8" x14ac:dyDescent="0.35">
      <c r="A119" s="26">
        <v>11</v>
      </c>
      <c r="B119" s="27"/>
      <c r="C119" s="19" t="s">
        <v>183</v>
      </c>
      <c r="D119" s="36">
        <f>38.855*10.764</f>
        <v>418.23521999999991</v>
      </c>
      <c r="E119" s="19">
        <v>0</v>
      </c>
      <c r="F119" s="19">
        <f t="shared" si="8"/>
        <v>669.17635199999995</v>
      </c>
      <c r="G119" s="32"/>
      <c r="H119" s="33"/>
    </row>
    <row r="120" spans="1:8" s="20" customFormat="1" ht="15" customHeight="1" x14ac:dyDescent="0.35">
      <c r="A120" s="23" t="s">
        <v>225</v>
      </c>
      <c r="B120" s="24"/>
      <c r="C120" s="24"/>
      <c r="D120" s="24"/>
      <c r="E120" s="24"/>
      <c r="F120" s="24"/>
      <c r="G120" s="24"/>
      <c r="H120" s="25"/>
    </row>
    <row r="121" spans="1:8" ht="15" customHeight="1" x14ac:dyDescent="0.35">
      <c r="A121" s="19">
        <v>101</v>
      </c>
      <c r="B121" s="19"/>
      <c r="C121" s="19" t="s">
        <v>185</v>
      </c>
      <c r="D121" s="38">
        <f>28.275*10.764</f>
        <v>304.35209999999995</v>
      </c>
      <c r="E121" s="19">
        <f>1.925*1.5*10.764</f>
        <v>31.081050000000001</v>
      </c>
      <c r="F121" s="19">
        <f t="shared" ref="F121:F126" si="9">D121*1.45+E121</f>
        <v>472.39159499999994</v>
      </c>
      <c r="G121" s="19" t="str">
        <f>A120</f>
        <v>1st Floor for Residential</v>
      </c>
      <c r="H121" s="19"/>
    </row>
    <row r="122" spans="1:8" ht="15" customHeight="1" x14ac:dyDescent="0.35">
      <c r="A122" s="19">
        <v>102</v>
      </c>
      <c r="B122" s="19"/>
      <c r="C122" s="19" t="s">
        <v>185</v>
      </c>
      <c r="D122" s="38">
        <f>28.275*10.764</f>
        <v>304.35209999999995</v>
      </c>
      <c r="E122" s="19">
        <f>1.925*1.5*10.764</f>
        <v>31.081050000000001</v>
      </c>
      <c r="F122" s="19">
        <f t="shared" si="9"/>
        <v>472.39159499999994</v>
      </c>
      <c r="G122" s="19"/>
      <c r="H122" s="19"/>
    </row>
    <row r="123" spans="1:8" ht="15" customHeight="1" x14ac:dyDescent="0.35">
      <c r="A123" s="19">
        <v>103</v>
      </c>
      <c r="B123" s="19"/>
      <c r="C123" s="19" t="s">
        <v>206</v>
      </c>
      <c r="D123" s="38">
        <f>26.18*10.764</f>
        <v>281.80151999999998</v>
      </c>
      <c r="E123" s="19">
        <f>(1.8*1.5+2.8*1.95+1.7*0.3)*10.764</f>
        <v>93.323879999999988</v>
      </c>
      <c r="F123" s="19">
        <f t="shared" si="9"/>
        <v>501.93608399999994</v>
      </c>
      <c r="G123" s="19"/>
      <c r="H123" s="19"/>
    </row>
    <row r="124" spans="1:8" ht="15" customHeight="1" x14ac:dyDescent="0.35">
      <c r="A124" s="19">
        <v>104</v>
      </c>
      <c r="B124" s="19"/>
      <c r="C124" s="19" t="s">
        <v>188</v>
      </c>
      <c r="D124" s="38">
        <f>41.415*10.764</f>
        <v>445.79105999999996</v>
      </c>
      <c r="E124" s="22">
        <f>(2.3*1.65+2.35*1.15+0.5*0.4)*10.764</f>
        <v>72.091889999999978</v>
      </c>
      <c r="F124" s="19">
        <f t="shared" si="9"/>
        <v>718.48892699999988</v>
      </c>
      <c r="G124" s="19"/>
      <c r="H124" s="19"/>
    </row>
    <row r="125" spans="1:8" ht="15" customHeight="1" x14ac:dyDescent="0.35">
      <c r="A125" s="19">
        <v>105</v>
      </c>
      <c r="B125" s="19"/>
      <c r="C125" s="19" t="s">
        <v>188</v>
      </c>
      <c r="D125" s="38">
        <f>40.684*10.764</f>
        <v>437.92257599999994</v>
      </c>
      <c r="E125" s="22">
        <f>(2.3*1.65+1.6*2.3+0.5*0.4)*10.764</f>
        <v>82.613699999999994</v>
      </c>
      <c r="F125" s="19">
        <f t="shared" si="9"/>
        <v>717.60143519999986</v>
      </c>
      <c r="G125" s="19"/>
      <c r="H125" s="19"/>
    </row>
    <row r="126" spans="1:8" ht="15" customHeight="1" x14ac:dyDescent="0.35">
      <c r="A126" s="19">
        <v>106</v>
      </c>
      <c r="B126" s="19"/>
      <c r="C126" s="19" t="s">
        <v>188</v>
      </c>
      <c r="D126" s="38">
        <f>40.684*10.764</f>
        <v>437.92257599999994</v>
      </c>
      <c r="E126" s="22">
        <f>(2.3*1.65+1.6*2.3+0.5*0.4)*10.764</f>
        <v>82.613699999999994</v>
      </c>
      <c r="F126" s="19">
        <f t="shared" si="9"/>
        <v>717.60143519999986</v>
      </c>
      <c r="G126" s="19"/>
      <c r="H126" s="19"/>
    </row>
    <row r="127" spans="1:8" ht="15" customHeight="1" x14ac:dyDescent="0.35">
      <c r="A127" s="19">
        <v>107</v>
      </c>
      <c r="B127" s="19"/>
      <c r="C127" s="19" t="s">
        <v>188</v>
      </c>
      <c r="D127" s="38">
        <f>41.415*10.764</f>
        <v>445.79105999999996</v>
      </c>
      <c r="E127" s="22">
        <f>(2.3*1.65+2*6.6+1.25*5.3+3.6*2.4+2.6*0.65+1.25*0.6+0.5*1.25*2.5)*10.764</f>
        <v>390.32954999999993</v>
      </c>
      <c r="F127" s="19">
        <f>D127*1.45+E127/3</f>
        <v>776.50688699999989</v>
      </c>
      <c r="G127" s="19"/>
      <c r="H127" s="19"/>
    </row>
    <row r="128" spans="1:8" x14ac:dyDescent="0.35">
      <c r="A128" s="19">
        <v>108</v>
      </c>
      <c r="B128" s="19"/>
      <c r="C128" s="19" t="s">
        <v>185</v>
      </c>
      <c r="D128" s="38">
        <f>28.006*10.764</f>
        <v>301.45658399999996</v>
      </c>
      <c r="E128" s="19">
        <f>1.9*2.9*10.764</f>
        <v>59.309639999999995</v>
      </c>
      <c r="F128" s="19">
        <f>D128*1.45+E128</f>
        <v>496.42168679999992</v>
      </c>
      <c r="G128" s="19"/>
      <c r="H128" s="19"/>
    </row>
    <row r="129" spans="1:8" x14ac:dyDescent="0.35">
      <c r="A129" s="19">
        <v>109</v>
      </c>
      <c r="B129" s="19"/>
      <c r="C129" s="19" t="s">
        <v>185</v>
      </c>
      <c r="D129" s="38">
        <f>28.102*10.764</f>
        <v>302.48992799999996</v>
      </c>
      <c r="E129" s="19">
        <f>1.925*1.5*10.764</f>
        <v>31.081050000000001</v>
      </c>
      <c r="F129" s="19">
        <f>D129*1.45+E129</f>
        <v>469.69144559999995</v>
      </c>
      <c r="G129" s="19"/>
      <c r="H129" s="19"/>
    </row>
    <row r="130" spans="1:8" ht="15" customHeight="1" x14ac:dyDescent="0.35">
      <c r="A130" s="19">
        <v>110</v>
      </c>
      <c r="B130" s="19"/>
      <c r="C130" s="19" t="s">
        <v>185</v>
      </c>
      <c r="D130" s="39">
        <f>28.102*10.764</f>
        <v>302.48992799999996</v>
      </c>
      <c r="E130" s="19">
        <f>1.925*1.5*10.764</f>
        <v>31.081050000000001</v>
      </c>
      <c r="F130" s="19">
        <f>D130*1.45+E130</f>
        <v>469.69144559999995</v>
      </c>
      <c r="G130" s="19"/>
      <c r="H130" s="19"/>
    </row>
    <row r="131" spans="1:8" s="20" customFormat="1" ht="15" customHeight="1" x14ac:dyDescent="0.35">
      <c r="A131" s="23" t="s">
        <v>226</v>
      </c>
      <c r="B131" s="24"/>
      <c r="C131" s="24"/>
      <c r="D131" s="24"/>
      <c r="E131" s="24"/>
      <c r="F131" s="24"/>
      <c r="G131" s="24"/>
      <c r="H131" s="25"/>
    </row>
    <row r="132" spans="1:8" ht="15" customHeight="1" x14ac:dyDescent="0.35">
      <c r="A132" s="32" t="s">
        <v>214</v>
      </c>
      <c r="B132" s="33"/>
      <c r="C132" s="19" t="s">
        <v>185</v>
      </c>
      <c r="D132" s="38">
        <f>(28.275+1.95*0.75)*10.764</f>
        <v>320.09444999999994</v>
      </c>
      <c r="E132" s="19">
        <v>0</v>
      </c>
      <c r="F132" s="19">
        <f t="shared" ref="F132:F137" si="10">D132*1.45+E132</f>
        <v>464.13695249999989</v>
      </c>
      <c r="G132" s="19" t="str">
        <f>A131</f>
        <v>2nd, 4th, 6th Floor for Residential</v>
      </c>
      <c r="H132" s="19"/>
    </row>
    <row r="133" spans="1:8" ht="15" customHeight="1" x14ac:dyDescent="0.35">
      <c r="A133" s="32" t="s">
        <v>215</v>
      </c>
      <c r="B133" s="33"/>
      <c r="C133" s="19" t="s">
        <v>185</v>
      </c>
      <c r="D133" s="38">
        <f>(28.275+1.95*0.75)*10.764</f>
        <v>320.09444999999994</v>
      </c>
      <c r="E133" s="19">
        <v>0</v>
      </c>
      <c r="F133" s="19">
        <f t="shared" si="10"/>
        <v>464.13695249999989</v>
      </c>
      <c r="G133" s="19"/>
      <c r="H133" s="19"/>
    </row>
    <row r="134" spans="1:8" ht="15" customHeight="1" x14ac:dyDescent="0.35">
      <c r="A134" s="32" t="s">
        <v>216</v>
      </c>
      <c r="B134" s="33"/>
      <c r="C134" s="19" t="s">
        <v>206</v>
      </c>
      <c r="D134" s="38">
        <f>(26.18+1.8*0.75)*10.764</f>
        <v>296.33292</v>
      </c>
      <c r="E134" s="19">
        <v>0</v>
      </c>
      <c r="F134" s="19">
        <f t="shared" si="10"/>
        <v>429.68273399999998</v>
      </c>
      <c r="G134" s="19"/>
      <c r="H134" s="19"/>
    </row>
    <row r="135" spans="1:8" ht="15" customHeight="1" x14ac:dyDescent="0.35">
      <c r="A135" s="32" t="s">
        <v>217</v>
      </c>
      <c r="B135" s="33"/>
      <c r="C135" s="19" t="s">
        <v>188</v>
      </c>
      <c r="D135" s="38">
        <f>(41.415+1.65*0.75)*10.764</f>
        <v>459.11150999999995</v>
      </c>
      <c r="E135" s="19">
        <v>0</v>
      </c>
      <c r="F135" s="19">
        <f t="shared" si="10"/>
        <v>665.71168949999992</v>
      </c>
      <c r="G135" s="19"/>
      <c r="H135" s="19"/>
    </row>
    <row r="136" spans="1:8" ht="15" customHeight="1" x14ac:dyDescent="0.35">
      <c r="A136" s="32" t="s">
        <v>218</v>
      </c>
      <c r="B136" s="33"/>
      <c r="C136" s="19" t="s">
        <v>188</v>
      </c>
      <c r="D136" s="38">
        <f>(40.684+1.65*0.75)*10.764</f>
        <v>451.24302599999993</v>
      </c>
      <c r="E136" s="19">
        <v>0</v>
      </c>
      <c r="F136" s="19">
        <f t="shared" si="10"/>
        <v>654.30238769999983</v>
      </c>
      <c r="G136" s="19"/>
      <c r="H136" s="19"/>
    </row>
    <row r="137" spans="1:8" ht="15" customHeight="1" x14ac:dyDescent="0.35">
      <c r="A137" s="32" t="s">
        <v>219</v>
      </c>
      <c r="B137" s="33"/>
      <c r="C137" s="19" t="s">
        <v>188</v>
      </c>
      <c r="D137" s="38">
        <f>(40.684+1.65*0.75)*10.764</f>
        <v>451.24302599999993</v>
      </c>
      <c r="E137" s="19">
        <v>0</v>
      </c>
      <c r="F137" s="19">
        <f t="shared" si="10"/>
        <v>654.30238769999983</v>
      </c>
      <c r="G137" s="19"/>
      <c r="H137" s="19"/>
    </row>
    <row r="138" spans="1:8" ht="15" customHeight="1" x14ac:dyDescent="0.35">
      <c r="A138" s="32" t="s">
        <v>220</v>
      </c>
      <c r="B138" s="33"/>
      <c r="C138" s="19" t="s">
        <v>188</v>
      </c>
      <c r="D138" s="38">
        <f>(41.415+1.65*0.75)*10.764</f>
        <v>459.11150999999995</v>
      </c>
      <c r="E138" s="19">
        <v>0</v>
      </c>
      <c r="F138" s="19">
        <f>D138*1.45+E138/3</f>
        <v>665.71168949999992</v>
      </c>
      <c r="G138" s="19"/>
      <c r="H138" s="19"/>
    </row>
    <row r="139" spans="1:8" ht="15" customHeight="1" x14ac:dyDescent="0.35">
      <c r="A139" s="32" t="s">
        <v>221</v>
      </c>
      <c r="B139" s="33"/>
      <c r="C139" s="19" t="s">
        <v>185</v>
      </c>
      <c r="D139" s="38">
        <f>(28.006+1.9*0.75)*10.764</f>
        <v>316.79528399999998</v>
      </c>
      <c r="E139" s="19">
        <v>0</v>
      </c>
      <c r="F139" s="19">
        <f>D139*1.45+E139</f>
        <v>459.35316179999995</v>
      </c>
      <c r="G139" s="19"/>
      <c r="H139" s="19"/>
    </row>
    <row r="140" spans="1:8" ht="15" customHeight="1" x14ac:dyDescent="0.35">
      <c r="A140" s="32" t="s">
        <v>227</v>
      </c>
      <c r="B140" s="33"/>
      <c r="C140" s="19" t="s">
        <v>185</v>
      </c>
      <c r="D140" s="38">
        <f>(28.102+1.95*0.75)*10.764</f>
        <v>318.23227799999995</v>
      </c>
      <c r="E140" s="19">
        <v>0</v>
      </c>
      <c r="F140" s="19">
        <f>D140*1.45+E140</f>
        <v>461.43680309999991</v>
      </c>
      <c r="G140" s="19"/>
      <c r="H140" s="19"/>
    </row>
    <row r="141" spans="1:8" ht="15" customHeight="1" x14ac:dyDescent="0.35">
      <c r="A141" s="32" t="s">
        <v>228</v>
      </c>
      <c r="B141" s="33"/>
      <c r="C141" s="19" t="s">
        <v>185</v>
      </c>
      <c r="D141" s="39">
        <f>(28.102+1.95*0.75)*10.764</f>
        <v>318.23227799999995</v>
      </c>
      <c r="E141" s="19">
        <v>0</v>
      </c>
      <c r="F141" s="19">
        <f>D141*1.45+E141</f>
        <v>461.43680309999991</v>
      </c>
      <c r="G141" s="19"/>
      <c r="H141" s="19"/>
    </row>
    <row r="142" spans="1:8" s="20" customFormat="1" ht="15" customHeight="1" x14ac:dyDescent="0.35">
      <c r="A142" s="23" t="s">
        <v>229</v>
      </c>
      <c r="B142" s="24"/>
      <c r="C142" s="24"/>
      <c r="D142" s="24"/>
      <c r="E142" s="24"/>
      <c r="F142" s="24"/>
      <c r="G142" s="24"/>
      <c r="H142" s="25"/>
    </row>
    <row r="143" spans="1:8" ht="15" customHeight="1" x14ac:dyDescent="0.35">
      <c r="A143" s="19" t="s">
        <v>230</v>
      </c>
      <c r="B143" s="19"/>
      <c r="C143" s="19" t="s">
        <v>185</v>
      </c>
      <c r="D143" s="38">
        <f>28.275*10.764</f>
        <v>304.35209999999995</v>
      </c>
      <c r="E143" s="19">
        <f>1.925*1.5*10.764</f>
        <v>31.081050000000001</v>
      </c>
      <c r="F143" s="19">
        <f t="shared" ref="F143:F148" si="11">D143*1.45+E143</f>
        <v>472.39159499999994</v>
      </c>
      <c r="G143" s="19" t="str">
        <f>A142</f>
        <v>3rd &amp; 5th Floor for Residential</v>
      </c>
      <c r="H143" s="19"/>
    </row>
    <row r="144" spans="1:8" ht="15" customHeight="1" x14ac:dyDescent="0.35">
      <c r="A144" s="19" t="s">
        <v>231</v>
      </c>
      <c r="B144" s="19"/>
      <c r="C144" s="19" t="s">
        <v>185</v>
      </c>
      <c r="D144" s="38">
        <f>28.275*10.764</f>
        <v>304.35209999999995</v>
      </c>
      <c r="E144" s="19">
        <f>1.925*1.5*10.764</f>
        <v>31.081050000000001</v>
      </c>
      <c r="F144" s="19">
        <f t="shared" si="11"/>
        <v>472.39159499999994</v>
      </c>
      <c r="G144" s="19"/>
      <c r="H144" s="19"/>
    </row>
    <row r="145" spans="1:8" ht="15" customHeight="1" x14ac:dyDescent="0.35">
      <c r="A145" s="19" t="s">
        <v>232</v>
      </c>
      <c r="B145" s="19"/>
      <c r="C145" s="19" t="s">
        <v>206</v>
      </c>
      <c r="D145" s="38">
        <f>26.18*10.764</f>
        <v>281.80151999999998</v>
      </c>
      <c r="E145" s="19">
        <f>2.4*1.5*10.764</f>
        <v>38.750399999999992</v>
      </c>
      <c r="F145" s="19">
        <f t="shared" si="11"/>
        <v>447.36260399999998</v>
      </c>
      <c r="G145" s="19"/>
      <c r="H145" s="19"/>
    </row>
    <row r="146" spans="1:8" ht="15" customHeight="1" x14ac:dyDescent="0.35">
      <c r="A146" s="19" t="s">
        <v>233</v>
      </c>
      <c r="B146" s="19"/>
      <c r="C146" s="19" t="s">
        <v>188</v>
      </c>
      <c r="D146" s="38">
        <f>41.415*10.764</f>
        <v>445.79105999999996</v>
      </c>
      <c r="E146" s="19">
        <f>1.875*1.5*10.764</f>
        <v>30.27375</v>
      </c>
      <c r="F146" s="19">
        <f t="shared" si="11"/>
        <v>676.6707869999999</v>
      </c>
      <c r="G146" s="19"/>
      <c r="H146" s="19"/>
    </row>
    <row r="147" spans="1:8" ht="15" customHeight="1" x14ac:dyDescent="0.35">
      <c r="A147" s="19" t="s">
        <v>234</v>
      </c>
      <c r="B147" s="19"/>
      <c r="C147" s="19" t="s">
        <v>188</v>
      </c>
      <c r="D147" s="38">
        <f>40.684*10.764</f>
        <v>437.92257599999994</v>
      </c>
      <c r="E147" s="19">
        <f>1.875*1.5*10.764</f>
        <v>30.27375</v>
      </c>
      <c r="F147" s="19">
        <f t="shared" si="11"/>
        <v>665.26148519999981</v>
      </c>
      <c r="G147" s="19"/>
      <c r="H147" s="19"/>
    </row>
    <row r="148" spans="1:8" ht="15" customHeight="1" x14ac:dyDescent="0.35">
      <c r="A148" s="19" t="s">
        <v>235</v>
      </c>
      <c r="B148" s="19"/>
      <c r="C148" s="19" t="s">
        <v>188</v>
      </c>
      <c r="D148" s="38">
        <f>40.684*10.764</f>
        <v>437.92257599999994</v>
      </c>
      <c r="E148" s="19">
        <f>1.875*1.5*10.764</f>
        <v>30.27375</v>
      </c>
      <c r="F148" s="19">
        <f t="shared" si="11"/>
        <v>665.26148519999981</v>
      </c>
      <c r="G148" s="19"/>
      <c r="H148" s="19"/>
    </row>
    <row r="149" spans="1:8" ht="15" customHeight="1" x14ac:dyDescent="0.35">
      <c r="A149" s="19" t="s">
        <v>236</v>
      </c>
      <c r="B149" s="19"/>
      <c r="C149" s="19" t="s">
        <v>188</v>
      </c>
      <c r="D149" s="38">
        <f>41.415*10.764</f>
        <v>445.79105999999996</v>
      </c>
      <c r="E149" s="19">
        <f>1.875*1.5*10.764</f>
        <v>30.27375</v>
      </c>
      <c r="F149" s="19">
        <f>D149*1.45+E149/3</f>
        <v>656.4882869999999</v>
      </c>
      <c r="G149" s="19"/>
      <c r="H149" s="19"/>
    </row>
    <row r="150" spans="1:8" ht="15" customHeight="1" x14ac:dyDescent="0.35">
      <c r="A150" s="19" t="s">
        <v>237</v>
      </c>
      <c r="B150" s="19"/>
      <c r="C150" s="19" t="s">
        <v>185</v>
      </c>
      <c r="D150" s="38">
        <f>28.006*10.764</f>
        <v>301.45658399999996</v>
      </c>
      <c r="E150" s="19">
        <f>1.9*1.5*10.764</f>
        <v>30.677399999999995</v>
      </c>
      <c r="F150" s="19">
        <f>D150*1.45+E150</f>
        <v>467.78944679999989</v>
      </c>
      <c r="G150" s="19"/>
      <c r="H150" s="19"/>
    </row>
    <row r="151" spans="1:8" ht="15" customHeight="1" x14ac:dyDescent="0.35">
      <c r="A151" s="19" t="s">
        <v>238</v>
      </c>
      <c r="B151" s="19"/>
      <c r="C151" s="19" t="s">
        <v>185</v>
      </c>
      <c r="D151" s="38">
        <f>28.102*10.764</f>
        <v>302.48992799999996</v>
      </c>
      <c r="E151" s="19">
        <f>1.95*1.5*10.764</f>
        <v>31.484699999999997</v>
      </c>
      <c r="F151" s="19">
        <f>D151*1.45+E151</f>
        <v>470.09509559999992</v>
      </c>
      <c r="G151" s="19"/>
      <c r="H151" s="19"/>
    </row>
    <row r="152" spans="1:8" ht="15" customHeight="1" x14ac:dyDescent="0.35">
      <c r="A152" s="19" t="s">
        <v>239</v>
      </c>
      <c r="B152" s="19"/>
      <c r="C152" s="19" t="s">
        <v>185</v>
      </c>
      <c r="D152" s="39">
        <f>28.102*10.764</f>
        <v>302.48992799999996</v>
      </c>
      <c r="E152" s="19">
        <f>1.95*1.5*10.764</f>
        <v>31.484699999999997</v>
      </c>
      <c r="F152" s="19">
        <f>D152*1.45+E152</f>
        <v>470.09509559999992</v>
      </c>
      <c r="G152" s="19"/>
      <c r="H152" s="19"/>
    </row>
    <row r="153" spans="1:8" ht="15" customHeight="1" x14ac:dyDescent="0.35">
      <c r="A153" s="23" t="s">
        <v>240</v>
      </c>
      <c r="B153" s="24"/>
      <c r="C153" s="24"/>
      <c r="D153" s="24"/>
      <c r="E153" s="24"/>
      <c r="F153" s="24"/>
      <c r="G153" s="24"/>
      <c r="H153" s="25"/>
    </row>
    <row r="154" spans="1:8" ht="15" customHeight="1" x14ac:dyDescent="0.35">
      <c r="A154" s="23" t="s">
        <v>241</v>
      </c>
      <c r="B154" s="24"/>
      <c r="C154" s="24"/>
      <c r="D154" s="24"/>
      <c r="E154" s="24"/>
      <c r="F154" s="24"/>
      <c r="G154" s="24"/>
      <c r="H154" s="25"/>
    </row>
    <row r="155" spans="1:8" ht="15" customHeight="1" x14ac:dyDescent="0.35">
      <c r="A155" s="19">
        <v>1</v>
      </c>
      <c r="B155" s="19"/>
      <c r="C155" s="19" t="s">
        <v>183</v>
      </c>
      <c r="D155" s="38">
        <f>43.195*10.764</f>
        <v>464.95097999999996</v>
      </c>
      <c r="E155" s="19">
        <v>0</v>
      </c>
      <c r="F155" s="19">
        <f t="shared" ref="F155:F174" si="12">D155*1.6+E155</f>
        <v>743.92156799999998</v>
      </c>
      <c r="G155" s="19" t="str">
        <f>A154</f>
        <v>Ground Floor for Commericial</v>
      </c>
      <c r="H155" s="19"/>
    </row>
    <row r="156" spans="1:8" x14ac:dyDescent="0.35">
      <c r="A156" s="19">
        <v>2</v>
      </c>
      <c r="B156" s="19"/>
      <c r="C156" s="19" t="s">
        <v>183</v>
      </c>
      <c r="D156" s="38">
        <f t="shared" ref="D156:D195" si="13">43.195*10.764</f>
        <v>464.95097999999996</v>
      </c>
      <c r="E156" s="19">
        <v>0</v>
      </c>
      <c r="F156" s="19">
        <f t="shared" si="12"/>
        <v>743.92156799999998</v>
      </c>
      <c r="G156" s="19"/>
      <c r="H156" s="19"/>
    </row>
    <row r="157" spans="1:8" x14ac:dyDescent="0.35">
      <c r="A157" s="19">
        <v>3</v>
      </c>
      <c r="B157" s="19"/>
      <c r="C157" s="19" t="s">
        <v>183</v>
      </c>
      <c r="D157" s="38">
        <f t="shared" si="13"/>
        <v>464.95097999999996</v>
      </c>
      <c r="E157" s="19">
        <v>0</v>
      </c>
      <c r="F157" s="19">
        <f t="shared" si="12"/>
        <v>743.92156799999998</v>
      </c>
      <c r="G157" s="19"/>
      <c r="H157" s="19"/>
    </row>
    <row r="158" spans="1:8" x14ac:dyDescent="0.35">
      <c r="A158" s="19">
        <v>4</v>
      </c>
      <c r="B158" s="19"/>
      <c r="C158" s="19" t="s">
        <v>183</v>
      </c>
      <c r="D158" s="38">
        <f t="shared" si="13"/>
        <v>464.95097999999996</v>
      </c>
      <c r="E158" s="19">
        <v>0</v>
      </c>
      <c r="F158" s="19">
        <f t="shared" si="12"/>
        <v>743.92156799999998</v>
      </c>
      <c r="G158" s="19"/>
      <c r="H158" s="19"/>
    </row>
    <row r="159" spans="1:8" x14ac:dyDescent="0.35">
      <c r="A159" s="19">
        <v>5</v>
      </c>
      <c r="B159" s="19"/>
      <c r="C159" s="19" t="s">
        <v>183</v>
      </c>
      <c r="D159" s="38">
        <f t="shared" si="13"/>
        <v>464.95097999999996</v>
      </c>
      <c r="E159" s="19">
        <v>0</v>
      </c>
      <c r="F159" s="19">
        <f t="shared" si="12"/>
        <v>743.92156799999998</v>
      </c>
      <c r="G159" s="19"/>
      <c r="H159" s="19"/>
    </row>
    <row r="160" spans="1:8" x14ac:dyDescent="0.35">
      <c r="A160" s="19">
        <v>6</v>
      </c>
      <c r="B160" s="19"/>
      <c r="C160" s="19" t="s">
        <v>183</v>
      </c>
      <c r="D160" s="38">
        <f t="shared" si="13"/>
        <v>464.95097999999996</v>
      </c>
      <c r="E160" s="19">
        <v>0</v>
      </c>
      <c r="F160" s="19">
        <f t="shared" si="12"/>
        <v>743.92156799999998</v>
      </c>
      <c r="G160" s="19"/>
      <c r="H160" s="19"/>
    </row>
    <row r="161" spans="1:8" x14ac:dyDescent="0.35">
      <c r="A161" s="19">
        <v>7</v>
      </c>
      <c r="B161" s="19"/>
      <c r="C161" s="19" t="s">
        <v>183</v>
      </c>
      <c r="D161" s="38">
        <f t="shared" si="13"/>
        <v>464.95097999999996</v>
      </c>
      <c r="E161" s="19">
        <v>0</v>
      </c>
      <c r="F161" s="19">
        <f t="shared" si="12"/>
        <v>743.92156799999998</v>
      </c>
      <c r="G161" s="19"/>
      <c r="H161" s="19"/>
    </row>
    <row r="162" spans="1:8" x14ac:dyDescent="0.35">
      <c r="A162" s="19">
        <v>8</v>
      </c>
      <c r="B162" s="19"/>
      <c r="C162" s="19" t="s">
        <v>183</v>
      </c>
      <c r="D162" s="38">
        <f t="shared" si="13"/>
        <v>464.95097999999996</v>
      </c>
      <c r="E162" s="19">
        <v>0</v>
      </c>
      <c r="F162" s="19">
        <f t="shared" si="12"/>
        <v>743.92156799999998</v>
      </c>
      <c r="G162" s="19"/>
      <c r="H162" s="19"/>
    </row>
    <row r="163" spans="1:8" x14ac:dyDescent="0.35">
      <c r="A163" s="19">
        <v>9</v>
      </c>
      <c r="B163" s="19"/>
      <c r="C163" s="19" t="s">
        <v>183</v>
      </c>
      <c r="D163" s="38">
        <f t="shared" si="13"/>
        <v>464.95097999999996</v>
      </c>
      <c r="E163" s="19">
        <v>0</v>
      </c>
      <c r="F163" s="19">
        <f t="shared" si="12"/>
        <v>743.92156799999998</v>
      </c>
      <c r="G163" s="19"/>
      <c r="H163" s="19"/>
    </row>
    <row r="164" spans="1:8" x14ac:dyDescent="0.35">
      <c r="A164" s="19">
        <v>10</v>
      </c>
      <c r="B164" s="19"/>
      <c r="C164" s="19" t="s">
        <v>183</v>
      </c>
      <c r="D164" s="38">
        <f t="shared" si="13"/>
        <v>464.95097999999996</v>
      </c>
      <c r="E164" s="19">
        <v>0</v>
      </c>
      <c r="F164" s="19">
        <f t="shared" si="12"/>
        <v>743.92156799999998</v>
      </c>
      <c r="G164" s="19"/>
      <c r="H164" s="19"/>
    </row>
    <row r="165" spans="1:8" x14ac:dyDescent="0.35">
      <c r="A165" s="19">
        <v>11</v>
      </c>
      <c r="B165" s="19"/>
      <c r="C165" s="19" t="s">
        <v>183</v>
      </c>
      <c r="D165" s="38">
        <f t="shared" si="13"/>
        <v>464.95097999999996</v>
      </c>
      <c r="E165" s="19">
        <v>0</v>
      </c>
      <c r="F165" s="19">
        <f t="shared" si="12"/>
        <v>743.92156799999998</v>
      </c>
      <c r="G165" s="19"/>
      <c r="H165" s="19"/>
    </row>
    <row r="166" spans="1:8" x14ac:dyDescent="0.35">
      <c r="A166" s="19">
        <v>12</v>
      </c>
      <c r="B166" s="19"/>
      <c r="C166" s="19" t="s">
        <v>183</v>
      </c>
      <c r="D166" s="38">
        <f t="shared" si="13"/>
        <v>464.95097999999996</v>
      </c>
      <c r="E166" s="19">
        <v>0</v>
      </c>
      <c r="F166" s="19">
        <f t="shared" si="12"/>
        <v>743.92156799999998</v>
      </c>
      <c r="G166" s="19"/>
      <c r="H166" s="19"/>
    </row>
    <row r="167" spans="1:8" x14ac:dyDescent="0.35">
      <c r="A167" s="19">
        <v>13</v>
      </c>
      <c r="B167" s="19"/>
      <c r="C167" s="19" t="s">
        <v>183</v>
      </c>
      <c r="D167" s="38">
        <f t="shared" si="13"/>
        <v>464.95097999999996</v>
      </c>
      <c r="E167" s="19">
        <v>0</v>
      </c>
      <c r="F167" s="19">
        <f t="shared" si="12"/>
        <v>743.92156799999998</v>
      </c>
      <c r="G167" s="19"/>
      <c r="H167" s="19"/>
    </row>
    <row r="168" spans="1:8" x14ac:dyDescent="0.35">
      <c r="A168" s="19">
        <v>14</v>
      </c>
      <c r="B168" s="19"/>
      <c r="C168" s="19" t="s">
        <v>183</v>
      </c>
      <c r="D168" s="38">
        <f t="shared" si="13"/>
        <v>464.95097999999996</v>
      </c>
      <c r="E168" s="19">
        <v>0</v>
      </c>
      <c r="F168" s="19">
        <f t="shared" si="12"/>
        <v>743.92156799999998</v>
      </c>
      <c r="G168" s="19"/>
      <c r="H168" s="19"/>
    </row>
    <row r="169" spans="1:8" x14ac:dyDescent="0.35">
      <c r="A169" s="19">
        <v>15</v>
      </c>
      <c r="B169" s="19"/>
      <c r="C169" s="19" t="s">
        <v>183</v>
      </c>
      <c r="D169" s="38">
        <f t="shared" si="13"/>
        <v>464.95097999999996</v>
      </c>
      <c r="E169" s="19">
        <v>0</v>
      </c>
      <c r="F169" s="19">
        <f t="shared" si="12"/>
        <v>743.92156799999998</v>
      </c>
      <c r="G169" s="19"/>
      <c r="H169" s="19"/>
    </row>
    <row r="170" spans="1:8" x14ac:dyDescent="0.35">
      <c r="A170" s="19">
        <v>16</v>
      </c>
      <c r="B170" s="19"/>
      <c r="C170" s="19" t="s">
        <v>183</v>
      </c>
      <c r="D170" s="38">
        <f t="shared" si="13"/>
        <v>464.95097999999996</v>
      </c>
      <c r="E170" s="19">
        <v>0</v>
      </c>
      <c r="F170" s="19">
        <f t="shared" si="12"/>
        <v>743.92156799999998</v>
      </c>
      <c r="G170" s="19"/>
      <c r="H170" s="19"/>
    </row>
    <row r="171" spans="1:8" x14ac:dyDescent="0.35">
      <c r="A171" s="19">
        <v>17</v>
      </c>
      <c r="B171" s="19"/>
      <c r="C171" s="19" t="s">
        <v>183</v>
      </c>
      <c r="D171" s="38">
        <f t="shared" si="13"/>
        <v>464.95097999999996</v>
      </c>
      <c r="E171" s="19">
        <v>0</v>
      </c>
      <c r="F171" s="19">
        <f t="shared" si="12"/>
        <v>743.92156799999998</v>
      </c>
      <c r="G171" s="19"/>
      <c r="H171" s="19"/>
    </row>
    <row r="172" spans="1:8" x14ac:dyDescent="0.35">
      <c r="A172" s="19">
        <v>18</v>
      </c>
      <c r="B172" s="19"/>
      <c r="C172" s="19" t="s">
        <v>183</v>
      </c>
      <c r="D172" s="38">
        <f t="shared" si="13"/>
        <v>464.95097999999996</v>
      </c>
      <c r="E172" s="19">
        <v>0</v>
      </c>
      <c r="F172" s="19">
        <f t="shared" si="12"/>
        <v>743.92156799999998</v>
      </c>
      <c r="G172" s="19"/>
      <c r="H172" s="19"/>
    </row>
    <row r="173" spans="1:8" x14ac:dyDescent="0.35">
      <c r="A173" s="19">
        <v>19</v>
      </c>
      <c r="B173" s="19"/>
      <c r="C173" s="19" t="s">
        <v>183</v>
      </c>
      <c r="D173" s="38">
        <f t="shared" si="13"/>
        <v>464.95097999999996</v>
      </c>
      <c r="E173" s="19">
        <v>0</v>
      </c>
      <c r="F173" s="19">
        <f t="shared" si="12"/>
        <v>743.92156799999998</v>
      </c>
      <c r="G173" s="19"/>
      <c r="H173" s="19"/>
    </row>
    <row r="174" spans="1:8" x14ac:dyDescent="0.35">
      <c r="A174" s="19">
        <v>20</v>
      </c>
      <c r="B174" s="19"/>
      <c r="C174" s="19" t="s">
        <v>183</v>
      </c>
      <c r="D174" s="38">
        <f t="shared" si="13"/>
        <v>464.95097999999996</v>
      </c>
      <c r="E174" s="19">
        <v>0</v>
      </c>
      <c r="F174" s="19">
        <f t="shared" si="12"/>
        <v>743.92156799999998</v>
      </c>
      <c r="G174" s="19"/>
      <c r="H174" s="19"/>
    </row>
    <row r="175" spans="1:8" ht="15" customHeight="1" x14ac:dyDescent="0.35">
      <c r="A175" s="23" t="s">
        <v>242</v>
      </c>
      <c r="B175" s="24"/>
      <c r="C175" s="24"/>
      <c r="D175" s="24"/>
      <c r="E175" s="24"/>
      <c r="F175" s="24"/>
      <c r="G175" s="24"/>
      <c r="H175" s="25"/>
    </row>
    <row r="176" spans="1:8" ht="15" customHeight="1" x14ac:dyDescent="0.35">
      <c r="A176" s="19">
        <v>21</v>
      </c>
      <c r="B176" s="19"/>
      <c r="C176" s="19" t="s">
        <v>183</v>
      </c>
      <c r="D176" s="36">
        <f>21.226*10.764</f>
        <v>228.47666399999997</v>
      </c>
      <c r="E176" s="19">
        <v>0</v>
      </c>
      <c r="F176" s="19">
        <f t="shared" ref="F176:F197" si="14">D176*1.6+E176</f>
        <v>365.56266239999997</v>
      </c>
      <c r="G176" s="28" t="str">
        <f>A175</f>
        <v>1st Floor for Commericial</v>
      </c>
      <c r="H176" s="29"/>
    </row>
    <row r="177" spans="1:8" x14ac:dyDescent="0.35">
      <c r="A177" s="19">
        <v>22</v>
      </c>
      <c r="B177" s="19"/>
      <c r="C177" s="19" t="s">
        <v>183</v>
      </c>
      <c r="D177" s="36">
        <f>23.105*10.764</f>
        <v>248.70221999999998</v>
      </c>
      <c r="E177" s="19">
        <v>0</v>
      </c>
      <c r="F177" s="19">
        <f t="shared" si="14"/>
        <v>397.92355199999997</v>
      </c>
      <c r="G177" s="30"/>
      <c r="H177" s="31"/>
    </row>
    <row r="178" spans="1:8" x14ac:dyDescent="0.35">
      <c r="A178" s="19">
        <v>23</v>
      </c>
      <c r="B178" s="19"/>
      <c r="C178" s="19" t="s">
        <v>183</v>
      </c>
      <c r="D178" s="36">
        <f t="shared" si="13"/>
        <v>464.95097999999996</v>
      </c>
      <c r="E178" s="19">
        <v>0</v>
      </c>
      <c r="F178" s="19">
        <f t="shared" si="14"/>
        <v>743.92156799999998</v>
      </c>
      <c r="G178" s="30"/>
      <c r="H178" s="31"/>
    </row>
    <row r="179" spans="1:8" x14ac:dyDescent="0.35">
      <c r="A179" s="19">
        <v>24</v>
      </c>
      <c r="B179" s="19"/>
      <c r="C179" s="19" t="s">
        <v>183</v>
      </c>
      <c r="D179" s="36">
        <f t="shared" si="13"/>
        <v>464.95097999999996</v>
      </c>
      <c r="E179" s="19">
        <v>0</v>
      </c>
      <c r="F179" s="19">
        <f t="shared" si="14"/>
        <v>743.92156799999998</v>
      </c>
      <c r="G179" s="30"/>
      <c r="H179" s="31"/>
    </row>
    <row r="180" spans="1:8" x14ac:dyDescent="0.35">
      <c r="A180" s="19">
        <v>25</v>
      </c>
      <c r="B180" s="19"/>
      <c r="C180" s="19" t="s">
        <v>183</v>
      </c>
      <c r="D180" s="36">
        <f t="shared" si="13"/>
        <v>464.95097999999996</v>
      </c>
      <c r="E180" s="19">
        <v>0</v>
      </c>
      <c r="F180" s="19">
        <f t="shared" si="14"/>
        <v>743.92156799999998</v>
      </c>
      <c r="G180" s="30"/>
      <c r="H180" s="31"/>
    </row>
    <row r="181" spans="1:8" x14ac:dyDescent="0.35">
      <c r="A181" s="19">
        <v>26</v>
      </c>
      <c r="B181" s="19"/>
      <c r="C181" s="19" t="s">
        <v>183</v>
      </c>
      <c r="D181" s="36">
        <f t="shared" si="13"/>
        <v>464.95097999999996</v>
      </c>
      <c r="E181" s="19">
        <v>0</v>
      </c>
      <c r="F181" s="19">
        <f t="shared" si="14"/>
        <v>743.92156799999998</v>
      </c>
      <c r="G181" s="30"/>
      <c r="H181" s="31"/>
    </row>
    <row r="182" spans="1:8" x14ac:dyDescent="0.35">
      <c r="A182" s="19">
        <v>27</v>
      </c>
      <c r="B182" s="19"/>
      <c r="C182" s="19" t="s">
        <v>183</v>
      </c>
      <c r="D182" s="36">
        <f t="shared" si="13"/>
        <v>464.95097999999996</v>
      </c>
      <c r="E182" s="19">
        <v>0</v>
      </c>
      <c r="F182" s="19">
        <f t="shared" si="14"/>
        <v>743.92156799999998</v>
      </c>
      <c r="G182" s="30"/>
      <c r="H182" s="31"/>
    </row>
    <row r="183" spans="1:8" x14ac:dyDescent="0.35">
      <c r="A183" s="19">
        <v>28</v>
      </c>
      <c r="B183" s="19"/>
      <c r="C183" s="19" t="s">
        <v>183</v>
      </c>
      <c r="D183" s="36">
        <f t="shared" si="13"/>
        <v>464.95097999999996</v>
      </c>
      <c r="E183" s="19">
        <v>0</v>
      </c>
      <c r="F183" s="19">
        <f t="shared" si="14"/>
        <v>743.92156799999998</v>
      </c>
      <c r="G183" s="30"/>
      <c r="H183" s="31"/>
    </row>
    <row r="184" spans="1:8" x14ac:dyDescent="0.35">
      <c r="A184" s="19">
        <v>29</v>
      </c>
      <c r="B184" s="19"/>
      <c r="C184" s="19" t="s">
        <v>183</v>
      </c>
      <c r="D184" s="36">
        <f t="shared" si="13"/>
        <v>464.95097999999996</v>
      </c>
      <c r="E184" s="19">
        <v>0</v>
      </c>
      <c r="F184" s="19">
        <f t="shared" si="14"/>
        <v>743.92156799999998</v>
      </c>
      <c r="G184" s="30"/>
      <c r="H184" s="31"/>
    </row>
    <row r="185" spans="1:8" x14ac:dyDescent="0.35">
      <c r="A185" s="19">
        <v>30</v>
      </c>
      <c r="B185" s="19"/>
      <c r="C185" s="19" t="s">
        <v>183</v>
      </c>
      <c r="D185" s="36">
        <f t="shared" si="13"/>
        <v>464.95097999999996</v>
      </c>
      <c r="E185" s="19">
        <v>0</v>
      </c>
      <c r="F185" s="19">
        <f t="shared" si="14"/>
        <v>743.92156799999998</v>
      </c>
      <c r="G185" s="30"/>
      <c r="H185" s="31"/>
    </row>
    <row r="186" spans="1:8" x14ac:dyDescent="0.35">
      <c r="A186" s="19">
        <v>31</v>
      </c>
      <c r="B186" s="19"/>
      <c r="C186" s="19" t="s">
        <v>183</v>
      </c>
      <c r="D186" s="36">
        <f t="shared" si="13"/>
        <v>464.95097999999996</v>
      </c>
      <c r="E186" s="19">
        <v>0</v>
      </c>
      <c r="F186" s="19">
        <f t="shared" si="14"/>
        <v>743.92156799999998</v>
      </c>
      <c r="G186" s="30"/>
      <c r="H186" s="31"/>
    </row>
    <row r="187" spans="1:8" x14ac:dyDescent="0.35">
      <c r="A187" s="19">
        <v>32</v>
      </c>
      <c r="B187" s="19"/>
      <c r="C187" s="19" t="s">
        <v>183</v>
      </c>
      <c r="D187" s="36">
        <f t="shared" si="13"/>
        <v>464.95097999999996</v>
      </c>
      <c r="E187" s="19">
        <v>0</v>
      </c>
      <c r="F187" s="19">
        <f t="shared" si="14"/>
        <v>743.92156799999998</v>
      </c>
      <c r="G187" s="30"/>
      <c r="H187" s="31"/>
    </row>
    <row r="188" spans="1:8" x14ac:dyDescent="0.35">
      <c r="A188" s="19">
        <v>33</v>
      </c>
      <c r="B188" s="19"/>
      <c r="C188" s="19" t="s">
        <v>183</v>
      </c>
      <c r="D188" s="36">
        <f t="shared" si="13"/>
        <v>464.95097999999996</v>
      </c>
      <c r="E188" s="19">
        <v>0</v>
      </c>
      <c r="F188" s="19">
        <f t="shared" si="14"/>
        <v>743.92156799999998</v>
      </c>
      <c r="G188" s="30"/>
      <c r="H188" s="31"/>
    </row>
    <row r="189" spans="1:8" x14ac:dyDescent="0.35">
      <c r="A189" s="19">
        <v>34</v>
      </c>
      <c r="B189" s="19"/>
      <c r="C189" s="19" t="s">
        <v>183</v>
      </c>
      <c r="D189" s="36">
        <f t="shared" si="13"/>
        <v>464.95097999999996</v>
      </c>
      <c r="E189" s="19">
        <v>0</v>
      </c>
      <c r="F189" s="19">
        <f t="shared" si="14"/>
        <v>743.92156799999998</v>
      </c>
      <c r="G189" s="30"/>
      <c r="H189" s="31"/>
    </row>
    <row r="190" spans="1:8" x14ac:dyDescent="0.35">
      <c r="A190" s="19">
        <v>35</v>
      </c>
      <c r="B190" s="19"/>
      <c r="C190" s="19" t="s">
        <v>183</v>
      </c>
      <c r="D190" s="36">
        <f t="shared" si="13"/>
        <v>464.95097999999996</v>
      </c>
      <c r="E190" s="19">
        <v>0</v>
      </c>
      <c r="F190" s="19">
        <f t="shared" si="14"/>
        <v>743.92156799999998</v>
      </c>
      <c r="G190" s="30"/>
      <c r="H190" s="31"/>
    </row>
    <row r="191" spans="1:8" x14ac:dyDescent="0.35">
      <c r="A191" s="19">
        <v>36</v>
      </c>
      <c r="B191" s="19"/>
      <c r="C191" s="19" t="s">
        <v>183</v>
      </c>
      <c r="D191" s="36">
        <f t="shared" si="13"/>
        <v>464.95097999999996</v>
      </c>
      <c r="E191" s="19">
        <v>0</v>
      </c>
      <c r="F191" s="19">
        <f t="shared" si="14"/>
        <v>743.92156799999998</v>
      </c>
      <c r="G191" s="30"/>
      <c r="H191" s="31"/>
    </row>
    <row r="192" spans="1:8" x14ac:dyDescent="0.35">
      <c r="A192" s="19">
        <v>37</v>
      </c>
      <c r="B192" s="19"/>
      <c r="C192" s="19" t="s">
        <v>183</v>
      </c>
      <c r="D192" s="36">
        <f t="shared" si="13"/>
        <v>464.95097999999996</v>
      </c>
      <c r="E192" s="19">
        <v>0</v>
      </c>
      <c r="F192" s="19">
        <f t="shared" si="14"/>
        <v>743.92156799999998</v>
      </c>
      <c r="G192" s="30"/>
      <c r="H192" s="31"/>
    </row>
    <row r="193" spans="1:8" x14ac:dyDescent="0.35">
      <c r="A193" s="19">
        <v>38</v>
      </c>
      <c r="B193" s="19"/>
      <c r="C193" s="19" t="s">
        <v>183</v>
      </c>
      <c r="D193" s="36">
        <f t="shared" si="13"/>
        <v>464.95097999999996</v>
      </c>
      <c r="E193" s="19">
        <v>0</v>
      </c>
      <c r="F193" s="19">
        <f t="shared" si="14"/>
        <v>743.92156799999998</v>
      </c>
      <c r="G193" s="30"/>
      <c r="H193" s="31"/>
    </row>
    <row r="194" spans="1:8" x14ac:dyDescent="0.35">
      <c r="A194" s="19">
        <v>39</v>
      </c>
      <c r="B194" s="19"/>
      <c r="C194" s="19" t="s">
        <v>183</v>
      </c>
      <c r="D194" s="36">
        <f t="shared" si="13"/>
        <v>464.95097999999996</v>
      </c>
      <c r="E194" s="19">
        <v>0</v>
      </c>
      <c r="F194" s="19">
        <f t="shared" si="14"/>
        <v>743.92156799999998</v>
      </c>
      <c r="G194" s="30"/>
      <c r="H194" s="31"/>
    </row>
    <row r="195" spans="1:8" x14ac:dyDescent="0.35">
      <c r="A195" s="19">
        <v>40</v>
      </c>
      <c r="B195" s="19"/>
      <c r="C195" s="19" t="s">
        <v>183</v>
      </c>
      <c r="D195" s="36">
        <f t="shared" si="13"/>
        <v>464.95097999999996</v>
      </c>
      <c r="E195" s="19">
        <v>0</v>
      </c>
      <c r="F195" s="19">
        <f t="shared" si="14"/>
        <v>743.92156799999998</v>
      </c>
      <c r="G195" s="30"/>
      <c r="H195" s="31"/>
    </row>
    <row r="196" spans="1:8" x14ac:dyDescent="0.35">
      <c r="A196" s="19">
        <v>41</v>
      </c>
      <c r="B196" s="19"/>
      <c r="C196" s="19" t="s">
        <v>183</v>
      </c>
      <c r="D196" s="36">
        <f>21.226*10.764</f>
        <v>228.47666399999997</v>
      </c>
      <c r="E196" s="19">
        <v>0</v>
      </c>
      <c r="F196" s="19">
        <f t="shared" si="14"/>
        <v>365.56266239999997</v>
      </c>
      <c r="G196" s="30"/>
      <c r="H196" s="31"/>
    </row>
    <row r="197" spans="1:8" x14ac:dyDescent="0.35">
      <c r="A197" s="19">
        <v>42</v>
      </c>
      <c r="B197" s="19"/>
      <c r="C197" s="19" t="s">
        <v>183</v>
      </c>
      <c r="D197" s="36">
        <f>23.105*10.764</f>
        <v>248.70221999999998</v>
      </c>
      <c r="E197" s="19">
        <v>0</v>
      </c>
      <c r="F197" s="19">
        <f t="shared" si="14"/>
        <v>397.92355199999997</v>
      </c>
      <c r="G197" s="32"/>
      <c r="H197" s="33"/>
    </row>
    <row r="198" spans="1:8" ht="15" customHeight="1" x14ac:dyDescent="0.35">
      <c r="A198" s="23" t="s">
        <v>243</v>
      </c>
      <c r="B198" s="24"/>
      <c r="C198" s="24"/>
      <c r="D198" s="24"/>
      <c r="E198" s="24"/>
      <c r="F198" s="24"/>
      <c r="G198" s="24"/>
      <c r="H198" s="25"/>
    </row>
    <row r="199" spans="1:8" ht="15" customHeight="1" x14ac:dyDescent="0.35">
      <c r="A199" s="19">
        <v>43</v>
      </c>
      <c r="B199" s="19"/>
      <c r="C199" s="19" t="s">
        <v>183</v>
      </c>
      <c r="D199" s="38">
        <f>21.226*10.764</f>
        <v>228.47666399999997</v>
      </c>
      <c r="E199" s="19">
        <v>0</v>
      </c>
      <c r="F199" s="19">
        <f t="shared" ref="F199:F220" si="15">D199*1.6+E199</f>
        <v>365.56266239999997</v>
      </c>
      <c r="G199" s="19" t="str">
        <f>A198</f>
        <v>2nd Floor for Commericial</v>
      </c>
      <c r="H199" s="19"/>
    </row>
    <row r="200" spans="1:8" x14ac:dyDescent="0.35">
      <c r="A200" s="19">
        <v>44</v>
      </c>
      <c r="B200" s="19"/>
      <c r="C200" s="19" t="s">
        <v>183</v>
      </c>
      <c r="D200" s="38">
        <f>23.105*10.764</f>
        <v>248.70221999999998</v>
      </c>
      <c r="E200" s="19">
        <v>0</v>
      </c>
      <c r="F200" s="19">
        <f t="shared" si="15"/>
        <v>397.92355199999997</v>
      </c>
      <c r="G200" s="19"/>
      <c r="H200" s="19"/>
    </row>
    <row r="201" spans="1:8" x14ac:dyDescent="0.35">
      <c r="A201" s="19">
        <v>45</v>
      </c>
      <c r="B201" s="19"/>
      <c r="C201" s="19" t="s">
        <v>183</v>
      </c>
      <c r="D201" s="38">
        <f t="shared" ref="D201:D218" si="16">43.195*10.764</f>
        <v>464.95097999999996</v>
      </c>
      <c r="E201" s="19">
        <v>0</v>
      </c>
      <c r="F201" s="19">
        <f t="shared" si="15"/>
        <v>743.92156799999998</v>
      </c>
      <c r="G201" s="19"/>
      <c r="H201" s="19"/>
    </row>
    <row r="202" spans="1:8" x14ac:dyDescent="0.35">
      <c r="A202" s="19">
        <v>46</v>
      </c>
      <c r="B202" s="19"/>
      <c r="C202" s="19" t="s">
        <v>183</v>
      </c>
      <c r="D202" s="38">
        <f t="shared" si="16"/>
        <v>464.95097999999996</v>
      </c>
      <c r="E202" s="19">
        <v>0</v>
      </c>
      <c r="F202" s="19">
        <f t="shared" si="15"/>
        <v>743.92156799999998</v>
      </c>
      <c r="G202" s="19"/>
      <c r="H202" s="19"/>
    </row>
    <row r="203" spans="1:8" x14ac:dyDescent="0.35">
      <c r="A203" s="19">
        <v>47</v>
      </c>
      <c r="B203" s="19"/>
      <c r="C203" s="19" t="s">
        <v>183</v>
      </c>
      <c r="D203" s="38">
        <f t="shared" si="16"/>
        <v>464.95097999999996</v>
      </c>
      <c r="E203" s="19">
        <v>0</v>
      </c>
      <c r="F203" s="19">
        <f t="shared" si="15"/>
        <v>743.92156799999998</v>
      </c>
      <c r="G203" s="19"/>
      <c r="H203" s="19"/>
    </row>
    <row r="204" spans="1:8" x14ac:dyDescent="0.35">
      <c r="A204" s="19">
        <v>48</v>
      </c>
      <c r="B204" s="19"/>
      <c r="C204" s="19" t="s">
        <v>183</v>
      </c>
      <c r="D204" s="38">
        <f t="shared" si="16"/>
        <v>464.95097999999996</v>
      </c>
      <c r="E204" s="19">
        <v>0</v>
      </c>
      <c r="F204" s="19">
        <f t="shared" si="15"/>
        <v>743.92156799999998</v>
      </c>
      <c r="G204" s="19"/>
      <c r="H204" s="19"/>
    </row>
    <row r="205" spans="1:8" x14ac:dyDescent="0.35">
      <c r="A205" s="19">
        <v>49</v>
      </c>
      <c r="B205" s="19"/>
      <c r="C205" s="19" t="s">
        <v>183</v>
      </c>
      <c r="D205" s="38">
        <f t="shared" si="16"/>
        <v>464.95097999999996</v>
      </c>
      <c r="E205" s="19">
        <v>0</v>
      </c>
      <c r="F205" s="19">
        <f t="shared" si="15"/>
        <v>743.92156799999998</v>
      </c>
      <c r="G205" s="19"/>
      <c r="H205" s="19"/>
    </row>
    <row r="206" spans="1:8" x14ac:dyDescent="0.35">
      <c r="A206" s="19">
        <v>50</v>
      </c>
      <c r="B206" s="19"/>
      <c r="C206" s="19" t="s">
        <v>183</v>
      </c>
      <c r="D206" s="38">
        <f t="shared" si="16"/>
        <v>464.95097999999996</v>
      </c>
      <c r="E206" s="19">
        <v>0</v>
      </c>
      <c r="F206" s="19">
        <f t="shared" si="15"/>
        <v>743.92156799999998</v>
      </c>
      <c r="G206" s="19"/>
      <c r="H206" s="19"/>
    </row>
    <row r="207" spans="1:8" x14ac:dyDescent="0.35">
      <c r="A207" s="19">
        <v>51</v>
      </c>
      <c r="B207" s="19"/>
      <c r="C207" s="19" t="s">
        <v>183</v>
      </c>
      <c r="D207" s="38">
        <f t="shared" si="16"/>
        <v>464.95097999999996</v>
      </c>
      <c r="E207" s="19">
        <v>0</v>
      </c>
      <c r="F207" s="19">
        <f t="shared" si="15"/>
        <v>743.92156799999998</v>
      </c>
      <c r="G207" s="19"/>
      <c r="H207" s="19"/>
    </row>
    <row r="208" spans="1:8" x14ac:dyDescent="0.35">
      <c r="A208" s="19">
        <v>52</v>
      </c>
      <c r="B208" s="19"/>
      <c r="C208" s="19" t="s">
        <v>183</v>
      </c>
      <c r="D208" s="38">
        <f t="shared" si="16"/>
        <v>464.95097999999996</v>
      </c>
      <c r="E208" s="19">
        <v>0</v>
      </c>
      <c r="F208" s="19">
        <f t="shared" si="15"/>
        <v>743.92156799999998</v>
      </c>
      <c r="G208" s="19"/>
      <c r="H208" s="19"/>
    </row>
    <row r="209" spans="1:8" x14ac:dyDescent="0.35">
      <c r="A209" s="19">
        <v>53</v>
      </c>
      <c r="B209" s="19"/>
      <c r="C209" s="19" t="s">
        <v>183</v>
      </c>
      <c r="D209" s="38">
        <f t="shared" si="16"/>
        <v>464.95097999999996</v>
      </c>
      <c r="E209" s="19">
        <v>0</v>
      </c>
      <c r="F209" s="19">
        <f t="shared" si="15"/>
        <v>743.92156799999998</v>
      </c>
      <c r="G209" s="19"/>
      <c r="H209" s="19"/>
    </row>
    <row r="210" spans="1:8" x14ac:dyDescent="0.35">
      <c r="A210" s="19">
        <v>54</v>
      </c>
      <c r="B210" s="19"/>
      <c r="C210" s="19" t="s">
        <v>183</v>
      </c>
      <c r="D210" s="38">
        <f t="shared" si="16"/>
        <v>464.95097999999996</v>
      </c>
      <c r="E210" s="19">
        <v>0</v>
      </c>
      <c r="F210" s="19">
        <f t="shared" si="15"/>
        <v>743.92156799999998</v>
      </c>
      <c r="G210" s="19"/>
      <c r="H210" s="19"/>
    </row>
    <row r="211" spans="1:8" x14ac:dyDescent="0.35">
      <c r="A211" s="19">
        <v>55</v>
      </c>
      <c r="B211" s="19"/>
      <c r="C211" s="19" t="s">
        <v>183</v>
      </c>
      <c r="D211" s="38">
        <f t="shared" si="16"/>
        <v>464.95097999999996</v>
      </c>
      <c r="E211" s="19">
        <v>0</v>
      </c>
      <c r="F211" s="19">
        <f t="shared" si="15"/>
        <v>743.92156799999998</v>
      </c>
      <c r="G211" s="19"/>
      <c r="H211" s="19"/>
    </row>
    <row r="212" spans="1:8" x14ac:dyDescent="0.35">
      <c r="A212" s="19">
        <v>56</v>
      </c>
      <c r="B212" s="19"/>
      <c r="C212" s="19" t="s">
        <v>183</v>
      </c>
      <c r="D212" s="38">
        <f t="shared" si="16"/>
        <v>464.95097999999996</v>
      </c>
      <c r="E212" s="19">
        <v>0</v>
      </c>
      <c r="F212" s="19">
        <f t="shared" si="15"/>
        <v>743.92156799999998</v>
      </c>
      <c r="G212" s="19"/>
      <c r="H212" s="19"/>
    </row>
    <row r="213" spans="1:8" x14ac:dyDescent="0.35">
      <c r="A213" s="19">
        <v>57</v>
      </c>
      <c r="B213" s="19"/>
      <c r="C213" s="19" t="s">
        <v>183</v>
      </c>
      <c r="D213" s="38">
        <f t="shared" si="16"/>
        <v>464.95097999999996</v>
      </c>
      <c r="E213" s="19">
        <v>0</v>
      </c>
      <c r="F213" s="19">
        <f t="shared" si="15"/>
        <v>743.92156799999998</v>
      </c>
      <c r="G213" s="19"/>
      <c r="H213" s="19"/>
    </row>
    <row r="214" spans="1:8" x14ac:dyDescent="0.35">
      <c r="A214" s="19">
        <v>58</v>
      </c>
      <c r="B214" s="19"/>
      <c r="C214" s="19" t="s">
        <v>183</v>
      </c>
      <c r="D214" s="38">
        <f t="shared" si="16"/>
        <v>464.95097999999996</v>
      </c>
      <c r="E214" s="19">
        <v>0</v>
      </c>
      <c r="F214" s="19">
        <f t="shared" si="15"/>
        <v>743.92156799999998</v>
      </c>
      <c r="G214" s="19"/>
      <c r="H214" s="19"/>
    </row>
    <row r="215" spans="1:8" x14ac:dyDescent="0.35">
      <c r="A215" s="19">
        <v>59</v>
      </c>
      <c r="B215" s="19"/>
      <c r="C215" s="19" t="s">
        <v>183</v>
      </c>
      <c r="D215" s="38">
        <f t="shared" si="16"/>
        <v>464.95097999999996</v>
      </c>
      <c r="E215" s="19">
        <v>0</v>
      </c>
      <c r="F215" s="19">
        <f t="shared" si="15"/>
        <v>743.92156799999998</v>
      </c>
      <c r="G215" s="19"/>
      <c r="H215" s="19"/>
    </row>
    <row r="216" spans="1:8" x14ac:dyDescent="0.35">
      <c r="A216" s="19">
        <v>60</v>
      </c>
      <c r="B216" s="19"/>
      <c r="C216" s="19" t="s">
        <v>183</v>
      </c>
      <c r="D216" s="38">
        <f t="shared" si="16"/>
        <v>464.95097999999996</v>
      </c>
      <c r="E216" s="19">
        <v>0</v>
      </c>
      <c r="F216" s="19">
        <f t="shared" si="15"/>
        <v>743.92156799999998</v>
      </c>
      <c r="G216" s="19"/>
      <c r="H216" s="19"/>
    </row>
    <row r="217" spans="1:8" x14ac:dyDescent="0.35">
      <c r="A217" s="19">
        <v>61</v>
      </c>
      <c r="B217" s="19"/>
      <c r="C217" s="19" t="s">
        <v>183</v>
      </c>
      <c r="D217" s="38">
        <f t="shared" si="16"/>
        <v>464.95097999999996</v>
      </c>
      <c r="E217" s="19">
        <v>0</v>
      </c>
      <c r="F217" s="19">
        <f t="shared" si="15"/>
        <v>743.92156799999998</v>
      </c>
      <c r="G217" s="19"/>
      <c r="H217" s="19"/>
    </row>
    <row r="218" spans="1:8" x14ac:dyDescent="0.35">
      <c r="A218" s="19">
        <v>62</v>
      </c>
      <c r="B218" s="19"/>
      <c r="C218" s="19" t="s">
        <v>183</v>
      </c>
      <c r="D218" s="38">
        <f t="shared" si="16"/>
        <v>464.95097999999996</v>
      </c>
      <c r="E218" s="19">
        <v>0</v>
      </c>
      <c r="F218" s="19">
        <f t="shared" si="15"/>
        <v>743.92156799999998</v>
      </c>
      <c r="G218" s="19"/>
      <c r="H218" s="19"/>
    </row>
    <row r="219" spans="1:8" x14ac:dyDescent="0.35">
      <c r="A219" s="19">
        <v>63</v>
      </c>
      <c r="B219" s="19"/>
      <c r="C219" s="19" t="s">
        <v>183</v>
      </c>
      <c r="D219" s="38">
        <f>21.226*10.764</f>
        <v>228.47666399999997</v>
      </c>
      <c r="E219" s="19">
        <v>0</v>
      </c>
      <c r="F219" s="19">
        <f t="shared" si="15"/>
        <v>365.56266239999997</v>
      </c>
      <c r="G219" s="19"/>
      <c r="H219" s="19"/>
    </row>
    <row r="220" spans="1:8" x14ac:dyDescent="0.35">
      <c r="A220" s="19">
        <v>64</v>
      </c>
      <c r="B220" s="19"/>
      <c r="C220" s="19" t="s">
        <v>183</v>
      </c>
      <c r="D220" s="38">
        <f>23.105*10.764</f>
        <v>248.70221999999998</v>
      </c>
      <c r="E220" s="19">
        <v>0</v>
      </c>
      <c r="F220" s="19">
        <f t="shared" si="15"/>
        <v>397.92355199999997</v>
      </c>
      <c r="G220" s="19"/>
      <c r="H220" s="19"/>
    </row>
    <row r="222" spans="1:8" x14ac:dyDescent="0.35">
      <c r="A222" t="s">
        <v>245</v>
      </c>
      <c r="B222" t="s">
        <v>246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B22" zoomScale="130" zoomScaleNormal="130" workbookViewId="0">
      <selection activeCell="B15" sqref="B15"/>
    </sheetView>
  </sheetViews>
  <sheetFormatPr defaultColWidth="8.7265625" defaultRowHeight="14.5" x14ac:dyDescent="0.35"/>
  <cols>
    <col min="1" max="1" width="8.7265625" style="7"/>
    <col min="2" max="2" width="22.1796875" style="7" customWidth="1"/>
    <col min="3" max="3" width="37" style="7" customWidth="1"/>
    <col min="4" max="5" width="11.453125" style="7" customWidth="1"/>
    <col min="6" max="6" width="14" style="7" customWidth="1"/>
    <col min="7" max="7" width="20" style="7" customWidth="1"/>
    <col min="8" max="8" width="16.453125" style="7" customWidth="1"/>
    <col min="9" max="16384" width="8.7265625" style="7"/>
  </cols>
  <sheetData>
    <row r="1" spans="1:9" ht="15" customHeight="1" x14ac:dyDescent="0.35"/>
    <row r="2" spans="1:9" ht="15" customHeight="1" x14ac:dyDescent="0.35">
      <c r="A2" s="8"/>
      <c r="B2" s="8"/>
      <c r="C2" s="8"/>
      <c r="D2" s="8"/>
      <c r="E2" s="8"/>
      <c r="F2" s="8"/>
      <c r="G2" s="8"/>
      <c r="H2" s="8"/>
    </row>
    <row r="3" spans="1:9" ht="15.75" customHeight="1" x14ac:dyDescent="0.35">
      <c r="A3" s="8"/>
      <c r="B3" s="200" t="s">
        <v>151</v>
      </c>
      <c r="C3" s="200"/>
      <c r="D3" s="200"/>
      <c r="E3" s="200"/>
      <c r="F3" s="200"/>
      <c r="G3" s="200"/>
      <c r="H3" s="200"/>
    </row>
    <row r="4" spans="1:9" x14ac:dyDescent="0.35">
      <c r="A4" s="8"/>
      <c r="B4" s="9" t="s">
        <v>152</v>
      </c>
      <c r="C4" s="9" t="s">
        <v>153</v>
      </c>
      <c r="D4" s="9" t="s">
        <v>84</v>
      </c>
      <c r="E4" s="9" t="s">
        <v>154</v>
      </c>
      <c r="F4" s="9" t="s">
        <v>162</v>
      </c>
      <c r="G4" s="9" t="s">
        <v>163</v>
      </c>
      <c r="H4" s="9" t="s">
        <v>155</v>
      </c>
    </row>
    <row r="5" spans="1:9" ht="15" customHeight="1" x14ac:dyDescent="0.35">
      <c r="A5" s="8"/>
      <c r="B5" s="11" t="s">
        <v>156</v>
      </c>
      <c r="C5" s="12"/>
      <c r="D5" s="11" t="s">
        <v>157</v>
      </c>
      <c r="E5" s="11">
        <v>1106</v>
      </c>
      <c r="F5" s="13">
        <f>E5*1.6</f>
        <v>1769.6000000000001</v>
      </c>
      <c r="G5" s="13">
        <f>H5/F5</f>
        <v>31532.549728752259</v>
      </c>
      <c r="H5" s="14">
        <v>55800000</v>
      </c>
    </row>
    <row r="6" spans="1:9" x14ac:dyDescent="0.35">
      <c r="A6" s="8"/>
      <c r="B6" s="11" t="s">
        <v>156</v>
      </c>
      <c r="C6" s="15"/>
      <c r="D6" s="11" t="s">
        <v>158</v>
      </c>
      <c r="E6" s="11">
        <v>2274</v>
      </c>
      <c r="F6" s="13">
        <f t="shared" ref="F6:F11" si="0">E6*1.6</f>
        <v>3638.4</v>
      </c>
      <c r="G6" s="13">
        <f t="shared" ref="G6:G11" si="1">H6/F6</f>
        <v>32981.530343007915</v>
      </c>
      <c r="H6" s="14">
        <v>120000000</v>
      </c>
    </row>
    <row r="7" spans="1:9" ht="15" customHeight="1" x14ac:dyDescent="0.35">
      <c r="A7" s="8"/>
      <c r="B7" s="11" t="s">
        <v>156</v>
      </c>
      <c r="C7" s="12"/>
      <c r="D7" s="11" t="s">
        <v>157</v>
      </c>
      <c r="E7" s="11">
        <v>1466</v>
      </c>
      <c r="F7" s="13">
        <f t="shared" si="0"/>
        <v>2345.6</v>
      </c>
      <c r="G7" s="13">
        <f t="shared" si="1"/>
        <v>32528.990450204641</v>
      </c>
      <c r="H7" s="14">
        <v>76300000</v>
      </c>
    </row>
    <row r="8" spans="1:9" x14ac:dyDescent="0.35">
      <c r="A8" s="8"/>
      <c r="B8" s="11" t="s">
        <v>156</v>
      </c>
      <c r="C8" s="15"/>
      <c r="D8" s="11" t="s">
        <v>158</v>
      </c>
      <c r="E8" s="11">
        <v>2275</v>
      </c>
      <c r="F8" s="13">
        <f t="shared" si="0"/>
        <v>3640</v>
      </c>
      <c r="G8" s="13">
        <f t="shared" si="1"/>
        <v>32554.945054945056</v>
      </c>
      <c r="H8" s="14">
        <v>118500000</v>
      </c>
    </row>
    <row r="9" spans="1:9" ht="15" customHeight="1" x14ac:dyDescent="0.35">
      <c r="A9" s="8"/>
      <c r="B9" s="11" t="s">
        <v>156</v>
      </c>
      <c r="C9" s="15"/>
      <c r="D9" s="11" t="s">
        <v>158</v>
      </c>
      <c r="E9" s="11">
        <v>2700</v>
      </c>
      <c r="F9" s="13">
        <f t="shared" si="0"/>
        <v>4320</v>
      </c>
      <c r="G9" s="13">
        <f t="shared" si="1"/>
        <v>32175.925925925927</v>
      </c>
      <c r="H9" s="14">
        <v>139000000</v>
      </c>
    </row>
    <row r="10" spans="1:9" ht="15" customHeight="1" x14ac:dyDescent="0.35">
      <c r="A10" s="8"/>
      <c r="B10" s="11" t="s">
        <v>159</v>
      </c>
      <c r="C10" s="12"/>
      <c r="D10" s="11" t="s">
        <v>157</v>
      </c>
      <c r="E10" s="11">
        <v>1466</v>
      </c>
      <c r="F10" s="13">
        <f t="shared" si="0"/>
        <v>2345.6</v>
      </c>
      <c r="G10" s="13">
        <f t="shared" si="1"/>
        <v>32997.953615279672</v>
      </c>
      <c r="H10" s="14">
        <v>77400000</v>
      </c>
    </row>
    <row r="11" spans="1:9" ht="15" customHeight="1" x14ac:dyDescent="0.35">
      <c r="A11" s="8"/>
      <c r="B11" s="11" t="s">
        <v>159</v>
      </c>
      <c r="C11" s="12"/>
      <c r="D11" s="11" t="s">
        <v>158</v>
      </c>
      <c r="E11" s="11">
        <v>1725</v>
      </c>
      <c r="F11" s="13">
        <f t="shared" si="0"/>
        <v>2760</v>
      </c>
      <c r="G11" s="13">
        <f t="shared" si="1"/>
        <v>31268.115942028984</v>
      </c>
      <c r="H11" s="14">
        <v>86300000</v>
      </c>
    </row>
    <row r="12" spans="1:9" ht="15" customHeight="1" x14ac:dyDescent="0.35">
      <c r="A12" s="8"/>
      <c r="B12" s="16" t="s">
        <v>160</v>
      </c>
      <c r="C12" s="11"/>
      <c r="D12" s="11"/>
      <c r="E12" s="11"/>
      <c r="F12" s="11"/>
      <c r="G12" s="17">
        <f>AVERAGE(G5:G11)</f>
        <v>32291.430151449204</v>
      </c>
      <c r="H12" s="11"/>
    </row>
    <row r="13" spans="1:9" ht="15" customHeight="1" x14ac:dyDescent="0.35">
      <c r="B13" s="16" t="s">
        <v>161</v>
      </c>
      <c r="C13" s="11"/>
      <c r="D13" s="11"/>
      <c r="E13" s="11"/>
      <c r="F13" s="18"/>
      <c r="G13" s="16">
        <v>32000</v>
      </c>
      <c r="H13" s="16"/>
      <c r="I13" s="10"/>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2025-03-19T13:41:51Z</cp:lastPrinted>
  <dcterms:created xsi:type="dcterms:W3CDTF">2019-07-16T09:29:46Z</dcterms:created>
  <dcterms:modified xsi:type="dcterms:W3CDTF">2025-09-15T03:38:01Z</dcterms:modified>
</cp:coreProperties>
</file>