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2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1" l="1"/>
  <c r="C115" i="1" l="1"/>
  <c r="C99" i="1"/>
  <c r="C83" i="1" l="1"/>
  <c r="C67" i="1"/>
  <c r="C65" i="1" l="1"/>
  <c r="E3" i="1" l="1"/>
  <c r="D62" i="1" s="1"/>
  <c r="D278" i="1" l="1"/>
  <c r="D256" i="1"/>
  <c r="D260" i="1"/>
  <c r="D248" i="1"/>
  <c r="I175" i="1"/>
  <c r="C129" i="1" l="1"/>
  <c r="C113" i="1"/>
  <c r="J140" i="1"/>
  <c r="J139" i="1"/>
  <c r="J138" i="1"/>
  <c r="J137" i="1"/>
  <c r="J126" i="1"/>
  <c r="J125" i="1"/>
  <c r="J124" i="1"/>
  <c r="J123" i="1"/>
  <c r="D259" i="1"/>
  <c r="D258" i="1"/>
  <c r="D257" i="1"/>
  <c r="E256" i="1"/>
  <c r="F256" i="1" s="1"/>
  <c r="E257" i="1"/>
  <c r="E258" i="1"/>
  <c r="E259" i="1"/>
  <c r="E260" i="1"/>
  <c r="E255" i="1"/>
  <c r="D255" i="1"/>
  <c r="I256" i="1"/>
  <c r="A256" i="1"/>
  <c r="A257" i="1" s="1"/>
  <c r="A258" i="1" s="1"/>
  <c r="A259" i="1" s="1"/>
  <c r="A260" i="1" s="1"/>
  <c r="I255" i="1"/>
  <c r="G255" i="1"/>
  <c r="F259" i="1" l="1"/>
  <c r="F258" i="1"/>
  <c r="F255" i="1"/>
  <c r="F257" i="1"/>
  <c r="F260" i="1"/>
  <c r="D348" i="1"/>
  <c r="F348" i="1" s="1"/>
  <c r="E347" i="1"/>
  <c r="D347" i="1"/>
  <c r="E346" i="1"/>
  <c r="D346" i="1"/>
  <c r="E345" i="1"/>
  <c r="D345" i="1"/>
  <c r="E344" i="1"/>
  <c r="D344" i="1"/>
  <c r="G343" i="1"/>
  <c r="G344" i="1" s="1"/>
  <c r="G345" i="1" s="1"/>
  <c r="G346" i="1" s="1"/>
  <c r="G347" i="1" s="1"/>
  <c r="G348" i="1" s="1"/>
  <c r="D343" i="1"/>
  <c r="F343" i="1" s="1"/>
  <c r="E341" i="1"/>
  <c r="D341" i="1"/>
  <c r="E340" i="1"/>
  <c r="D340" i="1"/>
  <c r="E339" i="1"/>
  <c r="D339" i="1"/>
  <c r="E338" i="1"/>
  <c r="D338" i="1"/>
  <c r="E337" i="1"/>
  <c r="D337" i="1"/>
  <c r="G336" i="1"/>
  <c r="G337" i="1" s="1"/>
  <c r="G338" i="1" s="1"/>
  <c r="G339" i="1" s="1"/>
  <c r="G340" i="1" s="1"/>
  <c r="G341" i="1" s="1"/>
  <c r="E336" i="1"/>
  <c r="D336" i="1"/>
  <c r="E334" i="1"/>
  <c r="D334" i="1"/>
  <c r="E333" i="1"/>
  <c r="D333" i="1"/>
  <c r="E332" i="1"/>
  <c r="D332" i="1"/>
  <c r="E331" i="1"/>
  <c r="D331" i="1"/>
  <c r="I330" i="1"/>
  <c r="E330" i="1"/>
  <c r="D330" i="1"/>
  <c r="A330" i="1"/>
  <c r="A331" i="1" s="1"/>
  <c r="A332" i="1" s="1"/>
  <c r="A333" i="1" s="1"/>
  <c r="A334" i="1" s="1"/>
  <c r="I329" i="1"/>
  <c r="G329" i="1"/>
  <c r="E329" i="1"/>
  <c r="D329" i="1"/>
  <c r="E327" i="1"/>
  <c r="D327" i="1"/>
  <c r="E326" i="1"/>
  <c r="D326" i="1"/>
  <c r="E325" i="1"/>
  <c r="D325" i="1"/>
  <c r="E324" i="1"/>
  <c r="D324" i="1"/>
  <c r="I323" i="1"/>
  <c r="E323" i="1"/>
  <c r="D323" i="1"/>
  <c r="A323" i="1"/>
  <c r="A324" i="1" s="1"/>
  <c r="A325" i="1" s="1"/>
  <c r="A326" i="1" s="1"/>
  <c r="A327" i="1" s="1"/>
  <c r="I322" i="1"/>
  <c r="G322" i="1"/>
  <c r="E322" i="1"/>
  <c r="D322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I316" i="1"/>
  <c r="A316" i="1"/>
  <c r="A317" i="1" s="1"/>
  <c r="A318" i="1" s="1"/>
  <c r="A319" i="1" s="1"/>
  <c r="A320" i="1" s="1"/>
  <c r="I315" i="1"/>
  <c r="G315" i="1"/>
  <c r="G316" i="1" s="1"/>
  <c r="G317" i="1" s="1"/>
  <c r="G318" i="1" s="1"/>
  <c r="G319" i="1" s="1"/>
  <c r="G320" i="1" s="1"/>
  <c r="D311" i="1"/>
  <c r="E310" i="1"/>
  <c r="D310" i="1"/>
  <c r="E309" i="1"/>
  <c r="D309" i="1"/>
  <c r="E308" i="1"/>
  <c r="D308" i="1"/>
  <c r="E307" i="1"/>
  <c r="D307" i="1"/>
  <c r="D306" i="1"/>
  <c r="F306" i="1" s="1"/>
  <c r="G306" i="1"/>
  <c r="G307" i="1" s="1"/>
  <c r="G308" i="1" s="1"/>
  <c r="G309" i="1" s="1"/>
  <c r="G310" i="1" s="1"/>
  <c r="G311" i="1" s="1"/>
  <c r="E304" i="1"/>
  <c r="D304" i="1"/>
  <c r="E303" i="1"/>
  <c r="D303" i="1"/>
  <c r="E302" i="1"/>
  <c r="D302" i="1"/>
  <c r="E301" i="1"/>
  <c r="D301" i="1"/>
  <c r="E300" i="1"/>
  <c r="D300" i="1"/>
  <c r="E299" i="1"/>
  <c r="D299" i="1"/>
  <c r="G299" i="1"/>
  <c r="G300" i="1" s="1"/>
  <c r="G301" i="1" s="1"/>
  <c r="G302" i="1" s="1"/>
  <c r="G303" i="1" s="1"/>
  <c r="G304" i="1" s="1"/>
  <c r="E297" i="1"/>
  <c r="D297" i="1"/>
  <c r="E296" i="1"/>
  <c r="D296" i="1"/>
  <c r="E295" i="1"/>
  <c r="D295" i="1"/>
  <c r="E294" i="1"/>
  <c r="D294" i="1"/>
  <c r="E293" i="1"/>
  <c r="D293" i="1"/>
  <c r="E292" i="1"/>
  <c r="D292" i="1"/>
  <c r="I293" i="1"/>
  <c r="A293" i="1"/>
  <c r="A294" i="1" s="1"/>
  <c r="A295" i="1" s="1"/>
  <c r="A296" i="1" s="1"/>
  <c r="A297" i="1" s="1"/>
  <c r="I292" i="1"/>
  <c r="G292" i="1"/>
  <c r="E290" i="1"/>
  <c r="D290" i="1"/>
  <c r="E289" i="1"/>
  <c r="E288" i="1"/>
  <c r="D289" i="1"/>
  <c r="D288" i="1"/>
  <c r="E287" i="1"/>
  <c r="D287" i="1"/>
  <c r="E286" i="1"/>
  <c r="D286" i="1"/>
  <c r="E285" i="1"/>
  <c r="D285" i="1"/>
  <c r="I286" i="1"/>
  <c r="A286" i="1"/>
  <c r="A287" i="1" s="1"/>
  <c r="A288" i="1" s="1"/>
  <c r="A289" i="1" s="1"/>
  <c r="A290" i="1" s="1"/>
  <c r="I285" i="1"/>
  <c r="G285" i="1"/>
  <c r="E283" i="1"/>
  <c r="D283" i="1"/>
  <c r="E282" i="1"/>
  <c r="D282" i="1"/>
  <c r="E281" i="1"/>
  <c r="D281" i="1"/>
  <c r="E280" i="1"/>
  <c r="D280" i="1"/>
  <c r="E279" i="1"/>
  <c r="D279" i="1"/>
  <c r="E278" i="1"/>
  <c r="I279" i="1"/>
  <c r="A279" i="1"/>
  <c r="A280" i="1" s="1"/>
  <c r="A281" i="1" s="1"/>
  <c r="A282" i="1" s="1"/>
  <c r="A283" i="1" s="1"/>
  <c r="I278" i="1"/>
  <c r="G278" i="1"/>
  <c r="G279" i="1" s="1"/>
  <c r="G280" i="1" s="1"/>
  <c r="G281" i="1" s="1"/>
  <c r="G282" i="1" s="1"/>
  <c r="G283" i="1" s="1"/>
  <c r="E273" i="1"/>
  <c r="D273" i="1"/>
  <c r="E272" i="1"/>
  <c r="D272" i="1"/>
  <c r="E271" i="1"/>
  <c r="D271" i="1"/>
  <c r="E270" i="1"/>
  <c r="D270" i="1"/>
  <c r="E269" i="1"/>
  <c r="D269" i="1"/>
  <c r="G269" i="1"/>
  <c r="G270" i="1" s="1"/>
  <c r="G271" i="1" s="1"/>
  <c r="G272" i="1" s="1"/>
  <c r="G273" i="1" s="1"/>
  <c r="G274" i="1" s="1"/>
  <c r="E266" i="1"/>
  <c r="D266" i="1"/>
  <c r="E265" i="1"/>
  <c r="D265" i="1"/>
  <c r="E264" i="1"/>
  <c r="D264" i="1"/>
  <c r="E263" i="1"/>
  <c r="D263" i="1"/>
  <c r="E262" i="1"/>
  <c r="D262" i="1"/>
  <c r="E253" i="1"/>
  <c r="D253" i="1"/>
  <c r="E252" i="1"/>
  <c r="D252" i="1"/>
  <c r="E251" i="1"/>
  <c r="D251" i="1"/>
  <c r="E250" i="1"/>
  <c r="D250" i="1"/>
  <c r="E249" i="1"/>
  <c r="D249" i="1"/>
  <c r="E248" i="1"/>
  <c r="F248" i="1" s="1"/>
  <c r="I249" i="1"/>
  <c r="A249" i="1"/>
  <c r="A250" i="1" s="1"/>
  <c r="A251" i="1" s="1"/>
  <c r="A252" i="1" s="1"/>
  <c r="A253" i="1" s="1"/>
  <c r="I248" i="1"/>
  <c r="G248" i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I242" i="1"/>
  <c r="A242" i="1"/>
  <c r="A243" i="1" s="1"/>
  <c r="A244" i="1" s="1"/>
  <c r="A245" i="1" s="1"/>
  <c r="A246" i="1" s="1"/>
  <c r="I241" i="1"/>
  <c r="G241" i="1"/>
  <c r="G242" i="1" s="1"/>
  <c r="G243" i="1" s="1"/>
  <c r="G244" i="1" s="1"/>
  <c r="G245" i="1" s="1"/>
  <c r="G246" i="1" s="1"/>
  <c r="E237" i="1"/>
  <c r="D237" i="1"/>
  <c r="E236" i="1"/>
  <c r="D236" i="1"/>
  <c r="E235" i="1"/>
  <c r="D235" i="1"/>
  <c r="E234" i="1"/>
  <c r="D234" i="1"/>
  <c r="I235" i="1"/>
  <c r="A235" i="1"/>
  <c r="A236" i="1" s="1"/>
  <c r="A237" i="1" s="1"/>
  <c r="I234" i="1"/>
  <c r="G234" i="1"/>
  <c r="G235" i="1" s="1"/>
  <c r="G236" i="1" s="1"/>
  <c r="G237" i="1" s="1"/>
  <c r="E232" i="1"/>
  <c r="D232" i="1"/>
  <c r="E231" i="1"/>
  <c r="D231" i="1"/>
  <c r="E230" i="1"/>
  <c r="D230" i="1"/>
  <c r="E229" i="1"/>
  <c r="D229" i="1"/>
  <c r="I230" i="1"/>
  <c r="A230" i="1"/>
  <c r="A231" i="1" s="1"/>
  <c r="A232" i="1" s="1"/>
  <c r="I229" i="1"/>
  <c r="G229" i="1"/>
  <c r="G230" i="1" s="1"/>
  <c r="G231" i="1" s="1"/>
  <c r="G232" i="1" s="1"/>
  <c r="E227" i="1"/>
  <c r="D227" i="1"/>
  <c r="E226" i="1"/>
  <c r="D226" i="1"/>
  <c r="E225" i="1"/>
  <c r="D225" i="1"/>
  <c r="E224" i="1"/>
  <c r="D224" i="1"/>
  <c r="G224" i="1"/>
  <c r="E222" i="1"/>
  <c r="D222" i="1"/>
  <c r="E221" i="1"/>
  <c r="D221" i="1"/>
  <c r="E220" i="1"/>
  <c r="D220" i="1"/>
  <c r="E219" i="1"/>
  <c r="D219" i="1"/>
  <c r="G219" i="1"/>
  <c r="O219" i="1"/>
  <c r="P224" i="1"/>
  <c r="O269" i="1"/>
  <c r="P269" i="1"/>
  <c r="P343" i="1"/>
  <c r="O224" i="1"/>
  <c r="P306" i="1"/>
  <c r="P336" i="1"/>
  <c r="O336" i="1"/>
  <c r="O306" i="1"/>
  <c r="P299" i="1"/>
  <c r="P219" i="1"/>
  <c r="O299" i="1"/>
  <c r="O343" i="1"/>
  <c r="F283" i="1" l="1"/>
  <c r="F225" i="1"/>
  <c r="F232" i="1"/>
  <c r="F237" i="1"/>
  <c r="F250" i="1"/>
  <c r="F252" i="1"/>
  <c r="F347" i="1"/>
  <c r="E163" i="1"/>
  <c r="E166" i="1"/>
  <c r="F318" i="1"/>
  <c r="F320" i="1"/>
  <c r="F325" i="1"/>
  <c r="F327" i="1"/>
  <c r="F332" i="1"/>
  <c r="F334" i="1"/>
  <c r="F241" i="1"/>
  <c r="C164" i="1"/>
  <c r="E164" i="1"/>
  <c r="F285" i="1"/>
  <c r="F287" i="1"/>
  <c r="F292" i="1"/>
  <c r="F294" i="1"/>
  <c r="F296" i="1"/>
  <c r="C166" i="1"/>
  <c r="F324" i="1"/>
  <c r="F331" i="1"/>
  <c r="F344" i="1"/>
  <c r="C163" i="1"/>
  <c r="F278" i="1"/>
  <c r="F280" i="1"/>
  <c r="F282" i="1"/>
  <c r="F304" i="1"/>
  <c r="F337" i="1"/>
  <c r="F339" i="1"/>
  <c r="F341" i="1"/>
  <c r="C165" i="1"/>
  <c r="F319" i="1"/>
  <c r="E165" i="1"/>
  <c r="F340" i="1"/>
  <c r="F302" i="1"/>
  <c r="F229" i="1"/>
  <c r="F249" i="1"/>
  <c r="F251" i="1"/>
  <c r="F253" i="1"/>
  <c r="F293" i="1"/>
  <c r="F297" i="1"/>
  <c r="F299" i="1"/>
  <c r="F301" i="1"/>
  <c r="F303" i="1"/>
  <c r="F322" i="1"/>
  <c r="F323" i="1"/>
  <c r="F329" i="1"/>
  <c r="F330" i="1"/>
  <c r="F336" i="1"/>
  <c r="F269" i="1"/>
  <c r="F271" i="1"/>
  <c r="F273" i="1"/>
  <c r="F288" i="1"/>
  <c r="F310" i="1"/>
  <c r="F338" i="1"/>
  <c r="F345" i="1"/>
  <c r="F236" i="1"/>
  <c r="F279" i="1"/>
  <c r="J279" i="1" s="1"/>
  <c r="F307" i="1"/>
  <c r="F315" i="1"/>
  <c r="F317" i="1"/>
  <c r="F326" i="1"/>
  <c r="F333" i="1"/>
  <c r="F346" i="1"/>
  <c r="O344" i="1"/>
  <c r="N343" i="1"/>
  <c r="P344" i="1"/>
  <c r="P345" i="1" s="1"/>
  <c r="P346" i="1" s="1"/>
  <c r="P347" i="1" s="1"/>
  <c r="P348" i="1" s="1"/>
  <c r="O337" i="1"/>
  <c r="N336" i="1"/>
  <c r="P337" i="1"/>
  <c r="P338" i="1" s="1"/>
  <c r="P339" i="1" s="1"/>
  <c r="P340" i="1" s="1"/>
  <c r="P341" i="1" s="1"/>
  <c r="F316" i="1"/>
  <c r="F227" i="1"/>
  <c r="F295" i="1"/>
  <c r="F270" i="1"/>
  <c r="F272" i="1"/>
  <c r="F309" i="1"/>
  <c r="F311" i="1"/>
  <c r="F235" i="1"/>
  <c r="F281" i="1"/>
  <c r="F286" i="1"/>
  <c r="F290" i="1"/>
  <c r="F300" i="1"/>
  <c r="F308" i="1"/>
  <c r="P307" i="1"/>
  <c r="P308" i="1" s="1"/>
  <c r="P309" i="1" s="1"/>
  <c r="P310" i="1" s="1"/>
  <c r="P311" i="1" s="1"/>
  <c r="O307" i="1"/>
  <c r="N306" i="1"/>
  <c r="O300" i="1"/>
  <c r="N299" i="1"/>
  <c r="P300" i="1"/>
  <c r="P301" i="1" s="1"/>
  <c r="P302" i="1" s="1"/>
  <c r="P303" i="1" s="1"/>
  <c r="P304" i="1" s="1"/>
  <c r="F289" i="1"/>
  <c r="O270" i="1"/>
  <c r="N269" i="1"/>
  <c r="P270" i="1"/>
  <c r="P271" i="1" s="1"/>
  <c r="P272" i="1" s="1"/>
  <c r="P273" i="1" s="1"/>
  <c r="P274" i="1" s="1"/>
  <c r="F222" i="1"/>
  <c r="F224" i="1"/>
  <c r="F226" i="1"/>
  <c r="F221" i="1"/>
  <c r="F234" i="1"/>
  <c r="F231" i="1"/>
  <c r="F230" i="1"/>
  <c r="F220" i="1"/>
  <c r="O225" i="1"/>
  <c r="N224" i="1"/>
  <c r="P225" i="1"/>
  <c r="P226" i="1" s="1"/>
  <c r="P227" i="1" s="1"/>
  <c r="F219" i="1"/>
  <c r="O220" i="1"/>
  <c r="N219" i="1"/>
  <c r="P220" i="1"/>
  <c r="P221" i="1" s="1"/>
  <c r="P222" i="1" s="1"/>
  <c r="E215" i="1"/>
  <c r="D215" i="1"/>
  <c r="E214" i="1"/>
  <c r="D214" i="1"/>
  <c r="E213" i="1"/>
  <c r="D213" i="1"/>
  <c r="E212" i="1"/>
  <c r="D212" i="1"/>
  <c r="E211" i="1"/>
  <c r="D211" i="1"/>
  <c r="E210" i="1"/>
  <c r="D210" i="1"/>
  <c r="I211" i="1"/>
  <c r="A211" i="1"/>
  <c r="A212" i="1" s="1"/>
  <c r="A213" i="1" s="1"/>
  <c r="A214" i="1" s="1"/>
  <c r="A215" i="1" s="1"/>
  <c r="I210" i="1"/>
  <c r="G210" i="1"/>
  <c r="G211" i="1" s="1"/>
  <c r="G212" i="1" s="1"/>
  <c r="G213" i="1" s="1"/>
  <c r="G214" i="1" s="1"/>
  <c r="G215" i="1" s="1"/>
  <c r="D208" i="1"/>
  <c r="F208" i="1" s="1"/>
  <c r="E207" i="1"/>
  <c r="D207" i="1"/>
  <c r="E206" i="1"/>
  <c r="D206" i="1"/>
  <c r="E205" i="1"/>
  <c r="D205" i="1"/>
  <c r="E204" i="1"/>
  <c r="D204" i="1"/>
  <c r="D203" i="1"/>
  <c r="F203" i="1" s="1"/>
  <c r="I204" i="1"/>
  <c r="A204" i="1"/>
  <c r="A205" i="1" s="1"/>
  <c r="A206" i="1" s="1"/>
  <c r="A207" i="1" s="1"/>
  <c r="A208" i="1" s="1"/>
  <c r="I203" i="1"/>
  <c r="G203" i="1"/>
  <c r="G204" i="1" s="1"/>
  <c r="G205" i="1" s="1"/>
  <c r="G206" i="1" s="1"/>
  <c r="G207" i="1" s="1"/>
  <c r="G208" i="1" s="1"/>
  <c r="E201" i="1"/>
  <c r="D201" i="1"/>
  <c r="E200" i="1"/>
  <c r="D200" i="1"/>
  <c r="E199" i="1"/>
  <c r="D199" i="1"/>
  <c r="E198" i="1"/>
  <c r="D198" i="1"/>
  <c r="E197" i="1"/>
  <c r="D197" i="1"/>
  <c r="E196" i="1"/>
  <c r="D196" i="1"/>
  <c r="I197" i="1"/>
  <c r="A197" i="1"/>
  <c r="A198" i="1" s="1"/>
  <c r="A199" i="1" s="1"/>
  <c r="A200" i="1" s="1"/>
  <c r="A201" i="1" s="1"/>
  <c r="I196" i="1"/>
  <c r="G196" i="1"/>
  <c r="G197" i="1" s="1"/>
  <c r="G198" i="1" s="1"/>
  <c r="G199" i="1" s="1"/>
  <c r="G200" i="1" s="1"/>
  <c r="G201" i="1" s="1"/>
  <c r="E194" i="1"/>
  <c r="D194" i="1"/>
  <c r="E193" i="1"/>
  <c r="D193" i="1"/>
  <c r="E192" i="1"/>
  <c r="D192" i="1"/>
  <c r="E191" i="1"/>
  <c r="D191" i="1"/>
  <c r="E190" i="1"/>
  <c r="D190" i="1"/>
  <c r="E189" i="1"/>
  <c r="D189" i="1"/>
  <c r="G189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0" i="1"/>
  <c r="D180" i="1"/>
  <c r="E179" i="1"/>
  <c r="D179" i="1"/>
  <c r="E178" i="1"/>
  <c r="D178" i="1"/>
  <c r="E177" i="1"/>
  <c r="D177" i="1"/>
  <c r="E176" i="1"/>
  <c r="D176" i="1"/>
  <c r="I176" i="1"/>
  <c r="E175" i="1"/>
  <c r="D175" i="1"/>
  <c r="P189" i="1"/>
  <c r="O189" i="1"/>
  <c r="E162" i="1" l="1"/>
  <c r="E167" i="1" s="1"/>
  <c r="G163" i="1"/>
  <c r="G165" i="1"/>
  <c r="C162" i="1"/>
  <c r="C167" i="1" s="1"/>
  <c r="G166" i="1"/>
  <c r="F205" i="1"/>
  <c r="F194" i="1"/>
  <c r="F197" i="1"/>
  <c r="F199" i="1"/>
  <c r="F201" i="1"/>
  <c r="O345" i="1"/>
  <c r="N344" i="1"/>
  <c r="O338" i="1"/>
  <c r="N337" i="1"/>
  <c r="F212" i="1"/>
  <c r="F214" i="1"/>
  <c r="F207" i="1"/>
  <c r="O308" i="1"/>
  <c r="N307" i="1"/>
  <c r="O301" i="1"/>
  <c r="N300" i="1"/>
  <c r="O271" i="1"/>
  <c r="N270" i="1"/>
  <c r="F213" i="1"/>
  <c r="F191" i="1"/>
  <c r="F193" i="1"/>
  <c r="F211" i="1"/>
  <c r="O226" i="1"/>
  <c r="N225" i="1"/>
  <c r="F190" i="1"/>
  <c r="F210" i="1"/>
  <c r="F196" i="1"/>
  <c r="K196" i="1" s="1"/>
  <c r="F200" i="1"/>
  <c r="F204" i="1"/>
  <c r="F206" i="1"/>
  <c r="F215" i="1"/>
  <c r="O221" i="1"/>
  <c r="N220" i="1"/>
  <c r="F198" i="1"/>
  <c r="F192" i="1"/>
  <c r="F189" i="1"/>
  <c r="P190" i="1"/>
  <c r="P191" i="1" s="1"/>
  <c r="P192" i="1" s="1"/>
  <c r="P193" i="1" s="1"/>
  <c r="P194" i="1" s="1"/>
  <c r="O190" i="1"/>
  <c r="N189" i="1"/>
  <c r="O346" i="1" l="1"/>
  <c r="N345" i="1"/>
  <c r="O339" i="1"/>
  <c r="N338" i="1"/>
  <c r="O309" i="1"/>
  <c r="N308" i="1"/>
  <c r="O302" i="1"/>
  <c r="N301" i="1"/>
  <c r="O272" i="1"/>
  <c r="N271" i="1"/>
  <c r="O227" i="1"/>
  <c r="N227" i="1" s="1"/>
  <c r="N226" i="1"/>
  <c r="O222" i="1"/>
  <c r="N221" i="1"/>
  <c r="O191" i="1"/>
  <c r="N190" i="1"/>
  <c r="O347" i="1" l="1"/>
  <c r="N346" i="1"/>
  <c r="O340" i="1"/>
  <c r="N339" i="1"/>
  <c r="O310" i="1"/>
  <c r="N309" i="1"/>
  <c r="O303" i="1"/>
  <c r="N302" i="1"/>
  <c r="O273" i="1"/>
  <c r="N272" i="1"/>
  <c r="N222" i="1"/>
  <c r="O192" i="1"/>
  <c r="N191" i="1"/>
  <c r="C97" i="1"/>
  <c r="C81" i="1"/>
  <c r="J110" i="1"/>
  <c r="J109" i="1"/>
  <c r="J92" i="1"/>
  <c r="J91" i="1"/>
  <c r="J76" i="1"/>
  <c r="J75" i="1"/>
  <c r="H98" i="1"/>
  <c r="H82" i="1"/>
  <c r="H66" i="1"/>
  <c r="N347" i="1" l="1"/>
  <c r="O348" i="1"/>
  <c r="N348" i="1" s="1"/>
  <c r="O341" i="1"/>
  <c r="N341" i="1" s="1"/>
  <c r="N340" i="1"/>
  <c r="O311" i="1"/>
  <c r="N311" i="1" s="1"/>
  <c r="N310" i="1"/>
  <c r="O304" i="1"/>
  <c r="N304" i="1" s="1"/>
  <c r="N303" i="1"/>
  <c r="N273" i="1"/>
  <c r="O274" i="1"/>
  <c r="N274" i="1" s="1"/>
  <c r="O193" i="1"/>
  <c r="N192" i="1"/>
  <c r="D112" i="1"/>
  <c r="D108" i="1"/>
  <c r="J104" i="1"/>
  <c r="C103" i="1" s="1"/>
  <c r="J102" i="1"/>
  <c r="D107" i="1"/>
  <c r="D111" i="1"/>
  <c r="J105" i="1"/>
  <c r="J106" i="1" s="1"/>
  <c r="J111" i="1" s="1"/>
  <c r="J116" i="1" s="1"/>
  <c r="J117" i="1" s="1"/>
  <c r="J103" i="1"/>
  <c r="D106" i="1"/>
  <c r="D110" i="1"/>
  <c r="D109" i="1"/>
  <c r="D105" i="1"/>
  <c r="C87" i="1"/>
  <c r="D87" i="1" s="1"/>
  <c r="J85" i="1"/>
  <c r="J87" i="1"/>
  <c r="J88" i="1" s="1"/>
  <c r="J93" i="1" s="1"/>
  <c r="D94" i="1"/>
  <c r="D90" i="1"/>
  <c r="J86" i="1"/>
  <c r="C85" i="1" s="1"/>
  <c r="D85" i="1" s="1"/>
  <c r="J84" i="1"/>
  <c r="D92" i="1"/>
  <c r="D88" i="1"/>
  <c r="D91" i="1"/>
  <c r="D93" i="1"/>
  <c r="D89" i="1"/>
  <c r="C71" i="1"/>
  <c r="D71" i="1" s="1"/>
  <c r="D77" i="1"/>
  <c r="J69" i="1"/>
  <c r="D78" i="1"/>
  <c r="D74" i="1"/>
  <c r="J70" i="1"/>
  <c r="C69" i="1" s="1"/>
  <c r="D69" i="1" s="1"/>
  <c r="J68" i="1"/>
  <c r="D73" i="1"/>
  <c r="D76" i="1"/>
  <c r="D72" i="1"/>
  <c r="J71" i="1"/>
  <c r="J72" i="1" s="1"/>
  <c r="J77" i="1" s="1"/>
  <c r="D75" i="1"/>
  <c r="G46" i="1"/>
  <c r="G47" i="1" s="1"/>
  <c r="O182" i="1"/>
  <c r="H130" i="1"/>
  <c r="H114" i="1"/>
  <c r="O262" i="1"/>
  <c r="J135" i="1" l="1"/>
  <c r="J136" i="1" s="1"/>
  <c r="J141" i="1" s="1"/>
  <c r="J142" i="1" s="1"/>
  <c r="C134" i="1" s="1"/>
  <c r="D141" i="1"/>
  <c r="D139" i="1"/>
  <c r="D137" i="1"/>
  <c r="D135" i="1"/>
  <c r="J133" i="1"/>
  <c r="D142" i="1"/>
  <c r="D140" i="1"/>
  <c r="D138" i="1"/>
  <c r="D136" i="1"/>
  <c r="J134" i="1"/>
  <c r="C133" i="1" s="1"/>
  <c r="D133" i="1" s="1"/>
  <c r="J132" i="1"/>
  <c r="J121" i="1"/>
  <c r="J122" i="1" s="1"/>
  <c r="J127" i="1" s="1"/>
  <c r="J128" i="1" s="1"/>
  <c r="C120" i="1" s="1"/>
  <c r="D127" i="1"/>
  <c r="D125" i="1"/>
  <c r="D123" i="1"/>
  <c r="D121" i="1"/>
  <c r="J119" i="1"/>
  <c r="D128" i="1"/>
  <c r="D126" i="1"/>
  <c r="D124" i="1"/>
  <c r="D122" i="1"/>
  <c r="J120" i="1"/>
  <c r="C119" i="1" s="1"/>
  <c r="J118" i="1"/>
  <c r="O194" i="1"/>
  <c r="N194" i="1" s="1"/>
  <c r="N193" i="1"/>
  <c r="J107" i="1"/>
  <c r="J108" i="1" s="1"/>
  <c r="D103" i="1"/>
  <c r="J89" i="1"/>
  <c r="J90" i="1" s="1"/>
  <c r="J95" i="1" s="1"/>
  <c r="J73" i="1"/>
  <c r="J74" i="1" s="1"/>
  <c r="J79" i="1" s="1"/>
  <c r="J80" i="1" s="1"/>
  <c r="J96" i="1" l="1"/>
  <c r="J101" i="1"/>
  <c r="E133" i="1"/>
  <c r="I129" i="1" s="1"/>
  <c r="C131" i="1" s="1"/>
  <c r="D134" i="1"/>
  <c r="G133" i="1"/>
  <c r="E119" i="1"/>
  <c r="D120" i="1"/>
  <c r="G119" i="1"/>
  <c r="D119" i="1"/>
  <c r="J112" i="1"/>
  <c r="C104" i="1" s="1"/>
  <c r="J94" i="1"/>
  <c r="C86" i="1" s="1"/>
  <c r="J78" i="1"/>
  <c r="C70" i="1" s="1"/>
  <c r="A176" i="1"/>
  <c r="A177" i="1" s="1"/>
  <c r="A178" i="1" s="1"/>
  <c r="A179" i="1" s="1"/>
  <c r="A180" i="1" s="1"/>
  <c r="P182" i="1"/>
  <c r="P262" i="1"/>
  <c r="I113" i="1" l="1"/>
  <c r="E103" i="1"/>
  <c r="I97" i="1" s="1"/>
  <c r="D104" i="1"/>
  <c r="G103" i="1"/>
  <c r="E85" i="1"/>
  <c r="I81" i="1" s="1"/>
  <c r="D86" i="1"/>
  <c r="G85" i="1"/>
  <c r="E69" i="1"/>
  <c r="I65" i="1" s="1"/>
  <c r="D70" i="1"/>
  <c r="G69" i="1"/>
  <c r="N182" i="1"/>
  <c r="N262" i="1"/>
  <c r="D64" i="1" l="1"/>
  <c r="F143" i="1" s="1"/>
  <c r="C13" i="1" l="1"/>
  <c r="E40" i="1" l="1"/>
  <c r="E41" i="1" s="1"/>
  <c r="F266" i="1" l="1"/>
  <c r="F265" i="1"/>
  <c r="F264" i="1"/>
  <c r="F263" i="1"/>
  <c r="G262" i="1"/>
  <c r="G263" i="1" s="1"/>
  <c r="G264" i="1" s="1"/>
  <c r="G265" i="1" s="1"/>
  <c r="G266" i="1" s="1"/>
  <c r="G267" i="1" s="1"/>
  <c r="F262" i="1"/>
  <c r="F187" i="1"/>
  <c r="F186" i="1"/>
  <c r="F185" i="1"/>
  <c r="F184" i="1"/>
  <c r="F183" i="1"/>
  <c r="F182" i="1"/>
  <c r="F176" i="1"/>
  <c r="F177" i="1"/>
  <c r="F178" i="1"/>
  <c r="F179" i="1"/>
  <c r="F180" i="1"/>
  <c r="J180" i="1" s="1"/>
  <c r="F175" i="1"/>
  <c r="G164" i="1" l="1"/>
  <c r="G162" i="1"/>
  <c r="O263" i="1"/>
  <c r="O183" i="1"/>
  <c r="G167" i="1" l="1"/>
  <c r="P183" i="1"/>
  <c r="P184" i="1" s="1"/>
  <c r="P185" i="1" s="1"/>
  <c r="P186" i="1" s="1"/>
  <c r="P187" i="1" s="1"/>
  <c r="P263" i="1"/>
  <c r="P264" i="1" s="1"/>
  <c r="P265" i="1" s="1"/>
  <c r="P266" i="1" s="1"/>
  <c r="P267" i="1" s="1"/>
  <c r="O264" i="1"/>
  <c r="O184" i="1"/>
  <c r="G182" i="1"/>
  <c r="G175" i="1"/>
  <c r="G176" i="1" s="1"/>
  <c r="G177" i="1" s="1"/>
  <c r="G178" i="1" s="1"/>
  <c r="G179" i="1" s="1"/>
  <c r="G180" i="1" s="1"/>
  <c r="E24" i="1"/>
  <c r="E22" i="1"/>
  <c r="N264" i="1" l="1"/>
  <c r="N263" i="1"/>
  <c r="N183" i="1"/>
  <c r="N184" i="1"/>
  <c r="O265" i="1"/>
  <c r="N265" i="1" s="1"/>
  <c r="O185" i="1"/>
  <c r="N185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266" i="1" l="1"/>
  <c r="N266" i="1" s="1"/>
  <c r="O186" i="1"/>
  <c r="N186" i="1" s="1"/>
  <c r="G12" i="5"/>
  <c r="O267" i="1" l="1"/>
  <c r="N267" i="1" s="1"/>
  <c r="O187" i="1"/>
  <c r="N187" i="1" s="1"/>
  <c r="E7" i="1" l="1"/>
  <c r="D372" i="1" l="1"/>
  <c r="F159" i="1"/>
  <c r="C46" i="1"/>
  <c r="C47" i="1" s="1"/>
  <c r="D53" i="1"/>
</calcChain>
</file>

<file path=xl/sharedStrings.xml><?xml version="1.0" encoding="utf-8"?>
<sst xmlns="http://schemas.openxmlformats.org/spreadsheetml/2006/main" count="604" uniqueCount="247">
  <si>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</si>
  <si>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</si>
  <si>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</si>
  <si>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</si>
  <si>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</si>
  <si>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</si>
  <si>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</si>
  <si>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</si>
  <si>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</si>
  <si>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</si>
  <si>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</si>
  <si>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</si>
  <si>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</si>
  <si>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</si>
  <si>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</si>
  <si>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</si>
  <si>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</si>
  <si>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</si>
  <si>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</si>
  <si>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</si>
  <si>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</si>
  <si>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</si>
  <si>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</si>
  <si>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</si>
  <si>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</si>
  <si>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</si>
  <si>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</si>
  <si>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</si>
  <si>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</si>
  <si>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</si>
  <si>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</si>
  <si>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</si>
  <si>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</si>
  <si>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</si>
  <si>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</si>
  <si>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</si>
  <si>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</si>
  <si>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</si>
  <si>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</si>
  <si>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</si>
  <si>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</si>
  <si>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</si>
  <si>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</si>
  <si>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</si>
  <si>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</si>
  <si>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</si>
  <si>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</si>
  <si>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</si>
  <si>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</si>
  <si>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</si>
  <si>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</si>
  <si>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</si>
  <si>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</si>
  <si>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</si>
  <si>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</si>
  <si>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</si>
  <si>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</si>
  <si>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</si>
  <si>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</si>
  <si>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</si>
  <si>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</si>
  <si>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</si>
  <si>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</si>
  <si>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</si>
  <si>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</si>
  <si>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</si>
  <si>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</si>
  <si>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</si>
  <si>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</si>
  <si>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</si>
  <si>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</si>
  <si>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</si>
  <si>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</si>
  <si>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</si>
  <si>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</si>
  <si>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</si>
  <si>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</si>
  <si>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</si>
  <si>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</si>
  <si>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</si>
  <si>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</si>
  <si>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</si>
  <si>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</si>
  <si>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</si>
  <si>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</si>
  <si>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</si>
  <si>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</si>
  <si>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</si>
  <si>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</si>
  <si>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</si>
  <si>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</si>
  <si>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</si>
  <si>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Sudhir Bhosale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</si>
  <si>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</si>
  <si>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</si>
  <si>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</si>
  <si>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</si>
  <si>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</si>
  <si>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</si>
  <si>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</si>
  <si>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</si>
  <si>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</si>
  <si>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</si>
  <si>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</si>
  <si>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</si>
  <si>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</si>
  <si>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</si>
  <si>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</si>
  <si>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</si>
  <si>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</si>
  <si>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</si>
  <si>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</si>
  <si>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</si>
  <si>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</si>
  <si>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</si>
  <si>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</si>
  <si>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</si>
  <si>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</si>
  <si>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</si>
  <si>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</si>
  <si>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</si>
  <si>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</si>
  <si>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</si>
  <si>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</si>
  <si>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</si>
  <si>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</si>
  <si>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</si>
  <si>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</si>
  <si>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</si>
  <si>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</si>
  <si>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</si>
  <si>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</si>
  <si>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</si>
  <si>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</si>
  <si>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</si>
  <si>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</si>
  <si>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</si>
  <si>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</si>
  <si>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</si>
  <si>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</si>
  <si>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</si>
  <si>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</si>
  <si>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</si>
  <si>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</si>
  <si>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</si>
  <si>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</si>
  <si>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</si>
  <si>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</si>
  <si>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</si>
  <si>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</si>
  <si>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</si>
  <si>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</si>
  <si>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</si>
  <si>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</si>
  <si>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</si>
  <si>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</si>
  <si>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</si>
  <si>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</si>
  <si>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</si>
  <si>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</si>
  <si>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</si>
  <si>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Wing - C</t>
  </si>
  <si>
    <t>Ground Floor for Parking</t>
  </si>
  <si>
    <t>1st Floor for Residentail</t>
  </si>
  <si>
    <t>1BHK</t>
  </si>
  <si>
    <t>2BHK</t>
  </si>
  <si>
    <t>Axis Sanpada</t>
  </si>
  <si>
    <t>2nd, 4th, 6th &amp; 10th, 12th, 14th &amp;16th Floor</t>
  </si>
  <si>
    <t>3rd, 7th, 9th, 11th, 15th &amp; 17th Floor</t>
  </si>
  <si>
    <t>5th Floor (Part Refuge Area)</t>
  </si>
  <si>
    <t>8th &amp; 18th Floor (Part Refuge Area)</t>
  </si>
  <si>
    <t>13th Floor (Part Refuge Area)</t>
  </si>
  <si>
    <t>Wing - C1</t>
  </si>
  <si>
    <t>1st, 3rd, 7th, 9th &amp; 11th Floor for Residential</t>
  </si>
  <si>
    <t>2nd, 4th, 6th, 10th &amp; 12th Floor</t>
  </si>
  <si>
    <t>8th Floor (Part Refuge Area)</t>
  </si>
  <si>
    <t>Wing - L</t>
  </si>
  <si>
    <t xml:space="preserve">2nd, 4th, 6th, 10th, 12th, 14th, 16th &amp; 20th Floor </t>
  </si>
  <si>
    <t>5th &amp; 13th Floor (Part Refuge Area)</t>
  </si>
  <si>
    <t>Refuge area</t>
  </si>
  <si>
    <t>Wing - M</t>
  </si>
  <si>
    <t>3rd, 7th, 9th, 11th, 15th, 17th &amp; 19th Floor</t>
  </si>
  <si>
    <t>Wing - N</t>
  </si>
  <si>
    <t>3rd,7th, 9th, 11th, 15th, 17th &amp; 19th Floor</t>
  </si>
  <si>
    <t>Phase - 2 (Wing - C, C1, L, M, N)</t>
  </si>
  <si>
    <t>Approved Plans, CC.</t>
  </si>
  <si>
    <t>P51700008088</t>
  </si>
  <si>
    <t>Survey No</t>
  </si>
  <si>
    <t>Chikhaloli</t>
  </si>
  <si>
    <t>Ambarnath</t>
  </si>
  <si>
    <t>Thane</t>
  </si>
  <si>
    <t>Chikhaloli East</t>
  </si>
  <si>
    <t>Internal Road</t>
  </si>
  <si>
    <t>Mahalaxmi Paradise</t>
  </si>
  <si>
    <t>Residential</t>
  </si>
  <si>
    <t>Satyam Elegenza</t>
  </si>
  <si>
    <t>Open Land</t>
  </si>
  <si>
    <t>Karrm Gardens</t>
  </si>
  <si>
    <t>AMP/NRV/BP/19-20/717/8958/47</t>
  </si>
  <si>
    <t>Flats - 500</t>
  </si>
  <si>
    <t>We considered  Saleable area  as per our calculation.</t>
  </si>
  <si>
    <t>We considered Gross carpet area = Net carpet + Enclose balcony + E.P Area.</t>
  </si>
  <si>
    <t>M/s. Tharwani Constructions Pvt Ltd</t>
  </si>
  <si>
    <t>https://goo.gl/maps/2JK6N8yWcDYAB9HM9</t>
  </si>
  <si>
    <t>135/3A, 138/1P, 138/2, 134/1A, 1B, 1C, 1D(P), 134/2</t>
  </si>
  <si>
    <t>3.5 km  from Badlapur Railway Station</t>
  </si>
  <si>
    <t>2nd, 4th, 6th, 10th, 12th, 14th &amp; 16th Floor</t>
  </si>
  <si>
    <t>2nd, 4th, 6th, 10th, 12th, 14th &amp;16th Floor</t>
  </si>
  <si>
    <t xml:space="preserve">Valid Up to:  
Wing - C = G/St + 1st to 18th Floor
Wing - C1 = G/St + 1st to 12th Floor
Wing - L = G/St + 1st to 20th Floor
Wing - M &amp; N = G/St + 1st to 19th Floor
</t>
  </si>
  <si>
    <t>Wing - K is mentioned in RERA, but approved plans &amp; CC of Wing K is not provided.</t>
  </si>
  <si>
    <t>Society Development Charges</t>
  </si>
  <si>
    <t>Advance Maintenance Charges (3 years)</t>
  </si>
  <si>
    <t>Grill Charges</t>
  </si>
  <si>
    <t>Amenties Charges</t>
  </si>
  <si>
    <t>Club House Charges</t>
  </si>
  <si>
    <t>3700 to 4000</t>
  </si>
  <si>
    <t>Abhishek</t>
  </si>
  <si>
    <t>Cost sheet</t>
  </si>
  <si>
    <t>Other Charges added by Abhishek by cost sheet</t>
  </si>
  <si>
    <t>*</t>
  </si>
  <si>
    <t>Miss. Prachi - 9930557000</t>
  </si>
  <si>
    <t>5 Wings</t>
  </si>
  <si>
    <t>Wing C = G/St + 1st to 18th Floor</t>
  </si>
  <si>
    <t>Wing C1 = G/St + 1st to 12th Floor</t>
  </si>
  <si>
    <t>Wing L = G/St + 1st to 20th Floor</t>
  </si>
  <si>
    <t>Wing N = G/St + 1st to 19th Floor</t>
  </si>
  <si>
    <t xml:space="preserve">Wing C = G/St + 1st to 18th Floor
Wing C1 = G/St + 1st to 12th Floor
Wing L = G/St + 1st to 20th Floor
Wing M &amp; N = G/St + 1st to 19th Floor
</t>
  </si>
  <si>
    <t>Location Link</t>
  </si>
  <si>
    <t>4000 to 4300</t>
  </si>
  <si>
    <t>Rushikesh By costsheet</t>
  </si>
  <si>
    <t>Wing C1</t>
  </si>
  <si>
    <t>Wing C</t>
  </si>
  <si>
    <t>Wing L</t>
  </si>
  <si>
    <t>Wing M</t>
  </si>
  <si>
    <t>Wing N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</si>
  <si>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</si>
  <si>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Wing M &amp; N = G/St + 1st to 19th Floor</t>
  </si>
  <si>
    <t xml:space="preserve">As per RERA, completion period of project Tharwanis Meghna Montana Phase II is expired on 30/08/2019 but still Wing L, M &amp; N  is under construction.
</t>
  </si>
  <si>
    <t>Tharwanis Meghna Montana Phase II</t>
  </si>
  <si>
    <t>ANP/NRV/2023-24/1238
Approved upto : Bldg C = Gr/St + 1st to 18th Floor
Total Flats = 108 Nos.</t>
  </si>
  <si>
    <t>AMC/TPD/OCC/2023-24/1258
Approved upto : Bldg C1 = Gr/St + 1st to 12 Floor
Total Built Up Area = 3259.70 Sq. Mt.</t>
  </si>
  <si>
    <t>Pooja</t>
  </si>
  <si>
    <t>AMC/TPD/2024-25/978
Approved upto : Wing L = Gr/St + 1st to 20th Floor
Wing M &amp; N = Gr/St + 1st to 19th Floor</t>
  </si>
  <si>
    <t>We have updated OC for Wing C &amp; C1 from Rera (On 30/10/2024).</t>
  </si>
  <si>
    <t>We have updated OC for Wing L, M &amp; N (On 30/10/2024).</t>
  </si>
  <si>
    <t>Completed</t>
  </si>
  <si>
    <t>Wing C &amp; C1 = All work completed. OC Received.
Wing L, M &amp; N = All work completed. OC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</si>
</sst>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8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9"/>
    <xf numFmtId="0" fontId="7" fillId="2" borderId="0" xfId="1" applyFont="1" applyFill="1"/>
    <xf numFmtId="0" fontId="16" fillId="2" borderId="0" xfId="1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6" xfId="1" applyFont="1" applyFill="1" applyBorder="1" applyAlignment="1" applyProtection="1">
      <alignment horizont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6" fillId="2" borderId="27" xfId="1" applyFont="1" applyFill="1" applyBorder="1" applyAlignment="1">
      <alignment vertical="center"/>
    </xf>
    <xf numFmtId="0" fontId="16" fillId="2" borderId="0" xfId="1" applyFont="1" applyFill="1" applyAlignment="1">
      <alignment vertical="center"/>
    </xf>
    <xf numFmtId="14" fontId="16" fillId="2" borderId="0" xfId="1" applyNumberFormat="1" applyFont="1" applyFill="1" applyAlignment="1">
      <alignment vertical="center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0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9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14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22" fillId="0" borderId="1" xfId="9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2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1" fontId="23" fillId="0" borderId="1" xfId="0" applyNumberFormat="1" applyFont="1" applyFill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752337</xdr:colOff>
      <xdr:row>415</xdr:row>
      <xdr:rowOff>33616</xdr:rowOff>
    </xdr:from>
    <xdr:to>
      <xdr:col>7</xdr:col>
      <xdr:colOff>204059</xdr:colOff>
      <xdr:row>433</xdr:row>
      <xdr:rowOff>137383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2337" y="92840734"/>
          <a:ext cx="5581340" cy="37344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705978</xdr:colOff>
      <xdr:row>434</xdr:row>
      <xdr:rowOff>105581</xdr:rowOff>
    </xdr:from>
    <xdr:to>
      <xdr:col>7</xdr:col>
      <xdr:colOff>196421</xdr:colOff>
      <xdr:row>453</xdr:row>
      <xdr:rowOff>7640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5978" y="96745110"/>
          <a:ext cx="5620061" cy="37344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1</xdr:colOff>
      <xdr:row>371</xdr:row>
      <xdr:rowOff>0</xdr:rowOff>
    </xdr:from>
    <xdr:ext cx="249364" cy="280205"/>
    <xdr:sp macro="" textlink="">
      <xdr:nvSpPr>
        <xdr:cNvPr id="30" name="TextBox 29"/>
        <xdr:cNvSpPr txBox="1"/>
      </xdr:nvSpPr>
      <xdr:spPr>
        <a:xfrm>
          <a:off x="7213601" y="68967350"/>
          <a:ext cx="249364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</a:t>
          </a:r>
        </a:p>
      </xdr:txBody>
    </xdr:sp>
    <xdr:clientData/>
  </xdr:oneCellAnchor>
  <xdr:oneCellAnchor>
    <xdr:from>
      <xdr:col>9</xdr:col>
      <xdr:colOff>404794</xdr:colOff>
      <xdr:row>371</xdr:row>
      <xdr:rowOff>0</xdr:rowOff>
    </xdr:from>
    <xdr:ext cx="316240" cy="280205"/>
    <xdr:sp macro="" textlink="">
      <xdr:nvSpPr>
        <xdr:cNvPr id="31" name="TextBox 30"/>
        <xdr:cNvSpPr txBox="1"/>
      </xdr:nvSpPr>
      <xdr:spPr>
        <a:xfrm>
          <a:off x="8837594" y="68967350"/>
          <a:ext cx="316240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</a:t>
          </a:r>
        </a:p>
      </xdr:txBody>
    </xdr:sp>
    <xdr:clientData/>
  </xdr:oneCellAnchor>
  <xdr:oneCellAnchor>
    <xdr:from>
      <xdr:col>11</xdr:col>
      <xdr:colOff>460337</xdr:colOff>
      <xdr:row>371</xdr:row>
      <xdr:rowOff>0</xdr:rowOff>
    </xdr:from>
    <xdr:ext cx="283989" cy="280205"/>
    <xdr:sp macro="" textlink="">
      <xdr:nvSpPr>
        <xdr:cNvPr id="32" name="TextBox 31"/>
        <xdr:cNvSpPr txBox="1"/>
      </xdr:nvSpPr>
      <xdr:spPr>
        <a:xfrm>
          <a:off x="10461587" y="68967350"/>
          <a:ext cx="283989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</a:t>
          </a:r>
        </a:p>
      </xdr:txBody>
    </xdr:sp>
    <xdr:clientData/>
  </xdr:oneCellAnchor>
  <xdr:oneCellAnchor>
    <xdr:from>
      <xdr:col>16</xdr:col>
      <xdr:colOff>522230</xdr:colOff>
      <xdr:row>371</xdr:row>
      <xdr:rowOff>0</xdr:rowOff>
    </xdr:from>
    <xdr:ext cx="266740" cy="280205"/>
    <xdr:sp macro="" textlink="">
      <xdr:nvSpPr>
        <xdr:cNvPr id="33" name="TextBox 32"/>
        <xdr:cNvSpPr txBox="1"/>
      </xdr:nvSpPr>
      <xdr:spPr>
        <a:xfrm>
          <a:off x="12085580" y="68967350"/>
          <a:ext cx="266740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twoCellAnchor>
    <xdr:from>
      <xdr:col>0</xdr:col>
      <xdr:colOff>361950</xdr:colOff>
      <xdr:row>372</xdr:row>
      <xdr:rowOff>76200</xdr:rowOff>
    </xdr:from>
    <xdr:to>
      <xdr:col>7</xdr:col>
      <xdr:colOff>822774</xdr:colOff>
      <xdr:row>412</xdr:row>
      <xdr:rowOff>47951</xdr:rowOff>
    </xdr:to>
    <xdr:grpSp>
      <xdr:nvGrpSpPr>
        <xdr:cNvPr id="4" name="Group 3"/>
        <xdr:cNvGrpSpPr/>
      </xdr:nvGrpSpPr>
      <xdr:grpSpPr>
        <a:xfrm>
          <a:off x="361950" y="65697100"/>
          <a:ext cx="6436174" cy="7839401"/>
          <a:chOff x="361950" y="65697100"/>
          <a:chExt cx="6436174" cy="7839401"/>
        </a:xfrm>
      </xdr:grpSpPr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47343" y="71376501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656971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1175" y="656971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0400" y="656971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1950" y="6852961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1175" y="6852961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0400" y="68529613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5</xdr:col>
      <xdr:colOff>715325</xdr:colOff>
      <xdr:row>32</xdr:row>
      <xdr:rowOff>56071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865783"/>
          <a:ext cx="6181846" cy="3294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2JK6N8yWcDYAB9HM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5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8" customWidth="1"/>
    <col min="2" max="2" width="12" style="8" customWidth="1"/>
    <col min="3" max="3" width="12.7265625" style="8" customWidth="1"/>
    <col min="4" max="4" width="14.1796875" style="8" customWidth="1"/>
    <col min="5" max="7" width="11.7265625" style="8" customWidth="1"/>
    <col min="8" max="8" width="17.7265625" style="8" customWidth="1"/>
    <col min="9" max="9" width="17.453125" style="3" customWidth="1"/>
    <col min="10" max="10" width="11.453125" style="3" customWidth="1"/>
    <col min="11" max="11" width="11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0.4531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56" t="s">
        <v>235</v>
      </c>
      <c r="B1" s="156"/>
      <c r="C1" s="156"/>
      <c r="D1" s="156"/>
      <c r="E1" s="156"/>
      <c r="F1" s="156"/>
      <c r="G1" s="156"/>
      <c r="H1" s="156"/>
    </row>
    <row r="2" spans="1:8" ht="16.5" customHeight="1" x14ac:dyDescent="0.35">
      <c r="A2" s="88" t="s">
        <v>0</v>
      </c>
      <c r="B2" s="88"/>
      <c r="C2" s="88"/>
      <c r="D2" s="88"/>
      <c r="E2" s="88"/>
      <c r="F2" s="88"/>
      <c r="G2" s="88"/>
      <c r="H2" s="88"/>
    </row>
    <row r="3" spans="1:8" x14ac:dyDescent="0.35">
      <c r="A3" s="113" t="s">
        <v>1</v>
      </c>
      <c r="B3" s="113"/>
      <c r="C3" s="113"/>
      <c r="D3" s="113"/>
      <c r="E3" s="157" t="str">
        <f ca="1">TEXT(TODAY(),"DD/MM/YYYY")</f>
        <v>12/09/2025</v>
      </c>
      <c r="F3" s="157"/>
      <c r="G3" s="157"/>
      <c r="H3" s="157"/>
    </row>
    <row r="4" spans="1:8" ht="15" customHeight="1" x14ac:dyDescent="0.35">
      <c r="A4" s="113" t="s">
        <v>2</v>
      </c>
      <c r="B4" s="113"/>
      <c r="C4" s="113"/>
      <c r="D4" s="113"/>
      <c r="E4" s="158" t="s">
        <v>166</v>
      </c>
      <c r="F4" s="158"/>
      <c r="G4" s="158"/>
      <c r="H4" s="158"/>
    </row>
    <row r="5" spans="1:8" x14ac:dyDescent="0.35">
      <c r="A5" s="113" t="s">
        <v>3</v>
      </c>
      <c r="B5" s="113"/>
      <c r="C5" s="113"/>
      <c r="D5" s="113"/>
      <c r="E5" s="157">
        <v>45912</v>
      </c>
      <c r="F5" s="157"/>
      <c r="G5" s="157"/>
      <c r="H5" s="157"/>
    </row>
    <row r="6" spans="1:8" ht="16.5" customHeight="1" x14ac:dyDescent="0.35">
      <c r="A6" s="113" t="s">
        <v>4</v>
      </c>
      <c r="B6" s="113"/>
      <c r="C6" s="113"/>
      <c r="D6" s="113"/>
      <c r="E6" s="159" t="s">
        <v>202</v>
      </c>
      <c r="F6" s="114"/>
      <c r="G6" s="114"/>
      <c r="H6" s="114"/>
    </row>
    <row r="7" spans="1:8" ht="15" customHeight="1" x14ac:dyDescent="0.35">
      <c r="A7" s="113" t="s">
        <v>5</v>
      </c>
      <c r="B7" s="113"/>
      <c r="C7" s="113"/>
      <c r="D7" s="113"/>
      <c r="E7" s="114" t="str">
        <f>E6</f>
        <v>M/s. Tharwani Constructions Pvt Ltd</v>
      </c>
      <c r="F7" s="114"/>
      <c r="G7" s="114"/>
      <c r="H7" s="114"/>
    </row>
    <row r="8" spans="1:8" x14ac:dyDescent="0.35">
      <c r="A8" s="113" t="s">
        <v>6</v>
      </c>
      <c r="B8" s="113"/>
      <c r="C8" s="113"/>
      <c r="D8" s="113"/>
      <c r="E8" s="145" t="s">
        <v>238</v>
      </c>
      <c r="F8" s="145"/>
      <c r="G8" s="145"/>
      <c r="H8" s="145"/>
    </row>
    <row r="9" spans="1:8" x14ac:dyDescent="0.35">
      <c r="A9" s="113" t="s">
        <v>134</v>
      </c>
      <c r="B9" s="113"/>
      <c r="C9" s="113"/>
      <c r="D9" s="113"/>
      <c r="E9" s="113" t="s">
        <v>220</v>
      </c>
      <c r="F9" s="113"/>
      <c r="G9" s="113"/>
      <c r="H9" s="113"/>
    </row>
    <row r="10" spans="1:8" x14ac:dyDescent="0.35">
      <c r="A10" s="147" t="s">
        <v>7</v>
      </c>
      <c r="B10" s="147"/>
      <c r="C10" s="147"/>
      <c r="D10" s="147"/>
      <c r="E10" s="147" t="s">
        <v>184</v>
      </c>
      <c r="F10" s="147"/>
      <c r="G10" s="147"/>
      <c r="H10" s="147"/>
    </row>
    <row r="11" spans="1:8" x14ac:dyDescent="0.35">
      <c r="A11" s="113" t="s">
        <v>8</v>
      </c>
      <c r="B11" s="113"/>
      <c r="C11" s="113"/>
      <c r="D11" s="113"/>
      <c r="E11" s="146" t="s">
        <v>185</v>
      </c>
      <c r="F11" s="146"/>
      <c r="G11" s="146"/>
      <c r="H11" s="146"/>
    </row>
    <row r="12" spans="1:8" x14ac:dyDescent="0.35">
      <c r="A12" s="113" t="s">
        <v>9</v>
      </c>
      <c r="B12" s="113"/>
      <c r="C12" s="113"/>
      <c r="D12" s="113"/>
      <c r="E12" s="146" t="s">
        <v>186</v>
      </c>
      <c r="F12" s="147"/>
      <c r="G12" s="147"/>
      <c r="H12" s="147"/>
    </row>
    <row r="13" spans="1:8" ht="48.75" customHeight="1" x14ac:dyDescent="0.35">
      <c r="A13" s="114" t="s">
        <v>10</v>
      </c>
      <c r="B13" s="114"/>
      <c r="C13" s="11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Tharwanis Meghna Montana Phase II, Survey No.135/3A, 138/1P, 138/2, 134/1A, 1B, 1C, 1D(P), 134/2, near Mahalaxmi Paradise, Internal Road, Chikhaloli, Chikhaloli East, Ambarnath, Thane.</v>
      </c>
      <c r="D13" s="114"/>
      <c r="E13" s="114"/>
      <c r="F13" s="114"/>
      <c r="G13" s="114"/>
      <c r="H13" s="114"/>
    </row>
    <row r="14" spans="1:8" x14ac:dyDescent="0.35">
      <c r="A14" s="146" t="s">
        <v>187</v>
      </c>
      <c r="B14" s="146"/>
      <c r="C14" s="146" t="s">
        <v>204</v>
      </c>
      <c r="D14" s="146"/>
      <c r="E14" s="146"/>
      <c r="F14" s="146"/>
      <c r="G14" s="146"/>
      <c r="H14" s="146"/>
    </row>
    <row r="15" spans="1:8" ht="15.75" customHeight="1" x14ac:dyDescent="0.35">
      <c r="A15" s="114" t="s">
        <v>11</v>
      </c>
      <c r="B15" s="114"/>
      <c r="C15" s="147" t="s">
        <v>192</v>
      </c>
      <c r="D15" s="147"/>
      <c r="E15" s="114" t="s">
        <v>82</v>
      </c>
      <c r="F15" s="114"/>
      <c r="G15" s="146" t="s">
        <v>188</v>
      </c>
      <c r="H15" s="146"/>
    </row>
    <row r="16" spans="1:8" x14ac:dyDescent="0.35">
      <c r="A16" s="113" t="s">
        <v>13</v>
      </c>
      <c r="B16" s="113"/>
      <c r="C16" s="146" t="s">
        <v>191</v>
      </c>
      <c r="D16" s="146"/>
      <c r="E16" s="114" t="s">
        <v>12</v>
      </c>
      <c r="F16" s="114"/>
      <c r="G16" s="160" t="s">
        <v>190</v>
      </c>
      <c r="H16" s="160"/>
    </row>
    <row r="17" spans="1:8" x14ac:dyDescent="0.35">
      <c r="A17" s="113" t="s">
        <v>83</v>
      </c>
      <c r="B17" s="113"/>
      <c r="C17" s="146" t="s">
        <v>189</v>
      </c>
      <c r="D17" s="146"/>
      <c r="E17" s="114" t="s">
        <v>14</v>
      </c>
      <c r="F17" s="114"/>
      <c r="G17" s="146">
        <v>421504</v>
      </c>
      <c r="H17" s="146"/>
    </row>
    <row r="18" spans="1:8" ht="32.25" customHeight="1" x14ac:dyDescent="0.35">
      <c r="A18" s="113" t="s">
        <v>135</v>
      </c>
      <c r="B18" s="113"/>
      <c r="C18" s="114" t="s">
        <v>193</v>
      </c>
      <c r="D18" s="114"/>
      <c r="E18" s="114" t="s">
        <v>15</v>
      </c>
      <c r="F18" s="114"/>
      <c r="G18" s="146" t="s">
        <v>205</v>
      </c>
      <c r="H18" s="146"/>
    </row>
    <row r="19" spans="1:8" ht="15" customHeight="1" x14ac:dyDescent="0.35">
      <c r="A19" s="114" t="s">
        <v>87</v>
      </c>
      <c r="B19" s="114"/>
      <c r="C19" s="114"/>
      <c r="D19" s="114"/>
      <c r="E19" s="147" t="s">
        <v>16</v>
      </c>
      <c r="F19" s="147"/>
      <c r="G19" s="147"/>
      <c r="H19" s="147"/>
    </row>
    <row r="20" spans="1:8" ht="18.75" customHeight="1" x14ac:dyDescent="0.35">
      <c r="A20" s="114"/>
      <c r="B20" s="114"/>
      <c r="C20" s="114"/>
      <c r="D20" s="114"/>
      <c r="E20" s="147"/>
      <c r="F20" s="147"/>
      <c r="G20" s="147"/>
      <c r="H20" s="147"/>
    </row>
    <row r="21" spans="1:8" ht="15" customHeight="1" x14ac:dyDescent="0.35">
      <c r="A21" s="114" t="s">
        <v>17</v>
      </c>
      <c r="B21" s="114"/>
      <c r="C21" s="114"/>
      <c r="D21" s="114"/>
      <c r="E21" s="146" t="s">
        <v>18</v>
      </c>
      <c r="F21" s="146"/>
      <c r="G21" s="146"/>
      <c r="H21" s="146"/>
    </row>
    <row r="22" spans="1:8" ht="15" customHeight="1" x14ac:dyDescent="0.35">
      <c r="A22" s="113" t="s">
        <v>19</v>
      </c>
      <c r="B22" s="113"/>
      <c r="C22" s="113"/>
      <c r="D22" s="113"/>
      <c r="E22" s="146" t="str">
        <f>IF(AND(G16="Mumbai"),"Upper Class","Middle Class")</f>
        <v>Middle Class</v>
      </c>
      <c r="F22" s="146"/>
      <c r="G22" s="146"/>
      <c r="H22" s="146"/>
    </row>
    <row r="23" spans="1:8" x14ac:dyDescent="0.35">
      <c r="A23" s="113" t="s">
        <v>20</v>
      </c>
      <c r="B23" s="113"/>
      <c r="C23" s="113"/>
      <c r="D23" s="113"/>
      <c r="E23" s="146" t="s">
        <v>21</v>
      </c>
      <c r="F23" s="146"/>
      <c r="G23" s="146"/>
      <c r="H23" s="146"/>
    </row>
    <row r="24" spans="1:8" ht="15.75" customHeight="1" x14ac:dyDescent="0.35">
      <c r="A24" s="113" t="s">
        <v>22</v>
      </c>
      <c r="B24" s="113"/>
      <c r="C24" s="113"/>
      <c r="D24" s="113"/>
      <c r="E24" s="146" t="str">
        <f>IF(AND(G16="Mumbai"),"Developed","Developing")</f>
        <v>Developing</v>
      </c>
      <c r="F24" s="146"/>
      <c r="G24" s="146"/>
      <c r="H24" s="146"/>
    </row>
    <row r="25" spans="1:8" x14ac:dyDescent="0.35">
      <c r="A25" s="113" t="s">
        <v>23</v>
      </c>
      <c r="B25" s="113"/>
      <c r="C25" s="113"/>
      <c r="D25" s="113"/>
      <c r="E25" s="146" t="s">
        <v>24</v>
      </c>
      <c r="F25" s="146"/>
      <c r="G25" s="146"/>
      <c r="H25" s="146"/>
    </row>
    <row r="26" spans="1:8" x14ac:dyDescent="0.35">
      <c r="A26" s="113" t="s">
        <v>95</v>
      </c>
      <c r="B26" s="113"/>
      <c r="C26" s="113"/>
      <c r="D26" s="113"/>
      <c r="E26" s="146" t="s">
        <v>96</v>
      </c>
      <c r="F26" s="146"/>
      <c r="G26" s="146"/>
      <c r="H26" s="146"/>
    </row>
    <row r="27" spans="1:8" ht="15" customHeight="1" x14ac:dyDescent="0.35">
      <c r="A27" s="114" t="s">
        <v>35</v>
      </c>
      <c r="B27" s="114"/>
      <c r="C27" s="114"/>
      <c r="D27" s="114"/>
      <c r="E27" s="158" t="s">
        <v>194</v>
      </c>
      <c r="F27" s="158"/>
      <c r="G27" s="158"/>
      <c r="H27" s="158"/>
    </row>
    <row r="28" spans="1:8" x14ac:dyDescent="0.35">
      <c r="A28" s="114" t="s">
        <v>107</v>
      </c>
      <c r="B28" s="114"/>
      <c r="C28" s="114"/>
      <c r="D28" s="114"/>
      <c r="E28" s="114" t="s">
        <v>36</v>
      </c>
      <c r="F28" s="114"/>
      <c r="G28" s="114"/>
      <c r="H28" s="114"/>
    </row>
    <row r="29" spans="1:8" s="6" customFormat="1" x14ac:dyDescent="0.35">
      <c r="A29" s="163" t="s">
        <v>108</v>
      </c>
      <c r="B29" s="163"/>
      <c r="C29" s="162" t="s">
        <v>29</v>
      </c>
      <c r="D29" s="162"/>
      <c r="E29" s="162"/>
      <c r="F29" s="162" t="s">
        <v>31</v>
      </c>
      <c r="G29" s="162"/>
      <c r="H29" s="162"/>
    </row>
    <row r="30" spans="1:8" s="6" customFormat="1" x14ac:dyDescent="0.35">
      <c r="A30" s="161" t="s">
        <v>25</v>
      </c>
      <c r="B30" s="161" t="s">
        <v>30</v>
      </c>
      <c r="C30" s="128" t="s">
        <v>30</v>
      </c>
      <c r="D30" s="128"/>
      <c r="E30" s="128"/>
      <c r="F30" s="128" t="s">
        <v>193</v>
      </c>
      <c r="G30" s="128"/>
      <c r="H30" s="128"/>
    </row>
    <row r="31" spans="1:8" x14ac:dyDescent="0.35">
      <c r="A31" s="161" t="s">
        <v>26</v>
      </c>
      <c r="B31" s="161" t="s">
        <v>30</v>
      </c>
      <c r="C31" s="128" t="s">
        <v>30</v>
      </c>
      <c r="D31" s="128"/>
      <c r="E31" s="128"/>
      <c r="F31" s="128" t="s">
        <v>195</v>
      </c>
      <c r="G31" s="128"/>
      <c r="H31" s="128"/>
    </row>
    <row r="32" spans="1:8" s="6" customFormat="1" x14ac:dyDescent="0.35">
      <c r="A32" s="161" t="s">
        <v>28</v>
      </c>
      <c r="B32" s="161" t="s">
        <v>30</v>
      </c>
      <c r="C32" s="128" t="s">
        <v>30</v>
      </c>
      <c r="D32" s="128"/>
      <c r="E32" s="128"/>
      <c r="F32" s="128" t="s">
        <v>196</v>
      </c>
      <c r="G32" s="128"/>
      <c r="H32" s="128"/>
    </row>
    <row r="33" spans="1:9" x14ac:dyDescent="0.35">
      <c r="A33" s="161" t="s">
        <v>27</v>
      </c>
      <c r="B33" s="161" t="s">
        <v>30</v>
      </c>
      <c r="C33" s="128" t="s">
        <v>30</v>
      </c>
      <c r="D33" s="128"/>
      <c r="E33" s="128"/>
      <c r="F33" s="128" t="s">
        <v>197</v>
      </c>
      <c r="G33" s="128"/>
      <c r="H33" s="128"/>
    </row>
    <row r="34" spans="1:9" x14ac:dyDescent="0.35">
      <c r="A34" s="113" t="s">
        <v>32</v>
      </c>
      <c r="B34" s="113"/>
      <c r="C34" s="113"/>
      <c r="D34" s="113"/>
      <c r="E34" s="113"/>
      <c r="F34" s="113"/>
      <c r="G34" s="113"/>
      <c r="H34" s="113"/>
    </row>
    <row r="35" spans="1:9" ht="15.75" customHeight="1" x14ac:dyDescent="0.35">
      <c r="A35" s="88" t="s">
        <v>33</v>
      </c>
      <c r="B35" s="88"/>
      <c r="C35" s="166">
        <v>19.186352200000002</v>
      </c>
      <c r="D35" s="166"/>
      <c r="E35" s="88" t="s">
        <v>34</v>
      </c>
      <c r="F35" s="88"/>
      <c r="G35" s="167">
        <v>73.2227934</v>
      </c>
      <c r="H35" s="167"/>
      <c r="I35" s="49"/>
    </row>
    <row r="36" spans="1:9" ht="15.75" customHeight="1" x14ac:dyDescent="0.35">
      <c r="A36" s="88" t="s">
        <v>227</v>
      </c>
      <c r="B36" s="88"/>
      <c r="C36" s="164" t="s">
        <v>203</v>
      </c>
      <c r="D36" s="165"/>
      <c r="E36" s="165"/>
      <c r="F36" s="165"/>
      <c r="G36" s="165"/>
      <c r="H36" s="165"/>
      <c r="I36" s="49"/>
    </row>
    <row r="37" spans="1:9" x14ac:dyDescent="0.35">
      <c r="A37" s="145" t="s">
        <v>37</v>
      </c>
      <c r="B37" s="145"/>
      <c r="C37" s="145"/>
      <c r="D37" s="145"/>
      <c r="E37" s="145"/>
      <c r="F37" s="145"/>
      <c r="G37" s="145"/>
      <c r="H37" s="145"/>
    </row>
    <row r="38" spans="1:9" x14ac:dyDescent="0.35">
      <c r="A38" s="113" t="s">
        <v>38</v>
      </c>
      <c r="B38" s="113"/>
      <c r="C38" s="113"/>
      <c r="D38" s="113"/>
      <c r="E38" s="168">
        <v>32470.33</v>
      </c>
      <c r="F38" s="168"/>
      <c r="G38" s="168"/>
      <c r="H38" s="168"/>
    </row>
    <row r="39" spans="1:9" x14ac:dyDescent="0.35">
      <c r="A39" s="113" t="s">
        <v>39</v>
      </c>
      <c r="B39" s="113"/>
      <c r="C39" s="113"/>
      <c r="D39" s="113"/>
      <c r="E39" s="169">
        <v>1.1000000000000001</v>
      </c>
      <c r="F39" s="169"/>
      <c r="G39" s="169"/>
      <c r="H39" s="169"/>
    </row>
    <row r="40" spans="1:9" x14ac:dyDescent="0.35">
      <c r="A40" s="113" t="s">
        <v>40</v>
      </c>
      <c r="B40" s="113"/>
      <c r="C40" s="113"/>
      <c r="D40" s="113"/>
      <c r="E40" s="169">
        <f>E42/E38-E39</f>
        <v>0.19999972282388234</v>
      </c>
      <c r="F40" s="169"/>
      <c r="G40" s="169"/>
      <c r="H40" s="169"/>
    </row>
    <row r="41" spans="1:9" x14ac:dyDescent="0.35">
      <c r="A41" s="113" t="s">
        <v>41</v>
      </c>
      <c r="B41" s="113"/>
      <c r="C41" s="113"/>
      <c r="D41" s="113"/>
      <c r="E41" s="169">
        <f>E39+E40</f>
        <v>1.2999997228238824</v>
      </c>
      <c r="F41" s="169"/>
      <c r="G41" s="169"/>
      <c r="H41" s="169"/>
    </row>
    <row r="42" spans="1:9" x14ac:dyDescent="0.35">
      <c r="A42" s="113" t="s">
        <v>106</v>
      </c>
      <c r="B42" s="113"/>
      <c r="C42" s="113"/>
      <c r="D42" s="113"/>
      <c r="E42" s="170">
        <v>42211.42</v>
      </c>
      <c r="F42" s="170"/>
      <c r="G42" s="170"/>
      <c r="H42" s="170"/>
    </row>
    <row r="43" spans="1:9" x14ac:dyDescent="0.35">
      <c r="A43" s="147" t="s">
        <v>42</v>
      </c>
      <c r="B43" s="147"/>
      <c r="C43" s="147"/>
      <c r="D43" s="147"/>
      <c r="E43" s="147" t="s">
        <v>221</v>
      </c>
      <c r="F43" s="147"/>
      <c r="G43" s="147"/>
      <c r="H43" s="147"/>
    </row>
    <row r="44" spans="1:9" x14ac:dyDescent="0.35">
      <c r="A44" s="121" t="s">
        <v>43</v>
      </c>
      <c r="B44" s="121"/>
      <c r="C44" s="121"/>
      <c r="D44" s="121"/>
      <c r="E44" s="121"/>
      <c r="F44" s="121"/>
      <c r="G44" s="121"/>
      <c r="H44" s="121"/>
    </row>
    <row r="45" spans="1:9" x14ac:dyDescent="0.35">
      <c r="A45" s="146" t="s">
        <v>44</v>
      </c>
      <c r="B45" s="146"/>
      <c r="C45" s="146" t="s">
        <v>198</v>
      </c>
      <c r="D45" s="146"/>
      <c r="E45" s="146"/>
      <c r="F45" s="53" t="s">
        <v>45</v>
      </c>
      <c r="G45" s="135">
        <v>43707</v>
      </c>
      <c r="H45" s="135"/>
    </row>
    <row r="46" spans="1:9" x14ac:dyDescent="0.35">
      <c r="A46" s="147" t="s">
        <v>46</v>
      </c>
      <c r="B46" s="147"/>
      <c r="C46" s="146" t="str">
        <f>C45</f>
        <v>AMP/NRV/BP/19-20/717/8958/47</v>
      </c>
      <c r="D46" s="146"/>
      <c r="E46" s="146"/>
      <c r="F46" s="53" t="s">
        <v>45</v>
      </c>
      <c r="G46" s="135">
        <f>G45</f>
        <v>43707</v>
      </c>
      <c r="H46" s="135"/>
    </row>
    <row r="47" spans="1:9" s="5" customFormat="1" x14ac:dyDescent="0.35">
      <c r="A47" s="146" t="s">
        <v>47</v>
      </c>
      <c r="B47" s="146"/>
      <c r="C47" s="146" t="str">
        <f>C46</f>
        <v>AMP/NRV/BP/19-20/717/8958/47</v>
      </c>
      <c r="D47" s="147"/>
      <c r="E47" s="147"/>
      <c r="F47" s="59" t="s">
        <v>45</v>
      </c>
      <c r="G47" s="135">
        <f>G46</f>
        <v>43707</v>
      </c>
      <c r="H47" s="135"/>
    </row>
    <row r="48" spans="1:9" s="5" customFormat="1" ht="82.5" customHeight="1" x14ac:dyDescent="0.35">
      <c r="A48" s="146"/>
      <c r="B48" s="146"/>
      <c r="C48" s="101" t="s">
        <v>208</v>
      </c>
      <c r="D48" s="102"/>
      <c r="E48" s="102"/>
      <c r="F48" s="102"/>
      <c r="G48" s="102"/>
      <c r="H48" s="103"/>
    </row>
    <row r="49" spans="1:14" ht="62.5" customHeight="1" x14ac:dyDescent="0.35">
      <c r="A49" s="107" t="s">
        <v>48</v>
      </c>
      <c r="B49" s="107"/>
      <c r="C49" s="107" t="s">
        <v>239</v>
      </c>
      <c r="D49" s="121"/>
      <c r="E49" s="121" t="s">
        <v>49</v>
      </c>
      <c r="F49" s="55" t="s">
        <v>45</v>
      </c>
      <c r="G49" s="148">
        <v>45279</v>
      </c>
      <c r="H49" s="148"/>
    </row>
    <row r="50" spans="1:14" ht="62.5" customHeight="1" x14ac:dyDescent="0.35">
      <c r="A50" s="107"/>
      <c r="B50" s="107"/>
      <c r="C50" s="107" t="s">
        <v>240</v>
      </c>
      <c r="D50" s="121"/>
      <c r="E50" s="121" t="s">
        <v>49</v>
      </c>
      <c r="F50" s="72" t="s">
        <v>45</v>
      </c>
      <c r="G50" s="148">
        <v>45282</v>
      </c>
      <c r="H50" s="148"/>
    </row>
    <row r="51" spans="1:14" ht="62.5" customHeight="1" x14ac:dyDescent="0.35">
      <c r="A51" s="107"/>
      <c r="B51" s="107"/>
      <c r="C51" s="107" t="s">
        <v>242</v>
      </c>
      <c r="D51" s="121"/>
      <c r="E51" s="121" t="s">
        <v>49</v>
      </c>
      <c r="F51" s="72" t="s">
        <v>45</v>
      </c>
      <c r="G51" s="148">
        <v>45573</v>
      </c>
      <c r="H51" s="148"/>
    </row>
    <row r="52" spans="1:14" x14ac:dyDescent="0.35">
      <c r="A52" s="155" t="s">
        <v>51</v>
      </c>
      <c r="B52" s="155"/>
      <c r="C52" s="155"/>
      <c r="D52" s="155"/>
      <c r="E52" s="155"/>
      <c r="F52" s="155"/>
      <c r="G52" s="155"/>
      <c r="H52" s="155"/>
    </row>
    <row r="53" spans="1:14" x14ac:dyDescent="0.35">
      <c r="A53" s="114" t="s">
        <v>105</v>
      </c>
      <c r="B53" s="114"/>
      <c r="C53" s="114"/>
      <c r="D53" s="113">
        <f>E42</f>
        <v>42211.42</v>
      </c>
      <c r="E53" s="113"/>
      <c r="F53" s="113"/>
      <c r="G53" s="113"/>
      <c r="H53" s="113"/>
    </row>
    <row r="54" spans="1:14" x14ac:dyDescent="0.35">
      <c r="A54" s="146" t="s">
        <v>52</v>
      </c>
      <c r="B54" s="147"/>
      <c r="C54" s="147"/>
      <c r="D54" s="147" t="s">
        <v>199</v>
      </c>
      <c r="E54" s="147"/>
      <c r="F54" s="147"/>
      <c r="G54" s="147"/>
      <c r="H54" s="147"/>
      <c r="I54" s="34"/>
    </row>
    <row r="55" spans="1:14" ht="63" customHeight="1" x14ac:dyDescent="0.35">
      <c r="A55" s="132" t="s">
        <v>53</v>
      </c>
      <c r="B55" s="133"/>
      <c r="C55" s="134"/>
      <c r="D55" s="131" t="s">
        <v>226</v>
      </c>
      <c r="E55" s="130"/>
      <c r="F55" s="130"/>
      <c r="G55" s="130"/>
      <c r="H55" s="130"/>
      <c r="I55" s="35"/>
    </row>
    <row r="56" spans="1:14" ht="15.75" customHeight="1" x14ac:dyDescent="0.35">
      <c r="A56" s="146" t="s">
        <v>103</v>
      </c>
      <c r="B56" s="146"/>
      <c r="C56" s="146"/>
      <c r="D56" s="129" t="s">
        <v>222</v>
      </c>
      <c r="E56" s="130"/>
      <c r="F56" s="130"/>
      <c r="G56" s="130"/>
      <c r="H56" s="130"/>
      <c r="I56" s="35"/>
    </row>
    <row r="57" spans="1:14" ht="15.75" customHeight="1" x14ac:dyDescent="0.35">
      <c r="A57" s="146"/>
      <c r="B57" s="146"/>
      <c r="C57" s="146"/>
      <c r="D57" s="106" t="s">
        <v>223</v>
      </c>
      <c r="E57" s="106"/>
      <c r="F57" s="106"/>
      <c r="G57" s="106"/>
      <c r="H57" s="106"/>
      <c r="I57" s="35"/>
    </row>
    <row r="58" spans="1:14" ht="15.75" customHeight="1" x14ac:dyDescent="0.35">
      <c r="A58" s="146"/>
      <c r="B58" s="146"/>
      <c r="C58" s="146"/>
      <c r="D58" s="106" t="s">
        <v>224</v>
      </c>
      <c r="E58" s="106"/>
      <c r="F58" s="106"/>
      <c r="G58" s="106"/>
      <c r="H58" s="106"/>
      <c r="I58" s="35"/>
    </row>
    <row r="59" spans="1:14" ht="15.75" customHeight="1" x14ac:dyDescent="0.35">
      <c r="A59" s="146"/>
      <c r="B59" s="146"/>
      <c r="C59" s="146"/>
      <c r="D59" s="106" t="s">
        <v>236</v>
      </c>
      <c r="E59" s="106"/>
      <c r="F59" s="106"/>
      <c r="G59" s="106"/>
      <c r="H59" s="106"/>
      <c r="I59" s="35"/>
    </row>
    <row r="60" spans="1:14" ht="15.75" hidden="1" customHeight="1" x14ac:dyDescent="0.35">
      <c r="A60" s="146"/>
      <c r="B60" s="146"/>
      <c r="C60" s="146"/>
      <c r="D60" s="171" t="s">
        <v>225</v>
      </c>
      <c r="E60" s="172"/>
      <c r="F60" s="172"/>
      <c r="G60" s="172"/>
      <c r="H60" s="172"/>
      <c r="I60" s="35"/>
    </row>
    <row r="61" spans="1:14" ht="15.75" customHeight="1" x14ac:dyDescent="0.35">
      <c r="A61" s="113" t="s">
        <v>50</v>
      </c>
      <c r="B61" s="113"/>
      <c r="C61" s="113"/>
      <c r="D61" s="146" t="s">
        <v>245</v>
      </c>
      <c r="E61" s="146"/>
      <c r="F61" s="146"/>
      <c r="G61" s="146"/>
      <c r="H61" s="146"/>
      <c r="J61" s="33"/>
      <c r="K61" s="34"/>
      <c r="N61" s="34"/>
    </row>
    <row r="62" spans="1:14" ht="15.75" customHeight="1" x14ac:dyDescent="0.35">
      <c r="A62" s="113" t="s">
        <v>101</v>
      </c>
      <c r="B62" s="113"/>
      <c r="C62" s="113"/>
      <c r="D62" s="173" t="str">
        <f ca="1">(IF(G49="NA","60 Years After Completion",IF(G49&lt;&gt;"NA",""&amp;60-ROUNDDOWN((E3-G49)/360,0)&amp;" Years"," ")))</f>
        <v>59 Years</v>
      </c>
      <c r="E62" s="173"/>
      <c r="F62" s="173"/>
      <c r="G62" s="173"/>
      <c r="H62" s="173"/>
      <c r="N62" s="34"/>
    </row>
    <row r="63" spans="1:14" ht="15.75" customHeight="1" x14ac:dyDescent="0.35">
      <c r="A63" s="113" t="s">
        <v>102</v>
      </c>
      <c r="B63" s="113"/>
      <c r="C63" s="113"/>
      <c r="D63" s="114" t="s">
        <v>24</v>
      </c>
      <c r="E63" s="114"/>
      <c r="F63" s="114"/>
      <c r="G63" s="114"/>
      <c r="H63" s="114"/>
      <c r="J63" s="9"/>
      <c r="K63" s="9"/>
    </row>
    <row r="64" spans="1:14" ht="15.75" customHeight="1" thickBot="1" x14ac:dyDescent="0.4">
      <c r="A64" s="113" t="s">
        <v>100</v>
      </c>
      <c r="B64" s="113"/>
      <c r="C64" s="113"/>
      <c r="D64" s="146" t="str">
        <f ca="1">(IF(G103&gt;95%,"Nothing",IF(G69&gt;0%,"Cement, Aggregate, Steel, etc",IF(G69=0%,"Work not yet Started"))))</f>
        <v>Nothing</v>
      </c>
      <c r="E64" s="146"/>
      <c r="F64" s="146"/>
      <c r="G64" s="146"/>
      <c r="H64" s="146"/>
      <c r="J64" s="9"/>
    </row>
    <row r="65" spans="1:10" ht="15.75" customHeight="1" x14ac:dyDescent="0.35">
      <c r="A65" s="107" t="s">
        <v>153</v>
      </c>
      <c r="B65" s="107"/>
      <c r="C65" s="107" t="str">
        <f>D56</f>
        <v>Wing C = G/St + 1st to 18th Floor</v>
      </c>
      <c r="D65" s="107"/>
      <c r="E65" s="107"/>
      <c r="F65" s="107"/>
      <c r="G65" s="107"/>
      <c r="H65" s="107"/>
      <c r="I65" s="38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Slab",IF(C71&gt;0,", RCC upto "&amp;C71&amp;" Slab",""))&amp;(IF(C72=H66,", Brickwork",IF(C72&gt;0,", Brickwork upto "&amp;C72&amp;" Floor",""))&amp;(IF(C73=H66,", Internal Plaster",IF(C73&gt;0,", Internal Plaster upto "&amp;C73&amp;" Floor",""))&amp;(IF(C74=H66,", External Plaster",IF(C74&gt;0,", External Plaster upto "&amp;C74&amp;" Floor",""))&amp;(IF(C75=H66,", Flooring",IF(C75&gt;0,", Flooring upto "&amp;C75&amp;" Floor",""))&amp;(IF(C76=H66,", Painting",IF(C76&gt;0,", Painting upto "&amp;C76&amp;" Floor",""))&amp;(IF(C77&gt;0,", Finishing upto "&amp;C77&amp;" Floor","")&amp;(IF(C71&gt;0.5," Completed",""))))))))))))))</f>
        <v>All work completed. Please provide OC.</v>
      </c>
      <c r="J65" s="10"/>
    </row>
    <row r="66" spans="1:10" x14ac:dyDescent="0.35">
      <c r="A66" s="77" t="s">
        <v>155</v>
      </c>
      <c r="B66" s="77">
        <v>0</v>
      </c>
      <c r="C66" s="77" t="s">
        <v>81</v>
      </c>
      <c r="D66" s="77">
        <v>1</v>
      </c>
      <c r="E66" s="77" t="s">
        <v>80</v>
      </c>
      <c r="F66" s="77">
        <v>0</v>
      </c>
      <c r="G66" s="77" t="s">
        <v>94</v>
      </c>
      <c r="H66" s="77">
        <f ca="1">--TRIM(RIGHT(SUBSTITUTE(LEFT(C65,_xlfn.AGGREGATE(16,6,FIND({0,1,2,3,4,5,6,7,8,9},C65,ROW(INDIRECT("1:"&amp;LEN(C65)))),1))," ",REPT(" ",LEN(C65))),LEN(C65)))</f>
        <v>18</v>
      </c>
      <c r="I66" s="39"/>
      <c r="J66" s="11"/>
    </row>
    <row r="67" spans="1:10" x14ac:dyDescent="0.35">
      <c r="A67" s="121" t="s">
        <v>104</v>
      </c>
      <c r="B67" s="121"/>
      <c r="C67" s="107" t="str">
        <f>I67</f>
        <v>All work Completed. OC Received.</v>
      </c>
      <c r="D67" s="107"/>
      <c r="E67" s="107"/>
      <c r="F67" s="107"/>
      <c r="G67" s="107"/>
      <c r="H67" s="107"/>
      <c r="I67" s="39" t="s">
        <v>117</v>
      </c>
      <c r="J67" s="11"/>
    </row>
    <row r="68" spans="1:10" ht="15.75" hidden="1" customHeight="1" x14ac:dyDescent="0.35">
      <c r="A68" s="108" t="s">
        <v>54</v>
      </c>
      <c r="B68" s="108"/>
      <c r="C68" s="74" t="s">
        <v>152</v>
      </c>
      <c r="D68" s="74" t="s">
        <v>97</v>
      </c>
      <c r="E68" s="108" t="s">
        <v>99</v>
      </c>
      <c r="F68" s="108"/>
      <c r="G68" s="108" t="s">
        <v>98</v>
      </c>
      <c r="H68" s="108"/>
      <c r="I68" s="32" t="s">
        <v>154</v>
      </c>
      <c r="J68" s="12">
        <f ca="1">H66*25%</f>
        <v>4.5</v>
      </c>
    </row>
    <row r="69" spans="1:10" hidden="1" x14ac:dyDescent="0.35">
      <c r="A69" s="108" t="s">
        <v>141</v>
      </c>
      <c r="B69" s="108"/>
      <c r="C69" s="60">
        <f ca="1">J70</f>
        <v>18</v>
      </c>
      <c r="D69" s="75">
        <f ca="1">((100/H66)*C69)/100</f>
        <v>1</v>
      </c>
      <c r="E69" s="109">
        <f ca="1">(((C70/H66*10)+(40/(D66+F66+H66)*C71)+(7.5/(H66)*C72)+(7.5/(H66)*C73)+(10/H66*C74)+(10/H66*C75)+(5/H66*C76)+(5/H66*C77)+(5/H66*C78))/100)</f>
        <v>1</v>
      </c>
      <c r="F69" s="109"/>
      <c r="G69" s="109">
        <f ca="1">((((C69/H66)*20)+((C70/H66)*25)+(30/(H66+F66+D66)*C71)+(5/H66*C72)+(5/H66*C73)+(5/H66*C74)+(5/H66*C75)+(0/H66*C76)+(0/H66*C77)+(5/H66*C78))/100)</f>
        <v>1</v>
      </c>
      <c r="H69" s="109"/>
      <c r="I69" s="32" t="s">
        <v>112</v>
      </c>
      <c r="J69" s="37">
        <f ca="1">H66*50%</f>
        <v>9</v>
      </c>
    </row>
    <row r="70" spans="1:10" hidden="1" x14ac:dyDescent="0.35">
      <c r="A70" s="108" t="s">
        <v>55</v>
      </c>
      <c r="B70" s="108"/>
      <c r="C70" s="62">
        <f ca="1">J78</f>
        <v>18</v>
      </c>
      <c r="D70" s="75">
        <f ca="1">((100/H66)*C70)/100</f>
        <v>1</v>
      </c>
      <c r="E70" s="109"/>
      <c r="F70" s="109"/>
      <c r="G70" s="109"/>
      <c r="H70" s="109"/>
      <c r="I70" s="32" t="s">
        <v>113</v>
      </c>
      <c r="J70" s="37">
        <f ca="1">H66</f>
        <v>18</v>
      </c>
    </row>
    <row r="71" spans="1:10" ht="15.75" hidden="1" customHeight="1" x14ac:dyDescent="0.35">
      <c r="A71" s="128" t="s">
        <v>142</v>
      </c>
      <c r="B71" s="128"/>
      <c r="C71" s="62">
        <f ca="1">D66+H66</f>
        <v>19</v>
      </c>
      <c r="D71" s="75">
        <f ca="1">((100/(D66+F66+H66))*C71)/100</f>
        <v>1</v>
      </c>
      <c r="E71" s="109"/>
      <c r="F71" s="109"/>
      <c r="G71" s="109"/>
      <c r="H71" s="109"/>
      <c r="I71" s="32" t="s">
        <v>114</v>
      </c>
      <c r="J71" s="41">
        <f ca="1">(IF(B66&gt;1,(H66/(B66+2)),H66/4))</f>
        <v>4.5</v>
      </c>
    </row>
    <row r="72" spans="1:10" ht="15.75" hidden="1" customHeight="1" x14ac:dyDescent="0.35">
      <c r="A72" s="108" t="s">
        <v>149</v>
      </c>
      <c r="B72" s="108" t="s">
        <v>143</v>
      </c>
      <c r="C72" s="60">
        <v>18</v>
      </c>
      <c r="D72" s="75">
        <f ca="1">((100/H66)*C72)/100</f>
        <v>1</v>
      </c>
      <c r="E72" s="109"/>
      <c r="F72" s="109"/>
      <c r="G72" s="109"/>
      <c r="H72" s="109"/>
      <c r="I72" s="32" t="s">
        <v>115</v>
      </c>
      <c r="J72" s="41">
        <f ca="1">(IF(B66&gt;1,(H66/(B66+2)+J71),H66/4+J71))</f>
        <v>9</v>
      </c>
    </row>
    <row r="73" spans="1:10" ht="15.75" hidden="1" customHeight="1" x14ac:dyDescent="0.35">
      <c r="A73" s="108" t="s">
        <v>150</v>
      </c>
      <c r="B73" s="108" t="s">
        <v>143</v>
      </c>
      <c r="C73" s="60">
        <v>18</v>
      </c>
      <c r="D73" s="75">
        <f ca="1">((100/H66)*C73)/100</f>
        <v>1</v>
      </c>
      <c r="E73" s="109"/>
      <c r="F73" s="109"/>
      <c r="G73" s="109"/>
      <c r="H73" s="109"/>
      <c r="I73" s="32" t="s">
        <v>159</v>
      </c>
      <c r="J73" s="41">
        <f>(IF(B66&gt;1,(H66/(B66+2)+J72),0))</f>
        <v>0</v>
      </c>
    </row>
    <row r="74" spans="1:10" ht="15" hidden="1" customHeight="1" x14ac:dyDescent="0.35">
      <c r="A74" s="108" t="s">
        <v>148</v>
      </c>
      <c r="B74" s="108" t="s">
        <v>145</v>
      </c>
      <c r="C74" s="60">
        <v>18</v>
      </c>
      <c r="D74" s="75">
        <f ca="1">((100/(H66))*C74)/100</f>
        <v>1</v>
      </c>
      <c r="E74" s="109"/>
      <c r="F74" s="109"/>
      <c r="G74" s="109"/>
      <c r="H74" s="109"/>
      <c r="I74" s="32" t="s">
        <v>156</v>
      </c>
      <c r="J74" s="41">
        <f>(IF(B66&gt;2,(H66/(B66+2)+J73),0))</f>
        <v>0</v>
      </c>
    </row>
    <row r="75" spans="1:10" ht="15.75" hidden="1" customHeight="1" x14ac:dyDescent="0.35">
      <c r="A75" s="108" t="s">
        <v>144</v>
      </c>
      <c r="B75" s="108" t="s">
        <v>144</v>
      </c>
      <c r="C75" s="60">
        <v>18</v>
      </c>
      <c r="D75" s="75">
        <f ca="1">((100/H66)*C75)/100</f>
        <v>1</v>
      </c>
      <c r="E75" s="109"/>
      <c r="F75" s="109"/>
      <c r="G75" s="109"/>
      <c r="H75" s="109"/>
      <c r="I75" s="32" t="s">
        <v>157</v>
      </c>
      <c r="J75" s="42">
        <f>(IF(B66&gt;3,(H66/(B66+2)+J74),0))</f>
        <v>0</v>
      </c>
    </row>
    <row r="76" spans="1:10" ht="15.75" hidden="1" customHeight="1" x14ac:dyDescent="0.35">
      <c r="A76" s="108" t="s">
        <v>151</v>
      </c>
      <c r="B76" s="108"/>
      <c r="C76" s="60">
        <v>18</v>
      </c>
      <c r="D76" s="75">
        <f ca="1">((100/H66)*C76)/100</f>
        <v>1</v>
      </c>
      <c r="E76" s="109"/>
      <c r="F76" s="109"/>
      <c r="G76" s="109"/>
      <c r="H76" s="109"/>
      <c r="I76" s="32" t="s">
        <v>158</v>
      </c>
      <c r="J76" s="41">
        <f>(IF(B66&gt;4,(H66/(B66+2)+J75),0))</f>
        <v>0</v>
      </c>
    </row>
    <row r="77" spans="1:10" ht="15.75" hidden="1" customHeight="1" x14ac:dyDescent="0.35">
      <c r="A77" s="108" t="s">
        <v>146</v>
      </c>
      <c r="B77" s="108" t="s">
        <v>146</v>
      </c>
      <c r="C77" s="60">
        <v>18</v>
      </c>
      <c r="D77" s="75">
        <f ca="1">((100/(H66))*C77)/100</f>
        <v>1</v>
      </c>
      <c r="E77" s="109"/>
      <c r="F77" s="109"/>
      <c r="G77" s="109"/>
      <c r="H77" s="109"/>
      <c r="I77" s="32" t="s">
        <v>160</v>
      </c>
      <c r="J77" s="41">
        <f ca="1">(IF(B66=1,(H66/(B66+3)+J72),IF(B66=0,(H66/4+J72),IF(B66&gt;1,0))))</f>
        <v>13.5</v>
      </c>
    </row>
    <row r="78" spans="1:10" ht="16" hidden="1" thickBot="1" x14ac:dyDescent="0.4">
      <c r="A78" s="108" t="s">
        <v>147</v>
      </c>
      <c r="B78" s="108"/>
      <c r="C78" s="60">
        <v>18</v>
      </c>
      <c r="D78" s="75">
        <f ca="1">((100/(H66))*C78)/100</f>
        <v>1</v>
      </c>
      <c r="E78" s="109"/>
      <c r="F78" s="109"/>
      <c r="G78" s="109"/>
      <c r="H78" s="109"/>
      <c r="I78" s="40" t="s">
        <v>116</v>
      </c>
      <c r="J78" s="43">
        <f ca="1">(IF(B66&gt;1.5,(H66/(B66+2)+J72+MAX(0,J73-J72)+MAX(0,J74-J73)+MAX(0,J75-J74)+MAX(0,J76-J75)+MAX(0,J77-J76)),IF(B66=1,(H66/(B66+3)+J77),IF(B66=0,H66/4+J77))))</f>
        <v>18</v>
      </c>
    </row>
    <row r="79" spans="1:10" ht="15.75" customHeight="1" x14ac:dyDescent="0.35">
      <c r="A79" s="79" t="s">
        <v>99</v>
      </c>
      <c r="B79" s="79"/>
      <c r="C79" s="80">
        <v>1</v>
      </c>
      <c r="D79" s="79"/>
      <c r="E79" s="81" t="s">
        <v>98</v>
      </c>
      <c r="F79" s="81"/>
      <c r="G79" s="81">
        <v>1</v>
      </c>
      <c r="H79" s="81"/>
      <c r="I79" s="32" t="s">
        <v>160</v>
      </c>
      <c r="J79" s="41">
        <f>(IF(B68=1,(H68/(B68+3)+J74),IF(B68=0,(H68/4+J74),IF(B68&gt;1,0))))</f>
        <v>0</v>
      </c>
    </row>
    <row r="80" spans="1:10" ht="16" thickBot="1" x14ac:dyDescent="0.4">
      <c r="A80" s="79"/>
      <c r="B80" s="79"/>
      <c r="C80" s="79"/>
      <c r="D80" s="79"/>
      <c r="E80" s="81"/>
      <c r="F80" s="81"/>
      <c r="G80" s="81"/>
      <c r="H80" s="81"/>
      <c r="I80" s="40" t="s">
        <v>116</v>
      </c>
      <c r="J80" s="43">
        <f>(IF(B68&gt;1.5,(H68/(B68+2)+J74+MAX(0,J75-J74)+MAX(0,J76-J75)+MAX(0,J77-J76)+MAX(0,J78-J77)+MAX(0,J79-J78)),IF(B68=1,(H68/(B68+3)+J79),IF(B68=0,H68/4+J79))))</f>
        <v>0</v>
      </c>
    </row>
    <row r="81" spans="1:10" ht="15.75" customHeight="1" x14ac:dyDescent="0.35">
      <c r="A81" s="107" t="s">
        <v>153</v>
      </c>
      <c r="B81" s="107"/>
      <c r="C81" s="107" t="str">
        <f>D57</f>
        <v>Wing C1 = G/St + 1st to 12th Floor</v>
      </c>
      <c r="D81" s="107"/>
      <c r="E81" s="107"/>
      <c r="F81" s="107"/>
      <c r="G81" s="107"/>
      <c r="H81" s="107"/>
      <c r="I81" s="38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All work completed. Please provide OC.</v>
      </c>
      <c r="J81" s="10"/>
    </row>
    <row r="82" spans="1:10" x14ac:dyDescent="0.35">
      <c r="A82" s="77" t="s">
        <v>155</v>
      </c>
      <c r="B82" s="77">
        <v>0</v>
      </c>
      <c r="C82" s="77" t="s">
        <v>81</v>
      </c>
      <c r="D82" s="77">
        <v>1</v>
      </c>
      <c r="E82" s="77" t="s">
        <v>80</v>
      </c>
      <c r="F82" s="77">
        <v>0</v>
      </c>
      <c r="G82" s="77" t="s">
        <v>94</v>
      </c>
      <c r="H82" s="77">
        <f ca="1">--TRIM(RIGHT(SUBSTITUTE(LEFT(C81,_xlfn.AGGREGATE(16,6,FIND({0,1,2,3,4,5,6,7,8,9},C81,ROW(INDIRECT("1:"&amp;LEN(C81)))),1))," ",REPT(" ",LEN(C81))),LEN(C81)))</f>
        <v>12</v>
      </c>
      <c r="I82" s="39"/>
      <c r="J82" s="11"/>
    </row>
    <row r="83" spans="1:10" x14ac:dyDescent="0.35">
      <c r="A83" s="121" t="s">
        <v>104</v>
      </c>
      <c r="B83" s="121"/>
      <c r="C83" s="107" t="str">
        <f>I83</f>
        <v>All work Completed. OC Received.</v>
      </c>
      <c r="D83" s="107"/>
      <c r="E83" s="107"/>
      <c r="F83" s="107"/>
      <c r="G83" s="107"/>
      <c r="H83" s="107"/>
      <c r="I83" s="39" t="s">
        <v>117</v>
      </c>
      <c r="J83" s="11"/>
    </row>
    <row r="84" spans="1:10" ht="15.75" hidden="1" customHeight="1" x14ac:dyDescent="0.35">
      <c r="A84" s="108" t="s">
        <v>54</v>
      </c>
      <c r="B84" s="108"/>
      <c r="C84" s="74" t="s">
        <v>152</v>
      </c>
      <c r="D84" s="74" t="s">
        <v>97</v>
      </c>
      <c r="E84" s="108" t="s">
        <v>99</v>
      </c>
      <c r="F84" s="108"/>
      <c r="G84" s="108" t="s">
        <v>98</v>
      </c>
      <c r="H84" s="108"/>
      <c r="I84" s="32" t="s">
        <v>154</v>
      </c>
      <c r="J84" s="12">
        <f ca="1">H82*25%</f>
        <v>3</v>
      </c>
    </row>
    <row r="85" spans="1:10" hidden="1" x14ac:dyDescent="0.35">
      <c r="A85" s="108" t="s">
        <v>141</v>
      </c>
      <c r="B85" s="108"/>
      <c r="C85" s="60">
        <f ca="1">J86</f>
        <v>12</v>
      </c>
      <c r="D85" s="75">
        <f ca="1">((100/H82)*C85)/100</f>
        <v>1</v>
      </c>
      <c r="E85" s="109">
        <f ca="1">(((C86/H82*10)+(40/(D82+F82+H82)*C87)+(7.5/(H82)*C88)+(7.5/(H82)*C89)+(10/H82*C90)+(10/H82*C91)+(5/H82*C92)+(5/H82*C93)+(5/H82*C94))/100)</f>
        <v>1</v>
      </c>
      <c r="F85" s="109"/>
      <c r="G85" s="109">
        <f ca="1">((((C85/H82)*20)+((C86/H82)*25)+(30/(H82+F82+D82)*C87)+(5/H82*C88)+(5/H82*C89)+(5/H82*C90)+(5/H82*C91)+(0/H82*C92)+(0/H82*C93)+(5/H82*C94))/100)</f>
        <v>1</v>
      </c>
      <c r="H85" s="109"/>
      <c r="I85" s="32" t="s">
        <v>112</v>
      </c>
      <c r="J85" s="37">
        <f ca="1">H82*50%</f>
        <v>6</v>
      </c>
    </row>
    <row r="86" spans="1:10" hidden="1" x14ac:dyDescent="0.35">
      <c r="A86" s="108" t="s">
        <v>55</v>
      </c>
      <c r="B86" s="108"/>
      <c r="C86" s="62">
        <f ca="1">J94</f>
        <v>12</v>
      </c>
      <c r="D86" s="75">
        <f ca="1">((100/H82)*C86)/100</f>
        <v>1</v>
      </c>
      <c r="E86" s="109"/>
      <c r="F86" s="109"/>
      <c r="G86" s="109"/>
      <c r="H86" s="109"/>
      <c r="I86" s="32" t="s">
        <v>113</v>
      </c>
      <c r="J86" s="37">
        <f ca="1">H82</f>
        <v>12</v>
      </c>
    </row>
    <row r="87" spans="1:10" ht="15.75" hidden="1" customHeight="1" x14ac:dyDescent="0.35">
      <c r="A87" s="108" t="s">
        <v>142</v>
      </c>
      <c r="B87" s="108"/>
      <c r="C87" s="62">
        <f ca="1">D82+H82</f>
        <v>13</v>
      </c>
      <c r="D87" s="75">
        <f ca="1">((100/(D82+F82+H82))*C87)/100</f>
        <v>1</v>
      </c>
      <c r="E87" s="109"/>
      <c r="F87" s="109"/>
      <c r="G87" s="109"/>
      <c r="H87" s="109"/>
      <c r="I87" s="32" t="s">
        <v>114</v>
      </c>
      <c r="J87" s="41">
        <f ca="1">(IF(B82&gt;1,(H82/(B82+2)),H82/4))</f>
        <v>3</v>
      </c>
    </row>
    <row r="88" spans="1:10" ht="15.75" hidden="1" customHeight="1" x14ac:dyDescent="0.35">
      <c r="A88" s="108" t="s">
        <v>149</v>
      </c>
      <c r="B88" s="108" t="s">
        <v>143</v>
      </c>
      <c r="C88" s="60">
        <v>12</v>
      </c>
      <c r="D88" s="75">
        <f ca="1">((100/H82)*C88)/100</f>
        <v>1</v>
      </c>
      <c r="E88" s="109"/>
      <c r="F88" s="109"/>
      <c r="G88" s="109"/>
      <c r="H88" s="109"/>
      <c r="I88" s="32" t="s">
        <v>115</v>
      </c>
      <c r="J88" s="41">
        <f ca="1">(IF(B82&gt;1,(H82/(B82+2)+J87),H82/4+J87))</f>
        <v>6</v>
      </c>
    </row>
    <row r="89" spans="1:10" ht="15.75" hidden="1" customHeight="1" x14ac:dyDescent="0.35">
      <c r="A89" s="108" t="s">
        <v>150</v>
      </c>
      <c r="B89" s="108" t="s">
        <v>143</v>
      </c>
      <c r="C89" s="60">
        <v>12</v>
      </c>
      <c r="D89" s="75">
        <f ca="1">((100/H82)*C89)/100</f>
        <v>1</v>
      </c>
      <c r="E89" s="109"/>
      <c r="F89" s="109"/>
      <c r="G89" s="109"/>
      <c r="H89" s="109"/>
      <c r="I89" s="32" t="s">
        <v>159</v>
      </c>
      <c r="J89" s="41">
        <f>(IF(B82&gt;1,(H82/(B82+2)+J88),0))</f>
        <v>0</v>
      </c>
    </row>
    <row r="90" spans="1:10" ht="15" hidden="1" customHeight="1" x14ac:dyDescent="0.35">
      <c r="A90" s="108" t="s">
        <v>148</v>
      </c>
      <c r="B90" s="108" t="s">
        <v>145</v>
      </c>
      <c r="C90" s="60">
        <v>12</v>
      </c>
      <c r="D90" s="75">
        <f ca="1">((100/(H82))*C90)/100</f>
        <v>1</v>
      </c>
      <c r="E90" s="109"/>
      <c r="F90" s="109"/>
      <c r="G90" s="109"/>
      <c r="H90" s="109"/>
      <c r="I90" s="32" t="s">
        <v>156</v>
      </c>
      <c r="J90" s="41">
        <f>(IF(B82&gt;2,(H82/(B82+2)+J89),0))</f>
        <v>0</v>
      </c>
    </row>
    <row r="91" spans="1:10" ht="15.75" hidden="1" customHeight="1" x14ac:dyDescent="0.35">
      <c r="A91" s="108" t="s">
        <v>144</v>
      </c>
      <c r="B91" s="108" t="s">
        <v>144</v>
      </c>
      <c r="C91" s="60">
        <v>12</v>
      </c>
      <c r="D91" s="75">
        <f ca="1">((100/H82)*C91)/100</f>
        <v>1</v>
      </c>
      <c r="E91" s="109"/>
      <c r="F91" s="109"/>
      <c r="G91" s="109"/>
      <c r="H91" s="109"/>
      <c r="I91" s="32" t="s">
        <v>157</v>
      </c>
      <c r="J91" s="42">
        <f>(IF(B82&gt;3,(H82/(B82+2)+J90),0))</f>
        <v>0</v>
      </c>
    </row>
    <row r="92" spans="1:10" ht="15.75" hidden="1" customHeight="1" x14ac:dyDescent="0.35">
      <c r="A92" s="108" t="s">
        <v>151</v>
      </c>
      <c r="B92" s="108"/>
      <c r="C92" s="60">
        <v>12</v>
      </c>
      <c r="D92" s="75">
        <f ca="1">((100/H82)*C92)/100</f>
        <v>1</v>
      </c>
      <c r="E92" s="109"/>
      <c r="F92" s="109"/>
      <c r="G92" s="109"/>
      <c r="H92" s="109"/>
      <c r="I92" s="32" t="s">
        <v>158</v>
      </c>
      <c r="J92" s="41">
        <f>(IF(B82&gt;4,(H82/(B82+2)+J91),0))</f>
        <v>0</v>
      </c>
    </row>
    <row r="93" spans="1:10" ht="15.75" hidden="1" customHeight="1" x14ac:dyDescent="0.35">
      <c r="A93" s="108" t="s">
        <v>146</v>
      </c>
      <c r="B93" s="108" t="s">
        <v>146</v>
      </c>
      <c r="C93" s="60">
        <v>12</v>
      </c>
      <c r="D93" s="75">
        <f ca="1">((100/(H82))*C93)/100</f>
        <v>1</v>
      </c>
      <c r="E93" s="109"/>
      <c r="F93" s="109"/>
      <c r="G93" s="109"/>
      <c r="H93" s="109"/>
      <c r="I93" s="32" t="s">
        <v>160</v>
      </c>
      <c r="J93" s="41">
        <f ca="1">(IF(B82=1,(H82/(B82+3)+J88),IF(B82=0,(H82/4+J88),IF(B82&gt;1,0))))</f>
        <v>9</v>
      </c>
    </row>
    <row r="94" spans="1:10" ht="16" hidden="1" thickBot="1" x14ac:dyDescent="0.4">
      <c r="A94" s="108" t="s">
        <v>147</v>
      </c>
      <c r="B94" s="108"/>
      <c r="C94" s="60">
        <v>12</v>
      </c>
      <c r="D94" s="75">
        <f ca="1">((100/(H82))*C94)/100</f>
        <v>1</v>
      </c>
      <c r="E94" s="109"/>
      <c r="F94" s="109"/>
      <c r="G94" s="109"/>
      <c r="H94" s="109"/>
      <c r="I94" s="40" t="s">
        <v>116</v>
      </c>
      <c r="J94" s="43">
        <f ca="1">(IF(B82&gt;1.5,(H82/(B82+2)+J88+MAX(0,J89-J88)+MAX(0,J90-J89)+MAX(0,J91-J90)+MAX(0,J92-J91)+MAX(0,J93-J92)),IF(B82=1,(H82/(B82+3)+J93),IF(B82=0,H82/4+J93))))</f>
        <v>12</v>
      </c>
    </row>
    <row r="95" spans="1:10" ht="15.75" customHeight="1" x14ac:dyDescent="0.35">
      <c r="A95" s="79" t="s">
        <v>99</v>
      </c>
      <c r="B95" s="79"/>
      <c r="C95" s="80">
        <v>1</v>
      </c>
      <c r="D95" s="79"/>
      <c r="E95" s="81" t="s">
        <v>98</v>
      </c>
      <c r="F95" s="81"/>
      <c r="G95" s="81">
        <v>1</v>
      </c>
      <c r="H95" s="81"/>
      <c r="I95" s="32" t="s">
        <v>160</v>
      </c>
      <c r="J95" s="41">
        <f>(IF(B84=1,(H84/(B84+3)+J90),IF(B84=0,(H84/4+J90),IF(B84&gt;1,0))))</f>
        <v>0</v>
      </c>
    </row>
    <row r="96" spans="1:10" ht="16" thickBot="1" x14ac:dyDescent="0.4">
      <c r="A96" s="79"/>
      <c r="B96" s="79"/>
      <c r="C96" s="79"/>
      <c r="D96" s="79"/>
      <c r="E96" s="81"/>
      <c r="F96" s="81"/>
      <c r="G96" s="81"/>
      <c r="H96" s="81"/>
      <c r="I96" s="40" t="s">
        <v>116</v>
      </c>
      <c r="J96" s="43">
        <f>(IF(B84&gt;1.5,(H84/(B84+2)+J90+MAX(0,J91-J90)+MAX(0,J92-J91)+MAX(0,J93-J92)+MAX(0,J94-J93)+MAX(0,J95-J94)),IF(B84=1,(H84/(B84+3)+J95),IF(B84=0,H84/4+J95))))</f>
        <v>0</v>
      </c>
    </row>
    <row r="97" spans="1:10" ht="15.75" customHeight="1" x14ac:dyDescent="0.35">
      <c r="A97" s="107" t="s">
        <v>153</v>
      </c>
      <c r="B97" s="107"/>
      <c r="C97" s="107" t="str">
        <f>D58</f>
        <v>Wing L = G/St + 1st to 20th Floor</v>
      </c>
      <c r="D97" s="107"/>
      <c r="E97" s="107"/>
      <c r="F97" s="107"/>
      <c r="G97" s="107"/>
      <c r="H97" s="107"/>
      <c r="I97" s="38" t="str">
        <f ca="1">(IF(E103&gt;99%,"All work completed. Please provide OC.",IF(E103&gt;89.8%,"Plinth, RCC, Brick, Plaster, Flooring, Painting work Completed. Finishing work is in process.",IF(E103&lt;94%,(IF(C103=0,"Work not yet Started.",IF(D103=25%,"Piling work in process",IF(D103=50%,"Excavation work in process",IF(D103=100%,"Excavation work Completed. ","0")))&amp;(IF(C104=0%,"",IF(C104=J105,"Footing work is process",IF(C104=J106,"Footing work Completed",IF(C104=J107,"1st Basement Completed",IF(C104=J108,"1st &amp; 2nd Basement Completed",IF(C104=J109,"1st to 3rd Basement Completed",IF(C104=J110,"1st to 4th Basement Completed",IF(C104=J111,"Plinth work is process",IF(C104=J112,"Plinth work completed","0")))))))))))&amp;(IF(C105=(D98+F98+H98),", RCC Slab",IF(C105&gt;0,", RCC upto "&amp;C105&amp;" Slab",""))&amp;(IF(C106=H98,", Brickwork",IF(C106&gt;0,", Brickwork upto "&amp;C106&amp;" Floor",""))&amp;(IF(C107=H98,", Internal Plaster",IF(C107&gt;0,", Internal Plaster upto "&amp;C107&amp;" Floor",""))&amp;(IF(C108=H98,", External Plaster",IF(C108&gt;0,", External Plaster upto "&amp;C108&amp;" Floor",""))&amp;(IF(C109=H98,", Flooring",IF(C109&gt;0,", Flooring upto "&amp;C109&amp;" Floor",""))&amp;(IF(C110=H98,", Painting",IF(C110&gt;0,", Painting upto "&amp;C110&amp;" Floor",""))&amp;(IF(C111&gt;0,", Finishing upto "&amp;C111&amp;" Floor","")&amp;(IF(C105&gt;0.5," Completed",""))))))))))))))</f>
        <v>All work completed. Please provide OC.</v>
      </c>
      <c r="J97" s="10"/>
    </row>
    <row r="98" spans="1:10" x14ac:dyDescent="0.35">
      <c r="A98" s="77" t="s">
        <v>155</v>
      </c>
      <c r="B98" s="77">
        <v>0</v>
      </c>
      <c r="C98" s="77" t="s">
        <v>81</v>
      </c>
      <c r="D98" s="77">
        <v>1</v>
      </c>
      <c r="E98" s="77" t="s">
        <v>80</v>
      </c>
      <c r="F98" s="77">
        <v>0</v>
      </c>
      <c r="G98" s="77" t="s">
        <v>94</v>
      </c>
      <c r="H98" s="77">
        <f ca="1">--TRIM(RIGHT(SUBSTITUTE(LEFT(C97,_xlfn.AGGREGATE(16,6,FIND({0,1,2,3,4,5,6,7,8,9},C97,ROW(INDIRECT("1:"&amp;LEN(C97)))),1))," ",REPT(" ",LEN(C97))),LEN(C97)))</f>
        <v>20</v>
      </c>
      <c r="I98" s="39"/>
      <c r="J98" s="11"/>
    </row>
    <row r="99" spans="1:10" x14ac:dyDescent="0.35">
      <c r="A99" s="121" t="s">
        <v>104</v>
      </c>
      <c r="B99" s="121"/>
      <c r="C99" s="107" t="str">
        <f>I99</f>
        <v>All work Completed. OC Received.</v>
      </c>
      <c r="D99" s="107"/>
      <c r="E99" s="107"/>
      <c r="F99" s="107"/>
      <c r="G99" s="107"/>
      <c r="H99" s="107"/>
      <c r="I99" s="39" t="s">
        <v>117</v>
      </c>
      <c r="J99" s="11"/>
    </row>
    <row r="100" spans="1:10" ht="15.75" customHeight="1" x14ac:dyDescent="0.35">
      <c r="A100" s="79" t="s">
        <v>99</v>
      </c>
      <c r="B100" s="79"/>
      <c r="C100" s="80">
        <v>1</v>
      </c>
      <c r="D100" s="79"/>
      <c r="E100" s="81" t="s">
        <v>98</v>
      </c>
      <c r="F100" s="81"/>
      <c r="G100" s="81">
        <v>1</v>
      </c>
      <c r="H100" s="81"/>
      <c r="I100" s="32" t="s">
        <v>160</v>
      </c>
      <c r="J100" s="41">
        <f>(IF(B89=1,(H89/(B89+3)+J95),IF(B89=0,(H89/4+J95),IF(B89&gt;1,0))))</f>
        <v>0</v>
      </c>
    </row>
    <row r="101" spans="1:10" ht="16" thickBot="1" x14ac:dyDescent="0.4">
      <c r="A101" s="79"/>
      <c r="B101" s="79"/>
      <c r="C101" s="79"/>
      <c r="D101" s="79"/>
      <c r="E101" s="81"/>
      <c r="F101" s="81"/>
      <c r="G101" s="81"/>
      <c r="H101" s="81"/>
      <c r="I101" s="40" t="s">
        <v>116</v>
      </c>
      <c r="J101" s="43" t="e">
        <f>(IF(B89&gt;1.5,(H89/(B89+2)+J95+MAX(0,J96-J95)+MAX(0,J97-J96)+MAX(0,J98-J97)+MAX(0,J99-J98)+MAX(0,J100-J99)),IF(B89=1,(H89/(B89+3)+J100),IF(B89=0,H89/4+J100))))</f>
        <v>#VALUE!</v>
      </c>
    </row>
    <row r="102" spans="1:10" ht="15.75" hidden="1" customHeight="1" x14ac:dyDescent="0.35">
      <c r="A102" s="115" t="s">
        <v>54</v>
      </c>
      <c r="B102" s="108"/>
      <c r="C102" s="54" t="s">
        <v>152</v>
      </c>
      <c r="D102" s="54" t="s">
        <v>97</v>
      </c>
      <c r="E102" s="108" t="s">
        <v>99</v>
      </c>
      <c r="F102" s="108"/>
      <c r="G102" s="108" t="s">
        <v>98</v>
      </c>
      <c r="H102" s="174"/>
      <c r="I102" s="32" t="s">
        <v>154</v>
      </c>
      <c r="J102" s="12">
        <f ca="1">H98*25%</f>
        <v>5</v>
      </c>
    </row>
    <row r="103" spans="1:10" hidden="1" x14ac:dyDescent="0.35">
      <c r="A103" s="115" t="s">
        <v>141</v>
      </c>
      <c r="B103" s="108"/>
      <c r="C103" s="60">
        <f ca="1">J104</f>
        <v>20</v>
      </c>
      <c r="D103" s="61">
        <f ca="1">((100/H98)*C103)/100</f>
        <v>1</v>
      </c>
      <c r="E103" s="109">
        <f ca="1">(((C104/H98*10)+(40/(D98+F98+H98)*C105)+(7.5/(H98)*C106)+(7.5/(H98)*C107)+(10/H98*C108)+(10/H98*C109)+(5/H98*C110)+(5/H98*C111)+(5/H98*C112))/100)</f>
        <v>1</v>
      </c>
      <c r="F103" s="109"/>
      <c r="G103" s="109">
        <f ca="1">((((C103/H98)*20)+((C104/H98)*25)+(30/(H98+F98+D98)*C105)+(5/H98*C106)+(5/H98*C107)+(5/H98*C108)+(5/H98*C109)+(0/H98*C110)+(0/H98*C111)+(5/H98*C112))/100)</f>
        <v>1</v>
      </c>
      <c r="H103" s="124"/>
      <c r="I103" s="32" t="s">
        <v>112</v>
      </c>
      <c r="J103" s="37">
        <f ca="1">H98*50%</f>
        <v>10</v>
      </c>
    </row>
    <row r="104" spans="1:10" hidden="1" x14ac:dyDescent="0.35">
      <c r="A104" s="115" t="s">
        <v>55</v>
      </c>
      <c r="B104" s="108"/>
      <c r="C104" s="62">
        <f ca="1">J112</f>
        <v>20</v>
      </c>
      <c r="D104" s="61">
        <f ca="1">((100/H98)*C104)/100</f>
        <v>1</v>
      </c>
      <c r="E104" s="109"/>
      <c r="F104" s="109"/>
      <c r="G104" s="109"/>
      <c r="H104" s="124"/>
      <c r="I104" s="32" t="s">
        <v>113</v>
      </c>
      <c r="J104" s="37">
        <f ca="1">H98</f>
        <v>20</v>
      </c>
    </row>
    <row r="105" spans="1:10" ht="15.75" hidden="1" customHeight="1" x14ac:dyDescent="0.35">
      <c r="A105" s="115" t="s">
        <v>142</v>
      </c>
      <c r="B105" s="108"/>
      <c r="C105" s="62">
        <v>21</v>
      </c>
      <c r="D105" s="61">
        <f ca="1">((100/(D98+F98+H98))*C105)/100</f>
        <v>1</v>
      </c>
      <c r="E105" s="109"/>
      <c r="F105" s="109"/>
      <c r="G105" s="109"/>
      <c r="H105" s="124"/>
      <c r="I105" s="32" t="s">
        <v>114</v>
      </c>
      <c r="J105" s="41">
        <f ca="1">(IF(B98&gt;1,(H98/(B98+2)),H98/4))</f>
        <v>5</v>
      </c>
    </row>
    <row r="106" spans="1:10" ht="15.75" hidden="1" customHeight="1" x14ac:dyDescent="0.35">
      <c r="A106" s="115" t="s">
        <v>149</v>
      </c>
      <c r="B106" s="108" t="s">
        <v>143</v>
      </c>
      <c r="C106" s="60">
        <v>20</v>
      </c>
      <c r="D106" s="61">
        <f ca="1">((100/H98)*C106)/100</f>
        <v>1</v>
      </c>
      <c r="E106" s="109"/>
      <c r="F106" s="109"/>
      <c r="G106" s="109"/>
      <c r="H106" s="124"/>
      <c r="I106" s="32" t="s">
        <v>115</v>
      </c>
      <c r="J106" s="41">
        <f ca="1">(IF(B98&gt;1,(H98/(B98+2)+J105),H98/4+J105))</f>
        <v>10</v>
      </c>
    </row>
    <row r="107" spans="1:10" ht="15.75" hidden="1" customHeight="1" x14ac:dyDescent="0.35">
      <c r="A107" s="115" t="s">
        <v>150</v>
      </c>
      <c r="B107" s="108" t="s">
        <v>143</v>
      </c>
      <c r="C107" s="60">
        <v>20</v>
      </c>
      <c r="D107" s="61">
        <f ca="1">((100/H98)*C107)/100</f>
        <v>1</v>
      </c>
      <c r="E107" s="109"/>
      <c r="F107" s="109"/>
      <c r="G107" s="109"/>
      <c r="H107" s="124"/>
      <c r="I107" s="32" t="s">
        <v>159</v>
      </c>
      <c r="J107" s="41">
        <f>(IF(B98&gt;1,(H98/(B98+2)+J106),0))</f>
        <v>0</v>
      </c>
    </row>
    <row r="108" spans="1:10" ht="15" hidden="1" customHeight="1" x14ac:dyDescent="0.35">
      <c r="A108" s="115" t="s">
        <v>148</v>
      </c>
      <c r="B108" s="108" t="s">
        <v>145</v>
      </c>
      <c r="C108" s="60">
        <v>20</v>
      </c>
      <c r="D108" s="61">
        <f ca="1">((100/(H98))*C108)/100</f>
        <v>1</v>
      </c>
      <c r="E108" s="109"/>
      <c r="F108" s="109"/>
      <c r="G108" s="109"/>
      <c r="H108" s="124"/>
      <c r="I108" s="32" t="s">
        <v>156</v>
      </c>
      <c r="J108" s="41">
        <f>(IF(B98&gt;2,(H98/(B98+2)+J107),0))</f>
        <v>0</v>
      </c>
    </row>
    <row r="109" spans="1:10" ht="15.75" hidden="1" customHeight="1" x14ac:dyDescent="0.35">
      <c r="A109" s="115" t="s">
        <v>144</v>
      </c>
      <c r="B109" s="108" t="s">
        <v>144</v>
      </c>
      <c r="C109" s="60">
        <v>20</v>
      </c>
      <c r="D109" s="61">
        <f ca="1">((100/H98)*C109)/100</f>
        <v>1</v>
      </c>
      <c r="E109" s="109"/>
      <c r="F109" s="109"/>
      <c r="G109" s="109"/>
      <c r="H109" s="124"/>
      <c r="I109" s="32" t="s">
        <v>157</v>
      </c>
      <c r="J109" s="42">
        <f>(IF(B98&gt;3,(H98/(B98+2)+J108),0))</f>
        <v>0</v>
      </c>
    </row>
    <row r="110" spans="1:10" ht="15.75" hidden="1" customHeight="1" x14ac:dyDescent="0.35">
      <c r="A110" s="115" t="s">
        <v>151</v>
      </c>
      <c r="B110" s="108"/>
      <c r="C110" s="60">
        <v>20</v>
      </c>
      <c r="D110" s="61">
        <f ca="1">((100/H98)*C110)/100</f>
        <v>1</v>
      </c>
      <c r="E110" s="109"/>
      <c r="F110" s="109"/>
      <c r="G110" s="109"/>
      <c r="H110" s="124"/>
      <c r="I110" s="32" t="s">
        <v>158</v>
      </c>
      <c r="J110" s="41">
        <f>(IF(B98&gt;4,(H98/(B98+2)+J109),0))</f>
        <v>0</v>
      </c>
    </row>
    <row r="111" spans="1:10" ht="15.75" hidden="1" customHeight="1" x14ac:dyDescent="0.35">
      <c r="A111" s="115" t="s">
        <v>146</v>
      </c>
      <c r="B111" s="108" t="s">
        <v>146</v>
      </c>
      <c r="C111" s="60">
        <v>20</v>
      </c>
      <c r="D111" s="61">
        <f ca="1">((100/(H98))*C111)/100</f>
        <v>1</v>
      </c>
      <c r="E111" s="109"/>
      <c r="F111" s="109"/>
      <c r="G111" s="109"/>
      <c r="H111" s="124"/>
      <c r="I111" s="32" t="s">
        <v>160</v>
      </c>
      <c r="J111" s="41">
        <f ca="1">(IF(B98=1,(H98/(B98+3)+J106),IF(B98=0,(H98/4+J106),IF(B98&gt;1,0))))</f>
        <v>15</v>
      </c>
    </row>
    <row r="112" spans="1:10" ht="16" hidden="1" thickBot="1" x14ac:dyDescent="0.4">
      <c r="A112" s="104" t="s">
        <v>147</v>
      </c>
      <c r="B112" s="105"/>
      <c r="C112" s="63">
        <v>20</v>
      </c>
      <c r="D112" s="64">
        <f ca="1">((100/(H98))*C112)/100</f>
        <v>1</v>
      </c>
      <c r="E112" s="125"/>
      <c r="F112" s="125"/>
      <c r="G112" s="125"/>
      <c r="H112" s="126"/>
      <c r="I112" s="40" t="s">
        <v>116</v>
      </c>
      <c r="J112" s="43">
        <f ca="1">(IF(B98&gt;1.5,(H98/(B98+2)+J106+MAX(0,J107-J106)+MAX(0,J108-J107)+MAX(0,J109-J108)+MAX(0,J110-J109)+MAX(0,J111-J110)),IF(B98=1,(H98/(B98+3)+J111),IF(B98=0,H98/4+J111))))</f>
        <v>20</v>
      </c>
    </row>
    <row r="113" spans="1:10" ht="15.75" customHeight="1" x14ac:dyDescent="0.35">
      <c r="A113" s="176" t="s">
        <v>153</v>
      </c>
      <c r="B113" s="177"/>
      <c r="C113" s="117" t="str">
        <f>D59</f>
        <v>Wing M &amp; N = G/St + 1st to 19th Floor</v>
      </c>
      <c r="D113" s="118"/>
      <c r="E113" s="118"/>
      <c r="F113" s="118"/>
      <c r="G113" s="118"/>
      <c r="H113" s="119"/>
      <c r="I113" s="38" t="str">
        <f ca="1">(IF(E119&gt;99%,"All work completed. Please provide OC.",IF(E119&gt;89.8%,"Plinth, RCC, Brick, Plaster, Flooring, Painting work Completed. Finishing work is in process.",IF(E119&lt;94%,(IF(C119=0,"Work not yet Started.",IF(D119=25%,"Piling work in process",IF(D119=50%,"Excavation work in process",IF(D119=100%,"Excavation work Completed. ","0")))&amp;(IF(C120=0%,"",IF(C120=J121,"Footing work is process",IF(C120=J122,"Footing work Completed",IF(C120=J123,"1st Basement Completed",IF(C120=J124,"1st &amp; 2nd Basement Completed",IF(C120=J125,"1st to 3rd Basement Completed",IF(C120=J126,"1st to 4th Basement Completed",IF(C120=J127,"Plinth work is process",IF(C120=J128,"Plinth work completed","0")))))))))))&amp;(IF(C121=(D114+F114+H114),", RCC Slab",IF(C121&gt;0,", RCC upto "&amp;C121&amp;" Slab",""))&amp;(IF(C122=H114,", Brickwork",IF(C122&gt;0,", Brickwork upto "&amp;C122&amp;" Floor",""))&amp;(IF(C123=H114,", Internal Plaster",IF(C123&gt;0,", Internal Plaster upto "&amp;C123&amp;" Floor",""))&amp;(IF(C124=H114,", External Plaster",IF(C124&gt;0,", External Plaster upto "&amp;C124&amp;" Floor",""))&amp;(IF(C125=H114,", Flooring",IF(C125&gt;0,", Flooring upto "&amp;C125&amp;" Floor",""))&amp;(IF(C126=H114,", Painting",IF(C126&gt;0,", Painting upto "&amp;C126&amp;" Floor",""))&amp;(IF(C127&gt;0,", Finishing upto "&amp;C127&amp;" Floor","")&amp;(IF(C121&gt;0.5," Completed",""))))))))))))))</f>
        <v>All work completed. Please provide OC.</v>
      </c>
      <c r="J113" s="10"/>
    </row>
    <row r="114" spans="1:10" x14ac:dyDescent="0.35">
      <c r="A114" s="57" t="s">
        <v>155</v>
      </c>
      <c r="B114" s="58">
        <v>0</v>
      </c>
      <c r="C114" s="58" t="s">
        <v>81</v>
      </c>
      <c r="D114" s="58">
        <v>1</v>
      </c>
      <c r="E114" s="58" t="s">
        <v>80</v>
      </c>
      <c r="F114" s="58">
        <v>0</v>
      </c>
      <c r="G114" s="58" t="s">
        <v>94</v>
      </c>
      <c r="H114" s="45">
        <f ca="1">--TRIM(RIGHT(SUBSTITUTE(LEFT(C113,_xlfn.AGGREGATE(16,6,FIND({0,1,2,3,4,5,6,7,8,9},C113,ROW(INDIRECT("1:"&amp;LEN(C113)))),1))," ",REPT(" ",LEN(C113))),LEN(C113)))</f>
        <v>19</v>
      </c>
      <c r="I114" s="39"/>
      <c r="J114" s="11"/>
    </row>
    <row r="115" spans="1:10" x14ac:dyDescent="0.35">
      <c r="A115" s="120" t="s">
        <v>104</v>
      </c>
      <c r="B115" s="121"/>
      <c r="C115" s="107" t="str">
        <f>I115</f>
        <v>All work Completed. OC Received.</v>
      </c>
      <c r="D115" s="107"/>
      <c r="E115" s="107"/>
      <c r="F115" s="107"/>
      <c r="G115" s="107"/>
      <c r="H115" s="122"/>
      <c r="I115" s="39" t="s">
        <v>117</v>
      </c>
      <c r="J115" s="11"/>
    </row>
    <row r="116" spans="1:10" ht="15.75" customHeight="1" x14ac:dyDescent="0.35">
      <c r="A116" s="79" t="s">
        <v>99</v>
      </c>
      <c r="B116" s="79"/>
      <c r="C116" s="80">
        <v>1</v>
      </c>
      <c r="D116" s="79"/>
      <c r="E116" s="81" t="s">
        <v>98</v>
      </c>
      <c r="F116" s="81"/>
      <c r="G116" s="81">
        <v>1</v>
      </c>
      <c r="H116" s="81"/>
      <c r="I116" s="32" t="s">
        <v>160</v>
      </c>
      <c r="J116" s="41">
        <f ca="1">(IF(B105=1,(H105/(B105+3)+J111),IF(B105=0,(H105/4+J111),IF(B105&gt;1,0))))</f>
        <v>15</v>
      </c>
    </row>
    <row r="117" spans="1:10" ht="16" thickBot="1" x14ac:dyDescent="0.4">
      <c r="A117" s="79"/>
      <c r="B117" s="79"/>
      <c r="C117" s="79"/>
      <c r="D117" s="79"/>
      <c r="E117" s="81"/>
      <c r="F117" s="81"/>
      <c r="G117" s="81"/>
      <c r="H117" s="81"/>
      <c r="I117" s="40" t="s">
        <v>116</v>
      </c>
      <c r="J117" s="43">
        <f ca="1">(IF(B105&gt;1.5,(H105/(B105+2)+J111+MAX(0,J112-J111)+MAX(0,J113-J112)+MAX(0,J114-J113)+MAX(0,J115-J114)+MAX(0,J116-J115)),IF(B105=1,(H105/(B105+3)+J116),IF(B105=0,H105/4+J116))))</f>
        <v>15</v>
      </c>
    </row>
    <row r="118" spans="1:10" ht="15.75" hidden="1" customHeight="1" x14ac:dyDescent="0.35">
      <c r="A118" s="115" t="s">
        <v>54</v>
      </c>
      <c r="B118" s="108"/>
      <c r="C118" s="54" t="s">
        <v>152</v>
      </c>
      <c r="D118" s="54" t="s">
        <v>97</v>
      </c>
      <c r="E118" s="108" t="s">
        <v>99</v>
      </c>
      <c r="F118" s="108"/>
      <c r="G118" s="108" t="s">
        <v>98</v>
      </c>
      <c r="H118" s="174"/>
      <c r="I118" s="32" t="s">
        <v>154</v>
      </c>
      <c r="J118" s="12">
        <f ca="1">H114*25%</f>
        <v>4.75</v>
      </c>
    </row>
    <row r="119" spans="1:10" hidden="1" x14ac:dyDescent="0.35">
      <c r="A119" s="115" t="s">
        <v>141</v>
      </c>
      <c r="B119" s="108"/>
      <c r="C119" s="60">
        <f ca="1">J120</f>
        <v>19</v>
      </c>
      <c r="D119" s="61">
        <f ca="1">((100/H114)*C119)/100</f>
        <v>1</v>
      </c>
      <c r="E119" s="109">
        <f ca="1">(((C120/H114*10)+(40/(D114+F114+H114)*C121)+(7.5/(H114)*C122)+(7.5/(H114)*C123)+(10/H114*C124)+(10/H114*C125)+(5/H114*C126)+(5/H114*C127)+(5/H114*C128))/100)</f>
        <v>1</v>
      </c>
      <c r="F119" s="109"/>
      <c r="G119" s="109">
        <f ca="1">((((C119/H114)*20)+((C120/H114)*25)+(30/(H114+F114+D114)*C121)+(5/H114*C122)+(5/H114*C123)+(5/H114*C124)+(5/H114*C125)+(0/H114*C126)+(0/H114*C127)+(5/H114*C128))/100)</f>
        <v>1</v>
      </c>
      <c r="H119" s="124"/>
      <c r="I119" s="32" t="s">
        <v>112</v>
      </c>
      <c r="J119" s="37">
        <f ca="1">H114*50%</f>
        <v>9.5</v>
      </c>
    </row>
    <row r="120" spans="1:10" hidden="1" x14ac:dyDescent="0.35">
      <c r="A120" s="115" t="s">
        <v>55</v>
      </c>
      <c r="B120" s="108"/>
      <c r="C120" s="62">
        <f ca="1">J128</f>
        <v>19</v>
      </c>
      <c r="D120" s="61">
        <f ca="1">((100/H114)*C120)/100</f>
        <v>1</v>
      </c>
      <c r="E120" s="109"/>
      <c r="F120" s="109"/>
      <c r="G120" s="109"/>
      <c r="H120" s="124"/>
      <c r="I120" s="32" t="s">
        <v>113</v>
      </c>
      <c r="J120" s="37">
        <f ca="1">H114</f>
        <v>19</v>
      </c>
    </row>
    <row r="121" spans="1:10" ht="15.75" hidden="1" customHeight="1" x14ac:dyDescent="0.35">
      <c r="A121" s="115" t="s">
        <v>142</v>
      </c>
      <c r="B121" s="108"/>
      <c r="C121" s="62">
        <v>20</v>
      </c>
      <c r="D121" s="61">
        <f ca="1">((100/(D114+F114+H114))*C121)/100</f>
        <v>1</v>
      </c>
      <c r="E121" s="109"/>
      <c r="F121" s="109"/>
      <c r="G121" s="109"/>
      <c r="H121" s="124"/>
      <c r="I121" s="32" t="s">
        <v>114</v>
      </c>
      <c r="J121" s="41">
        <f ca="1">(IF(B114&gt;1,(H114/(B114+2)),H114/4))</f>
        <v>4.75</v>
      </c>
    </row>
    <row r="122" spans="1:10" ht="15.75" hidden="1" customHeight="1" x14ac:dyDescent="0.35">
      <c r="A122" s="115" t="s">
        <v>149</v>
      </c>
      <c r="B122" s="108" t="s">
        <v>143</v>
      </c>
      <c r="C122" s="60">
        <v>19</v>
      </c>
      <c r="D122" s="61">
        <f ca="1">((100/H114)*C122)/100</f>
        <v>1</v>
      </c>
      <c r="E122" s="109"/>
      <c r="F122" s="109"/>
      <c r="G122" s="109"/>
      <c r="H122" s="124"/>
      <c r="I122" s="32" t="s">
        <v>115</v>
      </c>
      <c r="J122" s="41">
        <f ca="1">(IF(B114&gt;1,(H114/(B114+2)+J121),H114/4+J121))</f>
        <v>9.5</v>
      </c>
    </row>
    <row r="123" spans="1:10" ht="15.75" hidden="1" customHeight="1" x14ac:dyDescent="0.35">
      <c r="A123" s="115" t="s">
        <v>150</v>
      </c>
      <c r="B123" s="108" t="s">
        <v>143</v>
      </c>
      <c r="C123" s="60">
        <v>19</v>
      </c>
      <c r="D123" s="61">
        <f ca="1">((100/H114)*C123)/100</f>
        <v>1</v>
      </c>
      <c r="E123" s="109"/>
      <c r="F123" s="109"/>
      <c r="G123" s="109"/>
      <c r="H123" s="124"/>
      <c r="I123" s="32" t="s">
        <v>159</v>
      </c>
      <c r="J123" s="41">
        <f>(IF(B114&gt;1,(H114/(B114+2)+J122),0))</f>
        <v>0</v>
      </c>
    </row>
    <row r="124" spans="1:10" ht="15" hidden="1" customHeight="1" x14ac:dyDescent="0.35">
      <c r="A124" s="115" t="s">
        <v>148</v>
      </c>
      <c r="B124" s="108" t="s">
        <v>145</v>
      </c>
      <c r="C124" s="60">
        <v>19</v>
      </c>
      <c r="D124" s="61">
        <f ca="1">((100/(H114))*C124)/100</f>
        <v>1</v>
      </c>
      <c r="E124" s="109"/>
      <c r="F124" s="109"/>
      <c r="G124" s="109"/>
      <c r="H124" s="124"/>
      <c r="I124" s="32" t="s">
        <v>156</v>
      </c>
      <c r="J124" s="41">
        <f>(IF(B114&gt;2,(H114/(B114+2)+J123),0))</f>
        <v>0</v>
      </c>
    </row>
    <row r="125" spans="1:10" ht="15.75" hidden="1" customHeight="1" x14ac:dyDescent="0.35">
      <c r="A125" s="115" t="s">
        <v>144</v>
      </c>
      <c r="B125" s="108" t="s">
        <v>144</v>
      </c>
      <c r="C125" s="60">
        <v>19</v>
      </c>
      <c r="D125" s="61">
        <f ca="1">((100/H114)*C125)/100</f>
        <v>1</v>
      </c>
      <c r="E125" s="109"/>
      <c r="F125" s="109"/>
      <c r="G125" s="109"/>
      <c r="H125" s="124"/>
      <c r="I125" s="32" t="s">
        <v>157</v>
      </c>
      <c r="J125" s="42">
        <f>(IF(B114&gt;3,(H114/(B114+2)+J124),0))</f>
        <v>0</v>
      </c>
    </row>
    <row r="126" spans="1:10" ht="15.75" hidden="1" customHeight="1" x14ac:dyDescent="0.35">
      <c r="A126" s="115" t="s">
        <v>151</v>
      </c>
      <c r="B126" s="108"/>
      <c r="C126" s="60">
        <v>19</v>
      </c>
      <c r="D126" s="61">
        <f ca="1">((100/H114)*C126)/100</f>
        <v>1</v>
      </c>
      <c r="E126" s="109"/>
      <c r="F126" s="109"/>
      <c r="G126" s="109"/>
      <c r="H126" s="124"/>
      <c r="I126" s="32" t="s">
        <v>158</v>
      </c>
      <c r="J126" s="41">
        <f>(IF(B114&gt;4,(H114/(B114+2)+J125),0))</f>
        <v>0</v>
      </c>
    </row>
    <row r="127" spans="1:10" ht="15.75" hidden="1" customHeight="1" x14ac:dyDescent="0.35">
      <c r="A127" s="115" t="s">
        <v>146</v>
      </c>
      <c r="B127" s="108" t="s">
        <v>146</v>
      </c>
      <c r="C127" s="60">
        <v>19</v>
      </c>
      <c r="D127" s="61">
        <f ca="1">((100/(H114))*C127)/100</f>
        <v>1</v>
      </c>
      <c r="E127" s="109"/>
      <c r="F127" s="109"/>
      <c r="G127" s="109"/>
      <c r="H127" s="124"/>
      <c r="I127" s="32" t="s">
        <v>160</v>
      </c>
      <c r="J127" s="41">
        <f ca="1">(IF(B114=1,(H114/(B114+3)+J122),IF(B114=0,(H114/4+J122),IF(B114&gt;1,0))))</f>
        <v>14.25</v>
      </c>
    </row>
    <row r="128" spans="1:10" ht="16" hidden="1" thickBot="1" x14ac:dyDescent="0.4">
      <c r="A128" s="104" t="s">
        <v>147</v>
      </c>
      <c r="B128" s="105"/>
      <c r="C128" s="63">
        <v>19</v>
      </c>
      <c r="D128" s="64">
        <f ca="1">((100/(H114))*C128)/100</f>
        <v>1</v>
      </c>
      <c r="E128" s="125"/>
      <c r="F128" s="125"/>
      <c r="G128" s="125"/>
      <c r="H128" s="126"/>
      <c r="I128" s="40" t="s">
        <v>116</v>
      </c>
      <c r="J128" s="43">
        <f ca="1">(IF(B114&gt;1.5,(H114/(B114+2)+J122+MAX(0,J123-J122)+MAX(0,J124-J123)+MAX(0,J125-J124)+MAX(0,J126-J125)+MAX(0,J127-J126)),IF(B114=1,(H114/(B114+3)+J127),IF(B114=0,H114/4+J127))))</f>
        <v>19</v>
      </c>
    </row>
    <row r="129" spans="1:10" ht="15.75" hidden="1" customHeight="1" x14ac:dyDescent="0.35">
      <c r="A129" s="176" t="s">
        <v>153</v>
      </c>
      <c r="B129" s="177"/>
      <c r="C129" s="117" t="str">
        <f>D60</f>
        <v>Wing N = G/St + 1st to 19th Floor</v>
      </c>
      <c r="D129" s="118"/>
      <c r="E129" s="118"/>
      <c r="F129" s="118"/>
      <c r="G129" s="118"/>
      <c r="H129" s="119"/>
      <c r="I129" s="38" t="str">
        <f ca="1">(IF(E133&gt;99%,"All work completed. Please provide OC.",IF(E133&gt;89.8%,"Plinth, RCC, Brick, Plaster, Flooring, Painting work Completed. Finishing work is in process.",IF(E133&lt;94%,(IF(C133=0,"Work not yet Started.",IF(D133=25%,"Piling work in process",IF(D133=50%,"Excavation work in process",IF(D133=100%,"Excavation work Completed. ","0")))&amp;(IF(C134=0%,"",IF(C134=J135,"Footing work is process",IF(C134=J136,"Footing work Completed",IF(C134=J137,"1st Basement Completed",IF(C134=J138,"1st &amp; 2nd Basement Completed",IF(C134=J139,"1st to 3rd Basement Completed",IF(C134=J140,"1st to 4th Basement Completed",IF(C134=J141,"Plinth work is process",IF(C134=J142,"Plinth work completed","0")))))))))))&amp;(IF(C135=(D130+F130+H130),", RCC Slab",IF(C135&gt;0,", RCC upto "&amp;C135&amp;" Slab",""))&amp;(IF(C136=H130,", Brickwork",IF(C136&gt;0,", Brickwork upto "&amp;C136&amp;" Floor",""))&amp;(IF(C137=H130,", Internal Plaster",IF(C137&gt;0,", Internal Plaster upto "&amp;C137&amp;" Floor",""))&amp;(IF(C138=H130,", External Plaster",IF(C138&gt;0,", External Plaster upto "&amp;C138&amp;" Floor",""))&amp;(IF(C139=H130,", Flooring",IF(C139&gt;0,", Flooring upto "&amp;C139&amp;" Floor",""))&amp;(IF(C140=H130,", Painting",IF(C140&gt;0,", Painting upto "&amp;C140&amp;" Floor",""))&amp;(IF(C141&gt;0,", Finishing upto "&amp;C141&amp;" Floor","")&amp;(IF(C135&gt;0.5," Completed",""))))))))))))))</f>
        <v>Excavation work Completed. Plinth work completed, RCC Slab, Brickwork, Internal Plaster, External Plaster, Flooring upto 18 Floor, Painting upto 10 Floor Completed</v>
      </c>
      <c r="J129" s="10"/>
    </row>
    <row r="130" spans="1:10" hidden="1" x14ac:dyDescent="0.35">
      <c r="A130" s="57" t="s">
        <v>155</v>
      </c>
      <c r="B130" s="58">
        <v>0</v>
      </c>
      <c r="C130" s="58" t="s">
        <v>81</v>
      </c>
      <c r="D130" s="58">
        <v>1</v>
      </c>
      <c r="E130" s="58" t="s">
        <v>80</v>
      </c>
      <c r="F130" s="58">
        <v>0</v>
      </c>
      <c r="G130" s="58" t="s">
        <v>94</v>
      </c>
      <c r="H130" s="45">
        <f ca="1">--TRIM(RIGHT(SUBSTITUTE(LEFT(C129,_xlfn.AGGREGATE(16,6,FIND({0,1,2,3,4,5,6,7,8,9},C129,ROW(INDIRECT("1:"&amp;LEN(C129)))),1))," ",REPT(" ",LEN(C129))),LEN(C129)))</f>
        <v>19</v>
      </c>
      <c r="I130" s="39"/>
      <c r="J130" s="11"/>
    </row>
    <row r="131" spans="1:10" ht="48.65" hidden="1" customHeight="1" x14ac:dyDescent="0.35">
      <c r="A131" s="120" t="s">
        <v>104</v>
      </c>
      <c r="B131" s="121"/>
      <c r="C131" s="107" t="str">
        <f ca="1">I129</f>
        <v>Excavation work Completed. Plinth work completed, RCC Slab, Brickwork, Internal Plaster, External Plaster, Flooring upto 18 Floor, Painting upto 10 Floor Completed</v>
      </c>
      <c r="D131" s="107"/>
      <c r="E131" s="107"/>
      <c r="F131" s="107"/>
      <c r="G131" s="107"/>
      <c r="H131" s="122"/>
      <c r="I131" s="39" t="s">
        <v>117</v>
      </c>
      <c r="J131" s="11"/>
    </row>
    <row r="132" spans="1:10" ht="15.75" hidden="1" customHeight="1" x14ac:dyDescent="0.35">
      <c r="A132" s="115" t="s">
        <v>54</v>
      </c>
      <c r="B132" s="108"/>
      <c r="C132" s="54" t="s">
        <v>152</v>
      </c>
      <c r="D132" s="54" t="s">
        <v>97</v>
      </c>
      <c r="E132" s="108" t="s">
        <v>99</v>
      </c>
      <c r="F132" s="108"/>
      <c r="G132" s="108" t="s">
        <v>98</v>
      </c>
      <c r="H132" s="174"/>
      <c r="I132" s="32" t="s">
        <v>154</v>
      </c>
      <c r="J132" s="12">
        <f ca="1">H130*25%</f>
        <v>4.75</v>
      </c>
    </row>
    <row r="133" spans="1:10" hidden="1" x14ac:dyDescent="0.35">
      <c r="A133" s="115" t="s">
        <v>141</v>
      </c>
      <c r="B133" s="108"/>
      <c r="C133" s="60">
        <f ca="1">J134</f>
        <v>19</v>
      </c>
      <c r="D133" s="61">
        <f ca="1">((100/H130)*C133)/100</f>
        <v>1</v>
      </c>
      <c r="E133" s="109">
        <f ca="1">(((C134/H130*10)+(40/(D130+F130+H130)*C135)+(7.5/(H130)*C136)+(7.5/(H130)*C137)+(10/H130*C138)+(10/H130*C139)+(5/H130*C140)+(5/H130*C141)+(5/H130*C142))/100)</f>
        <v>0.87105263157894741</v>
      </c>
      <c r="F133" s="109"/>
      <c r="G133" s="109">
        <f ca="1">((((C133/H130)*20)+((C134/H130)*25)+(30/(H130+F130+D130)*C135)+(5/H130*C136)+(5/H130*C137)+(5/H130*C138)+(5/H130*C139)+(0/H130*C140)+(0/H130*C141)+(5/H130*C142))/100)</f>
        <v>0.94736842105263153</v>
      </c>
      <c r="H133" s="124"/>
      <c r="I133" s="32" t="s">
        <v>112</v>
      </c>
      <c r="J133" s="37">
        <f ca="1">H130*50%</f>
        <v>9.5</v>
      </c>
    </row>
    <row r="134" spans="1:10" hidden="1" x14ac:dyDescent="0.35">
      <c r="A134" s="115" t="s">
        <v>55</v>
      </c>
      <c r="B134" s="108"/>
      <c r="C134" s="62">
        <f ca="1">J142</f>
        <v>19</v>
      </c>
      <c r="D134" s="61">
        <f ca="1">((100/H130)*C134)/100</f>
        <v>1</v>
      </c>
      <c r="E134" s="109"/>
      <c r="F134" s="109"/>
      <c r="G134" s="109"/>
      <c r="H134" s="124"/>
      <c r="I134" s="32" t="s">
        <v>113</v>
      </c>
      <c r="J134" s="37">
        <f ca="1">H130</f>
        <v>19</v>
      </c>
    </row>
    <row r="135" spans="1:10" ht="15.75" hidden="1" customHeight="1" x14ac:dyDescent="0.35">
      <c r="A135" s="127" t="s">
        <v>142</v>
      </c>
      <c r="B135" s="128"/>
      <c r="C135" s="62">
        <v>20</v>
      </c>
      <c r="D135" s="61">
        <f ca="1">((100/(D130+F130+H130))*C135)/100</f>
        <v>1</v>
      </c>
      <c r="E135" s="109"/>
      <c r="F135" s="109"/>
      <c r="G135" s="109"/>
      <c r="H135" s="124"/>
      <c r="I135" s="32" t="s">
        <v>114</v>
      </c>
      <c r="J135" s="41">
        <f ca="1">(IF(B130&gt;1,(H130/(B130+2)),H130/4))</f>
        <v>4.75</v>
      </c>
    </row>
    <row r="136" spans="1:10" ht="15.75" hidden="1" customHeight="1" x14ac:dyDescent="0.35">
      <c r="A136" s="115" t="s">
        <v>149</v>
      </c>
      <c r="B136" s="108" t="s">
        <v>143</v>
      </c>
      <c r="C136" s="60">
        <v>19</v>
      </c>
      <c r="D136" s="61">
        <f ca="1">((100/H130)*C136)/100</f>
        <v>1</v>
      </c>
      <c r="E136" s="109"/>
      <c r="F136" s="109"/>
      <c r="G136" s="109"/>
      <c r="H136" s="124"/>
      <c r="I136" s="32" t="s">
        <v>115</v>
      </c>
      <c r="J136" s="41">
        <f ca="1">(IF(B130&gt;1,(H130/(B130+2)+J135),H130/4+J135))</f>
        <v>9.5</v>
      </c>
    </row>
    <row r="137" spans="1:10" ht="15.75" hidden="1" customHeight="1" x14ac:dyDescent="0.35">
      <c r="A137" s="115" t="s">
        <v>150</v>
      </c>
      <c r="B137" s="108" t="s">
        <v>143</v>
      </c>
      <c r="C137" s="60">
        <v>19</v>
      </c>
      <c r="D137" s="61">
        <f ca="1">((100/H130)*C137)/100</f>
        <v>1</v>
      </c>
      <c r="E137" s="109"/>
      <c r="F137" s="109"/>
      <c r="G137" s="109"/>
      <c r="H137" s="124"/>
      <c r="I137" s="32" t="s">
        <v>159</v>
      </c>
      <c r="J137" s="41">
        <f>(IF(B130&gt;1,(H130/(B130+2)+J136),0))</f>
        <v>0</v>
      </c>
    </row>
    <row r="138" spans="1:10" ht="15" hidden="1" customHeight="1" x14ac:dyDescent="0.35">
      <c r="A138" s="115" t="s">
        <v>148</v>
      </c>
      <c r="B138" s="108" t="s">
        <v>145</v>
      </c>
      <c r="C138" s="60">
        <v>19</v>
      </c>
      <c r="D138" s="61">
        <f ca="1">((100/(H130))*C138)/100</f>
        <v>1</v>
      </c>
      <c r="E138" s="109"/>
      <c r="F138" s="109"/>
      <c r="G138" s="109"/>
      <c r="H138" s="124"/>
      <c r="I138" s="32" t="s">
        <v>156</v>
      </c>
      <c r="J138" s="41">
        <f>(IF(B130&gt;2,(H130/(B130+2)+J137),0))</f>
        <v>0</v>
      </c>
    </row>
    <row r="139" spans="1:10" ht="15.75" hidden="1" customHeight="1" x14ac:dyDescent="0.35">
      <c r="A139" s="115" t="s">
        <v>144</v>
      </c>
      <c r="B139" s="108" t="s">
        <v>144</v>
      </c>
      <c r="C139" s="60">
        <v>18</v>
      </c>
      <c r="D139" s="61">
        <f ca="1">((100/H130)*C139)/100</f>
        <v>0.94736842105263164</v>
      </c>
      <c r="E139" s="109"/>
      <c r="F139" s="109"/>
      <c r="G139" s="109"/>
      <c r="H139" s="124"/>
      <c r="I139" s="32" t="s">
        <v>157</v>
      </c>
      <c r="J139" s="42">
        <f>(IF(B130&gt;3,(H130/(B130+2)+J138),0))</f>
        <v>0</v>
      </c>
    </row>
    <row r="140" spans="1:10" ht="15.75" hidden="1" customHeight="1" x14ac:dyDescent="0.35">
      <c r="A140" s="115" t="s">
        <v>151</v>
      </c>
      <c r="B140" s="108"/>
      <c r="C140" s="60">
        <v>10</v>
      </c>
      <c r="D140" s="61">
        <f ca="1">((100/H130)*C140)/100</f>
        <v>0.52631578947368429</v>
      </c>
      <c r="E140" s="109"/>
      <c r="F140" s="109"/>
      <c r="G140" s="109"/>
      <c r="H140" s="124"/>
      <c r="I140" s="32" t="s">
        <v>158</v>
      </c>
      <c r="J140" s="41">
        <f>(IF(B130&gt;4,(H130/(B130+2)+J139),0))</f>
        <v>0</v>
      </c>
    </row>
    <row r="141" spans="1:10" ht="15.75" hidden="1" customHeight="1" x14ac:dyDescent="0.35">
      <c r="A141" s="115" t="s">
        <v>146</v>
      </c>
      <c r="B141" s="108" t="s">
        <v>146</v>
      </c>
      <c r="C141" s="60">
        <v>0</v>
      </c>
      <c r="D141" s="61">
        <f ca="1">((100/(H130))*C141)/100</f>
        <v>0</v>
      </c>
      <c r="E141" s="109"/>
      <c r="F141" s="109"/>
      <c r="G141" s="109"/>
      <c r="H141" s="124"/>
      <c r="I141" s="32" t="s">
        <v>160</v>
      </c>
      <c r="J141" s="41">
        <f ca="1">(IF(B130=1,(H130/(B130+3)+J136),IF(B130=0,(H130/4+J136),IF(B130&gt;1,0))))</f>
        <v>14.25</v>
      </c>
    </row>
    <row r="142" spans="1:10" ht="16" hidden="1" thickBot="1" x14ac:dyDescent="0.4">
      <c r="A142" s="104" t="s">
        <v>147</v>
      </c>
      <c r="B142" s="105"/>
      <c r="C142" s="63">
        <v>0</v>
      </c>
      <c r="D142" s="64">
        <f ca="1">((100/(H130))*C142)/100</f>
        <v>0</v>
      </c>
      <c r="E142" s="125"/>
      <c r="F142" s="125"/>
      <c r="G142" s="125"/>
      <c r="H142" s="126"/>
      <c r="I142" s="40" t="s">
        <v>116</v>
      </c>
      <c r="J142" s="43">
        <f ca="1">(IF(B130&gt;1.5,(H130/(B130+2)+J136+MAX(0,J137-J136)+MAX(0,J138-J137)+MAX(0,J139-J138)+MAX(0,J140-J139)+MAX(0,J141-J140)),IF(B130=1,(H130/(B130+3)+J141),IF(B130=0,H130/4+J141))))</f>
        <v>19</v>
      </c>
    </row>
    <row r="143" spans="1:10" x14ac:dyDescent="0.35">
      <c r="A143" s="110" t="s">
        <v>131</v>
      </c>
      <c r="B143" s="111"/>
      <c r="C143" s="111"/>
      <c r="D143" s="111"/>
      <c r="E143" s="112"/>
      <c r="F143" s="110" t="str">
        <f ca="1">(IF(D64="Nothing","Yes",IF(D64="Cement, Aggregate, Steel, etc","Under Construction",IF(D64="Work not yet Started","Work not yet Started"))))</f>
        <v>Yes</v>
      </c>
      <c r="G143" s="111"/>
      <c r="H143" s="112"/>
    </row>
    <row r="144" spans="1:10" x14ac:dyDescent="0.35">
      <c r="A144" s="113" t="s">
        <v>56</v>
      </c>
      <c r="B144" s="113"/>
      <c r="C144" s="113"/>
      <c r="D144" s="113"/>
      <c r="E144" s="113"/>
      <c r="F144" s="113"/>
      <c r="G144" s="113"/>
      <c r="H144" s="113"/>
    </row>
    <row r="145" spans="1:11" ht="15" customHeight="1" x14ac:dyDescent="0.35">
      <c r="A145" s="121" t="s">
        <v>84</v>
      </c>
      <c r="B145" s="121"/>
      <c r="C145" s="107" t="s">
        <v>85</v>
      </c>
      <c r="D145" s="107"/>
      <c r="E145" s="107"/>
      <c r="F145" s="107"/>
      <c r="G145" s="107"/>
      <c r="H145" s="107"/>
    </row>
    <row r="146" spans="1:11" x14ac:dyDescent="0.35">
      <c r="A146" s="145" t="s">
        <v>57</v>
      </c>
      <c r="B146" s="145"/>
      <c r="C146" s="145"/>
      <c r="D146" s="145"/>
      <c r="E146" s="145"/>
      <c r="F146" s="145"/>
      <c r="G146" s="145"/>
      <c r="H146" s="145"/>
    </row>
    <row r="147" spans="1:11" x14ac:dyDescent="0.35">
      <c r="A147" s="113" t="s">
        <v>86</v>
      </c>
      <c r="B147" s="113"/>
      <c r="C147" s="113"/>
      <c r="D147" s="113"/>
      <c r="E147" s="113"/>
      <c r="F147" s="116">
        <v>4300</v>
      </c>
      <c r="G147" s="116"/>
      <c r="H147" s="116"/>
      <c r="I147" s="50" t="s">
        <v>215</v>
      </c>
      <c r="J147" s="50" t="s">
        <v>216</v>
      </c>
      <c r="K147" s="50" t="s">
        <v>217</v>
      </c>
    </row>
    <row r="148" spans="1:11" hidden="1" x14ac:dyDescent="0.35">
      <c r="A148" s="113" t="s">
        <v>91</v>
      </c>
      <c r="B148" s="113"/>
      <c r="C148" s="113"/>
      <c r="D148" s="113"/>
      <c r="E148" s="113"/>
      <c r="F148" s="116"/>
      <c r="G148" s="116"/>
      <c r="H148" s="116"/>
      <c r="I148" s="50"/>
      <c r="J148" s="50"/>
      <c r="K148" s="50"/>
    </row>
    <row r="149" spans="1:11" hidden="1" x14ac:dyDescent="0.35">
      <c r="A149" s="113" t="s">
        <v>93</v>
      </c>
      <c r="B149" s="113"/>
      <c r="C149" s="113"/>
      <c r="D149" s="113"/>
      <c r="E149" s="113"/>
      <c r="F149" s="116"/>
      <c r="G149" s="116"/>
      <c r="H149" s="116"/>
      <c r="I149" s="50"/>
      <c r="J149" s="50"/>
      <c r="K149" s="50"/>
    </row>
    <row r="150" spans="1:11" s="7" customFormat="1" hidden="1" x14ac:dyDescent="0.3">
      <c r="A150" s="113" t="s">
        <v>109</v>
      </c>
      <c r="B150" s="113"/>
      <c r="C150" s="113"/>
      <c r="D150" s="113"/>
      <c r="E150" s="113"/>
      <c r="F150" s="116" t="s">
        <v>30</v>
      </c>
      <c r="G150" s="116"/>
      <c r="H150" s="116"/>
      <c r="I150" s="51"/>
      <c r="J150" s="51"/>
      <c r="K150" s="51"/>
    </row>
    <row r="151" spans="1:11" s="7" customFormat="1" x14ac:dyDescent="0.3">
      <c r="A151" s="113" t="s">
        <v>210</v>
      </c>
      <c r="B151" s="113"/>
      <c r="C151" s="113"/>
      <c r="D151" s="113"/>
      <c r="E151" s="113"/>
      <c r="F151" s="116">
        <v>350000</v>
      </c>
      <c r="G151" s="116"/>
      <c r="H151" s="116"/>
      <c r="I151" s="69" t="s">
        <v>218</v>
      </c>
      <c r="J151" s="70"/>
      <c r="K151" s="70"/>
    </row>
    <row r="152" spans="1:11" s="7" customFormat="1" x14ac:dyDescent="0.3">
      <c r="A152" s="113" t="s">
        <v>214</v>
      </c>
      <c r="B152" s="113"/>
      <c r="C152" s="113"/>
      <c r="D152" s="113"/>
      <c r="E152" s="113"/>
      <c r="F152" s="116">
        <v>150000</v>
      </c>
      <c r="G152" s="116"/>
      <c r="H152" s="116"/>
      <c r="I152" s="69" t="s">
        <v>228</v>
      </c>
      <c r="J152" s="70" t="s">
        <v>229</v>
      </c>
      <c r="K152" s="71">
        <v>45014</v>
      </c>
    </row>
    <row r="153" spans="1:11" s="7" customFormat="1" x14ac:dyDescent="0.3">
      <c r="A153" s="113" t="s">
        <v>212</v>
      </c>
      <c r="B153" s="113"/>
      <c r="C153" s="113"/>
      <c r="D153" s="113"/>
      <c r="E153" s="113"/>
      <c r="F153" s="116">
        <v>60000</v>
      </c>
      <c r="G153" s="116"/>
      <c r="H153" s="116"/>
      <c r="I153" s="69"/>
      <c r="J153" s="70"/>
      <c r="K153" s="70"/>
    </row>
    <row r="154" spans="1:11" s="7" customFormat="1" x14ac:dyDescent="0.3">
      <c r="A154" s="113" t="s">
        <v>213</v>
      </c>
      <c r="B154" s="113"/>
      <c r="C154" s="113"/>
      <c r="D154" s="113"/>
      <c r="E154" s="113"/>
      <c r="F154" s="116">
        <v>80000</v>
      </c>
      <c r="G154" s="116"/>
      <c r="H154" s="116"/>
      <c r="I154" s="69"/>
      <c r="J154" s="70"/>
      <c r="K154" s="70"/>
    </row>
    <row r="155" spans="1:11" s="7" customFormat="1" ht="15.75" hidden="1" customHeight="1" x14ac:dyDescent="0.3">
      <c r="A155" s="113" t="s">
        <v>110</v>
      </c>
      <c r="B155" s="113"/>
      <c r="C155" s="113"/>
      <c r="D155" s="113"/>
      <c r="E155" s="113"/>
      <c r="F155" s="116" t="s">
        <v>30</v>
      </c>
      <c r="G155" s="116"/>
      <c r="H155" s="116"/>
      <c r="I155" s="69"/>
      <c r="J155" s="70"/>
      <c r="K155" s="70"/>
    </row>
    <row r="156" spans="1:11" s="7" customFormat="1" ht="15.75" hidden="1" customHeight="1" x14ac:dyDescent="0.3">
      <c r="A156" s="113" t="s">
        <v>111</v>
      </c>
      <c r="B156" s="113"/>
      <c r="C156" s="113"/>
      <c r="D156" s="113"/>
      <c r="E156" s="113"/>
      <c r="F156" s="116" t="s">
        <v>30</v>
      </c>
      <c r="G156" s="116"/>
      <c r="H156" s="116"/>
      <c r="I156" s="69"/>
      <c r="J156" s="70"/>
      <c r="K156" s="70"/>
    </row>
    <row r="157" spans="1:11" s="7" customFormat="1" x14ac:dyDescent="0.3">
      <c r="A157" s="113" t="s">
        <v>211</v>
      </c>
      <c r="B157" s="113"/>
      <c r="C157" s="113"/>
      <c r="D157" s="113"/>
      <c r="E157" s="113"/>
      <c r="F157" s="116">
        <v>120000</v>
      </c>
      <c r="G157" s="116"/>
      <c r="H157" s="116"/>
      <c r="I157" s="69"/>
      <c r="J157" s="70"/>
      <c r="K157" s="70"/>
    </row>
    <row r="158" spans="1:11" x14ac:dyDescent="0.35">
      <c r="A158" s="113" t="s">
        <v>58</v>
      </c>
      <c r="B158" s="113"/>
      <c r="C158" s="113"/>
      <c r="D158" s="113"/>
      <c r="E158" s="113"/>
      <c r="F158" s="151">
        <v>300000</v>
      </c>
      <c r="G158" s="151"/>
      <c r="H158" s="151"/>
      <c r="I158" s="69"/>
      <c r="J158" s="70"/>
      <c r="K158" s="70"/>
    </row>
    <row r="159" spans="1:11" s="4" customFormat="1" x14ac:dyDescent="0.35">
      <c r="A159" s="145" t="s">
        <v>59</v>
      </c>
      <c r="B159" s="145"/>
      <c r="C159" s="145"/>
      <c r="D159" s="145"/>
      <c r="E159" s="145"/>
      <c r="F159" s="116">
        <f>F147*0.8</f>
        <v>3440</v>
      </c>
      <c r="G159" s="116"/>
      <c r="H159" s="116"/>
    </row>
    <row r="160" spans="1:11" s="1" customFormat="1" x14ac:dyDescent="0.35">
      <c r="A160" s="152" t="s">
        <v>79</v>
      </c>
      <c r="B160" s="152"/>
      <c r="C160" s="152"/>
      <c r="D160" s="152"/>
      <c r="E160" s="152"/>
      <c r="F160" s="152"/>
      <c r="G160" s="152"/>
      <c r="H160" s="152"/>
    </row>
    <row r="161" spans="1:14" s="1" customFormat="1" ht="15.75" customHeight="1" x14ac:dyDescent="0.35">
      <c r="A161" s="123" t="s">
        <v>60</v>
      </c>
      <c r="B161" s="123"/>
      <c r="C161" s="154" t="s">
        <v>89</v>
      </c>
      <c r="D161" s="154"/>
      <c r="E161" s="175" t="s">
        <v>61</v>
      </c>
      <c r="F161" s="175"/>
      <c r="G161" s="123" t="s">
        <v>62</v>
      </c>
      <c r="H161" s="123"/>
    </row>
    <row r="162" spans="1:14" s="1" customFormat="1" x14ac:dyDescent="0.35">
      <c r="A162" s="85" t="s">
        <v>161</v>
      </c>
      <c r="B162" s="85"/>
      <c r="C162" s="86">
        <f>COUNT(D175:D180)+COUNT(D182:D187)*7+COUNT(D189:D194)*6+COUNT(D196:D201)+COUNT(D203:D208)*2+COUNT(D210:D215)</f>
        <v>108</v>
      </c>
      <c r="D162" s="86"/>
      <c r="E162" s="87">
        <f>SUM(D175:D180)+SUM(D182:D187)*7+SUM(D189:D194)*6+SUM(D196:D201)+SUM(D203:D208)*2+SUM(D210:D215)</f>
        <v>66360.613269599999</v>
      </c>
      <c r="F162" s="87"/>
      <c r="G162" s="87">
        <f>SUM(F175:F180)+SUM(F182:F187)*7+SUM(F189:F194)*6+SUM(F196:F201)+SUM(F203:F208)*2+SUM(F210:F215)</f>
        <v>109242.00256787999</v>
      </c>
      <c r="H162" s="87"/>
    </row>
    <row r="163" spans="1:14" s="1" customFormat="1" x14ac:dyDescent="0.35">
      <c r="A163" s="85" t="s">
        <v>172</v>
      </c>
      <c r="B163" s="85"/>
      <c r="C163" s="86">
        <f>COUNT(D219:D222)*5+COUNT(D224:D227)*5+COUNT(D229:D232)+COUNT(D234:D237)</f>
        <v>48</v>
      </c>
      <c r="D163" s="86"/>
      <c r="E163" s="87">
        <f>SUM(D219:D222)*5+SUM(D224:D227)*5+SUM(D229:D232)+SUM(D234:D237)</f>
        <v>24341.098204799993</v>
      </c>
      <c r="F163" s="87"/>
      <c r="G163" s="87">
        <f>SUM(F219:F222)*5+SUM(F224:F227)*5+SUM(F229:F232)+SUM(F234:F237)</f>
        <v>40647.899017439995</v>
      </c>
      <c r="H163" s="87"/>
    </row>
    <row r="164" spans="1:14" s="1" customFormat="1" x14ac:dyDescent="0.35">
      <c r="A164" s="85" t="s">
        <v>176</v>
      </c>
      <c r="B164" s="85"/>
      <c r="C164" s="86">
        <f>COUNT(D241:D246)+COUNT(D248:D253)*8+COUNT(D262:D266)*2+COUNT(D269:D273)*2+COUNT(D255:D260)*7</f>
        <v>116</v>
      </c>
      <c r="D164" s="86"/>
      <c r="E164" s="87">
        <f>SUM(D241:D246)+SUM(D248:D253)*8+SUM(D262:D266)*2+SUM(D269:D273)*2+SUM(D255:D260)*7</f>
        <v>72731.856865590002</v>
      </c>
      <c r="F164" s="87"/>
      <c r="G164" s="87">
        <f>SUM(F241:F246)+SUM(F248:F253)*8+SUM(F262:F266)*2+SUM(F269:F273)*2+SUM(F255:F260)*7</f>
        <v>119433.89174166448</v>
      </c>
      <c r="H164" s="87"/>
    </row>
    <row r="165" spans="1:14" s="1" customFormat="1" x14ac:dyDescent="0.35">
      <c r="A165" s="85" t="s">
        <v>180</v>
      </c>
      <c r="B165" s="85"/>
      <c r="C165" s="86">
        <f>COUNT(D278:D283)+COUNT(D285:D290)*7+COUNT(D292:D297)*7+COUNT(D299:D304)*2+COUNT(D306:D311)*2</f>
        <v>114</v>
      </c>
      <c r="D165" s="86"/>
      <c r="E165" s="87">
        <f>SUM(D278:D283)+SUM(D285:D290)*7+SUM(D292:D297)*7+SUM(D299:D304)*2+SUM(D306:D311)*2</f>
        <v>70403.279965199981</v>
      </c>
      <c r="F165" s="87"/>
      <c r="G165" s="87">
        <f>SUM(F278:F283)+SUM(F285:F290)*7+SUM(F292:F297)*7+SUM(F299:F304)*2+SUM(F306:F311)*2</f>
        <v>115831.05594605999</v>
      </c>
      <c r="H165" s="87"/>
    </row>
    <row r="166" spans="1:14" s="1" customFormat="1" x14ac:dyDescent="0.35">
      <c r="A166" s="85" t="s">
        <v>182</v>
      </c>
      <c r="B166" s="85"/>
      <c r="C166" s="86">
        <f>COUNT(D315:D320)+COUNT(D322:D327)*7+COUNT(D329:D334)*7+COUNT(D336:D341)*2+COUNT(D343:D348)*2</f>
        <v>114</v>
      </c>
      <c r="D166" s="86"/>
      <c r="E166" s="87">
        <f>SUM(D315:D320)+SUM(D322:D327)*7+SUM(D329:D334)*7+SUM(D336:D341)*2+SUM(D343:D348)*2</f>
        <v>70403.279965199981</v>
      </c>
      <c r="F166" s="87"/>
      <c r="G166" s="87">
        <f>SUM(F315:F320)+SUM(F322:F327)*7+SUM(F329:F334)*7+SUM(F336:F341)*2+SUM(F343:F348)*2</f>
        <v>115831.05594605999</v>
      </c>
      <c r="H166" s="87"/>
    </row>
    <row r="167" spans="1:14" s="1" customFormat="1" x14ac:dyDescent="0.35">
      <c r="A167" s="152" t="s">
        <v>63</v>
      </c>
      <c r="B167" s="152"/>
      <c r="C167" s="154">
        <f>SUM(C162:D166)</f>
        <v>500</v>
      </c>
      <c r="D167" s="154"/>
      <c r="E167" s="180">
        <f>SUM(E162:F166)</f>
        <v>304240.12827038998</v>
      </c>
      <c r="F167" s="175"/>
      <c r="G167" s="123">
        <f>SUM(G162:H166)</f>
        <v>500985.90521910443</v>
      </c>
      <c r="H167" s="123"/>
    </row>
    <row r="168" spans="1:14" s="4" customFormat="1" x14ac:dyDescent="0.35">
      <c r="A168" s="88" t="s">
        <v>64</v>
      </c>
      <c r="B168" s="88"/>
      <c r="C168" s="88"/>
      <c r="D168" s="88"/>
      <c r="E168" s="88"/>
      <c r="F168" s="88"/>
      <c r="G168" s="88"/>
      <c r="H168" s="88"/>
    </row>
    <row r="169" spans="1:14" x14ac:dyDescent="0.35">
      <c r="A169" s="88" t="s">
        <v>65</v>
      </c>
      <c r="B169" s="88"/>
      <c r="C169" s="88"/>
      <c r="D169" s="88"/>
      <c r="E169" s="88"/>
      <c r="F169" s="88"/>
      <c r="G169" s="88"/>
      <c r="H169" s="88"/>
    </row>
    <row r="170" spans="1:14" ht="47.25" customHeight="1" x14ac:dyDescent="0.35">
      <c r="A170" s="141" t="s">
        <v>133</v>
      </c>
      <c r="B170" s="142"/>
      <c r="C170" s="137" t="s">
        <v>66</v>
      </c>
      <c r="D170" s="137" t="s">
        <v>67</v>
      </c>
      <c r="E170" s="139" t="s">
        <v>68</v>
      </c>
      <c r="F170" s="56" t="s">
        <v>132</v>
      </c>
      <c r="G170" s="141" t="s">
        <v>69</v>
      </c>
      <c r="H170" s="142"/>
      <c r="I170" s="28"/>
    </row>
    <row r="171" spans="1:14" s="30" customFormat="1" x14ac:dyDescent="0.35">
      <c r="A171" s="143"/>
      <c r="B171" s="144"/>
      <c r="C171" s="138"/>
      <c r="D171" s="138"/>
      <c r="E171" s="140"/>
      <c r="F171" s="27">
        <v>0.55000000000000004</v>
      </c>
      <c r="G171" s="143"/>
      <c r="H171" s="144"/>
      <c r="I171" s="28"/>
    </row>
    <row r="172" spans="1:14" x14ac:dyDescent="0.35">
      <c r="A172" s="88" t="s">
        <v>231</v>
      </c>
      <c r="B172" s="88"/>
      <c r="C172" s="88"/>
      <c r="D172" s="88"/>
      <c r="E172" s="88"/>
      <c r="F172" s="88"/>
      <c r="G172" s="88"/>
      <c r="H172" s="88"/>
    </row>
    <row r="173" spans="1:14" x14ac:dyDescent="0.35">
      <c r="A173" s="88" t="s">
        <v>162</v>
      </c>
      <c r="B173" s="88"/>
      <c r="C173" s="88"/>
      <c r="D173" s="88"/>
      <c r="E173" s="88"/>
      <c r="F173" s="88"/>
      <c r="G173" s="88"/>
      <c r="H173" s="88"/>
    </row>
    <row r="174" spans="1:14" s="2" customFormat="1" x14ac:dyDescent="0.35">
      <c r="A174" s="90" t="s">
        <v>163</v>
      </c>
      <c r="B174" s="90"/>
      <c r="C174" s="90"/>
      <c r="D174" s="90"/>
      <c r="E174" s="90"/>
      <c r="F174" s="90"/>
      <c r="G174" s="90"/>
      <c r="H174" s="90"/>
      <c r="I174" s="28"/>
      <c r="L174" s="100"/>
      <c r="M174" s="100"/>
    </row>
    <row r="175" spans="1:14" s="2" customFormat="1" x14ac:dyDescent="0.35">
      <c r="A175" s="89">
        <v>1</v>
      </c>
      <c r="B175" s="89"/>
      <c r="C175" s="76" t="s">
        <v>164</v>
      </c>
      <c r="D175" s="76">
        <f>(34.49+1.61*2.59+1.65*2.75)*10.764</f>
        <v>464.97681360000001</v>
      </c>
      <c r="E175" s="76">
        <f>(2*3.05)*10.764</f>
        <v>65.660399999999996</v>
      </c>
      <c r="F175" s="76">
        <f>D175*(($F$171)+1)+E175</f>
        <v>786.37446108000006</v>
      </c>
      <c r="G175" s="89" t="str">
        <f>A174</f>
        <v>1st Floor for Residentail</v>
      </c>
      <c r="H175" s="89"/>
      <c r="I175" s="28">
        <f>(3.05*4.73+2.59*2.15+2.75*2.85+2.13*1.22+1.4*0.45+1.51*1.22)</f>
        <v>32.903300000000002</v>
      </c>
      <c r="L175" s="36"/>
      <c r="M175" s="36"/>
      <c r="N175" s="28"/>
    </row>
    <row r="176" spans="1:14" s="2" customFormat="1" x14ac:dyDescent="0.35">
      <c r="A176" s="89">
        <f>A175+1</f>
        <v>2</v>
      </c>
      <c r="B176" s="89"/>
      <c r="C176" s="76" t="s">
        <v>165</v>
      </c>
      <c r="D176" s="76">
        <f>(48.31+1.65*2.75+1.61*2.59+0.75*2.75)*10.764</f>
        <v>635.93604359999995</v>
      </c>
      <c r="E176" s="76">
        <f>(2*2.9)*10.764</f>
        <v>62.431199999999997</v>
      </c>
      <c r="F176" s="76">
        <f t="shared" ref="F176:F180" si="0">D176*(($F$171)+1)+E176</f>
        <v>1048.13206758</v>
      </c>
      <c r="G176" s="89" t="str">
        <f t="shared" ref="G176:G180" si="1">G175</f>
        <v>1st Floor for Residentail</v>
      </c>
      <c r="H176" s="89"/>
      <c r="I176" s="28">
        <f>(2.9*4.73+1.37*2.14+2.59*2.15+2.75*2.85+2.75*3.35+2.13*1.22+1.22*2.29+2*0.45+1.22*0.45+2.4*0.45)*10.764</f>
        <v>507.93916679999984</v>
      </c>
      <c r="L176" s="36"/>
      <c r="M176" s="36"/>
      <c r="N176" s="28"/>
    </row>
    <row r="177" spans="1:16" s="2" customFormat="1" x14ac:dyDescent="0.35">
      <c r="A177" s="89">
        <f>A176+1</f>
        <v>3</v>
      </c>
      <c r="B177" s="89"/>
      <c r="C177" s="76" t="s">
        <v>165</v>
      </c>
      <c r="D177" s="76">
        <f>(47.81+1.65*2.75+1.61*2.59+0.75*2.75)*10.764</f>
        <v>630.5540436</v>
      </c>
      <c r="E177" s="76">
        <f>(2*2.9)*10.764</f>
        <v>62.431199999999997</v>
      </c>
      <c r="F177" s="76">
        <f t="shared" si="0"/>
        <v>1039.7899675800002</v>
      </c>
      <c r="G177" s="89" t="str">
        <f t="shared" si="1"/>
        <v>1st Floor for Residentail</v>
      </c>
      <c r="H177" s="89"/>
      <c r="I177" s="28"/>
      <c r="L177" s="36"/>
      <c r="M177" s="36"/>
      <c r="N177" s="28"/>
    </row>
    <row r="178" spans="1:16" s="2" customFormat="1" x14ac:dyDescent="0.35">
      <c r="A178" s="89">
        <f t="shared" ref="A178:A180" si="2">A177+1</f>
        <v>4</v>
      </c>
      <c r="B178" s="89"/>
      <c r="C178" s="76" t="s">
        <v>165</v>
      </c>
      <c r="D178" s="76">
        <f>(47.81+1.61*2.59+1.65*2.75+0.75*2.75)*10.764</f>
        <v>630.5540436</v>
      </c>
      <c r="E178" s="76">
        <f>(2*2.9)*10.764</f>
        <v>62.431199999999997</v>
      </c>
      <c r="F178" s="76">
        <f t="shared" si="0"/>
        <v>1039.7899675800002</v>
      </c>
      <c r="G178" s="89" t="str">
        <f t="shared" si="1"/>
        <v>1st Floor for Residentail</v>
      </c>
      <c r="H178" s="89"/>
      <c r="I178" s="28"/>
      <c r="L178" s="36"/>
      <c r="M178" s="36"/>
      <c r="N178" s="28"/>
    </row>
    <row r="179" spans="1:16" s="2" customFormat="1" x14ac:dyDescent="0.35">
      <c r="A179" s="89">
        <f t="shared" si="2"/>
        <v>5</v>
      </c>
      <c r="B179" s="89"/>
      <c r="C179" s="76" t="s">
        <v>165</v>
      </c>
      <c r="D179" s="76">
        <f>(48.49+1.61*2.59+1.65*2.75+0.75*2.75)*10.764</f>
        <v>637.87356360000001</v>
      </c>
      <c r="E179" s="76">
        <f>(2*2.9)*10.764</f>
        <v>62.431199999999997</v>
      </c>
      <c r="F179" s="76">
        <f t="shared" si="0"/>
        <v>1051.13522358</v>
      </c>
      <c r="G179" s="89" t="str">
        <f t="shared" si="1"/>
        <v>1st Floor for Residentail</v>
      </c>
      <c r="H179" s="89"/>
      <c r="I179" s="28"/>
      <c r="L179" s="36"/>
      <c r="M179" s="36"/>
      <c r="N179" s="28"/>
    </row>
    <row r="180" spans="1:16" s="2" customFormat="1" x14ac:dyDescent="0.35">
      <c r="A180" s="89">
        <f t="shared" si="2"/>
        <v>6</v>
      </c>
      <c r="B180" s="89"/>
      <c r="C180" s="73" t="s">
        <v>164</v>
      </c>
      <c r="D180" s="73">
        <f>(34.43+1.61*2.59+1.65*2.75)*10.764</f>
        <v>464.33097359999999</v>
      </c>
      <c r="E180" s="73">
        <f>(2*2.9)*10.764</f>
        <v>62.431199999999997</v>
      </c>
      <c r="F180" s="73">
        <f t="shared" si="0"/>
        <v>782.14420908</v>
      </c>
      <c r="G180" s="89" t="str">
        <f t="shared" si="1"/>
        <v>1st Floor for Residentail</v>
      </c>
      <c r="H180" s="89"/>
      <c r="I180" s="28"/>
      <c r="J180" s="2">
        <f>2700000/F180</f>
        <v>3452.0488276399628</v>
      </c>
      <c r="L180" s="36"/>
      <c r="M180" s="36"/>
      <c r="N180" s="28"/>
    </row>
    <row r="181" spans="1:16" s="2" customFormat="1" ht="15.75" customHeight="1" x14ac:dyDescent="0.35">
      <c r="A181" s="90" t="s">
        <v>206</v>
      </c>
      <c r="B181" s="90"/>
      <c r="C181" s="90"/>
      <c r="D181" s="90"/>
      <c r="E181" s="90"/>
      <c r="F181" s="90"/>
      <c r="G181" s="90"/>
      <c r="H181" s="90"/>
      <c r="I181" s="28"/>
      <c r="L181" s="36"/>
      <c r="M181" s="36"/>
      <c r="P181" s="29"/>
    </row>
    <row r="182" spans="1:16" s="2" customFormat="1" ht="15.75" customHeight="1" x14ac:dyDescent="0.35">
      <c r="A182" s="83">
        <v>1</v>
      </c>
      <c r="B182" s="84"/>
      <c r="C182" s="52" t="s">
        <v>165</v>
      </c>
      <c r="D182" s="52">
        <f>(46.7+0.75*3.05+1.61*2.59+1.65*2.75)*10.764</f>
        <v>621.02790360000006</v>
      </c>
      <c r="E182" s="52">
        <f>(2*2.9)*10.764</f>
        <v>62.431199999999997</v>
      </c>
      <c r="F182" s="52">
        <f t="shared" ref="F182:F186" si="3">D182*(($F$171)+1)+E182</f>
        <v>1025.0244505800001</v>
      </c>
      <c r="G182" s="91" t="str">
        <f>A181</f>
        <v>2nd, 4th, 6th, 10th, 12th, 14th &amp; 16th Floor</v>
      </c>
      <c r="H182" s="92"/>
      <c r="I182" s="28"/>
      <c r="M182" s="36"/>
      <c r="N182" s="36" t="str">
        <f t="shared" ref="N182:N187" ca="1" si="4">O182&amp;""&amp;",..,"&amp;""&amp;P182</f>
        <v>2401,..,1601</v>
      </c>
      <c r="O182" s="2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</f>
        <v>2401</v>
      </c>
      <c r="P182" s="2">
        <f ca="1">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1601</v>
      </c>
    </row>
    <row r="183" spans="1:16" s="2" customFormat="1" ht="15.75" customHeight="1" x14ac:dyDescent="0.35">
      <c r="A183" s="83">
        <v>2</v>
      </c>
      <c r="B183" s="84"/>
      <c r="C183" s="52" t="s">
        <v>165</v>
      </c>
      <c r="D183" s="52">
        <f>(48.31+1.65*2.75+1.61*2.59+0.75*2.9)*10.764</f>
        <v>637.14699359999997</v>
      </c>
      <c r="E183" s="52">
        <f>(2*2.75)*10.764</f>
        <v>59.201999999999998</v>
      </c>
      <c r="F183" s="52">
        <f t="shared" si="3"/>
        <v>1046.77984008</v>
      </c>
      <c r="G183" s="93"/>
      <c r="H183" s="94"/>
      <c r="I183" s="28"/>
      <c r="M183" s="36"/>
      <c r="N183" s="44" t="str">
        <f t="shared" ca="1" si="4"/>
        <v>2402,..,1602</v>
      </c>
      <c r="O183" s="2">
        <f t="shared" ref="O183:P186" ca="1" si="5">O182+1</f>
        <v>2402</v>
      </c>
      <c r="P183" s="2">
        <f t="shared" ca="1" si="5"/>
        <v>1602</v>
      </c>
    </row>
    <row r="184" spans="1:16" s="2" customFormat="1" ht="15.75" customHeight="1" x14ac:dyDescent="0.35">
      <c r="A184" s="83">
        <v>3</v>
      </c>
      <c r="B184" s="84"/>
      <c r="C184" s="52" t="s">
        <v>165</v>
      </c>
      <c r="D184" s="52">
        <f>(47.81+1.61*2.59+2.75*1.65+0.75*2.9)*10.764</f>
        <v>631.76499359999991</v>
      </c>
      <c r="E184" s="52">
        <f>(2*2.75)*10.764</f>
        <v>59.201999999999998</v>
      </c>
      <c r="F184" s="52">
        <f t="shared" si="3"/>
        <v>1038.4377400799999</v>
      </c>
      <c r="G184" s="93"/>
      <c r="H184" s="94"/>
      <c r="I184" s="28"/>
      <c r="M184" s="36"/>
      <c r="N184" s="44" t="str">
        <f t="shared" ca="1" si="4"/>
        <v>2403,..,1603</v>
      </c>
      <c r="O184" s="2">
        <f t="shared" ca="1" si="5"/>
        <v>2403</v>
      </c>
      <c r="P184" s="2">
        <f t="shared" ca="1" si="5"/>
        <v>1603</v>
      </c>
    </row>
    <row r="185" spans="1:16" s="2" customFormat="1" ht="15.75" customHeight="1" x14ac:dyDescent="0.35">
      <c r="A185" s="83">
        <v>4</v>
      </c>
      <c r="B185" s="84"/>
      <c r="C185" s="52" t="s">
        <v>165</v>
      </c>
      <c r="D185" s="52">
        <f>(47.81+0.75*2.9+1.61*2.59+1.65*2.75)*10.764</f>
        <v>631.76499359999991</v>
      </c>
      <c r="E185" s="52">
        <f>(2*2.75)*10.764</f>
        <v>59.201999999999998</v>
      </c>
      <c r="F185" s="52">
        <f t="shared" si="3"/>
        <v>1038.4377400799999</v>
      </c>
      <c r="G185" s="93"/>
      <c r="H185" s="94"/>
      <c r="I185" s="28"/>
      <c r="M185" s="36"/>
      <c r="N185" s="44" t="str">
        <f t="shared" ca="1" si="4"/>
        <v>2404,..,1604</v>
      </c>
      <c r="O185" s="2">
        <f t="shared" ca="1" si="5"/>
        <v>2404</v>
      </c>
      <c r="P185" s="2">
        <f t="shared" ca="1" si="5"/>
        <v>1604</v>
      </c>
    </row>
    <row r="186" spans="1:16" s="2" customFormat="1" ht="15.75" customHeight="1" x14ac:dyDescent="0.35">
      <c r="A186" s="83">
        <v>5</v>
      </c>
      <c r="B186" s="84"/>
      <c r="C186" s="52" t="s">
        <v>165</v>
      </c>
      <c r="D186" s="52">
        <f>(48.49+0.75*2.9+1.61*2.59+1.65*2.75)*10.764</f>
        <v>639.08451359999992</v>
      </c>
      <c r="E186" s="52">
        <f>(2*2.75)*10.764</f>
        <v>59.201999999999998</v>
      </c>
      <c r="F186" s="52">
        <f t="shared" si="3"/>
        <v>1049.78299608</v>
      </c>
      <c r="G186" s="93"/>
      <c r="H186" s="94"/>
      <c r="I186" s="28"/>
      <c r="M186" s="36"/>
      <c r="N186" s="44" t="str">
        <f t="shared" ca="1" si="4"/>
        <v>2405,..,1605</v>
      </c>
      <c r="O186" s="2">
        <f t="shared" ca="1" si="5"/>
        <v>2405</v>
      </c>
      <c r="P186" s="2">
        <f t="shared" ca="1" si="5"/>
        <v>1605</v>
      </c>
    </row>
    <row r="187" spans="1:16" s="31" customFormat="1" ht="15.75" customHeight="1" x14ac:dyDescent="0.35">
      <c r="A187" s="83">
        <v>6</v>
      </c>
      <c r="B187" s="84"/>
      <c r="C187" s="52" t="s">
        <v>165</v>
      </c>
      <c r="D187" s="52">
        <f>(45.14+0.75*2.9+1.61*2.59+1.65*2.75)*10.764</f>
        <v>603.02511359999994</v>
      </c>
      <c r="E187" s="52">
        <f>(2*2.75)*10.764</f>
        <v>59.201999999999998</v>
      </c>
      <c r="F187" s="52">
        <f t="shared" ref="F187" si="6">D187*(($F$171)+1)+E187</f>
        <v>993.89092607999999</v>
      </c>
      <c r="G187" s="95"/>
      <c r="H187" s="96"/>
      <c r="I187" s="28"/>
      <c r="M187" s="36"/>
      <c r="N187" s="44" t="str">
        <f t="shared" ca="1" si="4"/>
        <v>2406,..,1606</v>
      </c>
      <c r="O187" s="31">
        <f t="shared" ref="O187:P187" ca="1" si="7">O186+1</f>
        <v>2406</v>
      </c>
      <c r="P187" s="31">
        <f t="shared" ca="1" si="7"/>
        <v>1606</v>
      </c>
    </row>
    <row r="188" spans="1:16" s="46" customFormat="1" ht="15.75" customHeight="1" x14ac:dyDescent="0.35">
      <c r="A188" s="97" t="s">
        <v>168</v>
      </c>
      <c r="B188" s="98"/>
      <c r="C188" s="98"/>
      <c r="D188" s="98"/>
      <c r="E188" s="98"/>
      <c r="F188" s="98"/>
      <c r="G188" s="98"/>
      <c r="H188" s="99"/>
      <c r="I188" s="28"/>
      <c r="P188" s="29"/>
    </row>
    <row r="189" spans="1:16" s="46" customFormat="1" ht="15.75" customHeight="1" x14ac:dyDescent="0.35">
      <c r="A189" s="83">
        <v>1</v>
      </c>
      <c r="B189" s="84"/>
      <c r="C189" s="52" t="s">
        <v>165</v>
      </c>
      <c r="D189" s="52">
        <f>(46.7+1.61*2.59+2.75*1.65+0.75*2.9)*10.764</f>
        <v>619.81695359999992</v>
      </c>
      <c r="E189" s="52">
        <f>(3.05*2)*10.764</f>
        <v>65.660399999999996</v>
      </c>
      <c r="F189" s="52">
        <f t="shared" ref="F189:F194" si="8">D189*(($F$171)+1)+E189</f>
        <v>1026.3766780799999</v>
      </c>
      <c r="G189" s="91" t="str">
        <f>A188</f>
        <v>3rd, 7th, 9th, 11th, 15th &amp; 17th Floor</v>
      </c>
      <c r="H189" s="92"/>
      <c r="I189" s="28"/>
      <c r="N189" s="46" t="str">
        <f t="shared" ref="N189:N194" ca="1" si="9">O189&amp;""&amp;",..,"&amp;""&amp;P189</f>
        <v>301,..,1701</v>
      </c>
      <c r="O189" s="46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10^ROW(INDIRECT("1:"&amp;LEN((LEFT(A188,SUM(LEN(A188)-LEN(SUBSTITUTE(A188,{"0","1","2"},""))))))))/10))*100+1</f>
        <v>301</v>
      </c>
      <c r="P189" s="46">
        <f ca="1">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",LEN(A188))),LEN(A188)))))))/10))*100+1</f>
        <v>1701</v>
      </c>
    </row>
    <row r="190" spans="1:16" s="46" customFormat="1" ht="15.75" customHeight="1" x14ac:dyDescent="0.35">
      <c r="A190" s="83">
        <v>2</v>
      </c>
      <c r="B190" s="84"/>
      <c r="C190" s="52" t="s">
        <v>165</v>
      </c>
      <c r="D190" s="52">
        <f>(48.31+2.59*1.61+2.75*1.65+0.75*2.75)*10.764</f>
        <v>635.93604359999995</v>
      </c>
      <c r="E190" s="52">
        <f>(2*2.9)*10.764</f>
        <v>62.431199999999997</v>
      </c>
      <c r="F190" s="52">
        <f t="shared" si="8"/>
        <v>1048.13206758</v>
      </c>
      <c r="G190" s="93"/>
      <c r="H190" s="94"/>
      <c r="I190" s="28"/>
      <c r="N190" s="46" t="str">
        <f t="shared" ca="1" si="9"/>
        <v>302,..,1702</v>
      </c>
      <c r="O190" s="46">
        <f t="shared" ref="O190:P190" ca="1" si="10">O189+1</f>
        <v>302</v>
      </c>
      <c r="P190" s="46">
        <f t="shared" ca="1" si="10"/>
        <v>1702</v>
      </c>
    </row>
    <row r="191" spans="1:16" s="46" customFormat="1" ht="15.75" customHeight="1" x14ac:dyDescent="0.35">
      <c r="A191" s="83">
        <v>3</v>
      </c>
      <c r="B191" s="84"/>
      <c r="C191" s="52" t="s">
        <v>165</v>
      </c>
      <c r="D191" s="52">
        <f>(47.81+1.61*2.59+1.65*2.75+2.75*0.75)*10.764</f>
        <v>630.5540436</v>
      </c>
      <c r="E191" s="52">
        <f>(2*2.9)*10.764</f>
        <v>62.431199999999997</v>
      </c>
      <c r="F191" s="52">
        <f t="shared" si="8"/>
        <v>1039.7899675800002</v>
      </c>
      <c r="G191" s="93"/>
      <c r="H191" s="94"/>
      <c r="I191" s="28"/>
      <c r="N191" s="46" t="str">
        <f t="shared" ca="1" si="9"/>
        <v>303,..,1703</v>
      </c>
      <c r="O191" s="46">
        <f t="shared" ref="O191:P191" ca="1" si="11">O190+1</f>
        <v>303</v>
      </c>
      <c r="P191" s="46">
        <f t="shared" ca="1" si="11"/>
        <v>1703</v>
      </c>
    </row>
    <row r="192" spans="1:16" s="46" customFormat="1" ht="15.75" customHeight="1" x14ac:dyDescent="0.35">
      <c r="A192" s="83">
        <v>4</v>
      </c>
      <c r="B192" s="84"/>
      <c r="C192" s="52" t="s">
        <v>165</v>
      </c>
      <c r="D192" s="52">
        <f>(47.81+1.61*2.59+2.75*1.65+0.75*2.75)*10.764</f>
        <v>630.5540436</v>
      </c>
      <c r="E192" s="52">
        <f>(2*2.9)*10.764</f>
        <v>62.431199999999997</v>
      </c>
      <c r="F192" s="52">
        <f t="shared" si="8"/>
        <v>1039.7899675800002</v>
      </c>
      <c r="G192" s="93"/>
      <c r="H192" s="94"/>
      <c r="I192" s="28"/>
      <c r="N192" s="46" t="str">
        <f t="shared" ca="1" si="9"/>
        <v>304,..,1704</v>
      </c>
      <c r="O192" s="46">
        <f t="shared" ref="O192:P192" ca="1" si="12">O191+1</f>
        <v>304</v>
      </c>
      <c r="P192" s="46">
        <f t="shared" ca="1" si="12"/>
        <v>1704</v>
      </c>
    </row>
    <row r="193" spans="1:16" s="46" customFormat="1" ht="15.75" customHeight="1" x14ac:dyDescent="0.35">
      <c r="A193" s="83">
        <v>5</v>
      </c>
      <c r="B193" s="84"/>
      <c r="C193" s="52" t="s">
        <v>165</v>
      </c>
      <c r="D193" s="52">
        <f>(48.49+1.61*2.59+1.65*2.75+0.75*2.75)*10.764</f>
        <v>637.87356360000001</v>
      </c>
      <c r="E193" s="52">
        <f>(2*2.9)*10.764</f>
        <v>62.431199999999997</v>
      </c>
      <c r="F193" s="52">
        <f t="shared" si="8"/>
        <v>1051.13522358</v>
      </c>
      <c r="G193" s="93"/>
      <c r="H193" s="94"/>
      <c r="I193" s="28"/>
      <c r="N193" s="46" t="str">
        <f t="shared" ca="1" si="9"/>
        <v>305,..,1705</v>
      </c>
      <c r="O193" s="46">
        <f t="shared" ref="O193:P193" ca="1" si="13">O192+1</f>
        <v>305</v>
      </c>
      <c r="P193" s="46">
        <f t="shared" ca="1" si="13"/>
        <v>1705</v>
      </c>
    </row>
    <row r="194" spans="1:16" s="46" customFormat="1" ht="15.75" customHeight="1" x14ac:dyDescent="0.35">
      <c r="A194" s="83">
        <v>6</v>
      </c>
      <c r="B194" s="84"/>
      <c r="C194" s="52" t="s">
        <v>165</v>
      </c>
      <c r="D194" s="52">
        <f>(45.14+1.61*2.59+1.65*2.75+0.75*2.75)*10.764</f>
        <v>601.81416359999992</v>
      </c>
      <c r="E194" s="52">
        <f>(2*2.9)*10.764</f>
        <v>62.431199999999997</v>
      </c>
      <c r="F194" s="52">
        <f t="shared" si="8"/>
        <v>995.2431535799999</v>
      </c>
      <c r="G194" s="95"/>
      <c r="H194" s="96"/>
      <c r="I194" s="28"/>
      <c r="N194" s="46" t="str">
        <f t="shared" ca="1" si="9"/>
        <v>306,..,1706</v>
      </c>
      <c r="O194" s="46">
        <f t="shared" ref="O194:P194" ca="1" si="14">O193+1</f>
        <v>306</v>
      </c>
      <c r="P194" s="46">
        <f t="shared" ca="1" si="14"/>
        <v>1706</v>
      </c>
    </row>
    <row r="195" spans="1:16" s="46" customFormat="1" x14ac:dyDescent="0.35">
      <c r="A195" s="90" t="s">
        <v>169</v>
      </c>
      <c r="B195" s="90"/>
      <c r="C195" s="90"/>
      <c r="D195" s="90"/>
      <c r="E195" s="90"/>
      <c r="F195" s="90"/>
      <c r="G195" s="90"/>
      <c r="H195" s="90"/>
      <c r="I195" s="28"/>
      <c r="L195" s="100"/>
      <c r="M195" s="100"/>
    </row>
    <row r="196" spans="1:16" s="46" customFormat="1" x14ac:dyDescent="0.35">
      <c r="A196" s="89">
        <v>1</v>
      </c>
      <c r="B196" s="89"/>
      <c r="C196" s="52" t="s">
        <v>164</v>
      </c>
      <c r="D196" s="52">
        <f>(35.25+1.61*2.59+1.5*2.75)*10.764</f>
        <v>468.71730359999998</v>
      </c>
      <c r="E196" s="52">
        <f>(2*3.05)*10.764</f>
        <v>65.660399999999996</v>
      </c>
      <c r="F196" s="52">
        <f>D196*(($F$171)+1)+E196</f>
        <v>792.17222057999993</v>
      </c>
      <c r="G196" s="89" t="str">
        <f>A195</f>
        <v>5th Floor (Part Refuge Area)</v>
      </c>
      <c r="H196" s="89"/>
      <c r="I196" s="28">
        <f>(3.05*4.73+2.59*2.15+2.75*2.85+2.13*1.22+1.4*0.45+1.51*1.22)*10.764</f>
        <v>354.17112120000002</v>
      </c>
      <c r="J196" s="46">
        <v>2793000</v>
      </c>
      <c r="K196" s="46">
        <f>J196/F196</f>
        <v>3525.7484767075853</v>
      </c>
      <c r="N196" s="28"/>
    </row>
    <row r="197" spans="1:16" s="46" customFormat="1" x14ac:dyDescent="0.35">
      <c r="A197" s="89">
        <f>A196+1</f>
        <v>2</v>
      </c>
      <c r="B197" s="89"/>
      <c r="C197" s="52" t="s">
        <v>165</v>
      </c>
      <c r="D197" s="52">
        <f>(48.31+1.61*2.59+1.65*2.75+0.75*2.75)*10.764</f>
        <v>635.93604359999995</v>
      </c>
      <c r="E197" s="52">
        <f>(2*2.9)*10.764</f>
        <v>62.431199999999997</v>
      </c>
      <c r="F197" s="52">
        <f t="shared" ref="F197:F201" si="15">D197*(($F$171)+1)+E197</f>
        <v>1048.13206758</v>
      </c>
      <c r="G197" s="89" t="str">
        <f t="shared" ref="G197:G201" si="16">G196</f>
        <v>5th Floor (Part Refuge Area)</v>
      </c>
      <c r="H197" s="89"/>
      <c r="I197" s="28">
        <f>(2.9*4.73+1.37*2.14+2.59*2.15+2.75*2.85+2.75*3.35+2.13*1.22+1.22*2.29+2*0.45+1.22*0.45+2.4*0.45)*10.764</f>
        <v>507.93916679999984</v>
      </c>
      <c r="N197" s="28"/>
    </row>
    <row r="198" spans="1:16" s="46" customFormat="1" x14ac:dyDescent="0.35">
      <c r="A198" s="89">
        <f>A197+1</f>
        <v>3</v>
      </c>
      <c r="B198" s="89"/>
      <c r="C198" s="52" t="s">
        <v>165</v>
      </c>
      <c r="D198" s="52">
        <f>(47.81+1.61*2.59+2.75*1.65+0.75*2.75)*10.764</f>
        <v>630.5540436</v>
      </c>
      <c r="E198" s="52">
        <f>(2*2.9)*10.764</f>
        <v>62.431199999999997</v>
      </c>
      <c r="F198" s="52">
        <f t="shared" si="15"/>
        <v>1039.7899675800002</v>
      </c>
      <c r="G198" s="89" t="str">
        <f t="shared" si="16"/>
        <v>5th Floor (Part Refuge Area)</v>
      </c>
      <c r="H198" s="89"/>
      <c r="I198" s="28"/>
      <c r="N198" s="28"/>
    </row>
    <row r="199" spans="1:16" s="46" customFormat="1" x14ac:dyDescent="0.35">
      <c r="A199" s="89">
        <f t="shared" ref="A199:A201" si="17">A198+1</f>
        <v>4</v>
      </c>
      <c r="B199" s="89"/>
      <c r="C199" s="52" t="s">
        <v>165</v>
      </c>
      <c r="D199" s="52">
        <f>(47.81+1.65*2.75+2.59*1.61+0.75*2.75)*10.764</f>
        <v>630.5540436</v>
      </c>
      <c r="E199" s="52">
        <f>(2*2.9)*10.764</f>
        <v>62.431199999999997</v>
      </c>
      <c r="F199" s="52">
        <f t="shared" si="15"/>
        <v>1039.7899675800002</v>
      </c>
      <c r="G199" s="89" t="str">
        <f t="shared" si="16"/>
        <v>5th Floor (Part Refuge Area)</v>
      </c>
      <c r="H199" s="89"/>
      <c r="I199" s="28"/>
      <c r="N199" s="28"/>
    </row>
    <row r="200" spans="1:16" s="46" customFormat="1" x14ac:dyDescent="0.35">
      <c r="A200" s="89">
        <f t="shared" si="17"/>
        <v>5</v>
      </c>
      <c r="B200" s="89"/>
      <c r="C200" s="52" t="s">
        <v>165</v>
      </c>
      <c r="D200" s="52">
        <f>(48.49+0.75*2.75+2.75*1.65+2.59*1.61)*10.764</f>
        <v>637.87356360000001</v>
      </c>
      <c r="E200" s="52">
        <f>(2*2.9)*10.764</f>
        <v>62.431199999999997</v>
      </c>
      <c r="F200" s="52">
        <f t="shared" si="15"/>
        <v>1051.13522358</v>
      </c>
      <c r="G200" s="89" t="str">
        <f t="shared" si="16"/>
        <v>5th Floor (Part Refuge Area)</v>
      </c>
      <c r="H200" s="89"/>
      <c r="I200" s="28"/>
      <c r="N200" s="28"/>
    </row>
    <row r="201" spans="1:16" s="46" customFormat="1" x14ac:dyDescent="0.35">
      <c r="A201" s="89">
        <f t="shared" si="17"/>
        <v>6</v>
      </c>
      <c r="B201" s="89"/>
      <c r="C201" s="52" t="s">
        <v>164</v>
      </c>
      <c r="D201" s="52">
        <f>(34.83+1.61*2.59+2.75*1.65)*10.764</f>
        <v>468.63657359999996</v>
      </c>
      <c r="E201" s="52">
        <f>(2*2.9)*10.764</f>
        <v>62.431199999999997</v>
      </c>
      <c r="F201" s="52">
        <f t="shared" si="15"/>
        <v>788.81788907999999</v>
      </c>
      <c r="G201" s="89" t="str">
        <f t="shared" si="16"/>
        <v>5th Floor (Part Refuge Area)</v>
      </c>
      <c r="H201" s="89"/>
      <c r="I201" s="28"/>
      <c r="N201" s="28"/>
    </row>
    <row r="202" spans="1:16" s="46" customFormat="1" x14ac:dyDescent="0.35">
      <c r="A202" s="90" t="s">
        <v>170</v>
      </c>
      <c r="B202" s="90"/>
      <c r="C202" s="90"/>
      <c r="D202" s="90"/>
      <c r="E202" s="90"/>
      <c r="F202" s="90"/>
      <c r="G202" s="90"/>
      <c r="H202" s="90"/>
      <c r="I202" s="28"/>
      <c r="L202" s="100"/>
      <c r="M202" s="100"/>
    </row>
    <row r="203" spans="1:16" s="46" customFormat="1" x14ac:dyDescent="0.35">
      <c r="A203" s="89">
        <v>1</v>
      </c>
      <c r="B203" s="89"/>
      <c r="C203" s="52" t="s">
        <v>164</v>
      </c>
      <c r="D203" s="52">
        <f>(35.25+0.75*3.05+2.59*1.61+2.75*1.65)*10.764</f>
        <v>497.78010359999996</v>
      </c>
      <c r="E203" s="52">
        <v>0</v>
      </c>
      <c r="F203" s="52">
        <f>D203*(($F$171)+1)+E203</f>
        <v>771.55916057999991</v>
      </c>
      <c r="G203" s="89" t="str">
        <f>A202</f>
        <v>8th &amp; 18th Floor (Part Refuge Area)</v>
      </c>
      <c r="H203" s="89"/>
      <c r="I203" s="28">
        <f>(3.05*4.73+2.59*2.15+2.75*2.85+2.13*1.22+1.4*0.45+1.51*1.22)*10.764</f>
        <v>354.17112120000002</v>
      </c>
      <c r="N203" s="28"/>
    </row>
    <row r="204" spans="1:16" s="46" customFormat="1" x14ac:dyDescent="0.35">
      <c r="A204" s="89">
        <f>A203+1</f>
        <v>2</v>
      </c>
      <c r="B204" s="89"/>
      <c r="C204" s="52" t="s">
        <v>165</v>
      </c>
      <c r="D204" s="52">
        <f>(48.31+0.75*2.9+1.61*2.59+2.75*1.65)*10.764</f>
        <v>637.14699359999997</v>
      </c>
      <c r="E204" s="52">
        <f>(2*2.75)*10.764</f>
        <v>59.201999999999998</v>
      </c>
      <c r="F204" s="52">
        <f t="shared" ref="F204:F208" si="18">D204*(($F$171)+1)+E204</f>
        <v>1046.77984008</v>
      </c>
      <c r="G204" s="89" t="str">
        <f t="shared" ref="G204:G208" si="19">G203</f>
        <v>8th &amp; 18th Floor (Part Refuge Area)</v>
      </c>
      <c r="H204" s="89"/>
      <c r="I204" s="28">
        <f>(2.9*4.73+1.37*2.14+2.59*2.15+2.75*2.85+2.75*3.35+2.13*1.22+1.22*2.29+2*0.45+1.22*0.45+2.4*0.45)*10.764</f>
        <v>507.93916679999984</v>
      </c>
      <c r="N204" s="28"/>
    </row>
    <row r="205" spans="1:16" s="46" customFormat="1" x14ac:dyDescent="0.35">
      <c r="A205" s="89">
        <f>A204+1</f>
        <v>3</v>
      </c>
      <c r="B205" s="89"/>
      <c r="C205" s="52" t="s">
        <v>165</v>
      </c>
      <c r="D205" s="52">
        <f>(47.81+0.75*2.9+1.61*2.59+1.65*2.75)*10.764</f>
        <v>631.76499359999991</v>
      </c>
      <c r="E205" s="52">
        <f>(2*2.75)*10.764</f>
        <v>59.201999999999998</v>
      </c>
      <c r="F205" s="52">
        <f t="shared" si="18"/>
        <v>1038.4377400799999</v>
      </c>
      <c r="G205" s="89" t="str">
        <f t="shared" si="19"/>
        <v>8th &amp; 18th Floor (Part Refuge Area)</v>
      </c>
      <c r="H205" s="89"/>
      <c r="I205" s="28"/>
      <c r="N205" s="28"/>
    </row>
    <row r="206" spans="1:16" s="46" customFormat="1" x14ac:dyDescent="0.35">
      <c r="A206" s="89">
        <f t="shared" ref="A206:A208" si="20">A205+1</f>
        <v>4</v>
      </c>
      <c r="B206" s="89"/>
      <c r="C206" s="52" t="s">
        <v>165</v>
      </c>
      <c r="D206" s="52">
        <f>(47.81+0.75*2.9+1.61*2.59+2.75*1.65)*10.764</f>
        <v>631.76499359999991</v>
      </c>
      <c r="E206" s="52">
        <f>(2*2.75)*10.764</f>
        <v>59.201999999999998</v>
      </c>
      <c r="F206" s="52">
        <f t="shared" si="18"/>
        <v>1038.4377400799999</v>
      </c>
      <c r="G206" s="89" t="str">
        <f t="shared" si="19"/>
        <v>8th &amp; 18th Floor (Part Refuge Area)</v>
      </c>
      <c r="H206" s="89"/>
      <c r="I206" s="28"/>
      <c r="N206" s="28"/>
    </row>
    <row r="207" spans="1:16" s="46" customFormat="1" x14ac:dyDescent="0.35">
      <c r="A207" s="89">
        <f t="shared" si="20"/>
        <v>5</v>
      </c>
      <c r="B207" s="89"/>
      <c r="C207" s="52" t="s">
        <v>165</v>
      </c>
      <c r="D207" s="52">
        <f>(48.49+0.75*2.9+2.59*1.61+2.75*1.65)*10.764</f>
        <v>639.08451359999992</v>
      </c>
      <c r="E207" s="52">
        <f>(2*2.75)*10.764</f>
        <v>59.201999999999998</v>
      </c>
      <c r="F207" s="52">
        <f t="shared" si="18"/>
        <v>1049.78299608</v>
      </c>
      <c r="G207" s="89" t="str">
        <f t="shared" si="19"/>
        <v>8th &amp; 18th Floor (Part Refuge Area)</v>
      </c>
      <c r="H207" s="89"/>
      <c r="I207" s="28"/>
      <c r="N207" s="28"/>
    </row>
    <row r="208" spans="1:16" s="46" customFormat="1" x14ac:dyDescent="0.35">
      <c r="A208" s="89">
        <f t="shared" si="20"/>
        <v>6</v>
      </c>
      <c r="B208" s="89"/>
      <c r="C208" s="52" t="s">
        <v>164</v>
      </c>
      <c r="D208" s="52">
        <f>(34.83+0.75*2.9+1.65*2.59+2.75*1.65)*10.764</f>
        <v>493.16342399999991</v>
      </c>
      <c r="E208" s="52">
        <v>0</v>
      </c>
      <c r="F208" s="52">
        <f t="shared" si="18"/>
        <v>764.40330719999986</v>
      </c>
      <c r="G208" s="89" t="str">
        <f t="shared" si="19"/>
        <v>8th &amp; 18th Floor (Part Refuge Area)</v>
      </c>
      <c r="H208" s="89"/>
      <c r="I208" s="28"/>
      <c r="N208" s="28"/>
    </row>
    <row r="209" spans="1:16" s="46" customFormat="1" x14ac:dyDescent="0.35">
      <c r="A209" s="90" t="s">
        <v>171</v>
      </c>
      <c r="B209" s="90"/>
      <c r="C209" s="90"/>
      <c r="D209" s="90"/>
      <c r="E209" s="90"/>
      <c r="F209" s="90"/>
      <c r="G209" s="90"/>
      <c r="H209" s="90"/>
      <c r="I209" s="28"/>
      <c r="L209" s="100"/>
      <c r="M209" s="100"/>
    </row>
    <row r="210" spans="1:16" s="46" customFormat="1" x14ac:dyDescent="0.35">
      <c r="A210" s="89">
        <v>1</v>
      </c>
      <c r="B210" s="89"/>
      <c r="C210" s="52" t="s">
        <v>164</v>
      </c>
      <c r="D210" s="52">
        <f>(35.25+1.61*2.59+1.65*2.75)*10.764</f>
        <v>473.1574536</v>
      </c>
      <c r="E210" s="52">
        <f>(3.05*2)*10.764</f>
        <v>65.660399999999996</v>
      </c>
      <c r="F210" s="52">
        <f>D210*(($F$171)+1)+E210</f>
        <v>799.05445308000003</v>
      </c>
      <c r="G210" s="89" t="str">
        <f>A209</f>
        <v>13th Floor (Part Refuge Area)</v>
      </c>
      <c r="H210" s="89"/>
      <c r="I210" s="28">
        <f>(3.05*4.73+2.59*2.15+2.75*2.85+2.13*1.22+1.4*0.45+1.51*1.22)*10.764</f>
        <v>354.17112120000002</v>
      </c>
      <c r="N210" s="28"/>
    </row>
    <row r="211" spans="1:16" s="46" customFormat="1" x14ac:dyDescent="0.35">
      <c r="A211" s="89">
        <f>A210+1</f>
        <v>2</v>
      </c>
      <c r="B211" s="89"/>
      <c r="C211" s="52" t="s">
        <v>165</v>
      </c>
      <c r="D211" s="52">
        <f>(48.31+1.61*2.59+1.65*2.75+0.75*2.75)*10.764</f>
        <v>635.93604359999995</v>
      </c>
      <c r="E211" s="52">
        <f>(2*2.9)*10.764</f>
        <v>62.431199999999997</v>
      </c>
      <c r="F211" s="52">
        <f t="shared" ref="F211:F215" si="21">D211*(($F$171)+1)+E211</f>
        <v>1048.13206758</v>
      </c>
      <c r="G211" s="89" t="str">
        <f t="shared" ref="G211:G215" si="22">G210</f>
        <v>13th Floor (Part Refuge Area)</v>
      </c>
      <c r="H211" s="89"/>
      <c r="I211" s="28">
        <f>(2.9*4.73+1.37*2.14+2.59*2.15+2.75*2.85+2.75*3.35+2.13*1.22+1.22*2.29+2*0.45+1.22*0.45+2.4*0.45)*10.764</f>
        <v>507.93916679999984</v>
      </c>
      <c r="N211" s="28"/>
    </row>
    <row r="212" spans="1:16" s="46" customFormat="1" x14ac:dyDescent="0.35">
      <c r="A212" s="89">
        <f>A211+1</f>
        <v>3</v>
      </c>
      <c r="B212" s="89"/>
      <c r="C212" s="52" t="s">
        <v>165</v>
      </c>
      <c r="D212" s="52">
        <f>(47.81+1.61*2.59+1.65*2.75+0.75*2.75)*10.764</f>
        <v>630.5540436</v>
      </c>
      <c r="E212" s="52">
        <f>(2*2.9)*10.764</f>
        <v>62.431199999999997</v>
      </c>
      <c r="F212" s="52">
        <f t="shared" si="21"/>
        <v>1039.7899675800002</v>
      </c>
      <c r="G212" s="89" t="str">
        <f t="shared" si="22"/>
        <v>13th Floor (Part Refuge Area)</v>
      </c>
      <c r="H212" s="89"/>
      <c r="I212" s="28"/>
      <c r="N212" s="28"/>
    </row>
    <row r="213" spans="1:16" s="46" customFormat="1" x14ac:dyDescent="0.35">
      <c r="A213" s="89">
        <f t="shared" ref="A213:A215" si="23">A212+1</f>
        <v>4</v>
      </c>
      <c r="B213" s="89"/>
      <c r="C213" s="52" t="s">
        <v>165</v>
      </c>
      <c r="D213" s="52">
        <f>(47.81+1.61*2.59+1.65*2.75+2.75*0.75)*10.764</f>
        <v>630.5540436</v>
      </c>
      <c r="E213" s="52">
        <f>(2*2.9)*10.764</f>
        <v>62.431199999999997</v>
      </c>
      <c r="F213" s="52">
        <f t="shared" si="21"/>
        <v>1039.7899675800002</v>
      </c>
      <c r="G213" s="89" t="str">
        <f t="shared" si="22"/>
        <v>13th Floor (Part Refuge Area)</v>
      </c>
      <c r="H213" s="89"/>
      <c r="I213" s="28"/>
      <c r="N213" s="28"/>
    </row>
    <row r="214" spans="1:16" s="46" customFormat="1" x14ac:dyDescent="0.35">
      <c r="A214" s="89">
        <f t="shared" si="23"/>
        <v>5</v>
      </c>
      <c r="B214" s="89"/>
      <c r="C214" s="52" t="s">
        <v>165</v>
      </c>
      <c r="D214" s="52">
        <f>(48.49+0.75*2.75+2.75*1.65+1.61*2.59)*10.764</f>
        <v>637.87356360000001</v>
      </c>
      <c r="E214" s="52">
        <f>(2*2.9)*10.764</f>
        <v>62.431199999999997</v>
      </c>
      <c r="F214" s="52">
        <f t="shared" si="21"/>
        <v>1051.13522358</v>
      </c>
      <c r="G214" s="89" t="str">
        <f t="shared" si="22"/>
        <v>13th Floor (Part Refuge Area)</v>
      </c>
      <c r="H214" s="89"/>
      <c r="I214" s="28"/>
      <c r="N214" s="28"/>
    </row>
    <row r="215" spans="1:16" s="46" customFormat="1" x14ac:dyDescent="0.35">
      <c r="A215" s="89">
        <f t="shared" si="23"/>
        <v>6</v>
      </c>
      <c r="B215" s="89"/>
      <c r="C215" s="52" t="s">
        <v>164</v>
      </c>
      <c r="D215" s="52">
        <f>(34.83+1.61*2.59+2.75*1.65)*10.764</f>
        <v>468.63657359999996</v>
      </c>
      <c r="E215" s="52">
        <f>(2*2.9)*10.764</f>
        <v>62.431199999999997</v>
      </c>
      <c r="F215" s="52">
        <f t="shared" si="21"/>
        <v>788.81788907999999</v>
      </c>
      <c r="G215" s="89" t="str">
        <f t="shared" si="22"/>
        <v>13th Floor (Part Refuge Area)</v>
      </c>
      <c r="H215" s="89"/>
      <c r="I215" s="28"/>
      <c r="N215" s="28"/>
    </row>
    <row r="216" spans="1:16" x14ac:dyDescent="0.35">
      <c r="A216" s="88" t="s">
        <v>230</v>
      </c>
      <c r="B216" s="88"/>
      <c r="C216" s="88"/>
      <c r="D216" s="88"/>
      <c r="E216" s="88"/>
      <c r="F216" s="88"/>
      <c r="G216" s="88"/>
      <c r="H216" s="88"/>
    </row>
    <row r="217" spans="1:16" x14ac:dyDescent="0.35">
      <c r="A217" s="88" t="s">
        <v>162</v>
      </c>
      <c r="B217" s="88"/>
      <c r="C217" s="88"/>
      <c r="D217" s="88"/>
      <c r="E217" s="88"/>
      <c r="F217" s="88"/>
      <c r="G217" s="88"/>
      <c r="H217" s="88"/>
    </row>
    <row r="218" spans="1:16" s="46" customFormat="1" ht="15.75" customHeight="1" x14ac:dyDescent="0.35">
      <c r="A218" s="90" t="s">
        <v>173</v>
      </c>
      <c r="B218" s="90"/>
      <c r="C218" s="90"/>
      <c r="D218" s="90"/>
      <c r="E218" s="90"/>
      <c r="F218" s="90"/>
      <c r="G218" s="90"/>
      <c r="H218" s="90"/>
      <c r="I218" s="28"/>
      <c r="P218" s="29"/>
    </row>
    <row r="219" spans="1:16" s="46" customFormat="1" ht="15.75" customHeight="1" x14ac:dyDescent="0.35">
      <c r="A219" s="89">
        <v>1</v>
      </c>
      <c r="B219" s="89"/>
      <c r="C219" s="73" t="s">
        <v>164</v>
      </c>
      <c r="D219" s="73">
        <f>(38+0.75*2.75+1.46*2.44)*10.764</f>
        <v>469.57842359999995</v>
      </c>
      <c r="E219" s="73">
        <f>(2*2.9)*10.764</f>
        <v>62.431199999999997</v>
      </c>
      <c r="F219" s="73">
        <f t="shared" ref="F219:F222" si="24">D219*(($F$171)+1)+E219</f>
        <v>790.27775657999996</v>
      </c>
      <c r="G219" s="89" t="str">
        <f>A218</f>
        <v>1st, 3rd, 7th, 9th &amp; 11th Floor for Residential</v>
      </c>
      <c r="H219" s="89"/>
      <c r="I219" s="28"/>
      <c r="N219" s="46" t="str">
        <f t="shared" ref="N219:N222" ca="1" si="25">O219&amp;""&amp;",..,"&amp;""&amp;P219</f>
        <v>101,..,1101</v>
      </c>
      <c r="O219" s="46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10^ROW(INDIRECT("1:"&amp;LEN((LEFT(A218,SUM(LEN(A218)-LEN(SUBSTITUTE(A218,{"0","1","2"},""))))))))/10))*100+1</f>
        <v>101</v>
      </c>
      <c r="P219" s="46">
        <f ca="1">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",LEN(A218))),LEN(A218)))))))/10))*100+1</f>
        <v>1101</v>
      </c>
    </row>
    <row r="220" spans="1:16" s="46" customFormat="1" ht="15.75" customHeight="1" x14ac:dyDescent="0.35">
      <c r="A220" s="89">
        <v>2</v>
      </c>
      <c r="B220" s="89"/>
      <c r="C220" s="73" t="s">
        <v>164</v>
      </c>
      <c r="D220" s="73">
        <f>(38+1.46*2.44+0.75*2.75)*10.764</f>
        <v>469.57842359999995</v>
      </c>
      <c r="E220" s="73">
        <f>(2*2.9)*10.764</f>
        <v>62.431199999999997</v>
      </c>
      <c r="F220" s="73">
        <f t="shared" si="24"/>
        <v>790.27775657999996</v>
      </c>
      <c r="G220" s="89"/>
      <c r="H220" s="89"/>
      <c r="I220" s="28"/>
      <c r="N220" s="46" t="str">
        <f t="shared" ca="1" si="25"/>
        <v>102,..,1102</v>
      </c>
      <c r="O220" s="46">
        <f t="shared" ref="O220:P220" ca="1" si="26">O219+1</f>
        <v>102</v>
      </c>
      <c r="P220" s="46">
        <f t="shared" ca="1" si="26"/>
        <v>1102</v>
      </c>
    </row>
    <row r="221" spans="1:16" s="46" customFormat="1" ht="15.75" customHeight="1" x14ac:dyDescent="0.35">
      <c r="A221" s="89">
        <v>3</v>
      </c>
      <c r="B221" s="89"/>
      <c r="C221" s="73" t="s">
        <v>165</v>
      </c>
      <c r="D221" s="73">
        <f>(45.21+1.46*2.59+2.75*1.8+0.75*2.75)*10.764</f>
        <v>602.82597959999998</v>
      </c>
      <c r="E221" s="73">
        <f>(2*2.9)*10.764</f>
        <v>62.431199999999997</v>
      </c>
      <c r="F221" s="73">
        <f t="shared" si="24"/>
        <v>996.81146837999995</v>
      </c>
      <c r="G221" s="89"/>
      <c r="H221" s="89"/>
      <c r="I221" s="28"/>
      <c r="N221" s="46" t="str">
        <f t="shared" ca="1" si="25"/>
        <v>103,..,1103</v>
      </c>
      <c r="O221" s="46">
        <f t="shared" ref="O221:P221" ca="1" si="27">O220+1</f>
        <v>103</v>
      </c>
      <c r="P221" s="46">
        <f t="shared" ca="1" si="27"/>
        <v>1103</v>
      </c>
    </row>
    <row r="222" spans="1:16" s="46" customFormat="1" ht="15.75" customHeight="1" x14ac:dyDescent="0.35">
      <c r="A222" s="89">
        <v>4</v>
      </c>
      <c r="B222" s="89"/>
      <c r="C222" s="73" t="s">
        <v>164</v>
      </c>
      <c r="D222" s="73">
        <f>(39.3+1.46*2.44+0.75*2.75)*10.764</f>
        <v>483.5716235999999</v>
      </c>
      <c r="E222" s="73">
        <f>(2*2.9)*10.764</f>
        <v>62.431199999999997</v>
      </c>
      <c r="F222" s="73">
        <f t="shared" si="24"/>
        <v>811.9672165799999</v>
      </c>
      <c r="G222" s="89"/>
      <c r="H222" s="89"/>
      <c r="I222" s="28"/>
      <c r="N222" s="46" t="str">
        <f t="shared" ca="1" si="25"/>
        <v>104,..,1104</v>
      </c>
      <c r="O222" s="46">
        <f t="shared" ref="O222:P222" ca="1" si="28">O221+1</f>
        <v>104</v>
      </c>
      <c r="P222" s="46">
        <f t="shared" ca="1" si="28"/>
        <v>1104</v>
      </c>
    </row>
    <row r="223" spans="1:16" s="46" customFormat="1" ht="15.75" customHeight="1" x14ac:dyDescent="0.35">
      <c r="A223" s="90" t="s">
        <v>174</v>
      </c>
      <c r="B223" s="90"/>
      <c r="C223" s="90"/>
      <c r="D223" s="90"/>
      <c r="E223" s="90"/>
      <c r="F223" s="90"/>
      <c r="G223" s="90"/>
      <c r="H223" s="90"/>
      <c r="I223" s="28"/>
      <c r="P223" s="29"/>
    </row>
    <row r="224" spans="1:16" s="46" customFormat="1" ht="15.75" customHeight="1" x14ac:dyDescent="0.35">
      <c r="A224" s="89">
        <v>1</v>
      </c>
      <c r="B224" s="89"/>
      <c r="C224" s="73" t="s">
        <v>164</v>
      </c>
      <c r="D224" s="73">
        <f>(38+0.75*2.9+1.46*2.44)*10.764</f>
        <v>470.78937359999992</v>
      </c>
      <c r="E224" s="73">
        <f>(2*2.75)*10.764</f>
        <v>59.201999999999998</v>
      </c>
      <c r="F224" s="73">
        <f>D224*(($F$171)+1)+E224</f>
        <v>788.92552907999993</v>
      </c>
      <c r="G224" s="89" t="str">
        <f>A223</f>
        <v>2nd, 4th, 6th, 10th &amp; 12th Floor</v>
      </c>
      <c r="H224" s="89"/>
      <c r="I224" s="28"/>
      <c r="N224" s="46" t="str">
        <f t="shared" ref="N224:N227" ca="1" si="29">O224&amp;""&amp;",..,"&amp;""&amp;P224</f>
        <v>201,..,1201</v>
      </c>
      <c r="O224" s="46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10^ROW(INDIRECT("1:"&amp;LEN((LEFT(A223,SUM(LEN(A223)-LEN(SUBSTITUTE(A223,{"0","1","2"},""))))))))/10))*100+1</f>
        <v>201</v>
      </c>
      <c r="P224" s="46">
        <f ca="1">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1201</v>
      </c>
    </row>
    <row r="225" spans="1:16" s="46" customFormat="1" ht="15.75" customHeight="1" x14ac:dyDescent="0.35">
      <c r="A225" s="89">
        <v>2</v>
      </c>
      <c r="B225" s="89"/>
      <c r="C225" s="73" t="s">
        <v>164</v>
      </c>
      <c r="D225" s="73">
        <f>(38+0.75*2.9+1.46*2.44)*10.764</f>
        <v>470.78937359999992</v>
      </c>
      <c r="E225" s="73">
        <f>(2*2.75)*10.764</f>
        <v>59.201999999999998</v>
      </c>
      <c r="F225" s="73">
        <f>D225*(($F$171)+1)+E225</f>
        <v>788.92552907999993</v>
      </c>
      <c r="G225" s="89"/>
      <c r="H225" s="89"/>
      <c r="I225" s="28"/>
      <c r="N225" s="46" t="str">
        <f t="shared" ca="1" si="29"/>
        <v>202,..,1202</v>
      </c>
      <c r="O225" s="46">
        <f t="shared" ref="O225:P225" ca="1" si="30">O224+1</f>
        <v>202</v>
      </c>
      <c r="P225" s="46">
        <f t="shared" ca="1" si="30"/>
        <v>1202</v>
      </c>
    </row>
    <row r="226" spans="1:16" s="46" customFormat="1" ht="15.75" customHeight="1" x14ac:dyDescent="0.35">
      <c r="A226" s="89">
        <v>3</v>
      </c>
      <c r="B226" s="89"/>
      <c r="C226" s="73" t="s">
        <v>165</v>
      </c>
      <c r="D226" s="73">
        <f>(45.31+0.75*2.9+2.59*1.46+1.8*2.75)*10.764</f>
        <v>605.11332959999993</v>
      </c>
      <c r="E226" s="73">
        <f>(2*2.75)*10.764</f>
        <v>59.201999999999998</v>
      </c>
      <c r="F226" s="73">
        <f t="shared" ref="F226:F227" si="31">D226*(($F$171)+1)+E226</f>
        <v>997.12766087999989</v>
      </c>
      <c r="G226" s="89"/>
      <c r="H226" s="89"/>
      <c r="I226" s="28"/>
      <c r="N226" s="46" t="str">
        <f t="shared" ca="1" si="29"/>
        <v>203,..,1203</v>
      </c>
      <c r="O226" s="46">
        <f t="shared" ref="O226:P226" ca="1" si="32">O225+1</f>
        <v>203</v>
      </c>
      <c r="P226" s="46">
        <f t="shared" ca="1" si="32"/>
        <v>1203</v>
      </c>
    </row>
    <row r="227" spans="1:16" s="46" customFormat="1" ht="15.75" customHeight="1" x14ac:dyDescent="0.35">
      <c r="A227" s="89">
        <v>4</v>
      </c>
      <c r="B227" s="89"/>
      <c r="C227" s="73" t="s">
        <v>164</v>
      </c>
      <c r="D227" s="73">
        <f>(39.3+0.75*2.9+1.46*2.44)*10.764</f>
        <v>484.78257359999986</v>
      </c>
      <c r="E227" s="73">
        <f>(2*2.75)*10.764</f>
        <v>59.201999999999998</v>
      </c>
      <c r="F227" s="73">
        <f t="shared" si="31"/>
        <v>810.61498907999976</v>
      </c>
      <c r="G227" s="89"/>
      <c r="H227" s="89"/>
      <c r="I227" s="28"/>
      <c r="N227" s="46" t="str">
        <f t="shared" ca="1" si="29"/>
        <v>204,..,1204</v>
      </c>
      <c r="O227" s="46">
        <f t="shared" ref="O227:P227" ca="1" si="33">O226+1</f>
        <v>204</v>
      </c>
      <c r="P227" s="46">
        <f t="shared" ca="1" si="33"/>
        <v>1204</v>
      </c>
    </row>
    <row r="228" spans="1:16" s="46" customFormat="1" x14ac:dyDescent="0.35">
      <c r="A228" s="90" t="s">
        <v>169</v>
      </c>
      <c r="B228" s="90"/>
      <c r="C228" s="90"/>
      <c r="D228" s="90"/>
      <c r="E228" s="90"/>
      <c r="F228" s="90"/>
      <c r="G228" s="90"/>
      <c r="H228" s="90"/>
      <c r="I228" s="28"/>
      <c r="L228" s="100"/>
      <c r="M228" s="100"/>
    </row>
    <row r="229" spans="1:16" s="46" customFormat="1" x14ac:dyDescent="0.35">
      <c r="A229" s="89">
        <v>1</v>
      </c>
      <c r="B229" s="89"/>
      <c r="C229" s="52" t="s">
        <v>164</v>
      </c>
      <c r="D229" s="52">
        <f>(38+1.46*2.44+0.75*2.75)*10.764</f>
        <v>469.57842359999995</v>
      </c>
      <c r="E229" s="52">
        <f>(2*2.9)*10.764</f>
        <v>62.431199999999997</v>
      </c>
      <c r="F229" s="52">
        <f>D229*(($F$171)+1)+E229</f>
        <v>790.27775657999996</v>
      </c>
      <c r="G229" s="89" t="str">
        <f>A228</f>
        <v>5th Floor (Part Refuge Area)</v>
      </c>
      <c r="H229" s="89"/>
      <c r="I229" s="28">
        <f>(3.05*4.73+2.59*2.15+2.75*2.85+2.13*1.22+1.4*0.45+1.51*1.22)*10.764</f>
        <v>354.17112120000002</v>
      </c>
      <c r="N229" s="28"/>
    </row>
    <row r="230" spans="1:16" s="46" customFormat="1" x14ac:dyDescent="0.35">
      <c r="A230" s="89">
        <f>A229+1</f>
        <v>2</v>
      </c>
      <c r="B230" s="89"/>
      <c r="C230" s="52" t="s">
        <v>164</v>
      </c>
      <c r="D230" s="52">
        <f>(38+1.46*2.44+0.75*2.75)*10.764</f>
        <v>469.57842359999995</v>
      </c>
      <c r="E230" s="52">
        <f>(2*2.9)*10.764</f>
        <v>62.431199999999997</v>
      </c>
      <c r="F230" s="52">
        <f t="shared" ref="F230:F232" si="34">D230*(($F$171)+1)+E230</f>
        <v>790.27775657999996</v>
      </c>
      <c r="G230" s="89" t="str">
        <f t="shared" ref="G230:G232" si="35">G229</f>
        <v>5th Floor (Part Refuge Area)</v>
      </c>
      <c r="H230" s="89"/>
      <c r="I230" s="28">
        <f>(2.9*4.73+1.37*2.14+2.59*2.15+2.75*2.85+2.75*3.35+2.13*1.22+1.22*2.29+2*0.45+1.22*0.45+2.4*0.45)*10.764</f>
        <v>507.93916679999984</v>
      </c>
      <c r="N230" s="28"/>
    </row>
    <row r="231" spans="1:16" s="46" customFormat="1" x14ac:dyDescent="0.35">
      <c r="A231" s="89">
        <f>A230+1</f>
        <v>3</v>
      </c>
      <c r="B231" s="89"/>
      <c r="C231" s="52" t="s">
        <v>165</v>
      </c>
      <c r="D231" s="52">
        <f>(45.21+1.46*2.59+2.75*1.8+0.75*2.75)*10.764</f>
        <v>602.82597959999998</v>
      </c>
      <c r="E231" s="52">
        <f>(2*2.9)*10.764</f>
        <v>62.431199999999997</v>
      </c>
      <c r="F231" s="52">
        <f t="shared" si="34"/>
        <v>996.81146837999995</v>
      </c>
      <c r="G231" s="89" t="str">
        <f t="shared" si="35"/>
        <v>5th Floor (Part Refuge Area)</v>
      </c>
      <c r="H231" s="89"/>
      <c r="I231" s="28"/>
      <c r="N231" s="28"/>
    </row>
    <row r="232" spans="1:16" s="46" customFormat="1" x14ac:dyDescent="0.35">
      <c r="A232" s="89">
        <f t="shared" ref="A232" si="36">A231+1</f>
        <v>4</v>
      </c>
      <c r="B232" s="89"/>
      <c r="C232" s="52" t="s">
        <v>164</v>
      </c>
      <c r="D232" s="52">
        <f>(39.3+1.46*2.44+0.75*2.75)*10.764</f>
        <v>483.5716235999999</v>
      </c>
      <c r="E232" s="52">
        <f>(2*2.9)*10.764</f>
        <v>62.431199999999997</v>
      </c>
      <c r="F232" s="52">
        <f t="shared" si="34"/>
        <v>811.9672165799999</v>
      </c>
      <c r="G232" s="89" t="str">
        <f t="shared" si="35"/>
        <v>5th Floor (Part Refuge Area)</v>
      </c>
      <c r="H232" s="89"/>
      <c r="I232" s="28"/>
      <c r="N232" s="28"/>
    </row>
    <row r="233" spans="1:16" s="46" customFormat="1" x14ac:dyDescent="0.35">
      <c r="A233" s="90" t="s">
        <v>175</v>
      </c>
      <c r="B233" s="90"/>
      <c r="C233" s="90"/>
      <c r="D233" s="90"/>
      <c r="E233" s="90"/>
      <c r="F233" s="90"/>
      <c r="G233" s="90"/>
      <c r="H233" s="90"/>
      <c r="I233" s="28"/>
      <c r="L233" s="100"/>
      <c r="M233" s="100"/>
    </row>
    <row r="234" spans="1:16" s="46" customFormat="1" x14ac:dyDescent="0.35">
      <c r="A234" s="89">
        <v>1</v>
      </c>
      <c r="B234" s="89"/>
      <c r="C234" s="52" t="s">
        <v>164</v>
      </c>
      <c r="D234" s="52">
        <f>(38+0.75*2.9+1.46*2.44)*10.764</f>
        <v>470.78937359999992</v>
      </c>
      <c r="E234" s="52">
        <f>(2*2.75)*10.764</f>
        <v>59.201999999999998</v>
      </c>
      <c r="F234" s="52">
        <f>D234*(($F$171)+1)+E234</f>
        <v>788.92552907999993</v>
      </c>
      <c r="G234" s="89" t="str">
        <f>A233</f>
        <v>8th Floor (Part Refuge Area)</v>
      </c>
      <c r="H234" s="89"/>
      <c r="I234" s="28">
        <f>(3.05*4.73+2.59*2.15+2.75*2.85+2.13*1.22+1.4*0.45+1.51*1.22)*10.764</f>
        <v>354.17112120000002</v>
      </c>
      <c r="N234" s="28"/>
    </row>
    <row r="235" spans="1:16" s="46" customFormat="1" x14ac:dyDescent="0.35">
      <c r="A235" s="89">
        <f>A234+1</f>
        <v>2</v>
      </c>
      <c r="B235" s="89"/>
      <c r="C235" s="52" t="s">
        <v>164</v>
      </c>
      <c r="D235" s="52">
        <f>(38+0.75*2.9+1.46*2.44)*10.764</f>
        <v>470.78937359999992</v>
      </c>
      <c r="E235" s="52">
        <f>(2*2.75)*10.764</f>
        <v>59.201999999999998</v>
      </c>
      <c r="F235" s="52">
        <f t="shared" ref="F235:F237" si="37">D235*(($F$171)+1)+E235</f>
        <v>788.92552907999993</v>
      </c>
      <c r="G235" s="89" t="str">
        <f t="shared" ref="G235:G237" si="38">G234</f>
        <v>8th Floor (Part Refuge Area)</v>
      </c>
      <c r="H235" s="89"/>
      <c r="I235" s="28">
        <f>(2.9*4.73+1.37*2.14+2.59*2.15+2.75*2.85+2.75*3.35+2.13*1.22+1.22*2.29+2*0.45+1.22*0.45+2.4*0.45)*10.764</f>
        <v>507.93916679999984</v>
      </c>
      <c r="N235" s="28"/>
    </row>
    <row r="236" spans="1:16" s="46" customFormat="1" x14ac:dyDescent="0.35">
      <c r="A236" s="89">
        <f>A235+1</f>
        <v>3</v>
      </c>
      <c r="B236" s="89"/>
      <c r="C236" s="52" t="s">
        <v>165</v>
      </c>
      <c r="D236" s="52">
        <f>(45.21+0.75*2.9+1.46*2.59+2.75*1.8)*10.764</f>
        <v>604.03692959999989</v>
      </c>
      <c r="E236" s="52">
        <f>(2*2.75)*10.764</f>
        <v>59.201999999999998</v>
      </c>
      <c r="F236" s="52">
        <f t="shared" si="37"/>
        <v>995.45924087999981</v>
      </c>
      <c r="G236" s="89" t="str">
        <f t="shared" si="38"/>
        <v>8th Floor (Part Refuge Area)</v>
      </c>
      <c r="H236" s="89"/>
      <c r="I236" s="28"/>
      <c r="N236" s="28"/>
    </row>
    <row r="237" spans="1:16" s="46" customFormat="1" x14ac:dyDescent="0.35">
      <c r="A237" s="89">
        <f t="shared" ref="A237" si="39">A236+1</f>
        <v>4</v>
      </c>
      <c r="B237" s="89"/>
      <c r="C237" s="52" t="s">
        <v>164</v>
      </c>
      <c r="D237" s="52">
        <f>(39.3+0.75*2.9+1.46*2.44)*10.764</f>
        <v>484.78257359999986</v>
      </c>
      <c r="E237" s="52">
        <f>(2*2.75)*10.764</f>
        <v>59.201999999999998</v>
      </c>
      <c r="F237" s="52">
        <f t="shared" si="37"/>
        <v>810.61498907999976</v>
      </c>
      <c r="G237" s="89" t="str">
        <f t="shared" si="38"/>
        <v>8th Floor (Part Refuge Area)</v>
      </c>
      <c r="H237" s="89"/>
      <c r="I237" s="28"/>
      <c r="N237" s="28"/>
    </row>
    <row r="238" spans="1:16" x14ac:dyDescent="0.35">
      <c r="A238" s="88" t="s">
        <v>232</v>
      </c>
      <c r="B238" s="88"/>
      <c r="C238" s="88"/>
      <c r="D238" s="88"/>
      <c r="E238" s="88"/>
      <c r="F238" s="88"/>
      <c r="G238" s="88"/>
      <c r="H238" s="88"/>
    </row>
    <row r="239" spans="1:16" x14ac:dyDescent="0.35">
      <c r="A239" s="88" t="s">
        <v>162</v>
      </c>
      <c r="B239" s="88"/>
      <c r="C239" s="88"/>
      <c r="D239" s="88"/>
      <c r="E239" s="88"/>
      <c r="F239" s="88"/>
      <c r="G239" s="88"/>
      <c r="H239" s="88"/>
    </row>
    <row r="240" spans="1:16" s="46" customFormat="1" x14ac:dyDescent="0.35">
      <c r="A240" s="90" t="s">
        <v>163</v>
      </c>
      <c r="B240" s="90"/>
      <c r="C240" s="90"/>
      <c r="D240" s="90"/>
      <c r="E240" s="90"/>
      <c r="F240" s="90"/>
      <c r="G240" s="90"/>
      <c r="H240" s="90"/>
      <c r="I240" s="28"/>
      <c r="L240" s="100"/>
      <c r="M240" s="100"/>
    </row>
    <row r="241" spans="1:14" s="46" customFormat="1" x14ac:dyDescent="0.35">
      <c r="A241" s="89">
        <v>1</v>
      </c>
      <c r="B241" s="89"/>
      <c r="C241" s="52" t="s">
        <v>165</v>
      </c>
      <c r="D241" s="52">
        <f>(48.53+0.75*2.9+1.53*2.59+1.95*2.75+0.75*2.75)*10.764</f>
        <v>668.36582279999993</v>
      </c>
      <c r="E241" s="52">
        <v>0</v>
      </c>
      <c r="F241" s="52">
        <f>D241*(($F$171)+1)+E241</f>
        <v>1035.96702534</v>
      </c>
      <c r="G241" s="89" t="str">
        <f>A240</f>
        <v>1st Floor for Residentail</v>
      </c>
      <c r="H241" s="89"/>
      <c r="I241" s="28">
        <f>(3.05*4.73+2.59*2.15+2.75*2.85+2.13*1.22+1.4*0.45+1.51*1.22)*10.764</f>
        <v>354.17112120000002</v>
      </c>
      <c r="N241" s="28"/>
    </row>
    <row r="242" spans="1:14" s="46" customFormat="1" x14ac:dyDescent="0.35">
      <c r="A242" s="89">
        <f>A241+1</f>
        <v>2</v>
      </c>
      <c r="B242" s="89"/>
      <c r="C242" s="52" t="s">
        <v>165</v>
      </c>
      <c r="D242" s="52">
        <f>(47.79+0.75*2.9*1.53*2.59+2.75*1.95+0.75*2.75)*10.764</f>
        <v>687.10780358999989</v>
      </c>
      <c r="E242" s="52">
        <v>0</v>
      </c>
      <c r="F242" s="52">
        <f t="shared" ref="F242:F244" si="40">D242*(($F$171)+1)+E242</f>
        <v>1065.0170955644999</v>
      </c>
      <c r="G242" s="89" t="str">
        <f t="shared" ref="G242:G246" si="41">G241</f>
        <v>1st Floor for Residentail</v>
      </c>
      <c r="H242" s="89"/>
      <c r="I242" s="28">
        <f>(2.9*4.73+1.37*2.14+2.59*2.15+2.75*2.85+2.75*3.35+2.13*1.22+1.22*2.29+2*0.45+1.22*0.45+2.4*0.45)*10.764</f>
        <v>507.93916679999984</v>
      </c>
      <c r="N242" s="28"/>
    </row>
    <row r="243" spans="1:14" s="46" customFormat="1" x14ac:dyDescent="0.35">
      <c r="A243" s="89">
        <f>A242+1</f>
        <v>3</v>
      </c>
      <c r="B243" s="89"/>
      <c r="C243" s="52" t="s">
        <v>165</v>
      </c>
      <c r="D243" s="52">
        <f>(45.96+0.75*2.9+1.53*2.59+1.95*2.75+2.75*0.75)*10.764</f>
        <v>640.70234279999988</v>
      </c>
      <c r="E243" s="52">
        <v>0</v>
      </c>
      <c r="F243" s="52">
        <f t="shared" si="40"/>
        <v>993.08863133999989</v>
      </c>
      <c r="G243" s="89" t="str">
        <f t="shared" si="41"/>
        <v>1st Floor for Residentail</v>
      </c>
      <c r="H243" s="89"/>
      <c r="I243" s="28"/>
      <c r="N243" s="28"/>
    </row>
    <row r="244" spans="1:14" s="46" customFormat="1" x14ac:dyDescent="0.35">
      <c r="A244" s="89">
        <f t="shared" ref="A244:A246" si="42">A243+1</f>
        <v>4</v>
      </c>
      <c r="B244" s="89"/>
      <c r="C244" s="52" t="s">
        <v>165</v>
      </c>
      <c r="D244" s="52">
        <f>(48.16+0.75*2.9+1.53*2.59+1.95*2.75+0.75*2.75)*10.764</f>
        <v>664.38314279999986</v>
      </c>
      <c r="E244" s="52">
        <v>0</v>
      </c>
      <c r="F244" s="52">
        <f t="shared" si="40"/>
        <v>1029.7938713399999</v>
      </c>
      <c r="G244" s="89" t="str">
        <f t="shared" si="41"/>
        <v>1st Floor for Residentail</v>
      </c>
      <c r="H244" s="89"/>
      <c r="I244" s="28"/>
      <c r="N244" s="28"/>
    </row>
    <row r="245" spans="1:14" s="46" customFormat="1" x14ac:dyDescent="0.35">
      <c r="A245" s="89">
        <f>A244+1</f>
        <v>5</v>
      </c>
      <c r="B245" s="89"/>
      <c r="C245" s="52" t="s">
        <v>165</v>
      </c>
      <c r="D245" s="52">
        <f>(47.14+0.75*2.9+1.53*2.59+2.75*1.95+0.75*2.75)*10.764</f>
        <v>653.40386279999984</v>
      </c>
      <c r="E245" s="52">
        <v>0</v>
      </c>
      <c r="F245" s="52">
        <f t="shared" ref="F245:F246" si="43">D245*(($F$171)+1)+E245</f>
        <v>1012.7759873399998</v>
      </c>
      <c r="G245" s="89" t="str">
        <f t="shared" si="41"/>
        <v>1st Floor for Residentail</v>
      </c>
      <c r="H245" s="89"/>
      <c r="I245" s="28"/>
      <c r="N245" s="28"/>
    </row>
    <row r="246" spans="1:14" s="46" customFormat="1" x14ac:dyDescent="0.35">
      <c r="A246" s="89">
        <f t="shared" si="42"/>
        <v>6</v>
      </c>
      <c r="B246" s="89"/>
      <c r="C246" s="52" t="s">
        <v>165</v>
      </c>
      <c r="D246" s="52">
        <f>(42.64+1.53*2.75+0.75*2.9+1.53*2.59+0.75*2.75)*10.764</f>
        <v>592.53344279999999</v>
      </c>
      <c r="E246" s="52">
        <v>0</v>
      </c>
      <c r="F246" s="52">
        <f t="shared" si="43"/>
        <v>918.42683634000002</v>
      </c>
      <c r="G246" s="89" t="str">
        <f t="shared" si="41"/>
        <v>1st Floor for Residentail</v>
      </c>
      <c r="H246" s="89"/>
      <c r="I246" s="28"/>
      <c r="N246" s="28"/>
    </row>
    <row r="247" spans="1:14" s="46" customFormat="1" x14ac:dyDescent="0.35">
      <c r="A247" s="90" t="s">
        <v>177</v>
      </c>
      <c r="B247" s="90"/>
      <c r="C247" s="90"/>
      <c r="D247" s="90"/>
      <c r="E247" s="90"/>
      <c r="F247" s="90"/>
      <c r="G247" s="90"/>
      <c r="H247" s="90"/>
      <c r="I247" s="28"/>
      <c r="L247" s="100"/>
      <c r="M247" s="100"/>
    </row>
    <row r="248" spans="1:14" s="46" customFormat="1" ht="15.75" customHeight="1" x14ac:dyDescent="0.35">
      <c r="A248" s="89">
        <v>1</v>
      </c>
      <c r="B248" s="89"/>
      <c r="C248" s="52" t="s">
        <v>165</v>
      </c>
      <c r="D248" s="52">
        <f>(48.53+0.75*2.75+2.75*1.95+2.59*1.53)*10.764</f>
        <v>644.95412279999994</v>
      </c>
      <c r="E248" s="52">
        <f t="shared" ref="E248:E253" si="44">(2*2.9)*10.764</f>
        <v>62.431199999999997</v>
      </c>
      <c r="F248" s="52">
        <f>D248*(($F$171)+1)+E248</f>
        <v>1062.1100903399999</v>
      </c>
      <c r="G248" s="91" t="str">
        <f>A247</f>
        <v xml:space="preserve">2nd, 4th, 6th, 10th, 12th, 14th, 16th &amp; 20th Floor </v>
      </c>
      <c r="H248" s="92"/>
      <c r="I248" s="28">
        <f>(3.05*4.73+2.59*2.15+2.75*2.85+2.13*1.22+1.4*0.45+1.51*1.22)*10.764</f>
        <v>354.17112120000002</v>
      </c>
      <c r="N248" s="28"/>
    </row>
    <row r="249" spans="1:14" s="46" customFormat="1" ht="15.75" customHeight="1" x14ac:dyDescent="0.35">
      <c r="A249" s="89">
        <f>A248+1</f>
        <v>2</v>
      </c>
      <c r="B249" s="89"/>
      <c r="C249" s="52" t="s">
        <v>165</v>
      </c>
      <c r="D249" s="52">
        <f>(47.75+0.75*2.75+1.95*2.75+2.59*1.53)*10.764</f>
        <v>636.55820279999989</v>
      </c>
      <c r="E249" s="52">
        <f t="shared" si="44"/>
        <v>62.431199999999997</v>
      </c>
      <c r="F249" s="52">
        <f t="shared" ref="F249:F253" si="45">D249*(($F$171)+1)+E249</f>
        <v>1049.0964143399999</v>
      </c>
      <c r="G249" s="93"/>
      <c r="H249" s="94"/>
      <c r="I249" s="28">
        <f>(2.9*4.73+1.37*2.14+2.59*2.15+2.75*2.85+2.75*3.35+2.13*1.22+1.22*2.29+2*0.45+1.22*0.45+2.4*0.45)*10.764</f>
        <v>507.93916679999984</v>
      </c>
      <c r="N249" s="28"/>
    </row>
    <row r="250" spans="1:14" s="46" customFormat="1" ht="15.75" customHeight="1" x14ac:dyDescent="0.35">
      <c r="A250" s="89">
        <f>A249+1</f>
        <v>3</v>
      </c>
      <c r="B250" s="89"/>
      <c r="C250" s="52" t="s">
        <v>165</v>
      </c>
      <c r="D250" s="52">
        <f>(45.96+0.75*2.75+1.95*2.75+1.53*2.59)*10.764</f>
        <v>617.29064279999989</v>
      </c>
      <c r="E250" s="52">
        <f t="shared" si="44"/>
        <v>62.431199999999997</v>
      </c>
      <c r="F250" s="52">
        <f t="shared" si="45"/>
        <v>1019.2316963399999</v>
      </c>
      <c r="G250" s="93"/>
      <c r="H250" s="94"/>
      <c r="I250" s="28"/>
      <c r="N250" s="28"/>
    </row>
    <row r="251" spans="1:14" s="46" customFormat="1" ht="15.75" customHeight="1" x14ac:dyDescent="0.35">
      <c r="A251" s="89">
        <f t="shared" ref="A251:A253" si="46">A250+1</f>
        <v>4</v>
      </c>
      <c r="B251" s="89"/>
      <c r="C251" s="52" t="s">
        <v>165</v>
      </c>
      <c r="D251" s="52">
        <f>(48.16+1.53*2.59+1.95*2.75+0.75*2.75)*10.764</f>
        <v>640.97144279999986</v>
      </c>
      <c r="E251" s="52">
        <f t="shared" si="44"/>
        <v>62.431199999999997</v>
      </c>
      <c r="F251" s="52">
        <f t="shared" si="45"/>
        <v>1055.9369363399999</v>
      </c>
      <c r="G251" s="93"/>
      <c r="H251" s="94"/>
      <c r="I251" s="28"/>
      <c r="N251" s="28"/>
    </row>
    <row r="252" spans="1:14" s="46" customFormat="1" ht="15.75" customHeight="1" x14ac:dyDescent="0.35">
      <c r="A252" s="89">
        <f>A251+1</f>
        <v>5</v>
      </c>
      <c r="B252" s="89"/>
      <c r="C252" s="52" t="s">
        <v>165</v>
      </c>
      <c r="D252" s="52">
        <f>(47.14+1.53*2.59+2.75*1.95+2.75*0.75)*10.764</f>
        <v>629.99216279999996</v>
      </c>
      <c r="E252" s="52">
        <f t="shared" si="44"/>
        <v>62.431199999999997</v>
      </c>
      <c r="F252" s="52">
        <f t="shared" si="45"/>
        <v>1038.91905234</v>
      </c>
      <c r="G252" s="93"/>
      <c r="H252" s="94"/>
      <c r="I252" s="28"/>
      <c r="N252" s="28"/>
    </row>
    <row r="253" spans="1:14" s="46" customFormat="1" ht="15.75" customHeight="1" x14ac:dyDescent="0.35">
      <c r="A253" s="89">
        <f t="shared" si="46"/>
        <v>6</v>
      </c>
      <c r="B253" s="89"/>
      <c r="C253" s="52" t="s">
        <v>165</v>
      </c>
      <c r="D253" s="52">
        <f>(42.64+1.53*2.75+1.53*2.59+2.75*0.75)*10.764</f>
        <v>569.12174279999999</v>
      </c>
      <c r="E253" s="52">
        <f t="shared" si="44"/>
        <v>62.431199999999997</v>
      </c>
      <c r="F253" s="52">
        <f t="shared" si="45"/>
        <v>944.56990134</v>
      </c>
      <c r="G253" s="95"/>
      <c r="H253" s="96"/>
      <c r="I253" s="28"/>
      <c r="N253" s="28"/>
    </row>
    <row r="254" spans="1:14" s="47" customFormat="1" x14ac:dyDescent="0.35">
      <c r="A254" s="90" t="s">
        <v>183</v>
      </c>
      <c r="B254" s="90"/>
      <c r="C254" s="90"/>
      <c r="D254" s="90"/>
      <c r="E254" s="90"/>
      <c r="F254" s="90"/>
      <c r="G254" s="90"/>
      <c r="H254" s="90"/>
      <c r="I254" s="28"/>
      <c r="L254" s="100"/>
      <c r="M254" s="100"/>
    </row>
    <row r="255" spans="1:14" s="47" customFormat="1" ht="15.75" customHeight="1" x14ac:dyDescent="0.35">
      <c r="A255" s="89">
        <v>1</v>
      </c>
      <c r="B255" s="89"/>
      <c r="C255" s="52" t="s">
        <v>165</v>
      </c>
      <c r="D255" s="52">
        <f>(48.53+0.75*2.9+2.75*1.95+2.59*1.53)*10.764</f>
        <v>646.16507279999985</v>
      </c>
      <c r="E255" s="52">
        <f>(2*2.75)*10.764</f>
        <v>59.201999999999998</v>
      </c>
      <c r="F255" s="52">
        <f>D255*(($F$171)+1)+E255</f>
        <v>1060.7578628399997</v>
      </c>
      <c r="G255" s="91" t="str">
        <f>A254</f>
        <v>3rd,7th, 9th, 11th, 15th, 17th &amp; 19th Floor</v>
      </c>
      <c r="H255" s="92"/>
      <c r="I255" s="28">
        <f>(3.05*4.73+2.59*2.15+2.75*2.85+2.13*1.22+1.4*0.45+1.51*1.22)*10.764</f>
        <v>354.17112120000002</v>
      </c>
      <c r="N255" s="28"/>
    </row>
    <row r="256" spans="1:14" s="47" customFormat="1" ht="15.75" customHeight="1" x14ac:dyDescent="0.35">
      <c r="A256" s="89">
        <f>A255+1</f>
        <v>2</v>
      </c>
      <c r="B256" s="89"/>
      <c r="C256" s="52" t="s">
        <v>165</v>
      </c>
      <c r="D256" s="52">
        <f>(47.75+0.75*2.9+1.95*2.75+2.59*1.53)*10.764</f>
        <v>637.76915279999992</v>
      </c>
      <c r="E256" s="52">
        <f t="shared" ref="E256:E260" si="47">(2*2.75)*10.764</f>
        <v>59.201999999999998</v>
      </c>
      <c r="F256" s="52">
        <f t="shared" ref="F256:F260" si="48">D256*(($F$171)+1)+E256</f>
        <v>1047.7441868399999</v>
      </c>
      <c r="G256" s="93"/>
      <c r="H256" s="94"/>
      <c r="I256" s="28">
        <f>(2.9*4.73+1.37*2.14+2.59*2.15+2.75*2.85+2.75*3.35+2.13*1.22+1.22*2.29+2*0.45+1.22*0.45+2.4*0.45)*10.764</f>
        <v>507.93916679999984</v>
      </c>
      <c r="N256" s="28"/>
    </row>
    <row r="257" spans="1:16" s="47" customFormat="1" ht="15.75" customHeight="1" x14ac:dyDescent="0.35">
      <c r="A257" s="89">
        <f>A256+1</f>
        <v>3</v>
      </c>
      <c r="B257" s="89"/>
      <c r="C257" s="52" t="s">
        <v>165</v>
      </c>
      <c r="D257" s="52">
        <f>(45.96+0.75*2.9+1.95*2.75+1.53*2.59)*10.764</f>
        <v>618.50159279999991</v>
      </c>
      <c r="E257" s="52">
        <f t="shared" si="47"/>
        <v>59.201999999999998</v>
      </c>
      <c r="F257" s="52">
        <f t="shared" si="48"/>
        <v>1017.8794688399998</v>
      </c>
      <c r="G257" s="93"/>
      <c r="H257" s="94"/>
      <c r="I257" s="28"/>
      <c r="N257" s="28"/>
    </row>
    <row r="258" spans="1:16" s="47" customFormat="1" ht="15.75" customHeight="1" x14ac:dyDescent="0.35">
      <c r="A258" s="89">
        <f t="shared" ref="A258:A260" si="49">A257+1</f>
        <v>4</v>
      </c>
      <c r="B258" s="89"/>
      <c r="C258" s="52" t="s">
        <v>165</v>
      </c>
      <c r="D258" s="52">
        <f>(48.16+1.53*2.59+1.95*2.75+0.75*2.9)*10.764</f>
        <v>642.18239279999989</v>
      </c>
      <c r="E258" s="52">
        <f t="shared" si="47"/>
        <v>59.201999999999998</v>
      </c>
      <c r="F258" s="52">
        <f t="shared" si="48"/>
        <v>1054.5847088399998</v>
      </c>
      <c r="G258" s="93"/>
      <c r="H258" s="94"/>
      <c r="I258" s="28"/>
      <c r="N258" s="28"/>
    </row>
    <row r="259" spans="1:16" s="47" customFormat="1" ht="15.75" customHeight="1" x14ac:dyDescent="0.35">
      <c r="A259" s="89">
        <f>A258+1</f>
        <v>5</v>
      </c>
      <c r="B259" s="89"/>
      <c r="C259" s="52" t="s">
        <v>165</v>
      </c>
      <c r="D259" s="52">
        <f>(47.14+1.53*2.59+2.75*1.95+2.9*0.75)*10.764</f>
        <v>631.20311279999987</v>
      </c>
      <c r="E259" s="52">
        <f t="shared" si="47"/>
        <v>59.201999999999998</v>
      </c>
      <c r="F259" s="52">
        <f t="shared" si="48"/>
        <v>1037.5668248399998</v>
      </c>
      <c r="G259" s="93"/>
      <c r="H259" s="94"/>
      <c r="I259" s="28"/>
      <c r="N259" s="28"/>
    </row>
    <row r="260" spans="1:16" s="47" customFormat="1" ht="15.75" customHeight="1" x14ac:dyDescent="0.35">
      <c r="A260" s="89">
        <f t="shared" si="49"/>
        <v>6</v>
      </c>
      <c r="B260" s="89"/>
      <c r="C260" s="52" t="s">
        <v>165</v>
      </c>
      <c r="D260" s="52">
        <f>(42.64+1.53*2.75+1.53*2.59+2.9*0.75)*10.764</f>
        <v>570.3326927999999</v>
      </c>
      <c r="E260" s="52">
        <f t="shared" si="47"/>
        <v>59.201999999999998</v>
      </c>
      <c r="F260" s="52">
        <f t="shared" si="48"/>
        <v>943.21767383999986</v>
      </c>
      <c r="G260" s="95"/>
      <c r="H260" s="96"/>
      <c r="I260" s="28"/>
      <c r="N260" s="28"/>
    </row>
    <row r="261" spans="1:16" s="31" customFormat="1" x14ac:dyDescent="0.35">
      <c r="A261" s="90" t="s">
        <v>178</v>
      </c>
      <c r="B261" s="90"/>
      <c r="C261" s="90"/>
      <c r="D261" s="90"/>
      <c r="E261" s="90"/>
      <c r="F261" s="90"/>
      <c r="G261" s="90"/>
      <c r="H261" s="90"/>
      <c r="I261" s="28"/>
      <c r="M261" s="36"/>
      <c r="N261" s="36"/>
      <c r="P261" s="29"/>
    </row>
    <row r="262" spans="1:16" s="31" customFormat="1" x14ac:dyDescent="0.35">
      <c r="A262" s="89">
        <v>1</v>
      </c>
      <c r="B262" s="89"/>
      <c r="C262" s="73" t="s">
        <v>165</v>
      </c>
      <c r="D262" s="73">
        <f>(48.53+0.75*2.9+1.53*2.59+2.75*1.95)*10.764</f>
        <v>646.16507279999985</v>
      </c>
      <c r="E262" s="73">
        <f>(2*2.75)*10.764</f>
        <v>59.201999999999998</v>
      </c>
      <c r="F262" s="73">
        <f t="shared" ref="F262:F266" si="50">D262*(($F$171)+1)+E262</f>
        <v>1060.7578628399997</v>
      </c>
      <c r="G262" s="89" t="str">
        <f>A261</f>
        <v>5th &amp; 13th Floor (Part Refuge Area)</v>
      </c>
      <c r="H262" s="89"/>
      <c r="I262" s="28"/>
      <c r="M262" s="36"/>
      <c r="N262" s="36" t="str">
        <f t="shared" ref="N262:N267" ca="1" si="51">O262&amp;""&amp;" &amp; "&amp;""&amp;P262</f>
        <v>501 &amp; 1301</v>
      </c>
      <c r="O262" s="44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10^ROW(INDIRECT("1:"&amp;LEN((LEFT(A261,SUM(LEN(A261)-LEN(SUBSTITUTE(A261,{"0","1","2"},""))))))))/10))*100+1</f>
        <v>501</v>
      </c>
      <c r="P262" s="44">
        <f ca="1">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",LEN(A261))),LEN(A261)))))))/10))*100+1</f>
        <v>1301</v>
      </c>
    </row>
    <row r="263" spans="1:16" s="31" customFormat="1" x14ac:dyDescent="0.35">
      <c r="A263" s="89">
        <v>2</v>
      </c>
      <c r="B263" s="89"/>
      <c r="C263" s="73" t="s">
        <v>165</v>
      </c>
      <c r="D263" s="73">
        <f>(47.75+0.75*2.9+1.53*2.59+2.75*1.95)*10.764</f>
        <v>637.76915279999992</v>
      </c>
      <c r="E263" s="73">
        <f>(2*2.75)*10.764</f>
        <v>59.201999999999998</v>
      </c>
      <c r="F263" s="73">
        <f t="shared" si="50"/>
        <v>1047.7441868399999</v>
      </c>
      <c r="G263" s="89" t="str">
        <f t="shared" ref="G263:G267" si="52">G262</f>
        <v>5th &amp; 13th Floor (Part Refuge Area)</v>
      </c>
      <c r="H263" s="89"/>
      <c r="I263" s="28"/>
      <c r="M263" s="36"/>
      <c r="N263" s="44" t="str">
        <f t="shared" ca="1" si="51"/>
        <v>502 &amp; 1302</v>
      </c>
      <c r="O263" s="31">
        <f t="shared" ref="O263:P263" ca="1" si="53">O262+1</f>
        <v>502</v>
      </c>
      <c r="P263" s="31">
        <f t="shared" ca="1" si="53"/>
        <v>1302</v>
      </c>
    </row>
    <row r="264" spans="1:16" s="31" customFormat="1" x14ac:dyDescent="0.35">
      <c r="A264" s="89">
        <v>3</v>
      </c>
      <c r="B264" s="89"/>
      <c r="C264" s="73" t="s">
        <v>165</v>
      </c>
      <c r="D264" s="73">
        <f>(45.96+0.75*2.9+1.53*2.59+2.75*1.95)*10.764</f>
        <v>618.50159279999991</v>
      </c>
      <c r="E264" s="73">
        <f>(2*2.75)*10.764</f>
        <v>59.201999999999998</v>
      </c>
      <c r="F264" s="73">
        <f t="shared" si="50"/>
        <v>1017.8794688399998</v>
      </c>
      <c r="G264" s="89" t="str">
        <f t="shared" si="52"/>
        <v>5th &amp; 13th Floor (Part Refuge Area)</v>
      </c>
      <c r="H264" s="89"/>
      <c r="I264" s="28"/>
      <c r="M264" s="36"/>
      <c r="N264" s="44" t="str">
        <f t="shared" ca="1" si="51"/>
        <v>503 &amp; 1303</v>
      </c>
      <c r="O264" s="31">
        <f t="shared" ref="O264:P264" ca="1" si="54">O263+1</f>
        <v>503</v>
      </c>
      <c r="P264" s="31">
        <f t="shared" ca="1" si="54"/>
        <v>1303</v>
      </c>
    </row>
    <row r="265" spans="1:16" s="31" customFormat="1" ht="15.75" customHeight="1" x14ac:dyDescent="0.35">
      <c r="A265" s="89">
        <v>4</v>
      </c>
      <c r="B265" s="89"/>
      <c r="C265" s="73" t="s">
        <v>165</v>
      </c>
      <c r="D265" s="73">
        <f>(48.16+0.75*2.9+1.53*2.59+1.95*2.75)*10.764</f>
        <v>642.18239279999989</v>
      </c>
      <c r="E265" s="73">
        <f>(2*2.75)*10.764</f>
        <v>59.201999999999998</v>
      </c>
      <c r="F265" s="73">
        <f t="shared" si="50"/>
        <v>1054.5847088399998</v>
      </c>
      <c r="G265" s="89" t="str">
        <f t="shared" si="52"/>
        <v>5th &amp; 13th Floor (Part Refuge Area)</v>
      </c>
      <c r="H265" s="89"/>
      <c r="I265" s="28"/>
      <c r="M265" s="36"/>
      <c r="N265" s="44" t="str">
        <f t="shared" ca="1" si="51"/>
        <v>504 &amp; 1304</v>
      </c>
      <c r="O265" s="31">
        <f t="shared" ref="O265:P265" ca="1" si="55">O264+1</f>
        <v>504</v>
      </c>
      <c r="P265" s="31">
        <f t="shared" ca="1" si="55"/>
        <v>1304</v>
      </c>
    </row>
    <row r="266" spans="1:16" s="31" customFormat="1" ht="15.75" customHeight="1" x14ac:dyDescent="0.35">
      <c r="A266" s="89">
        <v>5</v>
      </c>
      <c r="B266" s="89"/>
      <c r="C266" s="73" t="s">
        <v>165</v>
      </c>
      <c r="D266" s="73">
        <f>(47.14+0.75*2.9+1.53*2.59+2.75*1.95)*10.764</f>
        <v>631.20311279999987</v>
      </c>
      <c r="E266" s="73">
        <f>(2*2.75)*10.764</f>
        <v>59.201999999999998</v>
      </c>
      <c r="F266" s="73">
        <f t="shared" si="50"/>
        <v>1037.5668248399998</v>
      </c>
      <c r="G266" s="89" t="str">
        <f t="shared" si="52"/>
        <v>5th &amp; 13th Floor (Part Refuge Area)</v>
      </c>
      <c r="H266" s="89"/>
      <c r="I266" s="28"/>
      <c r="M266" s="36"/>
      <c r="N266" s="44" t="str">
        <f t="shared" ca="1" si="51"/>
        <v>505 &amp; 1305</v>
      </c>
      <c r="O266" s="31">
        <f t="shared" ref="O266:P266" ca="1" si="56">O265+1</f>
        <v>505</v>
      </c>
      <c r="P266" s="31">
        <f t="shared" ca="1" si="56"/>
        <v>1305</v>
      </c>
    </row>
    <row r="267" spans="1:16" s="31" customFormat="1" ht="15.75" customHeight="1" x14ac:dyDescent="0.35">
      <c r="A267" s="89">
        <v>6</v>
      </c>
      <c r="B267" s="89"/>
      <c r="C267" s="89" t="s">
        <v>179</v>
      </c>
      <c r="D267" s="89"/>
      <c r="E267" s="89"/>
      <c r="F267" s="89"/>
      <c r="G267" s="89" t="str">
        <f t="shared" si="52"/>
        <v>5th &amp; 13th Floor (Part Refuge Area)</v>
      </c>
      <c r="H267" s="89"/>
      <c r="I267" s="28"/>
      <c r="M267" s="36"/>
      <c r="N267" s="44" t="str">
        <f t="shared" ca="1" si="51"/>
        <v>506 &amp; 1306</v>
      </c>
      <c r="O267" s="31">
        <f t="shared" ref="O267:P267" ca="1" si="57">O266+1</f>
        <v>506</v>
      </c>
      <c r="P267" s="31">
        <f t="shared" ca="1" si="57"/>
        <v>1306</v>
      </c>
    </row>
    <row r="268" spans="1:16" s="46" customFormat="1" x14ac:dyDescent="0.35">
      <c r="A268" s="90" t="s">
        <v>170</v>
      </c>
      <c r="B268" s="90"/>
      <c r="C268" s="90"/>
      <c r="D268" s="90"/>
      <c r="E268" s="90"/>
      <c r="F268" s="90"/>
      <c r="G268" s="90"/>
      <c r="H268" s="90"/>
      <c r="I268" s="28"/>
      <c r="P268" s="29"/>
    </row>
    <row r="269" spans="1:16" s="46" customFormat="1" x14ac:dyDescent="0.35">
      <c r="A269" s="89">
        <v>1</v>
      </c>
      <c r="B269" s="89"/>
      <c r="C269" s="73" t="s">
        <v>165</v>
      </c>
      <c r="D269" s="73">
        <f>(48.53+0.75*2.75+2.75*1.95+2.59*1.53)*10.764</f>
        <v>644.95412279999994</v>
      </c>
      <c r="E269" s="73">
        <f>(2*2.9)*10.764</f>
        <v>62.431199999999997</v>
      </c>
      <c r="F269" s="73">
        <f t="shared" ref="F269:F273" si="58">D269*(($F$171)+1)+E269</f>
        <v>1062.1100903399999</v>
      </c>
      <c r="G269" s="89" t="str">
        <f>A268</f>
        <v>8th &amp; 18th Floor (Part Refuge Area)</v>
      </c>
      <c r="H269" s="89"/>
      <c r="I269" s="28"/>
      <c r="N269" s="46" t="str">
        <f t="shared" ref="N269:N274" ca="1" si="59">O269&amp;""&amp;" &amp; "&amp;""&amp;P269</f>
        <v>801 &amp; 1801</v>
      </c>
      <c r="O269" s="46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10^ROW(INDIRECT("1:"&amp;LEN((LEFT(A268,SUM(LEN(A268)-LEN(SUBSTITUTE(A268,{"0","1","2"},""))))))))/10))*100+1</f>
        <v>801</v>
      </c>
      <c r="P269" s="46">
        <f ca="1">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",LEN(A268))),LEN(A268)))))))/10))*100+1</f>
        <v>1801</v>
      </c>
    </row>
    <row r="270" spans="1:16" s="46" customFormat="1" x14ac:dyDescent="0.35">
      <c r="A270" s="83">
        <v>2</v>
      </c>
      <c r="B270" s="84"/>
      <c r="C270" s="52" t="s">
        <v>165</v>
      </c>
      <c r="D270" s="52">
        <f>(47.75+0.75*2.75+2.75*1.95+2.59*1.53)*10.764</f>
        <v>636.55820279999989</v>
      </c>
      <c r="E270" s="52">
        <f>(2*2.9)*10.764</f>
        <v>62.431199999999997</v>
      </c>
      <c r="F270" s="52">
        <f t="shared" si="58"/>
        <v>1049.0964143399999</v>
      </c>
      <c r="G270" s="83" t="str">
        <f t="shared" ref="G270:G274" si="60">G269</f>
        <v>8th &amp; 18th Floor (Part Refuge Area)</v>
      </c>
      <c r="H270" s="84"/>
      <c r="I270" s="28"/>
      <c r="N270" s="46" t="str">
        <f t="shared" ca="1" si="59"/>
        <v>802 &amp; 1802</v>
      </c>
      <c r="O270" s="46">
        <f t="shared" ref="O270:P270" ca="1" si="61">O269+1</f>
        <v>802</v>
      </c>
      <c r="P270" s="46">
        <f t="shared" ca="1" si="61"/>
        <v>1802</v>
      </c>
    </row>
    <row r="271" spans="1:16" s="46" customFormat="1" x14ac:dyDescent="0.35">
      <c r="A271" s="83">
        <v>3</v>
      </c>
      <c r="B271" s="84"/>
      <c r="C271" s="52" t="s">
        <v>165</v>
      </c>
      <c r="D271" s="52">
        <f>(45.96+1.53*2.59+1.95*2.75+0.75*2.75)*10.764</f>
        <v>617.29064279999989</v>
      </c>
      <c r="E271" s="52">
        <f>(2*2.9)*10.764</f>
        <v>62.431199999999997</v>
      </c>
      <c r="F271" s="52">
        <f t="shared" si="58"/>
        <v>1019.2316963399999</v>
      </c>
      <c r="G271" s="83" t="str">
        <f t="shared" si="60"/>
        <v>8th &amp; 18th Floor (Part Refuge Area)</v>
      </c>
      <c r="H271" s="84"/>
      <c r="I271" s="28"/>
      <c r="N271" s="46" t="str">
        <f t="shared" ca="1" si="59"/>
        <v>803 &amp; 1803</v>
      </c>
      <c r="O271" s="46">
        <f t="shared" ref="O271:P271" ca="1" si="62">O270+1</f>
        <v>803</v>
      </c>
      <c r="P271" s="46">
        <f t="shared" ca="1" si="62"/>
        <v>1803</v>
      </c>
    </row>
    <row r="272" spans="1:16" s="46" customFormat="1" ht="15.75" customHeight="1" x14ac:dyDescent="0.35">
      <c r="A272" s="83">
        <v>4</v>
      </c>
      <c r="B272" s="84"/>
      <c r="C272" s="52" t="s">
        <v>165</v>
      </c>
      <c r="D272" s="52">
        <f>(48.16+1.53*2.59+1.95*2.75+0.75*2.75)*10.764</f>
        <v>640.97144279999986</v>
      </c>
      <c r="E272" s="52">
        <f>(2*2.9)*10.764</f>
        <v>62.431199999999997</v>
      </c>
      <c r="F272" s="52">
        <f t="shared" si="58"/>
        <v>1055.9369363399999</v>
      </c>
      <c r="G272" s="83" t="str">
        <f t="shared" si="60"/>
        <v>8th &amp; 18th Floor (Part Refuge Area)</v>
      </c>
      <c r="H272" s="84"/>
      <c r="I272" s="28"/>
      <c r="N272" s="46" t="str">
        <f t="shared" ca="1" si="59"/>
        <v>804 &amp; 1804</v>
      </c>
      <c r="O272" s="46">
        <f t="shared" ref="O272:P272" ca="1" si="63">O271+1</f>
        <v>804</v>
      </c>
      <c r="P272" s="46">
        <f t="shared" ca="1" si="63"/>
        <v>1804</v>
      </c>
    </row>
    <row r="273" spans="1:16" s="46" customFormat="1" ht="15.75" customHeight="1" x14ac:dyDescent="0.35">
      <c r="A273" s="83">
        <v>5</v>
      </c>
      <c r="B273" s="84"/>
      <c r="C273" s="52" t="s">
        <v>165</v>
      </c>
      <c r="D273" s="52">
        <f>(47.14+0.75*2.75+2.75*1.95+2.59*1.53)*10.764</f>
        <v>629.99216279999996</v>
      </c>
      <c r="E273" s="52">
        <f>(2*2.9)*10.764</f>
        <v>62.431199999999997</v>
      </c>
      <c r="F273" s="52">
        <f t="shared" si="58"/>
        <v>1038.91905234</v>
      </c>
      <c r="G273" s="83" t="str">
        <f t="shared" si="60"/>
        <v>8th &amp; 18th Floor (Part Refuge Area)</v>
      </c>
      <c r="H273" s="84"/>
      <c r="I273" s="28"/>
      <c r="N273" s="46" t="str">
        <f t="shared" ca="1" si="59"/>
        <v>805 &amp; 1805</v>
      </c>
      <c r="O273" s="46">
        <f t="shared" ref="O273:P273" ca="1" si="64">O272+1</f>
        <v>805</v>
      </c>
      <c r="P273" s="46">
        <f t="shared" ca="1" si="64"/>
        <v>1805</v>
      </c>
    </row>
    <row r="274" spans="1:16" s="46" customFormat="1" ht="15.75" customHeight="1" x14ac:dyDescent="0.35">
      <c r="A274" s="83">
        <v>6</v>
      </c>
      <c r="B274" s="84"/>
      <c r="C274" s="83" t="s">
        <v>179</v>
      </c>
      <c r="D274" s="179"/>
      <c r="E274" s="179"/>
      <c r="F274" s="84"/>
      <c r="G274" s="83" t="str">
        <f t="shared" si="60"/>
        <v>8th &amp; 18th Floor (Part Refuge Area)</v>
      </c>
      <c r="H274" s="84"/>
      <c r="I274" s="28"/>
      <c r="N274" s="46" t="str">
        <f t="shared" ca="1" si="59"/>
        <v>806 &amp; 1806</v>
      </c>
      <c r="O274" s="46">
        <f t="shared" ref="O274:P274" ca="1" si="65">O273+1</f>
        <v>806</v>
      </c>
      <c r="P274" s="46">
        <f t="shared" ca="1" si="65"/>
        <v>1806</v>
      </c>
    </row>
    <row r="275" spans="1:16" x14ac:dyDescent="0.35">
      <c r="A275" s="88" t="s">
        <v>233</v>
      </c>
      <c r="B275" s="88"/>
      <c r="C275" s="88"/>
      <c r="D275" s="88"/>
      <c r="E275" s="88"/>
      <c r="F275" s="88"/>
      <c r="G275" s="88"/>
      <c r="H275" s="88"/>
    </row>
    <row r="276" spans="1:16" x14ac:dyDescent="0.35">
      <c r="A276" s="88" t="s">
        <v>162</v>
      </c>
      <c r="B276" s="88"/>
      <c r="C276" s="88"/>
      <c r="D276" s="88"/>
      <c r="E276" s="88"/>
      <c r="F276" s="88"/>
      <c r="G276" s="88"/>
      <c r="H276" s="88"/>
    </row>
    <row r="277" spans="1:16" s="46" customFormat="1" x14ac:dyDescent="0.35">
      <c r="A277" s="90" t="s">
        <v>163</v>
      </c>
      <c r="B277" s="90"/>
      <c r="C277" s="90"/>
      <c r="D277" s="90"/>
      <c r="E277" s="90"/>
      <c r="F277" s="90"/>
      <c r="G277" s="90"/>
      <c r="H277" s="90"/>
      <c r="I277" s="28"/>
      <c r="L277" s="100"/>
      <c r="M277" s="100"/>
    </row>
    <row r="278" spans="1:16" s="46" customFormat="1" x14ac:dyDescent="0.35">
      <c r="A278" s="89">
        <v>1</v>
      </c>
      <c r="B278" s="89"/>
      <c r="C278" s="52" t="s">
        <v>165</v>
      </c>
      <c r="D278" s="52">
        <f>(45.89+0.75*2.75+1.65*2.75+1.61*2.6)*10.764</f>
        <v>610.06046400000002</v>
      </c>
      <c r="E278" s="52">
        <f t="shared" ref="E278:E283" si="66">(2*2.9)*10.764</f>
        <v>62.431199999999997</v>
      </c>
      <c r="F278" s="52">
        <f>D278*(($F$171)+1)+E278</f>
        <v>1008.0249192</v>
      </c>
      <c r="G278" s="89" t="str">
        <f>A277</f>
        <v>1st Floor for Residentail</v>
      </c>
      <c r="H278" s="89"/>
      <c r="I278" s="28">
        <f>(3.05*4.73+2.59*2.15+2.75*2.85+2.13*1.22+1.4*0.45+1.51*1.22)*10.764</f>
        <v>354.17112120000002</v>
      </c>
      <c r="N278" s="28"/>
    </row>
    <row r="279" spans="1:16" s="46" customFormat="1" x14ac:dyDescent="0.35">
      <c r="A279" s="89">
        <f>A278+1</f>
        <v>2</v>
      </c>
      <c r="B279" s="89"/>
      <c r="C279" s="52" t="s">
        <v>164</v>
      </c>
      <c r="D279" s="52">
        <f>(38.26+1.61*2.6+1.65*2.75)*10.764</f>
        <v>505.73039399999999</v>
      </c>
      <c r="E279" s="52">
        <f t="shared" si="66"/>
        <v>62.431199999999997</v>
      </c>
      <c r="F279" s="52">
        <f t="shared" ref="F279:F283" si="67">D279*(($F$171)+1)+E279</f>
        <v>846.31331069999999</v>
      </c>
      <c r="G279" s="89" t="str">
        <f t="shared" ref="G279:G283" si="68">G278</f>
        <v>1st Floor for Residentail</v>
      </c>
      <c r="H279" s="89"/>
      <c r="I279" s="28">
        <f>(2.9*4.73+1.37*2.14+2.59*2.15+2.75*2.85+2.75*3.35+2.13*1.22+1.22*2.29+2*0.45+1.22*0.45+2.4*0.45)*10.764</f>
        <v>507.93916679999984</v>
      </c>
      <c r="J279" s="46">
        <f>3400000/F279</f>
        <v>4017.4247019555946</v>
      </c>
      <c r="N279" s="28"/>
    </row>
    <row r="280" spans="1:16" s="46" customFormat="1" x14ac:dyDescent="0.35">
      <c r="A280" s="89">
        <f>A279+1</f>
        <v>3</v>
      </c>
      <c r="B280" s="89"/>
      <c r="C280" s="52" t="s">
        <v>165</v>
      </c>
      <c r="D280" s="52">
        <f>(48.03+1.61*2.6+2.75*1.65+0.75*2.75)*10.764</f>
        <v>633.09542399999998</v>
      </c>
      <c r="E280" s="52">
        <f t="shared" si="66"/>
        <v>62.431199999999997</v>
      </c>
      <c r="F280" s="52">
        <f t="shared" si="67"/>
        <v>1043.7291072</v>
      </c>
      <c r="G280" s="89" t="str">
        <f t="shared" si="68"/>
        <v>1st Floor for Residentail</v>
      </c>
      <c r="H280" s="89"/>
      <c r="I280" s="28"/>
      <c r="N280" s="28"/>
    </row>
    <row r="281" spans="1:16" s="46" customFormat="1" x14ac:dyDescent="0.35">
      <c r="A281" s="89">
        <f t="shared" ref="A281:A283" si="69">A280+1</f>
        <v>4</v>
      </c>
      <c r="B281" s="89"/>
      <c r="C281" s="52" t="s">
        <v>165</v>
      </c>
      <c r="D281" s="52">
        <f>(48.03+1.61*2.6+1.65*2.75+2.75*0.75)*10.764</f>
        <v>633.09542399999998</v>
      </c>
      <c r="E281" s="52">
        <f t="shared" si="66"/>
        <v>62.431199999999997</v>
      </c>
      <c r="F281" s="52">
        <f t="shared" si="67"/>
        <v>1043.7291072</v>
      </c>
      <c r="G281" s="89" t="str">
        <f t="shared" si="68"/>
        <v>1st Floor for Residentail</v>
      </c>
      <c r="H281" s="89"/>
      <c r="I281" s="28"/>
      <c r="N281" s="28"/>
    </row>
    <row r="282" spans="1:16" s="46" customFormat="1" x14ac:dyDescent="0.35">
      <c r="A282" s="89">
        <f>A281+1</f>
        <v>5</v>
      </c>
      <c r="B282" s="89"/>
      <c r="C282" s="52" t="s">
        <v>165</v>
      </c>
      <c r="D282" s="52">
        <f>(48.48+1.61*2.6+1.65*2.75+0.75*2.75)*10.764</f>
        <v>637.93922399999997</v>
      </c>
      <c r="E282" s="52">
        <f t="shared" si="66"/>
        <v>62.431199999999997</v>
      </c>
      <c r="F282" s="52">
        <f t="shared" si="67"/>
        <v>1051.2369972000001</v>
      </c>
      <c r="G282" s="89" t="str">
        <f t="shared" si="68"/>
        <v>1st Floor for Residentail</v>
      </c>
      <c r="H282" s="89"/>
      <c r="I282" s="28"/>
      <c r="N282" s="28"/>
    </row>
    <row r="283" spans="1:16" s="46" customFormat="1" x14ac:dyDescent="0.35">
      <c r="A283" s="89">
        <f t="shared" si="69"/>
        <v>6</v>
      </c>
      <c r="B283" s="89"/>
      <c r="C283" s="52" t="s">
        <v>165</v>
      </c>
      <c r="D283" s="52">
        <f>(45.48+1.61*2.6+2.75*1.65+2.75*0.75)*10.764</f>
        <v>605.64722399999994</v>
      </c>
      <c r="E283" s="52">
        <f t="shared" si="66"/>
        <v>62.431199999999997</v>
      </c>
      <c r="F283" s="52">
        <f t="shared" si="67"/>
        <v>1001.1843971999999</v>
      </c>
      <c r="G283" s="89" t="str">
        <f t="shared" si="68"/>
        <v>1st Floor for Residentail</v>
      </c>
      <c r="H283" s="89"/>
      <c r="I283" s="28"/>
      <c r="N283" s="28"/>
    </row>
    <row r="284" spans="1:16" s="46" customFormat="1" x14ac:dyDescent="0.35">
      <c r="A284" s="90" t="s">
        <v>207</v>
      </c>
      <c r="B284" s="90"/>
      <c r="C284" s="90"/>
      <c r="D284" s="90"/>
      <c r="E284" s="90"/>
      <c r="F284" s="90"/>
      <c r="G284" s="90"/>
      <c r="H284" s="90"/>
      <c r="I284" s="28"/>
      <c r="L284" s="100"/>
      <c r="M284" s="100"/>
    </row>
    <row r="285" spans="1:16" s="46" customFormat="1" ht="15.75" customHeight="1" x14ac:dyDescent="0.35">
      <c r="A285" s="89">
        <v>1</v>
      </c>
      <c r="B285" s="89"/>
      <c r="C285" s="52" t="s">
        <v>165</v>
      </c>
      <c r="D285" s="52">
        <f>(45.89+0.75*2.9+1.61*2.6+1.65*2.75)*10.764</f>
        <v>611.27141399999994</v>
      </c>
      <c r="E285" s="52">
        <f>(2*2.75)*10.764</f>
        <v>59.201999999999998</v>
      </c>
      <c r="F285" s="52">
        <f>D285*(($F$171)+1)+E285</f>
        <v>1006.6726917</v>
      </c>
      <c r="G285" s="91" t="str">
        <f>A284</f>
        <v>2nd, 4th, 6th, 10th, 12th, 14th &amp;16th Floor</v>
      </c>
      <c r="H285" s="92"/>
      <c r="I285" s="28">
        <f>(3.05*4.73+2.59*2.15+2.75*2.85+2.13*1.22+1.4*0.45+1.51*1.22)*10.764</f>
        <v>354.17112120000002</v>
      </c>
      <c r="N285" s="28"/>
    </row>
    <row r="286" spans="1:16" s="46" customFormat="1" ht="15.75" customHeight="1" x14ac:dyDescent="0.35">
      <c r="A286" s="89">
        <f>A285+1</f>
        <v>2</v>
      </c>
      <c r="B286" s="89"/>
      <c r="C286" s="52" t="s">
        <v>165</v>
      </c>
      <c r="D286" s="52">
        <f>(48.79+0.75*2.9+1.61*2.6+1.65*2.75)*10.764</f>
        <v>642.48701399999993</v>
      </c>
      <c r="E286" s="52">
        <f>(2*2.75)*10.764</f>
        <v>59.201999999999998</v>
      </c>
      <c r="F286" s="52">
        <f t="shared" ref="F286:F290" si="70">D286*(($F$171)+1)+E286</f>
        <v>1055.0568716999999</v>
      </c>
      <c r="G286" s="93"/>
      <c r="H286" s="94"/>
      <c r="I286" s="28">
        <f>(2.9*4.73+1.37*2.14+2.59*2.15+2.75*2.85+2.75*3.35+2.13*1.22+1.22*2.29+2*0.45+1.22*0.45+2.4*0.45)*10.764</f>
        <v>507.93916679999984</v>
      </c>
      <c r="N286" s="28"/>
    </row>
    <row r="287" spans="1:16" s="46" customFormat="1" ht="15.75" customHeight="1" x14ac:dyDescent="0.35">
      <c r="A287" s="89">
        <f>A286+1</f>
        <v>3</v>
      </c>
      <c r="B287" s="89"/>
      <c r="C287" s="52" t="s">
        <v>165</v>
      </c>
      <c r="D287" s="52">
        <f>(48.03+0.75*2.9+1.61*2.6+2.75*1.65)*10.764</f>
        <v>634.30637400000001</v>
      </c>
      <c r="E287" s="52">
        <f>(2*2.75)*10.764</f>
        <v>59.201999999999998</v>
      </c>
      <c r="F287" s="52">
        <f t="shared" si="70"/>
        <v>1042.3768797</v>
      </c>
      <c r="G287" s="93"/>
      <c r="H287" s="94"/>
      <c r="I287" s="28"/>
      <c r="N287" s="28"/>
    </row>
    <row r="288" spans="1:16" s="46" customFormat="1" ht="15.75" customHeight="1" x14ac:dyDescent="0.35">
      <c r="A288" s="89">
        <f t="shared" ref="A288:A290" si="71">A287+1</f>
        <v>4</v>
      </c>
      <c r="B288" s="89"/>
      <c r="C288" s="52" t="s">
        <v>165</v>
      </c>
      <c r="D288" s="52">
        <f>(48.03+0.75*2.9+1.61*2.6+1.65*2.75)*10.764</f>
        <v>634.30637400000001</v>
      </c>
      <c r="E288" s="52">
        <f>(2*2.75)*10.764</f>
        <v>59.201999999999998</v>
      </c>
      <c r="F288" s="52">
        <f t="shared" si="70"/>
        <v>1042.3768797</v>
      </c>
      <c r="G288" s="93"/>
      <c r="H288" s="94"/>
      <c r="I288" s="28"/>
      <c r="N288" s="28"/>
    </row>
    <row r="289" spans="1:16" s="46" customFormat="1" ht="15.75" customHeight="1" x14ac:dyDescent="0.35">
      <c r="A289" s="89">
        <f>A288+1</f>
        <v>5</v>
      </c>
      <c r="B289" s="89"/>
      <c r="C289" s="52" t="s">
        <v>165</v>
      </c>
      <c r="D289" s="52">
        <f>(48.48+0.75*2.9+2.6*1.61+1.65*2.75)*10.764</f>
        <v>639.15017399999988</v>
      </c>
      <c r="E289" s="52">
        <f>(2.75*2)*10.764</f>
        <v>59.201999999999998</v>
      </c>
      <c r="F289" s="52">
        <f t="shared" si="70"/>
        <v>1049.8847696999999</v>
      </c>
      <c r="G289" s="93"/>
      <c r="H289" s="94"/>
      <c r="I289" s="28"/>
      <c r="N289" s="28"/>
    </row>
    <row r="290" spans="1:16" s="46" customFormat="1" ht="15.75" customHeight="1" x14ac:dyDescent="0.35">
      <c r="A290" s="89">
        <f t="shared" si="71"/>
        <v>6</v>
      </c>
      <c r="B290" s="89"/>
      <c r="C290" s="52" t="s">
        <v>165</v>
      </c>
      <c r="D290" s="52">
        <f>(45.48+0.75*2.9+1.61*2.6+2.75*1.65)*10.764</f>
        <v>606.85817399999996</v>
      </c>
      <c r="E290" s="52">
        <f>(2*2.75)*10.764</f>
        <v>59.201999999999998</v>
      </c>
      <c r="F290" s="52">
        <f t="shared" si="70"/>
        <v>999.83216970000001</v>
      </c>
      <c r="G290" s="95"/>
      <c r="H290" s="96"/>
      <c r="I290" s="28"/>
      <c r="N290" s="28"/>
    </row>
    <row r="291" spans="1:16" s="46" customFormat="1" x14ac:dyDescent="0.35">
      <c r="A291" s="90" t="s">
        <v>181</v>
      </c>
      <c r="B291" s="90"/>
      <c r="C291" s="90"/>
      <c r="D291" s="90"/>
      <c r="E291" s="90"/>
      <c r="F291" s="90"/>
      <c r="G291" s="90"/>
      <c r="H291" s="90"/>
      <c r="I291" s="28"/>
      <c r="L291" s="100"/>
      <c r="M291" s="100"/>
    </row>
    <row r="292" spans="1:16" s="46" customFormat="1" ht="15.75" customHeight="1" x14ac:dyDescent="0.35">
      <c r="A292" s="89">
        <v>1</v>
      </c>
      <c r="B292" s="89"/>
      <c r="C292" s="52" t="s">
        <v>165</v>
      </c>
      <c r="D292" s="52">
        <f>(45.89+0.75*2.75+1.65*2.75+1.61*2.6)*10.764</f>
        <v>610.06046400000002</v>
      </c>
      <c r="E292" s="52">
        <f t="shared" ref="E292:E297" si="72">(2*2.9)*10.764</f>
        <v>62.431199999999997</v>
      </c>
      <c r="F292" s="52">
        <f>D292*(($F$171)+1)+E292</f>
        <v>1008.0249192</v>
      </c>
      <c r="G292" s="91" t="str">
        <f>A291</f>
        <v>3rd, 7th, 9th, 11th, 15th, 17th &amp; 19th Floor</v>
      </c>
      <c r="H292" s="92"/>
      <c r="I292" s="28">
        <f>(3.05*4.73+2.59*2.15+2.75*2.85+2.13*1.22+1.4*0.45+1.51*1.22)*10.764</f>
        <v>354.17112120000002</v>
      </c>
      <c r="N292" s="28"/>
    </row>
    <row r="293" spans="1:16" s="46" customFormat="1" ht="15.75" customHeight="1" x14ac:dyDescent="0.35">
      <c r="A293" s="89">
        <f>A292+1</f>
        <v>2</v>
      </c>
      <c r="B293" s="89"/>
      <c r="C293" s="52" t="s">
        <v>165</v>
      </c>
      <c r="D293" s="52">
        <f>(48.79+1.61*2.6+2.75*1.65+0.75*2.75)*10.764</f>
        <v>641.27606400000002</v>
      </c>
      <c r="E293" s="52">
        <f t="shared" si="72"/>
        <v>62.431199999999997</v>
      </c>
      <c r="F293" s="52">
        <f t="shared" ref="F293:F297" si="73">D293*(($F$171)+1)+E293</f>
        <v>1056.4090992000001</v>
      </c>
      <c r="G293" s="93"/>
      <c r="H293" s="94"/>
      <c r="I293" s="28">
        <f>(2.9*4.73+1.37*2.14+2.59*2.15+2.75*2.85+2.75*3.35+2.13*1.22+1.22*2.29+2*0.45+1.22*0.45+2.4*0.45)*10.764</f>
        <v>507.93916679999984</v>
      </c>
      <c r="N293" s="28"/>
    </row>
    <row r="294" spans="1:16" s="46" customFormat="1" ht="15.75" customHeight="1" x14ac:dyDescent="0.35">
      <c r="A294" s="89">
        <f>A293+1</f>
        <v>3</v>
      </c>
      <c r="B294" s="89"/>
      <c r="C294" s="52" t="s">
        <v>165</v>
      </c>
      <c r="D294" s="52">
        <f>(48.03+1.61*2.6+2.75*1.65+0.75*2.75)*10.764</f>
        <v>633.09542399999998</v>
      </c>
      <c r="E294" s="52">
        <f t="shared" si="72"/>
        <v>62.431199999999997</v>
      </c>
      <c r="F294" s="52">
        <f t="shared" si="73"/>
        <v>1043.7291072</v>
      </c>
      <c r="G294" s="93"/>
      <c r="H294" s="94"/>
      <c r="I294" s="28"/>
      <c r="N294" s="28"/>
    </row>
    <row r="295" spans="1:16" s="46" customFormat="1" ht="15.75" customHeight="1" x14ac:dyDescent="0.35">
      <c r="A295" s="89">
        <f t="shared" ref="A295:A297" si="74">A294+1</f>
        <v>4</v>
      </c>
      <c r="B295" s="89"/>
      <c r="C295" s="52" t="s">
        <v>165</v>
      </c>
      <c r="D295" s="52">
        <f>(48.03+1.61*2.6+2.75*1.65+0.75*2.75)*10.764</f>
        <v>633.09542399999998</v>
      </c>
      <c r="E295" s="52">
        <f t="shared" si="72"/>
        <v>62.431199999999997</v>
      </c>
      <c r="F295" s="52">
        <f t="shared" si="73"/>
        <v>1043.7291072</v>
      </c>
      <c r="G295" s="93"/>
      <c r="H295" s="94"/>
      <c r="I295" s="28"/>
      <c r="N295" s="28"/>
    </row>
    <row r="296" spans="1:16" s="46" customFormat="1" ht="15.75" customHeight="1" x14ac:dyDescent="0.35">
      <c r="A296" s="89">
        <f>A295+1</f>
        <v>5</v>
      </c>
      <c r="B296" s="89"/>
      <c r="C296" s="52" t="s">
        <v>165</v>
      </c>
      <c r="D296" s="52">
        <f>(48.48+0.75*2.75+1.65*2.75+1.61*2.6)*10.764</f>
        <v>637.93922399999997</v>
      </c>
      <c r="E296" s="52">
        <f t="shared" si="72"/>
        <v>62.431199999999997</v>
      </c>
      <c r="F296" s="52">
        <f t="shared" si="73"/>
        <v>1051.2369972000001</v>
      </c>
      <c r="G296" s="93"/>
      <c r="H296" s="94"/>
      <c r="I296" s="28"/>
      <c r="N296" s="28"/>
    </row>
    <row r="297" spans="1:16" s="46" customFormat="1" ht="15.75" customHeight="1" x14ac:dyDescent="0.35">
      <c r="A297" s="89">
        <f t="shared" si="74"/>
        <v>6</v>
      </c>
      <c r="B297" s="89"/>
      <c r="C297" s="52" t="s">
        <v>165</v>
      </c>
      <c r="D297" s="52">
        <f>(45.48+0.75*2.75+1.65*2.75+2.6*1.61)*10.764</f>
        <v>605.64722399999994</v>
      </c>
      <c r="E297" s="52">
        <f t="shared" si="72"/>
        <v>62.431199999999997</v>
      </c>
      <c r="F297" s="52">
        <f t="shared" si="73"/>
        <v>1001.1843971999999</v>
      </c>
      <c r="G297" s="95"/>
      <c r="H297" s="96"/>
      <c r="I297" s="28"/>
      <c r="N297" s="28"/>
    </row>
    <row r="298" spans="1:16" s="46" customFormat="1" x14ac:dyDescent="0.35">
      <c r="A298" s="97" t="s">
        <v>178</v>
      </c>
      <c r="B298" s="98"/>
      <c r="C298" s="98"/>
      <c r="D298" s="98"/>
      <c r="E298" s="98"/>
      <c r="F298" s="98"/>
      <c r="G298" s="98"/>
      <c r="H298" s="99"/>
      <c r="I298" s="28"/>
      <c r="P298" s="29"/>
    </row>
    <row r="299" spans="1:16" s="46" customFormat="1" x14ac:dyDescent="0.35">
      <c r="A299" s="83">
        <v>1</v>
      </c>
      <c r="B299" s="84"/>
      <c r="C299" s="52" t="s">
        <v>164</v>
      </c>
      <c r="D299" s="52">
        <f>(35.42+1.65*2.75+1.61*2.6)*10.764</f>
        <v>475.16063400000002</v>
      </c>
      <c r="E299" s="52">
        <f t="shared" ref="E299:E304" si="75">(2*2.9)*10.764</f>
        <v>62.431199999999997</v>
      </c>
      <c r="F299" s="52">
        <f t="shared" ref="F299:F304" si="76">D299*(($F$171)+1)+E299</f>
        <v>798.93018270000005</v>
      </c>
      <c r="G299" s="83" t="str">
        <f>A298</f>
        <v>5th &amp; 13th Floor (Part Refuge Area)</v>
      </c>
      <c r="H299" s="84"/>
      <c r="I299" s="28"/>
      <c r="N299" s="46" t="str">
        <f t="shared" ref="N299:N304" ca="1" si="77">O299&amp;""&amp;" &amp; "&amp;""&amp;P299</f>
        <v>501 &amp; 1301</v>
      </c>
      <c r="O299" s="46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10^ROW(INDIRECT("1:"&amp;LEN((LEFT(A298,SUM(LEN(A298)-LEN(SUBSTITUTE(A298,{"0","1","2"},""))))))))/10))*100+1</f>
        <v>501</v>
      </c>
      <c r="P299" s="46">
        <f ca="1">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",LEN(A298))),LEN(A298)))))))/10))*100+1</f>
        <v>1301</v>
      </c>
    </row>
    <row r="300" spans="1:16" s="46" customFormat="1" x14ac:dyDescent="0.35">
      <c r="A300" s="83">
        <v>2</v>
      </c>
      <c r="B300" s="84"/>
      <c r="C300" s="52" t="s">
        <v>165</v>
      </c>
      <c r="D300" s="52">
        <f>(48.79+1.61*2.6+1.65*2.75+0.75*2.75)*10.764</f>
        <v>641.27606400000002</v>
      </c>
      <c r="E300" s="52">
        <f t="shared" si="75"/>
        <v>62.431199999999997</v>
      </c>
      <c r="F300" s="52">
        <f t="shared" si="76"/>
        <v>1056.4090992000001</v>
      </c>
      <c r="G300" s="83" t="str">
        <f t="shared" ref="G300:G304" si="78">G299</f>
        <v>5th &amp; 13th Floor (Part Refuge Area)</v>
      </c>
      <c r="H300" s="84"/>
      <c r="I300" s="28"/>
      <c r="N300" s="46" t="str">
        <f t="shared" ca="1" si="77"/>
        <v>502 &amp; 1302</v>
      </c>
      <c r="O300" s="46">
        <f t="shared" ref="O300:P300" ca="1" si="79">O299+1</f>
        <v>502</v>
      </c>
      <c r="P300" s="46">
        <f t="shared" ca="1" si="79"/>
        <v>1302</v>
      </c>
    </row>
    <row r="301" spans="1:16" s="46" customFormat="1" x14ac:dyDescent="0.35">
      <c r="A301" s="83">
        <v>3</v>
      </c>
      <c r="B301" s="84"/>
      <c r="C301" s="52" t="s">
        <v>165</v>
      </c>
      <c r="D301" s="52">
        <f>(48.03+1.61*2.6+2.75*1.65+0.75*2.75)*10.764</f>
        <v>633.09542399999998</v>
      </c>
      <c r="E301" s="52">
        <f t="shared" si="75"/>
        <v>62.431199999999997</v>
      </c>
      <c r="F301" s="52">
        <f t="shared" si="76"/>
        <v>1043.7291072</v>
      </c>
      <c r="G301" s="83" t="str">
        <f t="shared" si="78"/>
        <v>5th &amp; 13th Floor (Part Refuge Area)</v>
      </c>
      <c r="H301" s="84"/>
      <c r="I301" s="28"/>
      <c r="N301" s="46" t="str">
        <f t="shared" ca="1" si="77"/>
        <v>503 &amp; 1303</v>
      </c>
      <c r="O301" s="46">
        <f t="shared" ref="O301:P301" ca="1" si="80">O300+1</f>
        <v>503</v>
      </c>
      <c r="P301" s="46">
        <f t="shared" ca="1" si="80"/>
        <v>1303</v>
      </c>
    </row>
    <row r="302" spans="1:16" s="46" customFormat="1" ht="15.75" customHeight="1" x14ac:dyDescent="0.35">
      <c r="A302" s="83">
        <v>4</v>
      </c>
      <c r="B302" s="84"/>
      <c r="C302" s="52" t="s">
        <v>165</v>
      </c>
      <c r="D302" s="52">
        <f>(48.03+1.61*2.6+1.65*2.75+0.75*2.75)*10.764</f>
        <v>633.09542399999998</v>
      </c>
      <c r="E302" s="52">
        <f t="shared" si="75"/>
        <v>62.431199999999997</v>
      </c>
      <c r="F302" s="52">
        <f t="shared" si="76"/>
        <v>1043.7291072</v>
      </c>
      <c r="G302" s="83" t="str">
        <f t="shared" si="78"/>
        <v>5th &amp; 13th Floor (Part Refuge Area)</v>
      </c>
      <c r="H302" s="84"/>
      <c r="I302" s="28"/>
      <c r="N302" s="46" t="str">
        <f t="shared" ca="1" si="77"/>
        <v>504 &amp; 1304</v>
      </c>
      <c r="O302" s="46">
        <f t="shared" ref="O302:P302" ca="1" si="81">O301+1</f>
        <v>504</v>
      </c>
      <c r="P302" s="46">
        <f t="shared" ca="1" si="81"/>
        <v>1304</v>
      </c>
    </row>
    <row r="303" spans="1:16" s="46" customFormat="1" ht="15.75" customHeight="1" x14ac:dyDescent="0.35">
      <c r="A303" s="83">
        <v>5</v>
      </c>
      <c r="B303" s="84"/>
      <c r="C303" s="52" t="s">
        <v>165</v>
      </c>
      <c r="D303" s="52">
        <f>(48.48+1.61*2.6+2.75*1.65+0.75*2.75)*10.764</f>
        <v>637.93922399999997</v>
      </c>
      <c r="E303" s="52">
        <f t="shared" si="75"/>
        <v>62.431199999999997</v>
      </c>
      <c r="F303" s="52">
        <f t="shared" si="76"/>
        <v>1051.2369972000001</v>
      </c>
      <c r="G303" s="83" t="str">
        <f t="shared" si="78"/>
        <v>5th &amp; 13th Floor (Part Refuge Area)</v>
      </c>
      <c r="H303" s="84"/>
      <c r="I303" s="28"/>
      <c r="N303" s="46" t="str">
        <f t="shared" ca="1" si="77"/>
        <v>505 &amp; 1305</v>
      </c>
      <c r="O303" s="46">
        <f t="shared" ref="O303:P303" ca="1" si="82">O302+1</f>
        <v>505</v>
      </c>
      <c r="P303" s="46">
        <f t="shared" ca="1" si="82"/>
        <v>1305</v>
      </c>
    </row>
    <row r="304" spans="1:16" s="46" customFormat="1" ht="15.75" customHeight="1" x14ac:dyDescent="0.35">
      <c r="A304" s="83">
        <v>6</v>
      </c>
      <c r="B304" s="84"/>
      <c r="C304" s="52" t="s">
        <v>164</v>
      </c>
      <c r="D304" s="52">
        <f>(35.08+1.61*2.6+2.75*1.65)*10.764</f>
        <v>471.50087399999995</v>
      </c>
      <c r="E304" s="52">
        <f t="shared" si="75"/>
        <v>62.431199999999997</v>
      </c>
      <c r="F304" s="52">
        <f t="shared" si="76"/>
        <v>793.2575546999999</v>
      </c>
      <c r="G304" s="83" t="str">
        <f t="shared" si="78"/>
        <v>5th &amp; 13th Floor (Part Refuge Area)</v>
      </c>
      <c r="H304" s="84"/>
      <c r="I304" s="28"/>
      <c r="N304" s="46" t="str">
        <f t="shared" ca="1" si="77"/>
        <v>506 &amp; 1306</v>
      </c>
      <c r="O304" s="46">
        <f t="shared" ref="O304:P304" ca="1" si="83">O303+1</f>
        <v>506</v>
      </c>
      <c r="P304" s="46">
        <f t="shared" ca="1" si="83"/>
        <v>1306</v>
      </c>
    </row>
    <row r="305" spans="1:16" s="46" customFormat="1" x14ac:dyDescent="0.35">
      <c r="A305" s="90" t="s">
        <v>170</v>
      </c>
      <c r="B305" s="90"/>
      <c r="C305" s="90"/>
      <c r="D305" s="90"/>
      <c r="E305" s="90"/>
      <c r="F305" s="90"/>
      <c r="G305" s="90"/>
      <c r="H305" s="90"/>
      <c r="I305" s="28"/>
      <c r="P305" s="29"/>
    </row>
    <row r="306" spans="1:16" s="46" customFormat="1" x14ac:dyDescent="0.35">
      <c r="A306" s="89">
        <v>1</v>
      </c>
      <c r="B306" s="89"/>
      <c r="C306" s="73" t="s">
        <v>164</v>
      </c>
      <c r="D306" s="73">
        <f>(35.42+0.75*2.9+1.61*2.59+1.65*2.75)*10.764</f>
        <v>498.39903359999994</v>
      </c>
      <c r="E306" s="73">
        <v>0</v>
      </c>
      <c r="F306" s="73">
        <f t="shared" ref="F306:F311" si="84">D306*(($F$171)+1)+E306</f>
        <v>772.51850207999996</v>
      </c>
      <c r="G306" s="89" t="str">
        <f>A305</f>
        <v>8th &amp; 18th Floor (Part Refuge Area)</v>
      </c>
      <c r="H306" s="89"/>
      <c r="I306" s="28"/>
      <c r="N306" s="46" t="str">
        <f t="shared" ref="N306:N311" ca="1" si="85">O306&amp;""&amp;" &amp; "&amp;""&amp;P306</f>
        <v>801 &amp; 1801</v>
      </c>
      <c r="O306" s="46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10^ROW(INDIRECT("1:"&amp;LEN((LEFT(A305,SUM(LEN(A305)-LEN(SUBSTITUTE(A305,{"0","1","2"},""))))))))/10))*100+1</f>
        <v>801</v>
      </c>
      <c r="P306" s="46">
        <f ca="1">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",LEN(A305))),LEN(A305)))))))/10))*100+1</f>
        <v>1801</v>
      </c>
    </row>
    <row r="307" spans="1:16" s="46" customFormat="1" x14ac:dyDescent="0.35">
      <c r="A307" s="89">
        <v>2</v>
      </c>
      <c r="B307" s="89"/>
      <c r="C307" s="73" t="s">
        <v>165</v>
      </c>
      <c r="D307" s="73">
        <f>(48.79+0.75*2.9+1.61*2.6+1.65*2.75)*10.764</f>
        <v>642.48701399999993</v>
      </c>
      <c r="E307" s="73">
        <f>(2*2.75)*10.764</f>
        <v>59.201999999999998</v>
      </c>
      <c r="F307" s="73">
        <f t="shared" si="84"/>
        <v>1055.0568716999999</v>
      </c>
      <c r="G307" s="89" t="str">
        <f t="shared" ref="G307:G311" si="86">G306</f>
        <v>8th &amp; 18th Floor (Part Refuge Area)</v>
      </c>
      <c r="H307" s="89"/>
      <c r="I307" s="28"/>
      <c r="N307" s="46" t="str">
        <f t="shared" ca="1" si="85"/>
        <v>802 &amp; 1802</v>
      </c>
      <c r="O307" s="46">
        <f t="shared" ref="O307:P307" ca="1" si="87">O306+1</f>
        <v>802</v>
      </c>
      <c r="P307" s="46">
        <f t="shared" ca="1" si="87"/>
        <v>1802</v>
      </c>
    </row>
    <row r="308" spans="1:16" s="46" customFormat="1" x14ac:dyDescent="0.35">
      <c r="A308" s="89">
        <v>3</v>
      </c>
      <c r="B308" s="89"/>
      <c r="C308" s="73" t="s">
        <v>165</v>
      </c>
      <c r="D308" s="73">
        <f>(48.03+0.75*2.9+2.6*1.61+1.65*2.75)*10.764</f>
        <v>634.30637400000001</v>
      </c>
      <c r="E308" s="73">
        <f>(2*2.75)*10.764</f>
        <v>59.201999999999998</v>
      </c>
      <c r="F308" s="73">
        <f t="shared" si="84"/>
        <v>1042.3768797</v>
      </c>
      <c r="G308" s="89" t="str">
        <f t="shared" si="86"/>
        <v>8th &amp; 18th Floor (Part Refuge Area)</v>
      </c>
      <c r="H308" s="89"/>
      <c r="I308" s="28"/>
      <c r="N308" s="46" t="str">
        <f t="shared" ca="1" si="85"/>
        <v>803 &amp; 1803</v>
      </c>
      <c r="O308" s="46">
        <f t="shared" ref="O308:P308" ca="1" si="88">O307+1</f>
        <v>803</v>
      </c>
      <c r="P308" s="46">
        <f t="shared" ca="1" si="88"/>
        <v>1803</v>
      </c>
    </row>
    <row r="309" spans="1:16" s="46" customFormat="1" ht="15.75" customHeight="1" x14ac:dyDescent="0.35">
      <c r="A309" s="89">
        <v>4</v>
      </c>
      <c r="B309" s="89"/>
      <c r="C309" s="73" t="s">
        <v>165</v>
      </c>
      <c r="D309" s="73">
        <f>(48.03+0.75*2.9+1.61*2.6+1.65*2.75)*10.764</f>
        <v>634.30637400000001</v>
      </c>
      <c r="E309" s="73">
        <f>(2*2.75)*10.764</f>
        <v>59.201999999999998</v>
      </c>
      <c r="F309" s="73">
        <f t="shared" si="84"/>
        <v>1042.3768797</v>
      </c>
      <c r="G309" s="89" t="str">
        <f t="shared" si="86"/>
        <v>8th &amp; 18th Floor (Part Refuge Area)</v>
      </c>
      <c r="H309" s="89"/>
      <c r="I309" s="28"/>
      <c r="N309" s="46" t="str">
        <f t="shared" ca="1" si="85"/>
        <v>804 &amp; 1804</v>
      </c>
      <c r="O309" s="46">
        <f t="shared" ref="O309:P309" ca="1" si="89">O308+1</f>
        <v>804</v>
      </c>
      <c r="P309" s="46">
        <f t="shared" ca="1" si="89"/>
        <v>1804</v>
      </c>
    </row>
    <row r="310" spans="1:16" s="46" customFormat="1" ht="15.75" customHeight="1" x14ac:dyDescent="0.35">
      <c r="A310" s="89">
        <v>5</v>
      </c>
      <c r="B310" s="89"/>
      <c r="C310" s="73" t="s">
        <v>165</v>
      </c>
      <c r="D310" s="73">
        <f>(48.48+0.75*2.9+1.61*2.6+1.65*2.75)*10.764</f>
        <v>639.15017399999988</v>
      </c>
      <c r="E310" s="73">
        <f>(2*2.75)*10.764</f>
        <v>59.201999999999998</v>
      </c>
      <c r="F310" s="73">
        <f t="shared" si="84"/>
        <v>1049.8847696999999</v>
      </c>
      <c r="G310" s="89" t="str">
        <f t="shared" si="86"/>
        <v>8th &amp; 18th Floor (Part Refuge Area)</v>
      </c>
      <c r="H310" s="89"/>
      <c r="I310" s="28"/>
      <c r="N310" s="46" t="str">
        <f t="shared" ca="1" si="85"/>
        <v>805 &amp; 1805</v>
      </c>
      <c r="O310" s="46">
        <f t="shared" ref="O310:P310" ca="1" si="90">O309+1</f>
        <v>805</v>
      </c>
      <c r="P310" s="46">
        <f t="shared" ca="1" si="90"/>
        <v>1805</v>
      </c>
    </row>
    <row r="311" spans="1:16" s="46" customFormat="1" ht="15.75" customHeight="1" x14ac:dyDescent="0.35">
      <c r="A311" s="89">
        <v>6</v>
      </c>
      <c r="B311" s="89"/>
      <c r="C311" s="73" t="s">
        <v>164</v>
      </c>
      <c r="D311" s="73">
        <f>(35.08+0.75*2.9+1.61*2.6+1.65*2.75)*10.764</f>
        <v>494.91257399999995</v>
      </c>
      <c r="E311" s="73">
        <v>0</v>
      </c>
      <c r="F311" s="73">
        <f t="shared" si="84"/>
        <v>767.11448969999992</v>
      </c>
      <c r="G311" s="89" t="str">
        <f t="shared" si="86"/>
        <v>8th &amp; 18th Floor (Part Refuge Area)</v>
      </c>
      <c r="H311" s="89"/>
      <c r="I311" s="28"/>
      <c r="N311" s="46" t="str">
        <f t="shared" ca="1" si="85"/>
        <v>806 &amp; 1806</v>
      </c>
      <c r="O311" s="46">
        <f t="shared" ref="O311:P311" ca="1" si="91">O310+1</f>
        <v>806</v>
      </c>
      <c r="P311" s="46">
        <f t="shared" ca="1" si="91"/>
        <v>1806</v>
      </c>
    </row>
    <row r="312" spans="1:16" x14ac:dyDescent="0.35">
      <c r="A312" s="88" t="s">
        <v>234</v>
      </c>
      <c r="B312" s="88"/>
      <c r="C312" s="88"/>
      <c r="D312" s="88"/>
      <c r="E312" s="88"/>
      <c r="F312" s="88"/>
      <c r="G312" s="88"/>
      <c r="H312" s="88"/>
    </row>
    <row r="313" spans="1:16" x14ac:dyDescent="0.35">
      <c r="A313" s="88" t="s">
        <v>162</v>
      </c>
      <c r="B313" s="88"/>
      <c r="C313" s="88"/>
      <c r="D313" s="88"/>
      <c r="E313" s="88"/>
      <c r="F313" s="88"/>
      <c r="G313" s="88"/>
      <c r="H313" s="88"/>
    </row>
    <row r="314" spans="1:16" s="46" customFormat="1" x14ac:dyDescent="0.35">
      <c r="A314" s="90" t="s">
        <v>163</v>
      </c>
      <c r="B314" s="90"/>
      <c r="C314" s="90"/>
      <c r="D314" s="90"/>
      <c r="E314" s="90"/>
      <c r="F314" s="90"/>
      <c r="G314" s="90"/>
      <c r="H314" s="90"/>
      <c r="I314" s="28"/>
      <c r="L314" s="100"/>
      <c r="M314" s="100"/>
    </row>
    <row r="315" spans="1:16" s="46" customFormat="1" x14ac:dyDescent="0.35">
      <c r="A315" s="89">
        <v>1</v>
      </c>
      <c r="B315" s="89"/>
      <c r="C315" s="52" t="s">
        <v>165</v>
      </c>
      <c r="D315" s="52">
        <f>(45.89+1.61*2.6+1.65*2.75+0.75*2.75)*10.764</f>
        <v>610.06046400000002</v>
      </c>
      <c r="E315" s="52">
        <f t="shared" ref="E315:E320" si="92">(2*2.9)*10.764</f>
        <v>62.431199999999997</v>
      </c>
      <c r="F315" s="52">
        <f>D315*(($F$171)+1)+E315</f>
        <v>1008.0249192</v>
      </c>
      <c r="G315" s="89" t="str">
        <f>A314</f>
        <v>1st Floor for Residentail</v>
      </c>
      <c r="H315" s="89"/>
      <c r="I315" s="28">
        <f>(3.05*4.73+2.59*2.15+2.75*2.85+2.13*1.22+1.4*0.45+1.51*1.22)*10.764</f>
        <v>354.17112120000002</v>
      </c>
      <c r="N315" s="28"/>
    </row>
    <row r="316" spans="1:16" s="46" customFormat="1" x14ac:dyDescent="0.35">
      <c r="A316" s="89">
        <f>A315+1</f>
        <v>2</v>
      </c>
      <c r="B316" s="89"/>
      <c r="C316" s="52" t="s">
        <v>164</v>
      </c>
      <c r="D316" s="52">
        <f>(38.26+1.61*2.6+1.65*2.75)*10.764</f>
        <v>505.73039399999999</v>
      </c>
      <c r="E316" s="52">
        <f t="shared" si="92"/>
        <v>62.431199999999997</v>
      </c>
      <c r="F316" s="52">
        <f t="shared" ref="F316:F320" si="93">D316*(($F$171)+1)+E316</f>
        <v>846.31331069999999</v>
      </c>
      <c r="G316" s="89" t="str">
        <f t="shared" ref="G316:G320" si="94">G315</f>
        <v>1st Floor for Residentail</v>
      </c>
      <c r="H316" s="89"/>
      <c r="I316" s="28">
        <f>(2.9*4.73+1.37*2.14+2.59*2.15+2.75*2.85+2.75*3.35+2.13*1.22+1.22*2.29+2*0.45+1.22*0.45+2.4*0.45)*10.764</f>
        <v>507.93916679999984</v>
      </c>
      <c r="N316" s="28"/>
    </row>
    <row r="317" spans="1:16" s="46" customFormat="1" x14ac:dyDescent="0.35">
      <c r="A317" s="89">
        <f>A316+1</f>
        <v>3</v>
      </c>
      <c r="B317" s="89"/>
      <c r="C317" s="52" t="s">
        <v>165</v>
      </c>
      <c r="D317" s="52">
        <f>(48.03+1.61*2.6+1.65*2.75+0.75*2.75)*10.764</f>
        <v>633.09542399999998</v>
      </c>
      <c r="E317" s="52">
        <f t="shared" si="92"/>
        <v>62.431199999999997</v>
      </c>
      <c r="F317" s="52">
        <f t="shared" si="93"/>
        <v>1043.7291072</v>
      </c>
      <c r="G317" s="89" t="str">
        <f t="shared" si="94"/>
        <v>1st Floor for Residentail</v>
      </c>
      <c r="H317" s="89"/>
      <c r="I317" s="28"/>
      <c r="N317" s="28"/>
    </row>
    <row r="318" spans="1:16" s="46" customFormat="1" x14ac:dyDescent="0.35">
      <c r="A318" s="89">
        <f t="shared" ref="A318:A320" si="95">A317+1</f>
        <v>4</v>
      </c>
      <c r="B318" s="89"/>
      <c r="C318" s="52" t="s">
        <v>165</v>
      </c>
      <c r="D318" s="52">
        <f>(48.03+1.61*2.6+1.65*2.75+2.75*0.75)*10.764</f>
        <v>633.09542399999998</v>
      </c>
      <c r="E318" s="52">
        <f t="shared" si="92"/>
        <v>62.431199999999997</v>
      </c>
      <c r="F318" s="52">
        <f t="shared" si="93"/>
        <v>1043.7291072</v>
      </c>
      <c r="G318" s="89" t="str">
        <f t="shared" si="94"/>
        <v>1st Floor for Residentail</v>
      </c>
      <c r="H318" s="89"/>
      <c r="I318" s="28"/>
      <c r="N318" s="28"/>
    </row>
    <row r="319" spans="1:16" s="46" customFormat="1" x14ac:dyDescent="0.35">
      <c r="A319" s="89">
        <f>A318+1</f>
        <v>5</v>
      </c>
      <c r="B319" s="89"/>
      <c r="C319" s="52" t="s">
        <v>165</v>
      </c>
      <c r="D319" s="52">
        <f>(48.48+1.61*2.6+2.75*1.65+0.75*2.75)*10.764</f>
        <v>637.93922399999997</v>
      </c>
      <c r="E319" s="52">
        <f t="shared" si="92"/>
        <v>62.431199999999997</v>
      </c>
      <c r="F319" s="52">
        <f t="shared" si="93"/>
        <v>1051.2369972000001</v>
      </c>
      <c r="G319" s="89" t="str">
        <f t="shared" si="94"/>
        <v>1st Floor for Residentail</v>
      </c>
      <c r="H319" s="89"/>
      <c r="I319" s="28"/>
      <c r="N319" s="28"/>
    </row>
    <row r="320" spans="1:16" s="46" customFormat="1" x14ac:dyDescent="0.35">
      <c r="A320" s="89">
        <f t="shared" si="95"/>
        <v>6</v>
      </c>
      <c r="B320" s="89"/>
      <c r="C320" s="52" t="s">
        <v>165</v>
      </c>
      <c r="D320" s="52">
        <f>(45.48+1.61*2.6+1.65*2.75+2.75*0.75)*10.764</f>
        <v>605.64722399999994</v>
      </c>
      <c r="E320" s="52">
        <f t="shared" si="92"/>
        <v>62.431199999999997</v>
      </c>
      <c r="F320" s="52">
        <f t="shared" si="93"/>
        <v>1001.1843971999999</v>
      </c>
      <c r="G320" s="89" t="str">
        <f t="shared" si="94"/>
        <v>1st Floor for Residentail</v>
      </c>
      <c r="H320" s="89"/>
      <c r="I320" s="28"/>
      <c r="N320" s="28"/>
    </row>
    <row r="321" spans="1:16" s="46" customFormat="1" x14ac:dyDescent="0.35">
      <c r="A321" s="90" t="s">
        <v>167</v>
      </c>
      <c r="B321" s="90"/>
      <c r="C321" s="90"/>
      <c r="D321" s="90"/>
      <c r="E321" s="90"/>
      <c r="F321" s="90"/>
      <c r="G321" s="90"/>
      <c r="H321" s="90"/>
      <c r="I321" s="28"/>
      <c r="L321" s="100"/>
      <c r="M321" s="100"/>
    </row>
    <row r="322" spans="1:16" s="46" customFormat="1" ht="15.75" customHeight="1" x14ac:dyDescent="0.35">
      <c r="A322" s="89">
        <v>1</v>
      </c>
      <c r="B322" s="89"/>
      <c r="C322" s="52" t="s">
        <v>165</v>
      </c>
      <c r="D322" s="52">
        <f>(45.89+0.75*2.9+1.61*2.6+1.65*2.75)*10.764</f>
        <v>611.27141399999994</v>
      </c>
      <c r="E322" s="52">
        <f>(2*2.75)*10.764</f>
        <v>59.201999999999998</v>
      </c>
      <c r="F322" s="52">
        <f>D322*(($F$171)+1)+E322</f>
        <v>1006.6726917</v>
      </c>
      <c r="G322" s="91" t="str">
        <f>A321</f>
        <v>2nd, 4th, 6th &amp; 10th, 12th, 14th &amp;16th Floor</v>
      </c>
      <c r="H322" s="92"/>
      <c r="I322" s="28">
        <f>(3.05*4.73+2.59*2.15+2.75*2.85+2.13*1.22+1.4*0.45+1.51*1.22)*10.764</f>
        <v>354.17112120000002</v>
      </c>
      <c r="N322" s="28"/>
    </row>
    <row r="323" spans="1:16" s="46" customFormat="1" ht="15.75" customHeight="1" x14ac:dyDescent="0.35">
      <c r="A323" s="89">
        <f>A322+1</f>
        <v>2</v>
      </c>
      <c r="B323" s="89"/>
      <c r="C323" s="52" t="s">
        <v>165</v>
      </c>
      <c r="D323" s="52">
        <f>(48.79+0.75*2.9+1.61*2.6+1.65*2.75)*10.764</f>
        <v>642.48701399999993</v>
      </c>
      <c r="E323" s="52">
        <f>(2*2.75)*10.764</f>
        <v>59.201999999999998</v>
      </c>
      <c r="F323" s="52">
        <f t="shared" ref="F323:F327" si="96">D323*(($F$171)+1)+E323</f>
        <v>1055.0568716999999</v>
      </c>
      <c r="G323" s="93"/>
      <c r="H323" s="94"/>
      <c r="I323" s="28">
        <f>(2.9*4.73+1.37*2.14+2.59*2.15+2.75*2.85+2.75*3.35+2.13*1.22+1.22*2.29+2*0.45+1.22*0.45+2.4*0.45)*10.764</f>
        <v>507.93916679999984</v>
      </c>
      <c r="N323" s="28"/>
    </row>
    <row r="324" spans="1:16" s="46" customFormat="1" ht="15.75" customHeight="1" x14ac:dyDescent="0.35">
      <c r="A324" s="89">
        <f>A323+1</f>
        <v>3</v>
      </c>
      <c r="B324" s="89"/>
      <c r="C324" s="52" t="s">
        <v>165</v>
      </c>
      <c r="D324" s="52">
        <f>(48.03+0.75*2.9+1.61*2.6+2.75*1.65)*10.764</f>
        <v>634.30637400000001</v>
      </c>
      <c r="E324" s="52">
        <f>(2*2.75)*10.764</f>
        <v>59.201999999999998</v>
      </c>
      <c r="F324" s="52">
        <f t="shared" si="96"/>
        <v>1042.3768797</v>
      </c>
      <c r="G324" s="93"/>
      <c r="H324" s="94"/>
      <c r="I324" s="28"/>
      <c r="N324" s="28"/>
    </row>
    <row r="325" spans="1:16" s="46" customFormat="1" ht="15.75" customHeight="1" x14ac:dyDescent="0.35">
      <c r="A325" s="89">
        <f t="shared" ref="A325:A327" si="97">A324+1</f>
        <v>4</v>
      </c>
      <c r="B325" s="89"/>
      <c r="C325" s="52" t="s">
        <v>165</v>
      </c>
      <c r="D325" s="52">
        <f>(48.03+0.75*2.9+1.61*2.6+1.65*2.75)*10.764</f>
        <v>634.30637400000001</v>
      </c>
      <c r="E325" s="52">
        <f>(2*2.75)*10.764</f>
        <v>59.201999999999998</v>
      </c>
      <c r="F325" s="52">
        <f t="shared" si="96"/>
        <v>1042.3768797</v>
      </c>
      <c r="G325" s="93"/>
      <c r="H325" s="94"/>
      <c r="I325" s="28"/>
      <c r="N325" s="28"/>
    </row>
    <row r="326" spans="1:16" s="46" customFormat="1" ht="15.75" customHeight="1" x14ac:dyDescent="0.35">
      <c r="A326" s="89">
        <f>A325+1</f>
        <v>5</v>
      </c>
      <c r="B326" s="89"/>
      <c r="C326" s="52" t="s">
        <v>165</v>
      </c>
      <c r="D326" s="52">
        <f>(48.48+0.75*2.9+2.6*1.61+1.65*2.75)*10.764</f>
        <v>639.15017399999988</v>
      </c>
      <c r="E326" s="52">
        <f>(2.75*2)*10.764</f>
        <v>59.201999999999998</v>
      </c>
      <c r="F326" s="52">
        <f t="shared" si="96"/>
        <v>1049.8847696999999</v>
      </c>
      <c r="G326" s="93"/>
      <c r="H326" s="94"/>
      <c r="I326" s="28"/>
      <c r="N326" s="28"/>
    </row>
    <row r="327" spans="1:16" s="46" customFormat="1" ht="15.75" customHeight="1" x14ac:dyDescent="0.35">
      <c r="A327" s="89">
        <f t="shared" si="97"/>
        <v>6</v>
      </c>
      <c r="B327" s="89"/>
      <c r="C327" s="52" t="s">
        <v>165</v>
      </c>
      <c r="D327" s="52">
        <f>(45.48+0.75*2.9+1.61*2.6+2.75*1.65)*10.764</f>
        <v>606.85817399999996</v>
      </c>
      <c r="E327" s="52">
        <f>(2*2.75)*10.764</f>
        <v>59.201999999999998</v>
      </c>
      <c r="F327" s="52">
        <f t="shared" si="96"/>
        <v>999.83216970000001</v>
      </c>
      <c r="G327" s="95"/>
      <c r="H327" s="96"/>
      <c r="I327" s="28"/>
      <c r="N327" s="28"/>
    </row>
    <row r="328" spans="1:16" s="46" customFormat="1" x14ac:dyDescent="0.35">
      <c r="A328" s="90" t="s">
        <v>181</v>
      </c>
      <c r="B328" s="90"/>
      <c r="C328" s="90"/>
      <c r="D328" s="90"/>
      <c r="E328" s="90"/>
      <c r="F328" s="90"/>
      <c r="G328" s="90"/>
      <c r="H328" s="90"/>
      <c r="I328" s="28"/>
      <c r="L328" s="100"/>
      <c r="M328" s="100"/>
    </row>
    <row r="329" spans="1:16" s="46" customFormat="1" ht="15.75" customHeight="1" x14ac:dyDescent="0.35">
      <c r="A329" s="89">
        <v>1</v>
      </c>
      <c r="B329" s="89"/>
      <c r="C329" s="52" t="s">
        <v>165</v>
      </c>
      <c r="D329" s="52">
        <f>(45.89+0.75*2.75+1.65*2.75+1.61*2.6)*10.764</f>
        <v>610.06046400000002</v>
      </c>
      <c r="E329" s="52">
        <f t="shared" ref="E329:E334" si="98">(2*2.9)*10.764</f>
        <v>62.431199999999997</v>
      </c>
      <c r="F329" s="52">
        <f>D329*(($F$171)+1)+E329</f>
        <v>1008.0249192</v>
      </c>
      <c r="G329" s="91" t="str">
        <f>A328</f>
        <v>3rd, 7th, 9th, 11th, 15th, 17th &amp; 19th Floor</v>
      </c>
      <c r="H329" s="92"/>
      <c r="I329" s="28">
        <f>(3.05*4.73+2.59*2.15+2.75*2.85+2.13*1.22+1.4*0.45+1.51*1.22)*10.764</f>
        <v>354.17112120000002</v>
      </c>
      <c r="N329" s="28"/>
    </row>
    <row r="330" spans="1:16" s="46" customFormat="1" ht="15.75" customHeight="1" x14ac:dyDescent="0.35">
      <c r="A330" s="89">
        <f>A329+1</f>
        <v>2</v>
      </c>
      <c r="B330" s="89"/>
      <c r="C330" s="52" t="s">
        <v>165</v>
      </c>
      <c r="D330" s="52">
        <f>(48.79+1.61*2.6+2.75*1.65+0.75*2.75)*10.764</f>
        <v>641.27606400000002</v>
      </c>
      <c r="E330" s="52">
        <f t="shared" si="98"/>
        <v>62.431199999999997</v>
      </c>
      <c r="F330" s="52">
        <f t="shared" ref="F330:F334" si="99">D330*(($F$171)+1)+E330</f>
        <v>1056.4090992000001</v>
      </c>
      <c r="G330" s="93"/>
      <c r="H330" s="94"/>
      <c r="I330" s="28">
        <f>(2.9*4.73+1.37*2.14+2.59*2.15+2.75*2.85+2.75*3.35+2.13*1.22+1.22*2.29+2*0.45+1.22*0.45+2.4*0.45)*10.764</f>
        <v>507.93916679999984</v>
      </c>
      <c r="N330" s="28"/>
    </row>
    <row r="331" spans="1:16" s="46" customFormat="1" ht="15.75" customHeight="1" x14ac:dyDescent="0.35">
      <c r="A331" s="89">
        <f>A330+1</f>
        <v>3</v>
      </c>
      <c r="B331" s="89"/>
      <c r="C331" s="52" t="s">
        <v>165</v>
      </c>
      <c r="D331" s="52">
        <f>(48.03+1.61*2.6+2.75*1.65+0.75*2.75)*10.764</f>
        <v>633.09542399999998</v>
      </c>
      <c r="E331" s="52">
        <f t="shared" si="98"/>
        <v>62.431199999999997</v>
      </c>
      <c r="F331" s="52">
        <f t="shared" si="99"/>
        <v>1043.7291072</v>
      </c>
      <c r="G331" s="93"/>
      <c r="H331" s="94"/>
      <c r="I331" s="28"/>
      <c r="N331" s="28"/>
    </row>
    <row r="332" spans="1:16" s="46" customFormat="1" ht="15.75" customHeight="1" x14ac:dyDescent="0.35">
      <c r="A332" s="89">
        <f t="shared" ref="A332:A334" si="100">A331+1</f>
        <v>4</v>
      </c>
      <c r="B332" s="89"/>
      <c r="C332" s="52" t="s">
        <v>165</v>
      </c>
      <c r="D332" s="52">
        <f>(48.03+1.61*2.6+2.75*1.65+0.75*2.75)*10.764</f>
        <v>633.09542399999998</v>
      </c>
      <c r="E332" s="52">
        <f t="shared" si="98"/>
        <v>62.431199999999997</v>
      </c>
      <c r="F332" s="52">
        <f t="shared" si="99"/>
        <v>1043.7291072</v>
      </c>
      <c r="G332" s="93"/>
      <c r="H332" s="94"/>
      <c r="I332" s="28"/>
      <c r="N332" s="28"/>
    </row>
    <row r="333" spans="1:16" s="46" customFormat="1" ht="15.75" customHeight="1" x14ac:dyDescent="0.35">
      <c r="A333" s="89">
        <f>A332+1</f>
        <v>5</v>
      </c>
      <c r="B333" s="89"/>
      <c r="C333" s="52" t="s">
        <v>165</v>
      </c>
      <c r="D333" s="52">
        <f>(48.48+0.75*2.75+1.65*2.75+1.61*2.6)*10.764</f>
        <v>637.93922399999997</v>
      </c>
      <c r="E333" s="52">
        <f t="shared" si="98"/>
        <v>62.431199999999997</v>
      </c>
      <c r="F333" s="52">
        <f t="shared" si="99"/>
        <v>1051.2369972000001</v>
      </c>
      <c r="G333" s="93"/>
      <c r="H333" s="94"/>
      <c r="I333" s="28"/>
      <c r="N333" s="28"/>
    </row>
    <row r="334" spans="1:16" s="46" customFormat="1" x14ac:dyDescent="0.35">
      <c r="A334" s="89">
        <f t="shared" si="100"/>
        <v>6</v>
      </c>
      <c r="B334" s="89"/>
      <c r="C334" s="52" t="s">
        <v>165</v>
      </c>
      <c r="D334" s="52">
        <f>(45.48+0.75*2.75+1.65*2.75+2.6*1.61)*10.764</f>
        <v>605.64722399999994</v>
      </c>
      <c r="E334" s="52">
        <f t="shared" si="98"/>
        <v>62.431199999999997</v>
      </c>
      <c r="F334" s="52">
        <f t="shared" si="99"/>
        <v>1001.1843971999999</v>
      </c>
      <c r="G334" s="95"/>
      <c r="H334" s="96"/>
      <c r="I334" s="28"/>
      <c r="N334" s="28"/>
    </row>
    <row r="335" spans="1:16" s="46" customFormat="1" x14ac:dyDescent="0.35">
      <c r="A335" s="97" t="s">
        <v>178</v>
      </c>
      <c r="B335" s="98"/>
      <c r="C335" s="98"/>
      <c r="D335" s="98"/>
      <c r="E335" s="98"/>
      <c r="F335" s="98"/>
      <c r="G335" s="98"/>
      <c r="H335" s="99"/>
      <c r="I335" s="28"/>
      <c r="P335" s="29"/>
    </row>
    <row r="336" spans="1:16" s="46" customFormat="1" x14ac:dyDescent="0.35">
      <c r="A336" s="83">
        <v>1</v>
      </c>
      <c r="B336" s="84"/>
      <c r="C336" s="52" t="s">
        <v>164</v>
      </c>
      <c r="D336" s="52">
        <f>(35.42+1.65*2.75+1.61*2.6)*10.764</f>
        <v>475.16063400000002</v>
      </c>
      <c r="E336" s="52">
        <f t="shared" ref="E336:E341" si="101">(2*2.9)*10.764</f>
        <v>62.431199999999997</v>
      </c>
      <c r="F336" s="52">
        <f t="shared" ref="F336:F341" si="102">D336*(($F$171)+1)+E336</f>
        <v>798.93018270000005</v>
      </c>
      <c r="G336" s="83" t="str">
        <f>A335</f>
        <v>5th &amp; 13th Floor (Part Refuge Area)</v>
      </c>
      <c r="H336" s="84"/>
      <c r="I336" s="28"/>
      <c r="N336" s="46" t="str">
        <f t="shared" ref="N336:N341" ca="1" si="103">O336&amp;""&amp;" &amp; "&amp;""&amp;P336</f>
        <v>501 &amp; 1301</v>
      </c>
      <c r="O336" s="46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10^ROW(INDIRECT("1:"&amp;LEN((LEFT(A335,SUM(LEN(A335)-LEN(SUBSTITUTE(A335,{"0","1","2"},""))))))))/10))*100+1</f>
        <v>501</v>
      </c>
      <c r="P336" s="46">
        <f ca="1">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",LEN(A335))),LEN(A335)))))))/10))*100+1</f>
        <v>1301</v>
      </c>
    </row>
    <row r="337" spans="1:16" s="46" customFormat="1" x14ac:dyDescent="0.35">
      <c r="A337" s="83">
        <v>2</v>
      </c>
      <c r="B337" s="84"/>
      <c r="C337" s="52" t="s">
        <v>165</v>
      </c>
      <c r="D337" s="52">
        <f>(48.79+1.61*2.6+1.65*2.75+0.75*2.75)*10.764</f>
        <v>641.27606400000002</v>
      </c>
      <c r="E337" s="52">
        <f t="shared" si="101"/>
        <v>62.431199999999997</v>
      </c>
      <c r="F337" s="52">
        <f t="shared" si="102"/>
        <v>1056.4090992000001</v>
      </c>
      <c r="G337" s="83" t="str">
        <f t="shared" ref="G337:G341" si="104">G336</f>
        <v>5th &amp; 13th Floor (Part Refuge Area)</v>
      </c>
      <c r="H337" s="84"/>
      <c r="I337" s="28"/>
      <c r="N337" s="46" t="str">
        <f t="shared" ca="1" si="103"/>
        <v>502 &amp; 1302</v>
      </c>
      <c r="O337" s="46">
        <f t="shared" ref="O337:P337" ca="1" si="105">O336+1</f>
        <v>502</v>
      </c>
      <c r="P337" s="46">
        <f t="shared" ca="1" si="105"/>
        <v>1302</v>
      </c>
    </row>
    <row r="338" spans="1:16" s="46" customFormat="1" x14ac:dyDescent="0.35">
      <c r="A338" s="83">
        <v>3</v>
      </c>
      <c r="B338" s="84"/>
      <c r="C338" s="52" t="s">
        <v>165</v>
      </c>
      <c r="D338" s="52">
        <f>(48.03+1.61*2.6+2.75*1.65+0.75*2.75)*10.764</f>
        <v>633.09542399999998</v>
      </c>
      <c r="E338" s="52">
        <f t="shared" si="101"/>
        <v>62.431199999999997</v>
      </c>
      <c r="F338" s="52">
        <f t="shared" si="102"/>
        <v>1043.7291072</v>
      </c>
      <c r="G338" s="83" t="str">
        <f t="shared" si="104"/>
        <v>5th &amp; 13th Floor (Part Refuge Area)</v>
      </c>
      <c r="H338" s="84"/>
      <c r="I338" s="28"/>
      <c r="N338" s="46" t="str">
        <f t="shared" ca="1" si="103"/>
        <v>503 &amp; 1303</v>
      </c>
      <c r="O338" s="46">
        <f t="shared" ref="O338:P338" ca="1" si="106">O337+1</f>
        <v>503</v>
      </c>
      <c r="P338" s="46">
        <f t="shared" ca="1" si="106"/>
        <v>1303</v>
      </c>
    </row>
    <row r="339" spans="1:16" s="46" customFormat="1" ht="15.75" customHeight="1" x14ac:dyDescent="0.35">
      <c r="A339" s="83">
        <v>4</v>
      </c>
      <c r="B339" s="84"/>
      <c r="C339" s="52" t="s">
        <v>165</v>
      </c>
      <c r="D339" s="52">
        <f>(48.03+1.61*2.6+1.65*2.75+0.75*2.75)*10.764</f>
        <v>633.09542399999998</v>
      </c>
      <c r="E339" s="52">
        <f t="shared" si="101"/>
        <v>62.431199999999997</v>
      </c>
      <c r="F339" s="52">
        <f t="shared" si="102"/>
        <v>1043.7291072</v>
      </c>
      <c r="G339" s="83" t="str">
        <f t="shared" si="104"/>
        <v>5th &amp; 13th Floor (Part Refuge Area)</v>
      </c>
      <c r="H339" s="84"/>
      <c r="I339" s="28"/>
      <c r="N339" s="46" t="str">
        <f t="shared" ca="1" si="103"/>
        <v>504 &amp; 1304</v>
      </c>
      <c r="O339" s="46">
        <f t="shared" ref="O339:P339" ca="1" si="107">O338+1</f>
        <v>504</v>
      </c>
      <c r="P339" s="46">
        <f t="shared" ca="1" si="107"/>
        <v>1304</v>
      </c>
    </row>
    <row r="340" spans="1:16" s="46" customFormat="1" ht="15.75" customHeight="1" x14ac:dyDescent="0.35">
      <c r="A340" s="83">
        <v>5</v>
      </c>
      <c r="B340" s="84"/>
      <c r="C340" s="52" t="s">
        <v>165</v>
      </c>
      <c r="D340" s="52">
        <f>(48.48+1.61*2.6+2.75*1.65+0.75*2.75)*10.764</f>
        <v>637.93922399999997</v>
      </c>
      <c r="E340" s="52">
        <f t="shared" si="101"/>
        <v>62.431199999999997</v>
      </c>
      <c r="F340" s="52">
        <f t="shared" si="102"/>
        <v>1051.2369972000001</v>
      </c>
      <c r="G340" s="83" t="str">
        <f t="shared" si="104"/>
        <v>5th &amp; 13th Floor (Part Refuge Area)</v>
      </c>
      <c r="H340" s="84"/>
      <c r="I340" s="28"/>
      <c r="N340" s="46" t="str">
        <f t="shared" ca="1" si="103"/>
        <v>505 &amp; 1305</v>
      </c>
      <c r="O340" s="46">
        <f t="shared" ref="O340:P340" ca="1" si="108">O339+1</f>
        <v>505</v>
      </c>
      <c r="P340" s="46">
        <f t="shared" ca="1" si="108"/>
        <v>1305</v>
      </c>
    </row>
    <row r="341" spans="1:16" s="46" customFormat="1" ht="15.75" customHeight="1" x14ac:dyDescent="0.35">
      <c r="A341" s="83">
        <v>6</v>
      </c>
      <c r="B341" s="84"/>
      <c r="C341" s="52" t="s">
        <v>164</v>
      </c>
      <c r="D341" s="52">
        <f>(35.08+1.61*2.6+2.75*1.65)*10.764</f>
        <v>471.50087399999995</v>
      </c>
      <c r="E341" s="52">
        <f t="shared" si="101"/>
        <v>62.431199999999997</v>
      </c>
      <c r="F341" s="52">
        <f t="shared" si="102"/>
        <v>793.2575546999999</v>
      </c>
      <c r="G341" s="83" t="str">
        <f t="shared" si="104"/>
        <v>5th &amp; 13th Floor (Part Refuge Area)</v>
      </c>
      <c r="H341" s="84"/>
      <c r="I341" s="28"/>
      <c r="N341" s="46" t="str">
        <f t="shared" ca="1" si="103"/>
        <v>506 &amp; 1306</v>
      </c>
      <c r="O341" s="46">
        <f t="shared" ref="O341:P341" ca="1" si="109">O340+1</f>
        <v>506</v>
      </c>
      <c r="P341" s="46">
        <f t="shared" ca="1" si="109"/>
        <v>1306</v>
      </c>
    </row>
    <row r="342" spans="1:16" s="46" customFormat="1" x14ac:dyDescent="0.35">
      <c r="A342" s="97" t="s">
        <v>170</v>
      </c>
      <c r="B342" s="98"/>
      <c r="C342" s="98"/>
      <c r="D342" s="98"/>
      <c r="E342" s="98"/>
      <c r="F342" s="98"/>
      <c r="G342" s="98"/>
      <c r="H342" s="99"/>
      <c r="I342" s="28"/>
      <c r="P342" s="29"/>
    </row>
    <row r="343" spans="1:16" s="46" customFormat="1" x14ac:dyDescent="0.35">
      <c r="A343" s="83">
        <v>1</v>
      </c>
      <c r="B343" s="84"/>
      <c r="C343" s="52" t="s">
        <v>164</v>
      </c>
      <c r="D343" s="52">
        <f>(35.42+0.75*2.9+1.61*2.59+1.65*2.75)*10.764</f>
        <v>498.39903359999994</v>
      </c>
      <c r="E343" s="52">
        <v>0</v>
      </c>
      <c r="F343" s="52">
        <f t="shared" ref="F343:F348" si="110">D343*(($F$171)+1)+E343</f>
        <v>772.51850207999996</v>
      </c>
      <c r="G343" s="83" t="str">
        <f>A342</f>
        <v>8th &amp; 18th Floor (Part Refuge Area)</v>
      </c>
      <c r="H343" s="84"/>
      <c r="I343" s="28"/>
      <c r="N343" s="46" t="str">
        <f t="shared" ref="N343:N348" ca="1" si="111">O343&amp;""&amp;" &amp; "&amp;""&amp;P343</f>
        <v>801 &amp; 1801</v>
      </c>
      <c r="O343" s="46">
        <f ca="1">(SUMPRODUCT(MID(0&amp;(LEFT(A342,SUM(LEN(A342)-LEN(SUBSTITUTE(A342,{"0","1","2"},""))))), LARGE(INDEX(ISNUMBER(--MID((LEFT(A342,SUM(LEN(A342)-LEN(SUBSTITUTE(A342,{"0","1","2"},""))))), ROW(INDIRECT("1:"&amp;LEN((LEFT(A342,SUM(LEN(A342)-LEN(SUBSTITUTE(A342,{"0","1","2"},"")))))))), 1)) * ROW(INDIRECT("1:"&amp;LEN((LEFT(A342,SUM(LEN(A342)-LEN(SUBSTITUTE(A342,{"0","1","2"},"")))))))), 0), ROW(INDIRECT("1:"&amp;LEN((LEFT(A342,SUM(LEN(A342)-LEN(SUBSTITUTE(A342,{"0","1","2"},"")))))))))+1, 1) * 10^ROW(INDIRECT("1:"&amp;LEN((LEFT(A342,SUM(LEN(A342)-LEN(SUBSTITUTE(A342,{"0","1","2"},""))))))))/10))*100+1</f>
        <v>801</v>
      </c>
      <c r="P343" s="46">
        <f ca="1">(SUMPRODUCT(MID(0&amp;(--TRIM(RIGHT(SUBSTITUTE(LEFT(A342,_xlfn.AGGREGATE(16,6,FIND({0,1,2,3,4,5,6,7,8,9},A342,ROW(INDIRECT("1:"&amp;LEN(A342)))),1))," ",REPT(" ",LEN(A342))),LEN(A342)))), LARGE(INDEX(ISNUMBER(--MID((--TRIM(RIGHT(SUBSTITUTE(LEFT(A342,_xlfn.AGGREGATE(16,6,FIND({0,1,2,3,4,5,6,7,8,9},A342,ROW(INDIRECT("1:"&amp;LEN(A342)))),1))," ",REPT(" ",LEN(A342))),LEN(A342)))), ROW(INDIRECT("1:"&amp;LEN((--TRIM(RIGHT(SUBSTITUTE(LEFT(A342,_xlfn.AGGREGATE(16,6,FIND({0,1,2,3,4,5,6,7,8,9},A342,ROW(INDIRECT("1:"&amp;LEN(A342)))),1))," ",REPT(" ",LEN(A342))),LEN(A342))))))), 1)) * ROW(INDIRECT("1:"&amp;LEN((--TRIM(RIGHT(SUBSTITUTE(LEFT(A342,_xlfn.AGGREGATE(16,6,FIND({0,1,2,3,4,5,6,7,8,9},A342,ROW(INDIRECT("1:"&amp;LEN(A342)))),1))," ",REPT(" ",LEN(A342))),LEN(A342))))))), 0), ROW(INDIRECT("1:"&amp;LEN((--TRIM(RIGHT(SUBSTITUTE(LEFT(A342,_xlfn.AGGREGATE(16,6,FIND({0,1,2,3,4,5,6,7,8,9},A342,ROW(INDIRECT("1:"&amp;LEN(A342)))),1))," ",REPT(" ",LEN(A342))),LEN(A342))))))))+1, 1) * 10^ROW(INDIRECT("1:"&amp;LEN((--TRIM(RIGHT(SUBSTITUTE(LEFT(A342,_xlfn.AGGREGATE(16,6,FIND({0,1,2,3,4,5,6,7,8,9},A342,ROW(INDIRECT("1:"&amp;LEN(A342)))),1))," ",REPT(" ",LEN(A342))),LEN(A342)))))))/10))*100+1</f>
        <v>1801</v>
      </c>
    </row>
    <row r="344" spans="1:16" s="46" customFormat="1" x14ac:dyDescent="0.35">
      <c r="A344" s="83">
        <v>2</v>
      </c>
      <c r="B344" s="84"/>
      <c r="C344" s="52" t="s">
        <v>165</v>
      </c>
      <c r="D344" s="52">
        <f>(48.79+0.75*2.9+1.61*2.6+1.65*2.75)*10.764</f>
        <v>642.48701399999993</v>
      </c>
      <c r="E344" s="52">
        <f>(2*2.75)*10.764</f>
        <v>59.201999999999998</v>
      </c>
      <c r="F344" s="52">
        <f t="shared" si="110"/>
        <v>1055.0568716999999</v>
      </c>
      <c r="G344" s="83" t="str">
        <f t="shared" ref="G344:G348" si="112">G343</f>
        <v>8th &amp; 18th Floor (Part Refuge Area)</v>
      </c>
      <c r="H344" s="84"/>
      <c r="I344" s="28"/>
      <c r="N344" s="46" t="str">
        <f t="shared" ca="1" si="111"/>
        <v>802 &amp; 1802</v>
      </c>
      <c r="O344" s="46">
        <f t="shared" ref="O344:P344" ca="1" si="113">O343+1</f>
        <v>802</v>
      </c>
      <c r="P344" s="46">
        <f t="shared" ca="1" si="113"/>
        <v>1802</v>
      </c>
    </row>
    <row r="345" spans="1:16" s="46" customFormat="1" x14ac:dyDescent="0.35">
      <c r="A345" s="83">
        <v>3</v>
      </c>
      <c r="B345" s="84"/>
      <c r="C345" s="52" t="s">
        <v>165</v>
      </c>
      <c r="D345" s="52">
        <f>(48.03+0.75*2.9+2.6*1.61+1.65*2.75)*10.764</f>
        <v>634.30637400000001</v>
      </c>
      <c r="E345" s="52">
        <f>(2*2.75)*10.764</f>
        <v>59.201999999999998</v>
      </c>
      <c r="F345" s="52">
        <f t="shared" si="110"/>
        <v>1042.3768797</v>
      </c>
      <c r="G345" s="83" t="str">
        <f t="shared" si="112"/>
        <v>8th &amp; 18th Floor (Part Refuge Area)</v>
      </c>
      <c r="H345" s="84"/>
      <c r="I345" s="28"/>
      <c r="N345" s="46" t="str">
        <f t="shared" ca="1" si="111"/>
        <v>803 &amp; 1803</v>
      </c>
      <c r="O345" s="46">
        <f t="shared" ref="O345:P345" ca="1" si="114">O344+1</f>
        <v>803</v>
      </c>
      <c r="P345" s="46">
        <f t="shared" ca="1" si="114"/>
        <v>1803</v>
      </c>
    </row>
    <row r="346" spans="1:16" s="46" customFormat="1" ht="15.75" customHeight="1" x14ac:dyDescent="0.35">
      <c r="A346" s="83">
        <v>4</v>
      </c>
      <c r="B346" s="84"/>
      <c r="C346" s="52" t="s">
        <v>165</v>
      </c>
      <c r="D346" s="52">
        <f>(48.03+0.75*2.9+1.61*2.6+1.65*2.75)*10.764</f>
        <v>634.30637400000001</v>
      </c>
      <c r="E346" s="52">
        <f>(2*2.75)*10.764</f>
        <v>59.201999999999998</v>
      </c>
      <c r="F346" s="52">
        <f t="shared" si="110"/>
        <v>1042.3768797</v>
      </c>
      <c r="G346" s="83" t="str">
        <f t="shared" si="112"/>
        <v>8th &amp; 18th Floor (Part Refuge Area)</v>
      </c>
      <c r="H346" s="84"/>
      <c r="I346" s="28"/>
      <c r="N346" s="46" t="str">
        <f t="shared" ca="1" si="111"/>
        <v>804 &amp; 1804</v>
      </c>
      <c r="O346" s="46">
        <f t="shared" ref="O346:P346" ca="1" si="115">O345+1</f>
        <v>804</v>
      </c>
      <c r="P346" s="46">
        <f t="shared" ca="1" si="115"/>
        <v>1804</v>
      </c>
    </row>
    <row r="347" spans="1:16" s="46" customFormat="1" ht="15.75" customHeight="1" x14ac:dyDescent="0.35">
      <c r="A347" s="83">
        <v>5</v>
      </c>
      <c r="B347" s="84"/>
      <c r="C347" s="52" t="s">
        <v>165</v>
      </c>
      <c r="D347" s="52">
        <f>(48.48+0.75*2.9+1.61*2.6+1.65*2.75)*10.764</f>
        <v>639.15017399999988</v>
      </c>
      <c r="E347" s="52">
        <f>(2*2.75)*10.764</f>
        <v>59.201999999999998</v>
      </c>
      <c r="F347" s="52">
        <f t="shared" si="110"/>
        <v>1049.8847696999999</v>
      </c>
      <c r="G347" s="83" t="str">
        <f t="shared" si="112"/>
        <v>8th &amp; 18th Floor (Part Refuge Area)</v>
      </c>
      <c r="H347" s="84"/>
      <c r="I347" s="28"/>
      <c r="N347" s="46" t="str">
        <f t="shared" ca="1" si="111"/>
        <v>805 &amp; 1805</v>
      </c>
      <c r="O347" s="46">
        <f t="shared" ref="O347:P347" ca="1" si="116">O346+1</f>
        <v>805</v>
      </c>
      <c r="P347" s="46">
        <f t="shared" ca="1" si="116"/>
        <v>1805</v>
      </c>
    </row>
    <row r="348" spans="1:16" s="46" customFormat="1" ht="15.75" customHeight="1" x14ac:dyDescent="0.35">
      <c r="A348" s="83">
        <v>6</v>
      </c>
      <c r="B348" s="84"/>
      <c r="C348" s="52" t="s">
        <v>164</v>
      </c>
      <c r="D348" s="52">
        <f>(35.08+0.75*2.9+1.61*2.6+1.65*2.75)*10.764</f>
        <v>494.91257399999995</v>
      </c>
      <c r="E348" s="52">
        <v>0</v>
      </c>
      <c r="F348" s="52">
        <f t="shared" si="110"/>
        <v>767.11448969999992</v>
      </c>
      <c r="G348" s="83" t="str">
        <f t="shared" si="112"/>
        <v>8th &amp; 18th Floor (Part Refuge Area)</v>
      </c>
      <c r="H348" s="84"/>
      <c r="I348" s="28"/>
      <c r="N348" s="46" t="str">
        <f t="shared" ca="1" si="111"/>
        <v>806 &amp; 1806</v>
      </c>
      <c r="O348" s="46">
        <f t="shared" ref="O348:P348" ca="1" si="117">O347+1</f>
        <v>806</v>
      </c>
      <c r="P348" s="46">
        <f t="shared" ca="1" si="117"/>
        <v>1806</v>
      </c>
    </row>
    <row r="349" spans="1:16" s="1" customFormat="1" x14ac:dyDescent="0.35">
      <c r="A349" s="153" t="s">
        <v>77</v>
      </c>
      <c r="B349" s="153"/>
      <c r="C349" s="153"/>
      <c r="D349" s="153"/>
      <c r="E349" s="153"/>
      <c r="F349" s="153"/>
      <c r="G349" s="153"/>
      <c r="H349" s="153"/>
    </row>
    <row r="350" spans="1:16" s="1" customFormat="1" ht="32.5" customHeight="1" x14ac:dyDescent="0.35">
      <c r="A350" s="48" t="s">
        <v>219</v>
      </c>
      <c r="B350" s="82" t="s">
        <v>246</v>
      </c>
      <c r="C350" s="82"/>
      <c r="D350" s="82"/>
      <c r="E350" s="82"/>
      <c r="F350" s="82"/>
      <c r="G350" s="82"/>
      <c r="H350" s="82"/>
    </row>
    <row r="351" spans="1:16" s="1" customFormat="1" ht="16.5" customHeight="1" x14ac:dyDescent="0.35">
      <c r="A351" s="48" t="s">
        <v>219</v>
      </c>
      <c r="B351" s="82" t="s">
        <v>209</v>
      </c>
      <c r="C351" s="82"/>
      <c r="D351" s="82"/>
      <c r="E351" s="82"/>
      <c r="F351" s="82"/>
      <c r="G351" s="82"/>
      <c r="H351" s="82"/>
    </row>
    <row r="352" spans="1:16" s="1" customFormat="1" x14ac:dyDescent="0.35">
      <c r="A352" s="48" t="s">
        <v>219</v>
      </c>
      <c r="B352" s="82" t="s">
        <v>200</v>
      </c>
      <c r="C352" s="82"/>
      <c r="D352" s="82"/>
      <c r="E352" s="82"/>
      <c r="F352" s="82"/>
      <c r="G352" s="82"/>
      <c r="H352" s="82"/>
    </row>
    <row r="353" spans="1:8" s="1" customFormat="1" x14ac:dyDescent="0.35">
      <c r="A353" s="78" t="s">
        <v>219</v>
      </c>
      <c r="B353" s="178" t="s">
        <v>136</v>
      </c>
      <c r="C353" s="178"/>
      <c r="D353" s="178"/>
      <c r="E353" s="178"/>
      <c r="F353" s="178"/>
      <c r="G353" s="178"/>
      <c r="H353" s="178"/>
    </row>
    <row r="354" spans="1:8" s="1" customFormat="1" x14ac:dyDescent="0.35">
      <c r="A354" s="48" t="s">
        <v>219</v>
      </c>
      <c r="B354" s="82" t="s">
        <v>201</v>
      </c>
      <c r="C354" s="82"/>
      <c r="D354" s="82"/>
      <c r="E354" s="82"/>
      <c r="F354" s="82"/>
      <c r="G354" s="82"/>
      <c r="H354" s="82"/>
    </row>
    <row r="355" spans="1:8" s="1" customFormat="1" x14ac:dyDescent="0.35">
      <c r="A355" s="48" t="s">
        <v>219</v>
      </c>
      <c r="B355" s="82" t="s">
        <v>137</v>
      </c>
      <c r="C355" s="82"/>
      <c r="D355" s="82"/>
      <c r="E355" s="82"/>
      <c r="F355" s="82"/>
      <c r="G355" s="82"/>
      <c r="H355" s="82"/>
    </row>
    <row r="356" spans="1:8" s="1" customFormat="1" x14ac:dyDescent="0.35">
      <c r="A356" s="48" t="s">
        <v>219</v>
      </c>
      <c r="B356" s="82" t="s">
        <v>138</v>
      </c>
      <c r="C356" s="82"/>
      <c r="D356" s="82"/>
      <c r="E356" s="82"/>
      <c r="F356" s="82"/>
      <c r="G356" s="82"/>
      <c r="H356" s="82"/>
    </row>
    <row r="357" spans="1:8" s="1" customFormat="1" x14ac:dyDescent="0.35">
      <c r="A357" s="48" t="s">
        <v>219</v>
      </c>
      <c r="B357" s="82" t="s">
        <v>243</v>
      </c>
      <c r="C357" s="82"/>
      <c r="D357" s="82"/>
      <c r="E357" s="82"/>
      <c r="F357" s="82"/>
      <c r="G357" s="82"/>
      <c r="H357" s="82"/>
    </row>
    <row r="358" spans="1:8" s="1" customFormat="1" ht="32.25" hidden="1" customHeight="1" x14ac:dyDescent="0.35">
      <c r="A358" s="48" t="s">
        <v>219</v>
      </c>
      <c r="B358" s="182" t="s">
        <v>237</v>
      </c>
      <c r="C358" s="182"/>
      <c r="D358" s="182"/>
      <c r="E358" s="182"/>
      <c r="F358" s="182"/>
      <c r="G358" s="182"/>
      <c r="H358" s="182"/>
    </row>
    <row r="359" spans="1:8" s="1" customFormat="1" x14ac:dyDescent="0.35">
      <c r="A359" s="48" t="s">
        <v>219</v>
      </c>
      <c r="B359" s="82" t="s">
        <v>244</v>
      </c>
      <c r="C359" s="82"/>
      <c r="D359" s="82"/>
      <c r="E359" s="82"/>
      <c r="F359" s="82"/>
      <c r="G359" s="82"/>
      <c r="H359" s="82"/>
    </row>
    <row r="360" spans="1:8" x14ac:dyDescent="0.35">
      <c r="A360" s="155" t="s">
        <v>70</v>
      </c>
      <c r="B360" s="155"/>
      <c r="C360" s="155"/>
      <c r="D360" s="155"/>
      <c r="E360" s="155"/>
      <c r="F360" s="155"/>
      <c r="G360" s="155"/>
      <c r="H360" s="155"/>
    </row>
    <row r="361" spans="1:8" x14ac:dyDescent="0.35">
      <c r="A361" s="147" t="s">
        <v>71</v>
      </c>
      <c r="B361" s="147"/>
      <c r="C361" s="147"/>
      <c r="D361" s="147"/>
      <c r="E361" s="147"/>
      <c r="F361" s="147"/>
      <c r="G361" s="147"/>
      <c r="H361" s="147"/>
    </row>
    <row r="362" spans="1:8" ht="15.75" customHeight="1" x14ac:dyDescent="0.35">
      <c r="A362" s="136" t="s">
        <v>72</v>
      </c>
      <c r="B362" s="136"/>
      <c r="C362" s="136"/>
      <c r="D362" s="136"/>
      <c r="E362" s="136"/>
      <c r="F362" s="136"/>
      <c r="G362" s="136"/>
      <c r="H362" s="136"/>
    </row>
    <row r="363" spans="1:8" x14ac:dyDescent="0.35">
      <c r="A363" s="147" t="s">
        <v>73</v>
      </c>
      <c r="B363" s="147"/>
      <c r="C363" s="147"/>
      <c r="D363" s="147"/>
      <c r="E363" s="147"/>
      <c r="F363" s="147"/>
      <c r="G363" s="147"/>
      <c r="H363" s="147"/>
    </row>
    <row r="364" spans="1:8" x14ac:dyDescent="0.35">
      <c r="A364" s="147" t="s">
        <v>74</v>
      </c>
      <c r="B364" s="147"/>
      <c r="C364" s="147"/>
      <c r="D364" s="147"/>
      <c r="E364" s="147"/>
      <c r="F364" s="147"/>
      <c r="G364" s="147"/>
      <c r="H364" s="147"/>
    </row>
    <row r="365" spans="1:8" x14ac:dyDescent="0.35">
      <c r="A365" s="113" t="s">
        <v>139</v>
      </c>
      <c r="B365" s="113"/>
      <c r="C365" s="113"/>
      <c r="D365" s="113"/>
      <c r="E365" s="113"/>
      <c r="F365" s="113"/>
      <c r="G365" s="113"/>
      <c r="H365" s="113"/>
    </row>
    <row r="366" spans="1:8" ht="35.25" customHeight="1" x14ac:dyDescent="0.35">
      <c r="A366" s="114" t="s">
        <v>140</v>
      </c>
      <c r="B366" s="114"/>
      <c r="C366" s="114"/>
      <c r="D366" s="114"/>
      <c r="E366" s="114"/>
      <c r="F366" s="114"/>
      <c r="G366" s="114"/>
      <c r="H366" s="114"/>
    </row>
    <row r="367" spans="1:8" x14ac:dyDescent="0.35">
      <c r="A367" s="150" t="s">
        <v>88</v>
      </c>
      <c r="B367" s="150"/>
      <c r="C367" s="150" t="s">
        <v>92</v>
      </c>
      <c r="D367" s="150"/>
      <c r="E367" s="150" t="s">
        <v>118</v>
      </c>
      <c r="F367" s="150"/>
      <c r="G367" s="150" t="s">
        <v>241</v>
      </c>
      <c r="H367" s="150"/>
    </row>
    <row r="368" spans="1:8" x14ac:dyDescent="0.35">
      <c r="A368" s="149" t="s">
        <v>90</v>
      </c>
      <c r="B368" s="149"/>
      <c r="C368" s="149"/>
      <c r="D368" s="149"/>
      <c r="E368" s="149"/>
      <c r="F368" s="149"/>
      <c r="G368" s="149"/>
      <c r="H368" s="149"/>
    </row>
    <row r="369" spans="1:8" x14ac:dyDescent="0.35">
      <c r="A369" s="149"/>
      <c r="B369" s="149"/>
      <c r="C369" s="149"/>
      <c r="D369" s="149"/>
      <c r="E369" s="149"/>
      <c r="F369" s="149"/>
      <c r="G369" s="149"/>
      <c r="H369" s="149"/>
    </row>
    <row r="370" spans="1:8" x14ac:dyDescent="0.35">
      <c r="A370" s="149"/>
      <c r="B370" s="149"/>
      <c r="C370" s="149"/>
      <c r="D370" s="149"/>
      <c r="E370" s="149"/>
      <c r="F370" s="149"/>
      <c r="G370" s="149"/>
      <c r="H370" s="149"/>
    </row>
    <row r="371" spans="1:8" x14ac:dyDescent="0.35">
      <c r="A371" s="149"/>
      <c r="B371" s="149"/>
      <c r="C371" s="149"/>
      <c r="D371" s="149"/>
      <c r="E371" s="149"/>
      <c r="F371" s="149"/>
      <c r="G371" s="149"/>
      <c r="H371" s="149"/>
    </row>
    <row r="372" spans="1:8" x14ac:dyDescent="0.35">
      <c r="A372" s="65" t="s">
        <v>75</v>
      </c>
      <c r="B372" s="66"/>
      <c r="C372" s="66"/>
      <c r="D372" s="65" t="str">
        <f>E8</f>
        <v>Tharwanis Meghna Montana Phase II</v>
      </c>
      <c r="E372" s="67"/>
      <c r="F372" s="66"/>
      <c r="G372" s="66"/>
      <c r="H372" s="66"/>
    </row>
    <row r="373" spans="1:8" x14ac:dyDescent="0.35">
      <c r="A373" s="66"/>
      <c r="B373" s="66"/>
      <c r="C373" s="66"/>
      <c r="D373" s="66"/>
      <c r="E373" s="66"/>
      <c r="F373" s="66"/>
      <c r="G373" s="66"/>
      <c r="H373" s="66"/>
    </row>
    <row r="374" spans="1:8" x14ac:dyDescent="0.35">
      <c r="A374" s="66"/>
      <c r="B374" s="66"/>
      <c r="C374" s="66"/>
      <c r="D374" s="66"/>
      <c r="E374" s="66"/>
      <c r="F374" s="66"/>
      <c r="G374" s="66"/>
      <c r="H374" s="66"/>
    </row>
    <row r="375" spans="1:8" ht="15" customHeight="1" x14ac:dyDescent="0.35">
      <c r="A375" s="67"/>
      <c r="B375" s="67"/>
      <c r="C375" s="67"/>
      <c r="D375" s="67"/>
      <c r="E375" s="67"/>
      <c r="F375" s="67"/>
      <c r="G375" s="67"/>
      <c r="H375" s="67"/>
    </row>
    <row r="376" spans="1:8" x14ac:dyDescent="0.35">
      <c r="A376" s="67"/>
      <c r="B376" s="67"/>
      <c r="C376" s="67"/>
      <c r="D376" s="67"/>
      <c r="E376" s="67"/>
      <c r="F376" s="67"/>
      <c r="G376" s="67"/>
      <c r="H376" s="67"/>
    </row>
    <row r="377" spans="1:8" x14ac:dyDescent="0.35">
      <c r="A377" s="67"/>
      <c r="B377" s="67"/>
      <c r="C377" s="67"/>
      <c r="D377" s="67"/>
      <c r="E377" s="67"/>
      <c r="F377" s="67"/>
      <c r="G377" s="67"/>
      <c r="H377" s="67"/>
    </row>
    <row r="378" spans="1:8" x14ac:dyDescent="0.35">
      <c r="A378" s="67"/>
      <c r="B378" s="67"/>
      <c r="C378" s="67"/>
      <c r="D378" s="67"/>
      <c r="E378" s="67"/>
      <c r="F378" s="67"/>
      <c r="G378" s="67"/>
      <c r="H378" s="67"/>
    </row>
    <row r="379" spans="1:8" x14ac:dyDescent="0.35">
      <c r="A379" s="67"/>
      <c r="B379" s="67"/>
      <c r="C379" s="67"/>
      <c r="D379" s="67"/>
      <c r="E379" s="67"/>
      <c r="F379" s="67"/>
      <c r="G379" s="67"/>
      <c r="H379" s="67"/>
    </row>
    <row r="380" spans="1:8" x14ac:dyDescent="0.35">
      <c r="A380" s="67"/>
      <c r="B380" s="67"/>
      <c r="C380" s="67"/>
      <c r="D380" s="67"/>
      <c r="E380" s="67"/>
      <c r="F380" s="67"/>
      <c r="G380" s="67"/>
      <c r="H380" s="67"/>
    </row>
    <row r="381" spans="1:8" x14ac:dyDescent="0.35">
      <c r="A381" s="67"/>
      <c r="B381" s="67"/>
      <c r="C381" s="67"/>
      <c r="D381" s="67"/>
      <c r="E381" s="67"/>
      <c r="F381" s="67"/>
      <c r="G381" s="67"/>
      <c r="H381" s="67"/>
    </row>
    <row r="382" spans="1:8" x14ac:dyDescent="0.35">
      <c r="A382" s="67"/>
      <c r="B382" s="67"/>
      <c r="C382" s="67"/>
      <c r="D382" s="67"/>
      <c r="E382" s="67"/>
      <c r="F382" s="67"/>
      <c r="G382" s="67"/>
      <c r="H382" s="67"/>
    </row>
    <row r="383" spans="1:8" x14ac:dyDescent="0.35">
      <c r="A383" s="67"/>
      <c r="B383" s="67"/>
      <c r="C383" s="67"/>
      <c r="D383" s="67"/>
      <c r="E383" s="67"/>
      <c r="F383" s="67"/>
      <c r="G383" s="67"/>
      <c r="H383" s="67"/>
    </row>
    <row r="384" spans="1:8" x14ac:dyDescent="0.35">
      <c r="A384" s="67"/>
      <c r="B384" s="67"/>
      <c r="C384" s="67"/>
      <c r="D384" s="67"/>
      <c r="E384" s="67"/>
      <c r="F384" s="67"/>
      <c r="G384" s="67"/>
      <c r="H384" s="67"/>
    </row>
    <row r="385" spans="1:8" x14ac:dyDescent="0.35">
      <c r="A385" s="67"/>
      <c r="B385" s="67"/>
      <c r="C385" s="67"/>
      <c r="D385" s="67"/>
      <c r="E385" s="67"/>
      <c r="F385" s="67"/>
      <c r="G385" s="67"/>
      <c r="H385" s="67"/>
    </row>
    <row r="386" spans="1:8" x14ac:dyDescent="0.35">
      <c r="A386" s="67"/>
      <c r="B386" s="67"/>
      <c r="C386" s="67"/>
      <c r="D386" s="67"/>
      <c r="E386" s="67"/>
      <c r="F386" s="67"/>
      <c r="G386" s="67"/>
      <c r="H386" s="67"/>
    </row>
    <row r="387" spans="1:8" x14ac:dyDescent="0.35">
      <c r="A387" s="67"/>
      <c r="B387" s="67"/>
      <c r="C387" s="67"/>
      <c r="D387" s="67"/>
      <c r="E387" s="67"/>
      <c r="F387" s="67"/>
      <c r="G387" s="67"/>
      <c r="H387" s="67"/>
    </row>
    <row r="388" spans="1:8" x14ac:dyDescent="0.35">
      <c r="A388" s="67"/>
      <c r="B388" s="67"/>
      <c r="C388" s="67"/>
      <c r="D388" s="67"/>
      <c r="E388" s="67"/>
      <c r="F388" s="67"/>
      <c r="G388" s="67"/>
      <c r="H388" s="67"/>
    </row>
    <row r="389" spans="1:8" x14ac:dyDescent="0.35">
      <c r="A389" s="67"/>
      <c r="B389" s="67"/>
      <c r="C389" s="67"/>
      <c r="D389" s="67"/>
      <c r="E389" s="67"/>
      <c r="F389" s="67"/>
      <c r="G389" s="67"/>
      <c r="H389" s="67"/>
    </row>
    <row r="390" spans="1:8" x14ac:dyDescent="0.35">
      <c r="A390" s="67"/>
      <c r="B390" s="67"/>
      <c r="C390" s="67"/>
      <c r="D390" s="67"/>
      <c r="E390" s="67"/>
      <c r="F390" s="67"/>
      <c r="G390" s="67"/>
      <c r="H390" s="67"/>
    </row>
    <row r="391" spans="1:8" x14ac:dyDescent="0.35">
      <c r="A391" s="67"/>
      <c r="B391" s="67"/>
      <c r="C391" s="67"/>
      <c r="D391" s="67"/>
      <c r="E391" s="67"/>
      <c r="F391" s="67"/>
      <c r="G391" s="67"/>
      <c r="H391" s="67"/>
    </row>
    <row r="392" spans="1:8" x14ac:dyDescent="0.35">
      <c r="A392" s="67"/>
      <c r="B392" s="67"/>
      <c r="C392" s="67"/>
      <c r="D392" s="67"/>
      <c r="E392" s="67"/>
      <c r="F392" s="67"/>
      <c r="G392" s="67"/>
      <c r="H392" s="67"/>
    </row>
    <row r="393" spans="1:8" x14ac:dyDescent="0.35">
      <c r="A393" s="67"/>
      <c r="B393" s="67"/>
      <c r="C393" s="67"/>
      <c r="D393" s="67"/>
      <c r="E393" s="67"/>
      <c r="F393" s="67"/>
      <c r="G393" s="67"/>
      <c r="H393" s="67"/>
    </row>
    <row r="394" spans="1:8" x14ac:dyDescent="0.35">
      <c r="A394" s="67"/>
      <c r="B394" s="67"/>
      <c r="C394" s="67"/>
      <c r="D394" s="67"/>
      <c r="E394" s="67"/>
      <c r="F394" s="67"/>
      <c r="G394" s="67"/>
      <c r="H394" s="67"/>
    </row>
    <row r="395" spans="1:8" x14ac:dyDescent="0.35">
      <c r="A395" s="67"/>
      <c r="B395" s="67"/>
      <c r="C395" s="67"/>
      <c r="D395" s="67"/>
      <c r="E395" s="67"/>
      <c r="F395" s="67"/>
      <c r="G395" s="67"/>
      <c r="H395" s="67"/>
    </row>
    <row r="396" spans="1:8" x14ac:dyDescent="0.35">
      <c r="A396" s="67"/>
      <c r="B396" s="67"/>
      <c r="C396" s="67"/>
      <c r="D396" s="67"/>
      <c r="E396" s="67"/>
      <c r="F396" s="67"/>
      <c r="G396" s="67"/>
      <c r="H396" s="67"/>
    </row>
    <row r="397" spans="1:8" x14ac:dyDescent="0.35">
      <c r="A397" s="67"/>
      <c r="B397" s="67"/>
      <c r="C397" s="67"/>
      <c r="D397" s="67"/>
      <c r="E397" s="67"/>
      <c r="F397" s="67"/>
      <c r="G397" s="67"/>
      <c r="H397" s="67"/>
    </row>
    <row r="398" spans="1:8" x14ac:dyDescent="0.35">
      <c r="A398" s="67"/>
      <c r="B398" s="67"/>
      <c r="C398" s="67"/>
      <c r="D398" s="67"/>
      <c r="E398" s="67"/>
      <c r="F398" s="67"/>
      <c r="G398" s="67"/>
      <c r="H398" s="67"/>
    </row>
    <row r="399" spans="1:8" x14ac:dyDescent="0.35">
      <c r="A399" s="67"/>
      <c r="B399" s="67"/>
      <c r="C399" s="67"/>
      <c r="D399" s="67"/>
      <c r="E399" s="67"/>
      <c r="F399" s="67"/>
      <c r="G399" s="67"/>
      <c r="H399" s="67"/>
    </row>
    <row r="400" spans="1:8" x14ac:dyDescent="0.35">
      <c r="A400" s="67"/>
      <c r="B400" s="67"/>
      <c r="C400" s="67"/>
      <c r="D400" s="67"/>
      <c r="E400" s="67"/>
      <c r="F400" s="67"/>
      <c r="G400" s="67"/>
      <c r="H400" s="67"/>
    </row>
    <row r="401" spans="1:8" x14ac:dyDescent="0.35">
      <c r="A401" s="67"/>
      <c r="B401" s="67"/>
      <c r="C401" s="67"/>
      <c r="D401" s="67"/>
      <c r="E401" s="67"/>
      <c r="F401" s="67"/>
      <c r="G401" s="67"/>
      <c r="H401" s="67"/>
    </row>
    <row r="402" spans="1:8" x14ac:dyDescent="0.35">
      <c r="A402" s="67"/>
      <c r="B402" s="67"/>
      <c r="C402" s="67"/>
      <c r="D402" s="67"/>
      <c r="E402" s="67"/>
      <c r="F402" s="67"/>
      <c r="G402" s="67"/>
      <c r="H402" s="67"/>
    </row>
    <row r="403" spans="1:8" x14ac:dyDescent="0.35">
      <c r="A403" s="67"/>
      <c r="B403" s="67"/>
      <c r="C403" s="67"/>
      <c r="D403" s="67"/>
      <c r="E403" s="67"/>
      <c r="F403" s="67"/>
      <c r="G403" s="67"/>
      <c r="H403" s="67"/>
    </row>
    <row r="404" spans="1:8" x14ac:dyDescent="0.35">
      <c r="A404" s="67"/>
      <c r="B404" s="67"/>
      <c r="C404" s="67"/>
      <c r="D404" s="67"/>
      <c r="E404" s="67"/>
      <c r="F404" s="67"/>
      <c r="G404" s="67"/>
      <c r="H404" s="67"/>
    </row>
    <row r="405" spans="1:8" x14ac:dyDescent="0.35">
      <c r="A405" s="67"/>
      <c r="B405" s="67"/>
      <c r="C405" s="67"/>
      <c r="D405" s="67"/>
      <c r="E405" s="67"/>
      <c r="F405" s="67"/>
      <c r="G405" s="67"/>
      <c r="H405" s="67"/>
    </row>
    <row r="406" spans="1:8" x14ac:dyDescent="0.35">
      <c r="A406" s="67"/>
      <c r="B406" s="67"/>
      <c r="C406" s="67"/>
      <c r="D406" s="67"/>
      <c r="E406" s="67"/>
      <c r="F406" s="67"/>
      <c r="G406" s="67"/>
      <c r="H406" s="67"/>
    </row>
    <row r="407" spans="1:8" x14ac:dyDescent="0.35">
      <c r="A407" s="67"/>
      <c r="B407" s="67"/>
      <c r="C407" s="67"/>
      <c r="D407" s="67"/>
      <c r="E407" s="67"/>
      <c r="F407" s="67"/>
      <c r="G407" s="67"/>
      <c r="H407" s="67"/>
    </row>
    <row r="408" spans="1:8" x14ac:dyDescent="0.35">
      <c r="A408" s="67"/>
      <c r="B408" s="67"/>
      <c r="C408" s="67"/>
      <c r="D408" s="67"/>
      <c r="E408" s="67"/>
      <c r="F408" s="67"/>
      <c r="G408" s="67"/>
      <c r="H408" s="67"/>
    </row>
    <row r="409" spans="1:8" x14ac:dyDescent="0.35">
      <c r="A409" s="67"/>
      <c r="B409" s="67"/>
      <c r="C409" s="67"/>
      <c r="D409" s="67"/>
      <c r="E409" s="67"/>
      <c r="F409" s="67"/>
      <c r="G409" s="67"/>
      <c r="H409" s="67"/>
    </row>
    <row r="410" spans="1:8" x14ac:dyDescent="0.35">
      <c r="A410" s="67"/>
      <c r="B410" s="67"/>
      <c r="C410" s="67"/>
      <c r="D410" s="67"/>
      <c r="E410" s="67"/>
      <c r="F410" s="67"/>
      <c r="G410" s="67"/>
      <c r="H410" s="67"/>
    </row>
    <row r="411" spans="1:8" x14ac:dyDescent="0.35">
      <c r="A411" s="67"/>
      <c r="B411" s="67"/>
      <c r="C411" s="67"/>
      <c r="D411" s="67"/>
      <c r="E411" s="67"/>
      <c r="F411" s="67"/>
      <c r="G411" s="67"/>
      <c r="H411" s="67"/>
    </row>
    <row r="412" spans="1:8" x14ac:dyDescent="0.35">
      <c r="A412" s="67"/>
      <c r="B412" s="67"/>
      <c r="C412" s="67"/>
      <c r="D412" s="67"/>
      <c r="E412" s="67"/>
      <c r="F412" s="67"/>
      <c r="G412" s="67"/>
      <c r="H412" s="67"/>
    </row>
    <row r="413" spans="1:8" x14ac:dyDescent="0.35">
      <c r="A413" s="67"/>
      <c r="B413" s="67"/>
      <c r="C413" s="67"/>
      <c r="D413" s="67"/>
      <c r="E413" s="67"/>
      <c r="F413" s="67"/>
      <c r="G413" s="67"/>
      <c r="H413" s="67"/>
    </row>
    <row r="414" spans="1:8" x14ac:dyDescent="0.35">
      <c r="A414" s="67"/>
      <c r="B414" s="67"/>
      <c r="C414" s="67"/>
      <c r="D414" s="67"/>
      <c r="E414" s="67"/>
      <c r="F414" s="67"/>
      <c r="G414" s="67"/>
      <c r="H414" s="67"/>
    </row>
    <row r="415" spans="1:8" x14ac:dyDescent="0.35">
      <c r="A415" s="68" t="s">
        <v>76</v>
      </c>
      <c r="B415" s="67"/>
      <c r="C415" s="67"/>
      <c r="D415" s="67"/>
      <c r="E415" s="67"/>
      <c r="F415" s="67"/>
      <c r="G415" s="67"/>
      <c r="H415" s="67"/>
    </row>
    <row r="416" spans="1:8" x14ac:dyDescent="0.35">
      <c r="A416" s="67"/>
      <c r="B416" s="67"/>
      <c r="C416" s="67"/>
      <c r="D416" s="67"/>
      <c r="E416" s="67"/>
      <c r="F416" s="67"/>
      <c r="G416" s="67"/>
      <c r="H416" s="67"/>
    </row>
    <row r="417" spans="1:8" x14ac:dyDescent="0.35">
      <c r="A417" s="67"/>
      <c r="B417" s="67"/>
      <c r="C417" s="67"/>
      <c r="D417" s="67"/>
      <c r="E417" s="67"/>
      <c r="F417" s="67"/>
      <c r="G417" s="67"/>
      <c r="H417" s="67"/>
    </row>
    <row r="418" spans="1:8" x14ac:dyDescent="0.35">
      <c r="A418" s="67"/>
      <c r="B418" s="67"/>
      <c r="C418" s="67"/>
      <c r="D418" s="67"/>
      <c r="E418" s="67"/>
      <c r="F418" s="67"/>
      <c r="G418" s="67"/>
      <c r="H418" s="67"/>
    </row>
    <row r="419" spans="1:8" x14ac:dyDescent="0.35">
      <c r="A419" s="67"/>
      <c r="B419" s="67"/>
      <c r="C419" s="67"/>
      <c r="D419" s="67"/>
      <c r="E419" s="67"/>
      <c r="F419" s="67"/>
      <c r="G419" s="67"/>
      <c r="H419" s="67"/>
    </row>
    <row r="420" spans="1:8" x14ac:dyDescent="0.35">
      <c r="A420" s="67"/>
      <c r="B420" s="67"/>
      <c r="C420" s="67"/>
      <c r="D420" s="67"/>
      <c r="E420" s="67"/>
      <c r="F420" s="67"/>
      <c r="G420" s="67"/>
      <c r="H420" s="67"/>
    </row>
    <row r="421" spans="1:8" x14ac:dyDescent="0.35">
      <c r="A421" s="67"/>
      <c r="B421" s="67"/>
      <c r="C421" s="67"/>
      <c r="D421" s="67"/>
      <c r="E421" s="67"/>
      <c r="F421" s="67"/>
      <c r="G421" s="67"/>
      <c r="H421" s="67"/>
    </row>
    <row r="422" spans="1:8" x14ac:dyDescent="0.35">
      <c r="A422" s="67"/>
      <c r="B422" s="67"/>
      <c r="C422" s="67"/>
      <c r="D422" s="67"/>
      <c r="E422" s="67"/>
      <c r="F422" s="67"/>
      <c r="G422" s="67"/>
      <c r="H422" s="67"/>
    </row>
    <row r="423" spans="1:8" x14ac:dyDescent="0.35">
      <c r="A423" s="67"/>
      <c r="B423" s="67"/>
      <c r="C423" s="67"/>
      <c r="D423" s="67"/>
      <c r="E423" s="67"/>
      <c r="F423" s="67"/>
      <c r="G423" s="67"/>
      <c r="H423" s="67"/>
    </row>
    <row r="424" spans="1:8" x14ac:dyDescent="0.35">
      <c r="A424" s="67"/>
      <c r="B424" s="67"/>
      <c r="C424" s="67"/>
      <c r="D424" s="67"/>
      <c r="E424" s="67"/>
      <c r="F424" s="67"/>
      <c r="G424" s="67"/>
      <c r="H424" s="67"/>
    </row>
    <row r="425" spans="1:8" x14ac:dyDescent="0.35">
      <c r="A425" s="67"/>
      <c r="B425" s="67"/>
      <c r="C425" s="67"/>
      <c r="D425" s="67"/>
      <c r="E425" s="67"/>
      <c r="F425" s="67"/>
      <c r="G425" s="67"/>
      <c r="H425" s="67"/>
    </row>
    <row r="426" spans="1:8" x14ac:dyDescent="0.35">
      <c r="A426" s="67"/>
      <c r="B426" s="67"/>
      <c r="C426" s="67"/>
      <c r="D426" s="67"/>
      <c r="E426" s="67"/>
      <c r="F426" s="67"/>
      <c r="G426" s="67"/>
      <c r="H426" s="67"/>
    </row>
    <row r="427" spans="1:8" x14ac:dyDescent="0.35">
      <c r="A427" s="67"/>
      <c r="B427" s="67"/>
      <c r="C427" s="67"/>
      <c r="D427" s="67"/>
      <c r="E427" s="67"/>
      <c r="F427" s="67"/>
      <c r="G427" s="67"/>
      <c r="H427" s="67"/>
    </row>
    <row r="428" spans="1:8" x14ac:dyDescent="0.35">
      <c r="A428" s="67"/>
      <c r="B428" s="67"/>
      <c r="C428" s="67"/>
      <c r="D428" s="67"/>
      <c r="E428" s="67"/>
      <c r="F428" s="67"/>
      <c r="G428" s="67"/>
      <c r="H428" s="67"/>
    </row>
    <row r="429" spans="1:8" x14ac:dyDescent="0.35">
      <c r="A429" s="67"/>
      <c r="B429" s="67"/>
      <c r="C429" s="67"/>
      <c r="D429" s="67"/>
      <c r="E429" s="67"/>
      <c r="F429" s="67"/>
      <c r="G429" s="67"/>
      <c r="H429" s="67"/>
    </row>
    <row r="430" spans="1:8" x14ac:dyDescent="0.35">
      <c r="A430" s="67"/>
      <c r="B430" s="67"/>
      <c r="C430" s="67"/>
      <c r="D430" s="67"/>
      <c r="E430" s="67"/>
      <c r="F430" s="67"/>
      <c r="G430" s="67"/>
      <c r="H430" s="67"/>
    </row>
    <row r="431" spans="1:8" x14ac:dyDescent="0.35">
      <c r="A431" s="67"/>
      <c r="B431" s="67"/>
      <c r="C431" s="67"/>
      <c r="D431" s="67"/>
      <c r="E431" s="67"/>
      <c r="F431" s="67"/>
      <c r="G431" s="67"/>
      <c r="H431" s="67"/>
    </row>
    <row r="432" spans="1:8" x14ac:dyDescent="0.35">
      <c r="A432" s="67"/>
      <c r="B432" s="67"/>
      <c r="C432" s="67"/>
      <c r="D432" s="67"/>
      <c r="E432" s="67"/>
      <c r="F432" s="67"/>
      <c r="G432" s="67"/>
      <c r="H432" s="67"/>
    </row>
    <row r="433" spans="1:8" x14ac:dyDescent="0.35">
      <c r="A433" s="67"/>
      <c r="B433" s="67"/>
      <c r="C433" s="67"/>
      <c r="D433" s="67"/>
      <c r="E433" s="67"/>
      <c r="F433" s="67"/>
      <c r="G433" s="67"/>
      <c r="H433" s="67"/>
    </row>
    <row r="434" spans="1:8" x14ac:dyDescent="0.35">
      <c r="A434" s="67"/>
      <c r="B434" s="67"/>
      <c r="C434" s="67"/>
      <c r="D434" s="67"/>
      <c r="E434" s="67"/>
      <c r="F434" s="67"/>
      <c r="G434" s="67"/>
      <c r="H434" s="67"/>
    </row>
    <row r="435" spans="1:8" x14ac:dyDescent="0.35">
      <c r="A435" s="67"/>
      <c r="B435" s="67"/>
      <c r="C435" s="67"/>
      <c r="D435" s="67"/>
      <c r="E435" s="67"/>
      <c r="F435" s="67"/>
      <c r="G435" s="67"/>
      <c r="H435" s="67"/>
    </row>
    <row r="436" spans="1:8" x14ac:dyDescent="0.35">
      <c r="A436" s="67"/>
      <c r="B436" s="67"/>
      <c r="C436" s="67"/>
      <c r="D436" s="67"/>
      <c r="E436" s="67"/>
      <c r="F436" s="67"/>
      <c r="G436" s="67"/>
      <c r="H436" s="67"/>
    </row>
    <row r="437" spans="1:8" x14ac:dyDescent="0.35">
      <c r="A437" s="67"/>
      <c r="B437" s="67"/>
      <c r="C437" s="67"/>
      <c r="D437" s="67"/>
      <c r="E437" s="67"/>
      <c r="F437" s="67"/>
      <c r="G437" s="67"/>
      <c r="H437" s="67"/>
    </row>
    <row r="438" spans="1:8" x14ac:dyDescent="0.35">
      <c r="A438" s="67"/>
      <c r="B438" s="67"/>
      <c r="C438" s="67"/>
      <c r="D438" s="67"/>
      <c r="E438" s="67"/>
      <c r="F438" s="67"/>
      <c r="G438" s="67"/>
      <c r="H438" s="67"/>
    </row>
    <row r="439" spans="1:8" x14ac:dyDescent="0.35">
      <c r="A439" s="67"/>
      <c r="B439" s="67"/>
      <c r="C439" s="67"/>
      <c r="D439" s="67"/>
      <c r="E439" s="67"/>
      <c r="F439" s="67"/>
      <c r="G439" s="67"/>
      <c r="H439" s="67"/>
    </row>
    <row r="440" spans="1:8" x14ac:dyDescent="0.35">
      <c r="A440" s="67"/>
      <c r="B440" s="67"/>
      <c r="C440" s="67"/>
      <c r="D440" s="67"/>
      <c r="E440" s="67"/>
      <c r="F440" s="67"/>
      <c r="G440" s="67"/>
      <c r="H440" s="67"/>
    </row>
    <row r="441" spans="1:8" x14ac:dyDescent="0.35">
      <c r="A441" s="67"/>
      <c r="B441" s="67"/>
      <c r="C441" s="67"/>
      <c r="D441" s="67"/>
      <c r="E441" s="67"/>
      <c r="F441" s="67"/>
      <c r="G441" s="67"/>
      <c r="H441" s="67"/>
    </row>
    <row r="442" spans="1:8" x14ac:dyDescent="0.35">
      <c r="A442" s="67"/>
      <c r="B442" s="67"/>
      <c r="C442" s="67"/>
      <c r="D442" s="67"/>
      <c r="E442" s="67"/>
      <c r="F442" s="67"/>
      <c r="G442" s="67"/>
      <c r="H442" s="67"/>
    </row>
    <row r="443" spans="1:8" x14ac:dyDescent="0.35">
      <c r="A443" s="67"/>
      <c r="B443" s="67"/>
      <c r="C443" s="67"/>
      <c r="D443" s="67"/>
      <c r="E443" s="67"/>
      <c r="F443" s="67"/>
      <c r="G443" s="67"/>
      <c r="H443" s="67"/>
    </row>
    <row r="444" spans="1:8" x14ac:dyDescent="0.35">
      <c r="A444" s="67"/>
      <c r="B444" s="67"/>
      <c r="C444" s="67"/>
      <c r="D444" s="67"/>
      <c r="E444" s="67"/>
      <c r="F444" s="67"/>
      <c r="G444" s="67"/>
      <c r="H444" s="67"/>
    </row>
    <row r="445" spans="1:8" x14ac:dyDescent="0.35">
      <c r="A445" s="67"/>
      <c r="B445" s="67"/>
      <c r="C445" s="67"/>
      <c r="D445" s="67"/>
      <c r="E445" s="67"/>
      <c r="F445" s="67"/>
      <c r="G445" s="67"/>
      <c r="H445" s="67"/>
    </row>
    <row r="446" spans="1:8" x14ac:dyDescent="0.35">
      <c r="A446" s="67"/>
      <c r="B446" s="67"/>
      <c r="C446" s="67"/>
      <c r="D446" s="67"/>
      <c r="E446" s="67"/>
      <c r="F446" s="67"/>
      <c r="G446" s="67"/>
      <c r="H446" s="67"/>
    </row>
    <row r="447" spans="1:8" x14ac:dyDescent="0.35">
      <c r="A447" s="67"/>
      <c r="B447" s="67"/>
      <c r="C447" s="67"/>
      <c r="D447" s="67"/>
      <c r="E447" s="67"/>
      <c r="F447" s="67"/>
      <c r="G447" s="67"/>
      <c r="H447" s="67"/>
    </row>
    <row r="448" spans="1:8" x14ac:dyDescent="0.35">
      <c r="A448" s="67"/>
      <c r="B448" s="67"/>
      <c r="C448" s="67"/>
      <c r="D448" s="67"/>
      <c r="E448" s="67"/>
      <c r="F448" s="67"/>
      <c r="G448" s="67"/>
      <c r="H448" s="67"/>
    </row>
    <row r="449" spans="1:8" x14ac:dyDescent="0.35">
      <c r="A449" s="67"/>
      <c r="B449" s="67"/>
      <c r="C449" s="67"/>
      <c r="D449" s="67"/>
      <c r="E449" s="67"/>
      <c r="F449" s="67"/>
      <c r="G449" s="67"/>
      <c r="H449" s="67"/>
    </row>
    <row r="450" spans="1:8" x14ac:dyDescent="0.35">
      <c r="A450" s="67"/>
      <c r="B450" s="67"/>
      <c r="C450" s="67"/>
      <c r="D450" s="67"/>
      <c r="E450" s="67"/>
      <c r="F450" s="67"/>
      <c r="G450" s="67"/>
      <c r="H450" s="67"/>
    </row>
    <row r="451" spans="1:8" x14ac:dyDescent="0.35">
      <c r="A451" s="67"/>
      <c r="B451" s="67"/>
      <c r="C451" s="67"/>
      <c r="D451" s="67"/>
      <c r="E451" s="67"/>
      <c r="F451" s="67"/>
      <c r="G451" s="67"/>
      <c r="H451" s="67"/>
    </row>
    <row r="452" spans="1:8" x14ac:dyDescent="0.35">
      <c r="A452" s="67"/>
      <c r="B452" s="67"/>
      <c r="C452" s="67"/>
      <c r="D452" s="67"/>
      <c r="E452" s="67"/>
      <c r="F452" s="67"/>
      <c r="G452" s="67"/>
      <c r="H452" s="67"/>
    </row>
    <row r="453" spans="1:8" x14ac:dyDescent="0.35">
      <c r="A453" s="67"/>
      <c r="B453" s="67"/>
      <c r="C453" s="67"/>
      <c r="D453" s="67"/>
      <c r="E453" s="67"/>
      <c r="F453" s="67"/>
      <c r="G453" s="67"/>
      <c r="H453" s="67"/>
    </row>
    <row r="454" spans="1:8" x14ac:dyDescent="0.35">
      <c r="A454" s="67"/>
      <c r="B454" s="67"/>
      <c r="C454" s="67"/>
      <c r="D454" s="67"/>
      <c r="E454" s="67"/>
      <c r="F454" s="67"/>
      <c r="G454" s="67"/>
      <c r="H454" s="67"/>
    </row>
    <row r="455" spans="1:8" x14ac:dyDescent="0.35">
      <c r="A455" s="67"/>
      <c r="B455" s="67"/>
      <c r="C455" s="67"/>
      <c r="D455" s="67"/>
      <c r="E455" s="67"/>
      <c r="F455" s="67"/>
      <c r="G455" s="67"/>
      <c r="H455" s="67"/>
    </row>
  </sheetData>
  <mergeCells count="628">
    <mergeCell ref="A79:B80"/>
    <mergeCell ref="C79:D80"/>
    <mergeCell ref="E79:F80"/>
    <mergeCell ref="G79:H80"/>
    <mergeCell ref="A95:B96"/>
    <mergeCell ref="C95:D96"/>
    <mergeCell ref="E95:F96"/>
    <mergeCell ref="G95:H96"/>
    <mergeCell ref="B358:H358"/>
    <mergeCell ref="B357:H357"/>
    <mergeCell ref="A83:B83"/>
    <mergeCell ref="C83:H83"/>
    <mergeCell ref="A84:B84"/>
    <mergeCell ref="E84:F84"/>
    <mergeCell ref="G84:H84"/>
    <mergeCell ref="A105:B105"/>
    <mergeCell ref="G85:H94"/>
    <mergeCell ref="A86:B86"/>
    <mergeCell ref="A87:B87"/>
    <mergeCell ref="A88:B88"/>
    <mergeCell ref="A99:B99"/>
    <mergeCell ref="C99:H99"/>
    <mergeCell ref="A102:B102"/>
    <mergeCell ref="E102:F102"/>
    <mergeCell ref="G102:H102"/>
    <mergeCell ref="A103:B103"/>
    <mergeCell ref="E103:F112"/>
    <mergeCell ref="G103:H112"/>
    <mergeCell ref="A104:B104"/>
    <mergeCell ref="A106:B106"/>
    <mergeCell ref="A107:B107"/>
    <mergeCell ref="A108:B108"/>
    <mergeCell ref="A110:B110"/>
    <mergeCell ref="A111:B111"/>
    <mergeCell ref="L254:M254"/>
    <mergeCell ref="A255:B255"/>
    <mergeCell ref="A256:B256"/>
    <mergeCell ref="A257:B257"/>
    <mergeCell ref="A258:B258"/>
    <mergeCell ref="A113:B113"/>
    <mergeCell ref="C113:H113"/>
    <mergeCell ref="A115:B115"/>
    <mergeCell ref="C115:H115"/>
    <mergeCell ref="A118:B118"/>
    <mergeCell ref="E118:F118"/>
    <mergeCell ref="G118:H118"/>
    <mergeCell ref="A119:B119"/>
    <mergeCell ref="E119:F128"/>
    <mergeCell ref="G119:H128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274:B274"/>
    <mergeCell ref="C274:F274"/>
    <mergeCell ref="G274:H274"/>
    <mergeCell ref="A275:H275"/>
    <mergeCell ref="A276:H276"/>
    <mergeCell ref="A282:B282"/>
    <mergeCell ref="A192:B192"/>
    <mergeCell ref="A193:B193"/>
    <mergeCell ref="A194:B194"/>
    <mergeCell ref="G199:H199"/>
    <mergeCell ref="A200:B200"/>
    <mergeCell ref="G200:H200"/>
    <mergeCell ref="A201:B201"/>
    <mergeCell ref="A195:H195"/>
    <mergeCell ref="G201:H201"/>
    <mergeCell ref="G189:H194"/>
    <mergeCell ref="A202:H202"/>
    <mergeCell ref="A207:B207"/>
    <mergeCell ref="G207:H207"/>
    <mergeCell ref="A208:B208"/>
    <mergeCell ref="G208:H208"/>
    <mergeCell ref="A209:H209"/>
    <mergeCell ref="A226:B226"/>
    <mergeCell ref="A217:H217"/>
    <mergeCell ref="A129:B129"/>
    <mergeCell ref="A140:B140"/>
    <mergeCell ref="A141:B141"/>
    <mergeCell ref="A142:B142"/>
    <mergeCell ref="E133:F142"/>
    <mergeCell ref="F155:H155"/>
    <mergeCell ref="B356:H356"/>
    <mergeCell ref="A266:B266"/>
    <mergeCell ref="G266:H266"/>
    <mergeCell ref="A267:B267"/>
    <mergeCell ref="A265:B265"/>
    <mergeCell ref="G265:H265"/>
    <mergeCell ref="B350:H350"/>
    <mergeCell ref="B351:H351"/>
    <mergeCell ref="B353:H353"/>
    <mergeCell ref="B354:H354"/>
    <mergeCell ref="B355:H355"/>
    <mergeCell ref="G267:H267"/>
    <mergeCell ref="A271:B271"/>
    <mergeCell ref="G271:H271"/>
    <mergeCell ref="A272:B272"/>
    <mergeCell ref="G272:H272"/>
    <mergeCell ref="A273:B273"/>
    <mergeCell ref="G273:H273"/>
    <mergeCell ref="E132:F132"/>
    <mergeCell ref="G132:H132"/>
    <mergeCell ref="A133:B133"/>
    <mergeCell ref="L174:M174"/>
    <mergeCell ref="A170:B171"/>
    <mergeCell ref="F156:H156"/>
    <mergeCell ref="A150:E150"/>
    <mergeCell ref="C162:D162"/>
    <mergeCell ref="E162:F162"/>
    <mergeCell ref="F153:H153"/>
    <mergeCell ref="A151:E151"/>
    <mergeCell ref="F151:H151"/>
    <mergeCell ref="E161:F161"/>
    <mergeCell ref="F149:H149"/>
    <mergeCell ref="A152:E152"/>
    <mergeCell ref="F152:H152"/>
    <mergeCell ref="A153:E153"/>
    <mergeCell ref="A155:E155"/>
    <mergeCell ref="A154:E154"/>
    <mergeCell ref="F154:H154"/>
    <mergeCell ref="A136:B136"/>
    <mergeCell ref="A137:B137"/>
    <mergeCell ref="A138:B138"/>
    <mergeCell ref="A167:B167"/>
    <mergeCell ref="E43:H43"/>
    <mergeCell ref="A41:D41"/>
    <mergeCell ref="D59:H59"/>
    <mergeCell ref="D60:H60"/>
    <mergeCell ref="A56:C60"/>
    <mergeCell ref="A76:B76"/>
    <mergeCell ref="A69:B69"/>
    <mergeCell ref="C67:H67"/>
    <mergeCell ref="A70:B70"/>
    <mergeCell ref="A72:B72"/>
    <mergeCell ref="A52:H52"/>
    <mergeCell ref="A53:C53"/>
    <mergeCell ref="A54:C54"/>
    <mergeCell ref="D54:H54"/>
    <mergeCell ref="G50:H50"/>
    <mergeCell ref="A51:B51"/>
    <mergeCell ref="C51:E51"/>
    <mergeCell ref="G51:H51"/>
    <mergeCell ref="D61:H61"/>
    <mergeCell ref="E69:F78"/>
    <mergeCell ref="G69:H78"/>
    <mergeCell ref="A77:B77"/>
    <mergeCell ref="A78:B78"/>
    <mergeCell ref="D62:H62"/>
    <mergeCell ref="A31:B31"/>
    <mergeCell ref="C31:E31"/>
    <mergeCell ref="A37:H37"/>
    <mergeCell ref="C33:E33"/>
    <mergeCell ref="F33:H33"/>
    <mergeCell ref="A35:B35"/>
    <mergeCell ref="A42:D42"/>
    <mergeCell ref="A43:D43"/>
    <mergeCell ref="A44:H44"/>
    <mergeCell ref="A36:B36"/>
    <mergeCell ref="C36:H36"/>
    <mergeCell ref="E35:F35"/>
    <mergeCell ref="C35:D35"/>
    <mergeCell ref="G35:H35"/>
    <mergeCell ref="A34:H34"/>
    <mergeCell ref="A33:B33"/>
    <mergeCell ref="A38:D38"/>
    <mergeCell ref="E38:H38"/>
    <mergeCell ref="E39:H39"/>
    <mergeCell ref="A39:D39"/>
    <mergeCell ref="A40:D40"/>
    <mergeCell ref="E40:H40"/>
    <mergeCell ref="E41:H41"/>
    <mergeCell ref="E42:H42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29:H29"/>
    <mergeCell ref="A30:B30"/>
    <mergeCell ref="A29:B29"/>
    <mergeCell ref="C30:E30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368:H371"/>
    <mergeCell ref="A367:B367"/>
    <mergeCell ref="E367:F367"/>
    <mergeCell ref="C367:D367"/>
    <mergeCell ref="G367:H367"/>
    <mergeCell ref="A158:E158"/>
    <mergeCell ref="F158:H158"/>
    <mergeCell ref="A159:E159"/>
    <mergeCell ref="F159:H159"/>
    <mergeCell ref="A174:H174"/>
    <mergeCell ref="A162:B162"/>
    <mergeCell ref="A184:B184"/>
    <mergeCell ref="A363:H363"/>
    <mergeCell ref="A160:H160"/>
    <mergeCell ref="A366:H366"/>
    <mergeCell ref="A364:H364"/>
    <mergeCell ref="A349:H349"/>
    <mergeCell ref="A181:H181"/>
    <mergeCell ref="C170:C171"/>
    <mergeCell ref="G180:H180"/>
    <mergeCell ref="C161:D161"/>
    <mergeCell ref="A360:H360"/>
    <mergeCell ref="A168:H168"/>
    <mergeCell ref="A361:H361"/>
    <mergeCell ref="C45:E45"/>
    <mergeCell ref="G45:H45"/>
    <mergeCell ref="A45:B45"/>
    <mergeCell ref="A49:B49"/>
    <mergeCell ref="A46:B46"/>
    <mergeCell ref="A47:B48"/>
    <mergeCell ref="A75:B75"/>
    <mergeCell ref="A68:B68"/>
    <mergeCell ref="A71:B71"/>
    <mergeCell ref="A64:C64"/>
    <mergeCell ref="D64:H64"/>
    <mergeCell ref="G68:H68"/>
    <mergeCell ref="A67:B67"/>
    <mergeCell ref="A65:B65"/>
    <mergeCell ref="C65:H65"/>
    <mergeCell ref="E68:F68"/>
    <mergeCell ref="G49:H49"/>
    <mergeCell ref="G47:H47"/>
    <mergeCell ref="D53:H53"/>
    <mergeCell ref="C47:E47"/>
    <mergeCell ref="C46:E46"/>
    <mergeCell ref="C49:E49"/>
    <mergeCell ref="A50:B50"/>
    <mergeCell ref="C50:E50"/>
    <mergeCell ref="A61:C61"/>
    <mergeCell ref="A62:C62"/>
    <mergeCell ref="D56:H56"/>
    <mergeCell ref="D57:H57"/>
    <mergeCell ref="D55:H55"/>
    <mergeCell ref="A55:C55"/>
    <mergeCell ref="G46:H46"/>
    <mergeCell ref="A365:H365"/>
    <mergeCell ref="A180:B180"/>
    <mergeCell ref="A362:H362"/>
    <mergeCell ref="A175:B175"/>
    <mergeCell ref="A161:B161"/>
    <mergeCell ref="D170:D171"/>
    <mergeCell ref="E170:E171"/>
    <mergeCell ref="G170:H171"/>
    <mergeCell ref="A89:B89"/>
    <mergeCell ref="A90:B90"/>
    <mergeCell ref="A91:B91"/>
    <mergeCell ref="A109:B109"/>
    <mergeCell ref="F147:H147"/>
    <mergeCell ref="A144:H144"/>
    <mergeCell ref="A145:B145"/>
    <mergeCell ref="A146:H146"/>
    <mergeCell ref="A199:B199"/>
    <mergeCell ref="F150:H150"/>
    <mergeCell ref="F157:H157"/>
    <mergeCell ref="G162:H162"/>
    <mergeCell ref="G161:H161"/>
    <mergeCell ref="G133:H142"/>
    <mergeCell ref="A134:B134"/>
    <mergeCell ref="A135:B135"/>
    <mergeCell ref="A187:B187"/>
    <mergeCell ref="G179:H179"/>
    <mergeCell ref="A186:B186"/>
    <mergeCell ref="A185:B185"/>
    <mergeCell ref="A182:B182"/>
    <mergeCell ref="A172:H172"/>
    <mergeCell ref="A173:H173"/>
    <mergeCell ref="G178:H178"/>
    <mergeCell ref="G175:H175"/>
    <mergeCell ref="A157:E157"/>
    <mergeCell ref="A178:B178"/>
    <mergeCell ref="G177:H177"/>
    <mergeCell ref="C167:D167"/>
    <mergeCell ref="E167:F167"/>
    <mergeCell ref="G167:H167"/>
    <mergeCell ref="A73:B73"/>
    <mergeCell ref="A63:C63"/>
    <mergeCell ref="D63:H63"/>
    <mergeCell ref="A139:B139"/>
    <mergeCell ref="A183:B183"/>
    <mergeCell ref="A169:H169"/>
    <mergeCell ref="A156:E156"/>
    <mergeCell ref="G176:H176"/>
    <mergeCell ref="C145:H145"/>
    <mergeCell ref="F148:H148"/>
    <mergeCell ref="A148:E148"/>
    <mergeCell ref="A81:B81"/>
    <mergeCell ref="C81:H81"/>
    <mergeCell ref="A74:B74"/>
    <mergeCell ref="A149:E149"/>
    <mergeCell ref="A147:E147"/>
    <mergeCell ref="A179:B179"/>
    <mergeCell ref="A176:B176"/>
    <mergeCell ref="A177:B177"/>
    <mergeCell ref="G182:H187"/>
    <mergeCell ref="C129:H129"/>
    <mergeCell ref="A131:B131"/>
    <mergeCell ref="C131:H131"/>
    <mergeCell ref="A132:B132"/>
    <mergeCell ref="L195:M195"/>
    <mergeCell ref="A196:B196"/>
    <mergeCell ref="G196:H196"/>
    <mergeCell ref="A197:B197"/>
    <mergeCell ref="G197:H197"/>
    <mergeCell ref="A198:B198"/>
    <mergeCell ref="G198:H198"/>
    <mergeCell ref="C48:H48"/>
    <mergeCell ref="A112:B112"/>
    <mergeCell ref="A188:H188"/>
    <mergeCell ref="A189:B189"/>
    <mergeCell ref="A190:B190"/>
    <mergeCell ref="A191:B191"/>
    <mergeCell ref="D58:H58"/>
    <mergeCell ref="A97:B97"/>
    <mergeCell ref="C97:H97"/>
    <mergeCell ref="A85:B85"/>
    <mergeCell ref="E85:F94"/>
    <mergeCell ref="A92:B92"/>
    <mergeCell ref="A93:B93"/>
    <mergeCell ref="A94:B94"/>
    <mergeCell ref="A143:E143"/>
    <mergeCell ref="F143:H143"/>
    <mergeCell ref="G166:H166"/>
    <mergeCell ref="L202:M202"/>
    <mergeCell ref="A203:B203"/>
    <mergeCell ref="G203:H203"/>
    <mergeCell ref="A204:B204"/>
    <mergeCell ref="G204:H204"/>
    <mergeCell ref="A205:B205"/>
    <mergeCell ref="G205:H205"/>
    <mergeCell ref="A206:B206"/>
    <mergeCell ref="G206:H206"/>
    <mergeCell ref="A214:B214"/>
    <mergeCell ref="G214:H214"/>
    <mergeCell ref="A215:B215"/>
    <mergeCell ref="G215:H215"/>
    <mergeCell ref="A216:H216"/>
    <mergeCell ref="L209:M209"/>
    <mergeCell ref="A210:B210"/>
    <mergeCell ref="G210:H210"/>
    <mergeCell ref="A211:B211"/>
    <mergeCell ref="G211:H211"/>
    <mergeCell ref="A212:B212"/>
    <mergeCell ref="G212:H212"/>
    <mergeCell ref="A213:B213"/>
    <mergeCell ref="G213:H213"/>
    <mergeCell ref="A223:H223"/>
    <mergeCell ref="A225:B225"/>
    <mergeCell ref="G219:H222"/>
    <mergeCell ref="A227:B227"/>
    <mergeCell ref="A228:H228"/>
    <mergeCell ref="L228:M228"/>
    <mergeCell ref="A229:B229"/>
    <mergeCell ref="G229:H229"/>
    <mergeCell ref="A218:H218"/>
    <mergeCell ref="A219:B219"/>
    <mergeCell ref="A220:B220"/>
    <mergeCell ref="A221:B221"/>
    <mergeCell ref="A222:B222"/>
    <mergeCell ref="A230:B230"/>
    <mergeCell ref="G230:H230"/>
    <mergeCell ref="A231:B231"/>
    <mergeCell ref="G231:H231"/>
    <mergeCell ref="G224:H227"/>
    <mergeCell ref="A232:B232"/>
    <mergeCell ref="G232:H232"/>
    <mergeCell ref="A233:H233"/>
    <mergeCell ref="L233:M233"/>
    <mergeCell ref="A224:B224"/>
    <mergeCell ref="A234:B234"/>
    <mergeCell ref="G234:H234"/>
    <mergeCell ref="A235:B235"/>
    <mergeCell ref="G235:H235"/>
    <mergeCell ref="A236:B236"/>
    <mergeCell ref="G236:H236"/>
    <mergeCell ref="A237:B237"/>
    <mergeCell ref="G237:H237"/>
    <mergeCell ref="A238:H238"/>
    <mergeCell ref="A239:H239"/>
    <mergeCell ref="A240:H240"/>
    <mergeCell ref="L240:M240"/>
    <mergeCell ref="A241:B241"/>
    <mergeCell ref="G241:H241"/>
    <mergeCell ref="A242:B242"/>
    <mergeCell ref="G242:H242"/>
    <mergeCell ref="L247:M247"/>
    <mergeCell ref="A248:B248"/>
    <mergeCell ref="A243:B243"/>
    <mergeCell ref="G243:H243"/>
    <mergeCell ref="A244:B244"/>
    <mergeCell ref="G244:H244"/>
    <mergeCell ref="A245:B245"/>
    <mergeCell ref="G245:H245"/>
    <mergeCell ref="A246:B246"/>
    <mergeCell ref="G246:H246"/>
    <mergeCell ref="A247:H247"/>
    <mergeCell ref="A252:B252"/>
    <mergeCell ref="A253:B253"/>
    <mergeCell ref="C267:F267"/>
    <mergeCell ref="A268:H268"/>
    <mergeCell ref="A269:B269"/>
    <mergeCell ref="G269:H269"/>
    <mergeCell ref="A270:B270"/>
    <mergeCell ref="G270:H270"/>
    <mergeCell ref="A264:B264"/>
    <mergeCell ref="G264:H264"/>
    <mergeCell ref="G263:H263"/>
    <mergeCell ref="A261:H261"/>
    <mergeCell ref="A262:B262"/>
    <mergeCell ref="A263:B263"/>
    <mergeCell ref="G262:H262"/>
    <mergeCell ref="A254:H254"/>
    <mergeCell ref="A259:B259"/>
    <mergeCell ref="A260:B260"/>
    <mergeCell ref="G248:H253"/>
    <mergeCell ref="G255:H260"/>
    <mergeCell ref="A249:B249"/>
    <mergeCell ref="A250:B250"/>
    <mergeCell ref="A251:B251"/>
    <mergeCell ref="G282:H282"/>
    <mergeCell ref="A283:B283"/>
    <mergeCell ref="G283:H283"/>
    <mergeCell ref="A284:H284"/>
    <mergeCell ref="L284:M284"/>
    <mergeCell ref="A285:B285"/>
    <mergeCell ref="A286:B286"/>
    <mergeCell ref="A277:H277"/>
    <mergeCell ref="L277:M277"/>
    <mergeCell ref="A278:B278"/>
    <mergeCell ref="G278:H278"/>
    <mergeCell ref="A279:B279"/>
    <mergeCell ref="G279:H279"/>
    <mergeCell ref="A280:B280"/>
    <mergeCell ref="G280:H280"/>
    <mergeCell ref="A281:B281"/>
    <mergeCell ref="G281:H281"/>
    <mergeCell ref="L291:M291"/>
    <mergeCell ref="A292:B292"/>
    <mergeCell ref="A293:B293"/>
    <mergeCell ref="A294:B294"/>
    <mergeCell ref="A295:B295"/>
    <mergeCell ref="A287:B287"/>
    <mergeCell ref="A288:B288"/>
    <mergeCell ref="A289:B289"/>
    <mergeCell ref="A290:B290"/>
    <mergeCell ref="A291:H291"/>
    <mergeCell ref="G285:H290"/>
    <mergeCell ref="G299:H299"/>
    <mergeCell ref="A300:B300"/>
    <mergeCell ref="G300:H300"/>
    <mergeCell ref="G292:H297"/>
    <mergeCell ref="A301:B301"/>
    <mergeCell ref="G301:H301"/>
    <mergeCell ref="A302:B302"/>
    <mergeCell ref="G302:H302"/>
    <mergeCell ref="A303:B303"/>
    <mergeCell ref="G303:H303"/>
    <mergeCell ref="L314:M314"/>
    <mergeCell ref="A319:B319"/>
    <mergeCell ref="G319:H319"/>
    <mergeCell ref="A320:B320"/>
    <mergeCell ref="G320:H320"/>
    <mergeCell ref="A321:H321"/>
    <mergeCell ref="L321:M321"/>
    <mergeCell ref="A322:B322"/>
    <mergeCell ref="A315:B315"/>
    <mergeCell ref="G315:H315"/>
    <mergeCell ref="A316:B316"/>
    <mergeCell ref="G316:H316"/>
    <mergeCell ref="A317:B317"/>
    <mergeCell ref="G317:H317"/>
    <mergeCell ref="A318:B318"/>
    <mergeCell ref="G318:H318"/>
    <mergeCell ref="A314:H314"/>
    <mergeCell ref="L328:M328"/>
    <mergeCell ref="A329:B329"/>
    <mergeCell ref="A330:B330"/>
    <mergeCell ref="A331:B331"/>
    <mergeCell ref="A332:B332"/>
    <mergeCell ref="A323:B323"/>
    <mergeCell ref="A324:B324"/>
    <mergeCell ref="A325:B325"/>
    <mergeCell ref="A326:B326"/>
    <mergeCell ref="A327:B327"/>
    <mergeCell ref="G322:H327"/>
    <mergeCell ref="A347:B347"/>
    <mergeCell ref="G347:H347"/>
    <mergeCell ref="A338:B338"/>
    <mergeCell ref="G338:H338"/>
    <mergeCell ref="A339:B339"/>
    <mergeCell ref="G339:H339"/>
    <mergeCell ref="A340:B340"/>
    <mergeCell ref="G340:H340"/>
    <mergeCell ref="A341:B341"/>
    <mergeCell ref="G341:H341"/>
    <mergeCell ref="A342:H342"/>
    <mergeCell ref="A343:B343"/>
    <mergeCell ref="G343:H343"/>
    <mergeCell ref="A344:B344"/>
    <mergeCell ref="G344:H344"/>
    <mergeCell ref="A336:B336"/>
    <mergeCell ref="G336:H336"/>
    <mergeCell ref="A337:B337"/>
    <mergeCell ref="G337:H337"/>
    <mergeCell ref="G329:H334"/>
    <mergeCell ref="A328:H328"/>
    <mergeCell ref="A345:B345"/>
    <mergeCell ref="G345:H345"/>
    <mergeCell ref="A346:B346"/>
    <mergeCell ref="G346:H346"/>
    <mergeCell ref="A333:B333"/>
    <mergeCell ref="A334:B334"/>
    <mergeCell ref="A335:H335"/>
    <mergeCell ref="A166:B166"/>
    <mergeCell ref="C166:D166"/>
    <mergeCell ref="E166:F166"/>
    <mergeCell ref="A312:H312"/>
    <mergeCell ref="A313:H313"/>
    <mergeCell ref="A310:B310"/>
    <mergeCell ref="G310:H310"/>
    <mergeCell ref="A311:B311"/>
    <mergeCell ref="G311:H311"/>
    <mergeCell ref="A305:H305"/>
    <mergeCell ref="A306:B306"/>
    <mergeCell ref="G306:H306"/>
    <mergeCell ref="A307:B307"/>
    <mergeCell ref="G307:H307"/>
    <mergeCell ref="A308:B308"/>
    <mergeCell ref="G308:H308"/>
    <mergeCell ref="A309:B309"/>
    <mergeCell ref="G309:H309"/>
    <mergeCell ref="A304:B304"/>
    <mergeCell ref="G304:H304"/>
    <mergeCell ref="A296:B296"/>
    <mergeCell ref="A297:B297"/>
    <mergeCell ref="A298:H298"/>
    <mergeCell ref="A299:B299"/>
    <mergeCell ref="A100:B101"/>
    <mergeCell ref="C100:D101"/>
    <mergeCell ref="E100:F101"/>
    <mergeCell ref="G100:H101"/>
    <mergeCell ref="A116:B117"/>
    <mergeCell ref="C116:D117"/>
    <mergeCell ref="E116:F117"/>
    <mergeCell ref="G116:H117"/>
    <mergeCell ref="B359:H359"/>
    <mergeCell ref="B352:H352"/>
    <mergeCell ref="A348:B348"/>
    <mergeCell ref="G348:H348"/>
    <mergeCell ref="A163:B163"/>
    <mergeCell ref="C163:D163"/>
    <mergeCell ref="E163:F163"/>
    <mergeCell ref="G163:H163"/>
    <mergeCell ref="A164:B164"/>
    <mergeCell ref="C164:D164"/>
    <mergeCell ref="E164:F164"/>
    <mergeCell ref="G164:H164"/>
    <mergeCell ref="A165:B165"/>
    <mergeCell ref="C165:D165"/>
    <mergeCell ref="E165:F165"/>
    <mergeCell ref="G165:H16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&amp;P</oddFooter>
  </headerFooter>
  <rowBreaks count="3" manualBreakCount="3">
    <brk id="80" max="16383" man="1"/>
    <brk id="371" max="16383" man="1"/>
    <brk id="4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B16" sqref="B16"/>
    </sheetView>
  </sheetViews>
  <sheetFormatPr defaultColWidth="8.7265625" defaultRowHeight="14.5" x14ac:dyDescent="0.35"/>
  <cols>
    <col min="1" max="1" width="8.7265625" style="14"/>
    <col min="2" max="2" width="22.1796875" style="14" customWidth="1"/>
    <col min="3" max="3" width="37" style="14" customWidth="1"/>
    <col min="4" max="5" width="11.453125" style="14" customWidth="1"/>
    <col min="6" max="6" width="14" style="14" customWidth="1"/>
    <col min="7" max="7" width="20" style="14" customWidth="1"/>
    <col min="8" max="8" width="16.453125" style="14" customWidth="1"/>
    <col min="9" max="16384" width="8.7265625" style="14"/>
  </cols>
  <sheetData>
    <row r="1" spans="1:9" ht="15" customHeight="1" x14ac:dyDescent="0.35">
      <c r="A1" s="13"/>
      <c r="B1" s="13"/>
      <c r="C1" s="13"/>
      <c r="D1" s="13"/>
      <c r="E1" s="13"/>
      <c r="F1" s="13"/>
      <c r="G1" s="13"/>
      <c r="H1" s="13"/>
    </row>
    <row r="2" spans="1:9" ht="15" customHeight="1" x14ac:dyDescent="0.35">
      <c r="A2" s="15"/>
      <c r="B2" s="15"/>
      <c r="C2" s="15"/>
      <c r="D2" s="15"/>
      <c r="E2" s="15"/>
      <c r="F2" s="15"/>
      <c r="G2" s="15"/>
      <c r="H2" s="15"/>
    </row>
    <row r="3" spans="1:9" ht="15.75" customHeight="1" x14ac:dyDescent="0.35">
      <c r="A3" s="15"/>
      <c r="B3" s="181" t="s">
        <v>119</v>
      </c>
      <c r="C3" s="181"/>
      <c r="D3" s="181"/>
      <c r="E3" s="181"/>
      <c r="F3" s="181"/>
      <c r="G3" s="181"/>
      <c r="H3" s="181"/>
    </row>
    <row r="4" spans="1:9" x14ac:dyDescent="0.35">
      <c r="A4" s="15"/>
      <c r="B4" s="16" t="s">
        <v>120</v>
      </c>
      <c r="C4" s="16" t="s">
        <v>121</v>
      </c>
      <c r="D4" s="16" t="s">
        <v>78</v>
      </c>
      <c r="E4" s="16" t="s">
        <v>122</v>
      </c>
      <c r="F4" s="16" t="s">
        <v>129</v>
      </c>
      <c r="G4" s="16" t="s">
        <v>130</v>
      </c>
      <c r="H4" s="16" t="s">
        <v>123</v>
      </c>
    </row>
    <row r="5" spans="1:9" ht="15" customHeight="1" x14ac:dyDescent="0.35">
      <c r="A5" s="15"/>
      <c r="B5" s="18" t="s">
        <v>124</v>
      </c>
      <c r="C5" s="19"/>
      <c r="D5" s="18" t="s">
        <v>125</v>
      </c>
      <c r="E5" s="18">
        <v>1106</v>
      </c>
      <c r="F5" s="20">
        <f>E5*1.6</f>
        <v>1769.6000000000001</v>
      </c>
      <c r="G5" s="20">
        <f>H5/F5</f>
        <v>31532.549728752259</v>
      </c>
      <c r="H5" s="21">
        <v>55800000</v>
      </c>
    </row>
    <row r="6" spans="1:9" x14ac:dyDescent="0.35">
      <c r="A6" s="15"/>
      <c r="B6" s="18" t="s">
        <v>124</v>
      </c>
      <c r="C6" s="22"/>
      <c r="D6" s="18"/>
      <c r="E6" s="18"/>
      <c r="F6" s="20">
        <f t="shared" ref="F6:F11" si="0">E6*1.6</f>
        <v>0</v>
      </c>
      <c r="G6" s="20" t="e">
        <f t="shared" ref="G6:G11" si="1">H6/F6</f>
        <v>#DIV/0!</v>
      </c>
      <c r="H6" s="21"/>
    </row>
    <row r="7" spans="1:9" ht="15" customHeight="1" x14ac:dyDescent="0.35">
      <c r="A7" s="15"/>
      <c r="B7" s="18" t="s">
        <v>124</v>
      </c>
      <c r="C7" s="19"/>
      <c r="D7" s="18"/>
      <c r="E7" s="18"/>
      <c r="F7" s="20">
        <f t="shared" si="0"/>
        <v>0</v>
      </c>
      <c r="G7" s="20" t="e">
        <f t="shared" si="1"/>
        <v>#DIV/0!</v>
      </c>
      <c r="H7" s="21"/>
    </row>
    <row r="8" spans="1:9" x14ac:dyDescent="0.35">
      <c r="A8" s="15"/>
      <c r="B8" s="18" t="s">
        <v>124</v>
      </c>
      <c r="C8" s="22"/>
      <c r="D8" s="18"/>
      <c r="E8" s="18"/>
      <c r="F8" s="20">
        <f t="shared" si="0"/>
        <v>0</v>
      </c>
      <c r="G8" s="20" t="e">
        <f t="shared" si="1"/>
        <v>#DIV/0!</v>
      </c>
      <c r="H8" s="21"/>
    </row>
    <row r="9" spans="1:9" ht="15" customHeight="1" x14ac:dyDescent="0.35">
      <c r="A9" s="15"/>
      <c r="B9" s="18" t="s">
        <v>124</v>
      </c>
      <c r="C9" s="22"/>
      <c r="D9" s="18"/>
      <c r="E9" s="18"/>
      <c r="F9" s="20">
        <f t="shared" si="0"/>
        <v>0</v>
      </c>
      <c r="G9" s="20" t="e">
        <f t="shared" si="1"/>
        <v>#DIV/0!</v>
      </c>
      <c r="H9" s="21"/>
    </row>
    <row r="10" spans="1:9" ht="15" customHeight="1" x14ac:dyDescent="0.35">
      <c r="A10" s="15"/>
      <c r="B10" s="18" t="s">
        <v>126</v>
      </c>
      <c r="C10" s="19"/>
      <c r="D10" s="18"/>
      <c r="E10" s="18"/>
      <c r="F10" s="20">
        <f t="shared" si="0"/>
        <v>0</v>
      </c>
      <c r="G10" s="20" t="e">
        <f t="shared" si="1"/>
        <v>#DIV/0!</v>
      </c>
      <c r="H10" s="21"/>
    </row>
    <row r="11" spans="1:9" ht="15" customHeight="1" x14ac:dyDescent="0.35">
      <c r="A11" s="15"/>
      <c r="B11" s="18" t="s">
        <v>126</v>
      </c>
      <c r="C11" s="19"/>
      <c r="D11" s="18"/>
      <c r="E11" s="18"/>
      <c r="F11" s="20">
        <f t="shared" si="0"/>
        <v>0</v>
      </c>
      <c r="G11" s="20" t="e">
        <f t="shared" si="1"/>
        <v>#DIV/0!</v>
      </c>
      <c r="H11" s="21"/>
    </row>
    <row r="12" spans="1:9" ht="15" customHeight="1" x14ac:dyDescent="0.35">
      <c r="A12" s="15"/>
      <c r="B12" s="23" t="s">
        <v>127</v>
      </c>
      <c r="C12" s="18"/>
      <c r="D12" s="18"/>
      <c r="E12" s="18"/>
      <c r="F12" s="18"/>
      <c r="G12" s="24" t="e">
        <f>AVERAGE(G5:G11)</f>
        <v>#DIV/0!</v>
      </c>
      <c r="H12" s="18"/>
    </row>
    <row r="13" spans="1:9" ht="15" customHeight="1" x14ac:dyDescent="0.35">
      <c r="A13" s="13"/>
      <c r="B13" s="23" t="s">
        <v>128</v>
      </c>
      <c r="C13" s="25"/>
      <c r="D13" s="25"/>
      <c r="E13" s="25"/>
      <c r="F13" s="26"/>
      <c r="G13" s="23"/>
      <c r="H13" s="23"/>
      <c r="I13" s="17"/>
    </row>
    <row r="14" spans="1:9" ht="15" customHeight="1" x14ac:dyDescent="0.35">
      <c r="B14" s="13"/>
      <c r="C14" s="13"/>
      <c r="D14" s="13"/>
      <c r="E14" s="13"/>
    </row>
    <row r="15" spans="1:9" ht="15" customHeight="1" x14ac:dyDescent="0.35">
      <c r="B15" s="13"/>
      <c r="C15" s="13"/>
      <c r="D15" s="13"/>
      <c r="E15" s="13"/>
    </row>
    <row r="16" spans="1:9" ht="15" customHeight="1" x14ac:dyDescent="0.35">
      <c r="B16" s="13"/>
      <c r="C16" s="13"/>
      <c r="D16" s="13"/>
      <c r="E16" s="13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2025-04-18T10:27:01Z</cp:lastPrinted>
  <dcterms:created xsi:type="dcterms:W3CDTF">2019-07-16T09:29:46Z</dcterms:created>
  <dcterms:modified xsi:type="dcterms:W3CDTF">2025-09-12T07:06:37Z</dcterms:modified>
</cp:coreProperties>
</file>