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2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" i="1" l="1"/>
  <c r="E167" i="1"/>
  <c r="D167" i="1"/>
  <c r="E166" i="1"/>
  <c r="D166" i="1"/>
  <c r="E165" i="1"/>
  <c r="D165" i="1"/>
  <c r="A165" i="1"/>
  <c r="A166" i="1" s="1"/>
  <c r="A167" i="1" s="1"/>
  <c r="G164" i="1"/>
  <c r="G165" i="1" s="1"/>
  <c r="G166" i="1" s="1"/>
  <c r="G167" i="1" s="1"/>
  <c r="E164" i="1"/>
  <c r="D164" i="1"/>
  <c r="E162" i="1"/>
  <c r="D162" i="1"/>
  <c r="E161" i="1"/>
  <c r="D161" i="1"/>
  <c r="E160" i="1"/>
  <c r="D160" i="1"/>
  <c r="A160" i="1"/>
  <c r="A161" i="1" s="1"/>
  <c r="A162" i="1" s="1"/>
  <c r="G159" i="1"/>
  <c r="G160" i="1" s="1"/>
  <c r="G161" i="1" s="1"/>
  <c r="G162" i="1" s="1"/>
  <c r="E159" i="1"/>
  <c r="D159" i="1"/>
  <c r="E157" i="1"/>
  <c r="D157" i="1"/>
  <c r="E156" i="1"/>
  <c r="D156" i="1"/>
  <c r="E155" i="1"/>
  <c r="D155" i="1"/>
  <c r="A155" i="1"/>
  <c r="A156" i="1" s="1"/>
  <c r="A157" i="1" s="1"/>
  <c r="J154" i="1"/>
  <c r="G154" i="1"/>
  <c r="G155" i="1" s="1"/>
  <c r="G156" i="1" s="1"/>
  <c r="G157" i="1" s="1"/>
  <c r="E154" i="1"/>
  <c r="D154" i="1"/>
  <c r="E150" i="1"/>
  <c r="D150" i="1"/>
  <c r="E149" i="1"/>
  <c r="D149" i="1"/>
  <c r="E148" i="1"/>
  <c r="D148" i="1"/>
  <c r="A148" i="1"/>
  <c r="A149" i="1" s="1"/>
  <c r="A150" i="1" s="1"/>
  <c r="G147" i="1"/>
  <c r="G148" i="1" s="1"/>
  <c r="G149" i="1" s="1"/>
  <c r="G150" i="1" s="1"/>
  <c r="E147" i="1"/>
  <c r="D147" i="1"/>
  <c r="E145" i="1"/>
  <c r="D145" i="1"/>
  <c r="E144" i="1"/>
  <c r="D144" i="1"/>
  <c r="E143" i="1"/>
  <c r="D143" i="1"/>
  <c r="A143" i="1"/>
  <c r="A144" i="1" s="1"/>
  <c r="A145" i="1" s="1"/>
  <c r="G142" i="1"/>
  <c r="G143" i="1" s="1"/>
  <c r="G144" i="1" s="1"/>
  <c r="G145" i="1" s="1"/>
  <c r="E142" i="1"/>
  <c r="D142" i="1"/>
  <c r="E140" i="1"/>
  <c r="D140" i="1"/>
  <c r="E139" i="1"/>
  <c r="D139" i="1"/>
  <c r="E138" i="1"/>
  <c r="D138" i="1"/>
  <c r="A138" i="1"/>
  <c r="A139" i="1" s="1"/>
  <c r="A140" i="1" s="1"/>
  <c r="J137" i="1"/>
  <c r="G137" i="1"/>
  <c r="G138" i="1" s="1"/>
  <c r="G139" i="1" s="1"/>
  <c r="G140" i="1" s="1"/>
  <c r="E137" i="1"/>
  <c r="D137" i="1"/>
  <c r="D128" i="1"/>
  <c r="E128" i="1"/>
  <c r="D127" i="1"/>
  <c r="D126" i="1"/>
  <c r="D125" i="1"/>
  <c r="E126" i="1"/>
  <c r="E127" i="1"/>
  <c r="E125" i="1"/>
  <c r="A126" i="1"/>
  <c r="A127" i="1" s="1"/>
  <c r="A128" i="1" s="1"/>
  <c r="G125" i="1"/>
  <c r="G126" i="1" s="1"/>
  <c r="G127" i="1" s="1"/>
  <c r="G128" i="1" s="1"/>
  <c r="D133" i="1"/>
  <c r="D132" i="1"/>
  <c r="D131" i="1"/>
  <c r="D130" i="1"/>
  <c r="E133" i="1"/>
  <c r="E132" i="1"/>
  <c r="E131" i="1"/>
  <c r="E130" i="1"/>
  <c r="A131" i="1"/>
  <c r="A132" i="1" s="1"/>
  <c r="A133" i="1" s="1"/>
  <c r="D123" i="1"/>
  <c r="D122" i="1"/>
  <c r="E121" i="1"/>
  <c r="E122" i="1"/>
  <c r="E123" i="1"/>
  <c r="D121" i="1"/>
  <c r="E120" i="1"/>
  <c r="D120" i="1"/>
  <c r="J120" i="1"/>
  <c r="C98" i="1" l="1"/>
  <c r="C101" i="1" s="1"/>
  <c r="E100" i="1"/>
  <c r="F160" i="1"/>
  <c r="F144" i="1"/>
  <c r="F125" i="1"/>
  <c r="E99" i="1"/>
  <c r="E101" i="1" s="1"/>
  <c r="F155" i="1"/>
  <c r="F167" i="1"/>
  <c r="E98" i="1"/>
  <c r="F147" i="1"/>
  <c r="F127" i="1"/>
  <c r="F140" i="1"/>
  <c r="F157" i="1"/>
  <c r="F165" i="1"/>
  <c r="F159" i="1"/>
  <c r="F126" i="1"/>
  <c r="F137" i="1"/>
  <c r="F139" i="1"/>
  <c r="F149" i="1"/>
  <c r="F138" i="1"/>
  <c r="F150" i="1"/>
  <c r="F161" i="1"/>
  <c r="F156" i="1"/>
  <c r="F164" i="1"/>
  <c r="F145" i="1"/>
  <c r="F142" i="1"/>
  <c r="F143" i="1"/>
  <c r="F148" i="1"/>
  <c r="F154" i="1"/>
  <c r="F162" i="1"/>
  <c r="F166" i="1"/>
  <c r="F128" i="1"/>
  <c r="E7" i="1"/>
  <c r="G99" i="1" l="1"/>
  <c r="G47" i="1"/>
  <c r="C47" i="1"/>
  <c r="B170" i="1" l="1"/>
  <c r="C13" i="1" l="1"/>
  <c r="E27" i="1" l="1"/>
  <c r="F133" i="1" l="1"/>
  <c r="F132" i="1"/>
  <c r="F131" i="1"/>
  <c r="F130" i="1"/>
  <c r="F123" i="1"/>
  <c r="F121" i="1"/>
  <c r="F120" i="1"/>
  <c r="F122" i="1"/>
  <c r="G100" i="1" l="1"/>
  <c r="G98" i="1"/>
  <c r="F108" i="1"/>
  <c r="F109" i="1"/>
  <c r="F110" i="1"/>
  <c r="F111" i="1"/>
  <c r="F112" i="1"/>
  <c r="F113" i="1"/>
  <c r="F107" i="1"/>
  <c r="G101" i="1" l="1"/>
  <c r="B171" i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95" i="1"/>
  <c r="G130" i="1"/>
  <c r="G131" i="1" s="1"/>
  <c r="G132" i="1" s="1"/>
  <c r="G133" i="1" s="1"/>
  <c r="G120" i="1"/>
  <c r="G121" i="1" s="1"/>
  <c r="G122" i="1" s="1"/>
  <c r="G123" i="1" s="1"/>
  <c r="A121" i="1"/>
  <c r="A122" i="1" s="1"/>
  <c r="A123" i="1" s="1"/>
  <c r="A108" i="1"/>
  <c r="A109" i="1" s="1"/>
  <c r="A110" i="1" s="1"/>
  <c r="A111" i="1" s="1"/>
  <c r="A112" i="1" s="1"/>
  <c r="A113" i="1" s="1"/>
  <c r="G107" i="1"/>
  <c r="G108" i="1" s="1"/>
  <c r="G109" i="1" s="1"/>
  <c r="G110" i="1" s="1"/>
  <c r="G111" i="1" s="1"/>
  <c r="G112" i="1" s="1"/>
  <c r="G113" i="1" s="1"/>
  <c r="F90" i="1"/>
  <c r="J74" i="1"/>
  <c r="J73" i="1"/>
  <c r="J72" i="1"/>
  <c r="J71" i="1"/>
  <c r="C63" i="1"/>
  <c r="D52" i="1"/>
  <c r="E40" i="1"/>
  <c r="E41" i="1" s="1"/>
  <c r="E24" i="1"/>
  <c r="E22" i="1"/>
  <c r="E3" i="1"/>
  <c r="D57" i="1" s="1"/>
  <c r="H64" i="1"/>
  <c r="C69" i="1" l="1"/>
  <c r="D69" i="1" s="1"/>
  <c r="J67" i="1"/>
  <c r="D76" i="1"/>
  <c r="D74" i="1"/>
  <c r="D72" i="1"/>
  <c r="D70" i="1"/>
  <c r="J68" i="1"/>
  <c r="C67" i="1" s="1"/>
  <c r="D67" i="1" s="1"/>
  <c r="J66" i="1"/>
  <c r="J69" i="1"/>
  <c r="J70" i="1" s="1"/>
  <c r="J75" i="1" s="1"/>
  <c r="J76" i="1" s="1"/>
  <c r="C68" i="1" s="1"/>
  <c r="D75" i="1"/>
  <c r="D71" i="1"/>
  <c r="D73" i="1"/>
  <c r="E67" i="1" l="1"/>
  <c r="I63" i="1" s="1"/>
  <c r="D68" i="1"/>
  <c r="G67" i="1"/>
  <c r="D61" i="1" s="1"/>
  <c r="C65" i="1" l="1"/>
  <c r="F62" i="1"/>
  <c r="D62" i="1"/>
</calcChain>
</file>

<file path=xl/sharedStrings.xml><?xml version="1.0" encoding="utf-8"?>
<sst xmlns="http://schemas.openxmlformats.org/spreadsheetml/2006/main" count="315" uniqueCount="226">
  <si>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</si>
  <si>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</si>
  <si>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</si>
  <si>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</si>
  <si>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</si>
  <si>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</si>
  <si>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</si>
  <si>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</si>
  <si>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</si>
  <si>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</si>
  <si>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</si>
  <si>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</si>
  <si>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</si>
  <si>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</si>
  <si>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</si>
  <si>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</si>
  <si>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</si>
  <si>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</si>
  <si>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</si>
  <si>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</si>
  <si>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</si>
  <si>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</si>
  <si>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</si>
  <si>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</si>
  <si>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</si>
  <si>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</si>
  <si>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</si>
  <si>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</si>
  <si>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</si>
  <si>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</si>
  <si>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</si>
  <si>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</si>
  <si>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</si>
  <si>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</si>
  <si>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</si>
  <si>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</si>
  <si>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</si>
  <si>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</si>
  <si>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</si>
  <si>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</si>
  <si>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</si>
  <si>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</si>
  <si>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</si>
  <si>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</si>
  <si>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</si>
  <si>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</si>
  <si>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</si>
  <si>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</si>
  <si>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</si>
  <si>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</si>
  <si>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</si>
  <si>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</si>
  <si>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</si>
  <si>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</si>
  <si>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</si>
  <si>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</si>
  <si>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</si>
  <si>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</si>
  <si>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</si>
  <si>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</si>
  <si>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</si>
  <si>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</si>
  <si>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</si>
  <si>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</si>
  <si>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</si>
  <si>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</si>
  <si>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</si>
  <si>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</si>
  <si>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</si>
  <si>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</si>
  <si>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</si>
  <si>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</si>
  <si>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</si>
  <si>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</si>
  <si>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</si>
  <si>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</si>
  <si>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</si>
  <si>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</si>
  <si>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</si>
  <si>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</si>
  <si>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</si>
  <si>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</si>
  <si>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</si>
  <si>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</si>
  <si>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</si>
  <si>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Sudhir Bhosale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</si>
  <si>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</si>
  <si>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</si>
  <si>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</si>
  <si>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</si>
  <si>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</si>
  <si>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</si>
  <si>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</si>
  <si>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</si>
  <si>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</si>
  <si>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</si>
  <si>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</si>
  <si>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</si>
  <si>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</si>
  <si>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</si>
  <si>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</si>
  <si>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</si>
  <si>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</si>
  <si>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</si>
  <si>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</si>
  <si>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</si>
  <si>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</si>
  <si>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</si>
  <si>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</si>
  <si>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</si>
  <si>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</si>
  <si>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</si>
  <si>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</si>
  <si>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</si>
  <si>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</si>
  <si>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</si>
  <si>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</si>
  <si>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</si>
  <si>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</si>
  <si>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</si>
  <si>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</si>
  <si>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</si>
  <si>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</si>
  <si>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</si>
  <si>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</si>
  <si>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</si>
  <si>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</si>
  <si>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</si>
  <si>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</si>
  <si>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</si>
  <si>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</si>
  <si>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</si>
  <si>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</si>
  <si>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</si>
  <si>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</si>
  <si>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</si>
  <si>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</si>
  <si>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</si>
  <si>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</si>
  <si>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</si>
  <si>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</si>
  <si>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</si>
  <si>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</si>
  <si>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</si>
  <si>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</si>
  <si>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</si>
  <si>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</si>
  <si>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</si>
  <si>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</si>
  <si>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</si>
  <si>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</si>
  <si>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</si>
  <si>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</si>
  <si>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</si>
  <si>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</si>
  <si>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</si>
  <si>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</si>
  <si>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</si>
  <si>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</si>
  <si>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</si>
  <si>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</si>
  <si>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</si>
  <si>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</si>
  <si>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</si>
  <si>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</si>
  <si>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</si>
  <si>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</si>
  <si>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</si>
  <si>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</si>
  <si>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</si>
  <si>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1st Floor for Residential</t>
  </si>
  <si>
    <t>Axis Sanpada</t>
  </si>
  <si>
    <t>P51700004242</t>
  </si>
  <si>
    <t>Tharwanis Meghna Montana Phase - I</t>
  </si>
  <si>
    <t>M/s. Tharwani Constructions Pvt Ltd</t>
  </si>
  <si>
    <t>Prachi 9930557000</t>
  </si>
  <si>
    <t>Survey No</t>
  </si>
  <si>
    <t>135/3A, 138/1P, 138/2, 134/1A, 1B, 1C, 1D(P), 134/2</t>
  </si>
  <si>
    <t>Chikhaloli</t>
  </si>
  <si>
    <t>Ambernath</t>
  </si>
  <si>
    <t>Thane</t>
  </si>
  <si>
    <t>Mahalaxmi Paradise</t>
  </si>
  <si>
    <t>Bhoir Garden</t>
  </si>
  <si>
    <t>Tharwani Ariana</t>
  </si>
  <si>
    <t>Dharti Hills</t>
  </si>
  <si>
    <t>Chikhloli (East)</t>
  </si>
  <si>
    <t>0.950 KM from Chikhloli Railway Station</t>
  </si>
  <si>
    <t>Internal road</t>
  </si>
  <si>
    <t>On Site, we meet Mr.Yogesh.(9930557000).</t>
  </si>
  <si>
    <t>9 Wings</t>
  </si>
  <si>
    <t>Ambernath Municipal Council</t>
  </si>
  <si>
    <t>ANP/NRV/18-19/632</t>
  </si>
  <si>
    <t>A.N.P/NRV/B.P/17-18/650/8754/38</t>
  </si>
  <si>
    <t>Valid Up to:  Building = Wing A, B, D, E, F, G, H, I &amp; J = Gr/St + 1st to 7th Floor</t>
  </si>
  <si>
    <t>ANP/NRV/18-19/632
Approved upto :  Building = Wing A, B, D, E, F, G, H, I &amp; J = Gr/St + 1st to 7th Floor</t>
  </si>
  <si>
    <t>Phase - I = (Wing A, B, D, E, F, G, H, I &amp; J)</t>
  </si>
  <si>
    <t>Phase - I =  Wing A, B, D, E, F, G, H, I &amp; J = Gr/St + 1st to 7th Floor</t>
  </si>
  <si>
    <t>Phase - I  = Wing A, B, D, E, F, G, H, I &amp; J = Gr/St + 1st to 7th Floor</t>
  </si>
  <si>
    <t>All work completed. OC received.</t>
  </si>
  <si>
    <t>Approved Plans, CC, OC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</si>
  <si>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
Email : vsjcapf@gmail.com. Web site : www.vsjadon.com
</t>
  </si>
  <si>
    <t>Latitude, Longitude</t>
  </si>
  <si>
    <t>19.185563, 73.2225748</t>
  </si>
  <si>
    <t>https://maps.app.goo.gl/Ch2VSyRad5BLs6cd9</t>
  </si>
  <si>
    <t>Location Link</t>
  </si>
  <si>
    <t>Completed</t>
  </si>
  <si>
    <t xml:space="preserve">1. Vitrified tiles flooring 2. Granite Kitchen Platform 3. Decorative
Enternace etc.
</t>
  </si>
  <si>
    <t xml:space="preserve">Approved Floor plan No.
Wing D, F &amp; H  </t>
  </si>
  <si>
    <t>D Wing</t>
  </si>
  <si>
    <t>Ground Floor For Parking</t>
  </si>
  <si>
    <t>1BHK</t>
  </si>
  <si>
    <t>3rd, 5th &amp; 7th Floor</t>
  </si>
  <si>
    <t>2BHK</t>
  </si>
  <si>
    <t>2nd, 4th &amp; 6th Floor</t>
  </si>
  <si>
    <t>F Wing</t>
  </si>
  <si>
    <t>H Wing</t>
  </si>
  <si>
    <t>We considered Gross carpet area = Net carpet + Balcony + E.P Area.</t>
  </si>
  <si>
    <t>Layout Plan:</t>
  </si>
  <si>
    <t>Flats - 84</t>
  </si>
  <si>
    <t>In approved plans, Flat numbering is not mentioned. We have considered Sale Plans for flat numbering (D, F &amp; H Wing)</t>
  </si>
  <si>
    <t xml:space="preserve">We have updated approved floor plan for flat numbering (D, F &amp; H Wing)
</t>
  </si>
  <si>
    <t xml:space="preserve"> rate4200 to  4300 + OC 150000</t>
  </si>
  <si>
    <t>Rushikesh</t>
  </si>
  <si>
    <t xml:space="preserve">Tharwanis Meghna Montana Phase I and Phase II are situated on the same land parcel.
</t>
  </si>
  <si>
    <t xml:space="preserve">Recommended Rates/Other Charges of the Property have been revised on 31/10/2024.
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</si>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</sst>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5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2" xfId="0" applyNumberFormat="1" applyFont="1" applyBorder="1" applyProtection="1">
      <protection hidden="1"/>
    </xf>
    <xf numFmtId="0" fontId="7" fillId="0" borderId="10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3" xfId="0" applyFont="1" applyFill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3" fillId="0" borderId="8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9" xfId="0" applyNumberFormat="1" applyFont="1" applyFill="1" applyBorder="1" applyAlignment="1" applyProtection="1">
      <alignment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13" fillId="0" borderId="1" xfId="0" applyNumberFormat="1" applyFont="1" applyFill="1" applyBorder="1" applyAlignment="1" applyProtection="1">
      <alignment vertical="top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9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24" fillId="0" borderId="1" xfId="10" applyFill="1" applyBorder="1" applyAlignment="1" applyProtection="1">
      <alignment horizontal="center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6" fillId="0" borderId="9" xfId="1" applyFont="1" applyFill="1" applyBorder="1" applyAlignment="1" applyProtection="1">
      <alignment horizontal="left" vertical="top" wrapText="1"/>
      <protection locked="0"/>
    </xf>
    <xf numFmtId="0" fontId="13" fillId="0" borderId="8" xfId="1" applyFont="1" applyFill="1" applyBorder="1" applyAlignment="1" applyProtection="1">
      <alignment horizontal="left" vertical="top"/>
      <protection locked="0"/>
    </xf>
    <xf numFmtId="0" fontId="13" fillId="0" borderId="20" xfId="1" applyFont="1" applyFill="1" applyBorder="1" applyAlignment="1" applyProtection="1">
      <alignment horizontal="left" vertical="top"/>
      <protection locked="0"/>
    </xf>
    <xf numFmtId="0" fontId="13" fillId="0" borderId="9" xfId="1" applyFont="1" applyFill="1" applyBorder="1" applyAlignment="1" applyProtection="1">
      <alignment horizontal="left" vertical="top"/>
      <protection locked="0"/>
    </xf>
    <xf numFmtId="168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12" fillId="0" borderId="3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167" fontId="12" fillId="0" borderId="1" xfId="1" applyNumberFormat="1" applyFont="1" applyFill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12" fillId="0" borderId="15" xfId="1" applyFont="1" applyFill="1" applyBorder="1" applyAlignment="1" applyProtection="1">
      <alignment horizontal="left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Fill="1" applyBorder="1" applyAlignment="1" applyProtection="1">
      <alignment horizontal="center" vertical="top" wrapText="1"/>
      <protection locked="0"/>
    </xf>
    <xf numFmtId="0" fontId="12" fillId="0" borderId="6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164" fontId="12" fillId="0" borderId="1" xfId="1" applyNumberFormat="1" applyFont="1" applyFill="1" applyBorder="1" applyAlignment="1" applyProtection="1">
      <alignment horizontal="left" vertical="top"/>
      <protection locked="0"/>
    </xf>
    <xf numFmtId="2" fontId="12" fillId="0" borderId="1" xfId="1" applyNumberFormat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1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8" xfId="1" applyFont="1" applyFill="1" applyBorder="1" applyAlignment="1" applyProtection="1">
      <alignment horizontal="left" vertical="top" wrapText="1"/>
      <protection locked="0"/>
    </xf>
    <xf numFmtId="0" fontId="12" fillId="0" borderId="20" xfId="1" applyFont="1" applyFill="1" applyBorder="1" applyAlignment="1" applyProtection="1">
      <alignment horizontal="left" vertical="top" wrapText="1"/>
      <protection locked="0"/>
    </xf>
    <xf numFmtId="0" fontId="12" fillId="0" borderId="9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9" fillId="0" borderId="1" xfId="5" applyFont="1" applyBorder="1" applyAlignment="1">
      <alignment horizontal="left"/>
    </xf>
    <xf numFmtId="0" fontId="13" fillId="0" borderId="1" xfId="1" applyFont="1" applyFill="1" applyBorder="1" applyAlignment="1" applyProtection="1">
      <alignment horizontal="left" vertical="center"/>
      <protection locked="0"/>
    </xf>
    <xf numFmtId="0" fontId="13" fillId="0" borderId="1" xfId="1" applyFont="1" applyFill="1" applyBorder="1" applyAlignment="1" applyProtection="1">
      <alignment horizontal="left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301</xdr:row>
      <xdr:rowOff>154800</xdr:rowOff>
    </xdr:from>
    <xdr:to>
      <xdr:col>7</xdr:col>
      <xdr:colOff>274508</xdr:colOff>
      <xdr:row>321</xdr:row>
      <xdr:rowOff>114300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5" y="56914275"/>
          <a:ext cx="5713283" cy="396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676275</xdr:colOff>
      <xdr:row>281</xdr:row>
      <xdr:rowOff>90938</xdr:rowOff>
    </xdr:from>
    <xdr:to>
      <xdr:col>7</xdr:col>
      <xdr:colOff>186226</xdr:colOff>
      <xdr:row>301</xdr:row>
      <xdr:rowOff>52774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76275" y="49027872"/>
          <a:ext cx="5656272" cy="391560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190500</xdr:colOff>
      <xdr:row>206</xdr:row>
      <xdr:rowOff>184727</xdr:rowOff>
    </xdr:from>
    <xdr:to>
      <xdr:col>19</xdr:col>
      <xdr:colOff>118856</xdr:colOff>
      <xdr:row>233</xdr:row>
      <xdr:rowOff>107082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42727" y="39485454"/>
          <a:ext cx="8558584" cy="5221719"/>
        </a:xfrm>
        <a:prstGeom prst="rect">
          <a:avLst/>
        </a:prstGeom>
      </xdr:spPr>
    </xdr:pic>
    <xdr:clientData/>
  </xdr:twoCellAnchor>
  <xdr:twoCellAnchor editAs="oneCell">
    <xdr:from>
      <xdr:col>0</xdr:col>
      <xdr:colOff>89860</xdr:colOff>
      <xdr:row>239</xdr:row>
      <xdr:rowOff>53916</xdr:rowOff>
    </xdr:from>
    <xdr:to>
      <xdr:col>7</xdr:col>
      <xdr:colOff>801539</xdr:colOff>
      <xdr:row>269</xdr:row>
      <xdr:rowOff>110283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60" y="48990850"/>
          <a:ext cx="6858000" cy="5987027"/>
        </a:xfrm>
        <a:prstGeom prst="rect">
          <a:avLst/>
        </a:prstGeom>
      </xdr:spPr>
    </xdr:pic>
    <xdr:clientData/>
  </xdr:twoCellAnchor>
  <xdr:twoCellAnchor>
    <xdr:from>
      <xdr:col>2</xdr:col>
      <xdr:colOff>305520</xdr:colOff>
      <xdr:row>252</xdr:row>
      <xdr:rowOff>128227</xdr:rowOff>
    </xdr:from>
    <xdr:to>
      <xdr:col>3</xdr:col>
      <xdr:colOff>119214</xdr:colOff>
      <xdr:row>257</xdr:row>
      <xdr:rowOff>162134</xdr:rowOff>
    </xdr:to>
    <xdr:sp macro="" textlink="">
      <xdr:nvSpPr>
        <xdr:cNvPr id="30" name="Rectangle 29"/>
        <xdr:cNvSpPr/>
      </xdr:nvSpPr>
      <xdr:spPr>
        <a:xfrm>
          <a:off x="1994860" y="51635114"/>
          <a:ext cx="730250" cy="1022350"/>
        </a:xfrm>
        <a:prstGeom prst="rect">
          <a:avLst/>
        </a:prstGeom>
        <a:noFill/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222193</xdr:colOff>
      <xdr:row>251</xdr:row>
      <xdr:rowOff>64306</xdr:rowOff>
    </xdr:from>
    <xdr:to>
      <xdr:col>3</xdr:col>
      <xdr:colOff>202540</xdr:colOff>
      <xdr:row>252</xdr:row>
      <xdr:rowOff>128227</xdr:rowOff>
    </xdr:to>
    <xdr:sp macro="" textlink="">
      <xdr:nvSpPr>
        <xdr:cNvPr id="31" name="Rectangle 30"/>
        <xdr:cNvSpPr/>
      </xdr:nvSpPr>
      <xdr:spPr>
        <a:xfrm>
          <a:off x="1911533" y="51373504"/>
          <a:ext cx="896903" cy="2616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rgbClr val="00B050"/>
              </a:solidFill>
            </a:rPr>
            <a:t>Wing A &amp; B</a:t>
          </a:r>
        </a:p>
      </xdr:txBody>
    </xdr:sp>
    <xdr:clientData/>
  </xdr:twoCellAnchor>
  <xdr:twoCellAnchor>
    <xdr:from>
      <xdr:col>3</xdr:col>
      <xdr:colOff>17614</xdr:colOff>
      <xdr:row>245</xdr:row>
      <xdr:rowOff>57898</xdr:rowOff>
    </xdr:from>
    <xdr:to>
      <xdr:col>5</xdr:col>
      <xdr:colOff>770029</xdr:colOff>
      <xdr:row>247</xdr:row>
      <xdr:rowOff>49871</xdr:rowOff>
    </xdr:to>
    <xdr:sp macro="" textlink="">
      <xdr:nvSpPr>
        <xdr:cNvPr id="32" name="TextBox 4"/>
        <xdr:cNvSpPr txBox="1"/>
      </xdr:nvSpPr>
      <xdr:spPr>
        <a:xfrm>
          <a:off x="2623510" y="50180964"/>
          <a:ext cx="2603500" cy="387350"/>
        </a:xfrm>
        <a:prstGeom prst="rect">
          <a:avLst/>
        </a:prstGeom>
        <a:noFill/>
        <a:ln w="38100">
          <a:solidFill>
            <a:srgbClr val="7030A0"/>
          </a:solidFill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IN"/>
        </a:p>
      </xdr:txBody>
    </xdr:sp>
    <xdr:clientData/>
  </xdr:twoCellAnchor>
  <xdr:twoCellAnchor>
    <xdr:from>
      <xdr:col>3</xdr:col>
      <xdr:colOff>119214</xdr:colOff>
      <xdr:row>243</xdr:row>
      <xdr:rowOff>137804</xdr:rowOff>
    </xdr:from>
    <xdr:to>
      <xdr:col>5</xdr:col>
      <xdr:colOff>497457</xdr:colOff>
      <xdr:row>245</xdr:row>
      <xdr:rowOff>111759</xdr:rowOff>
    </xdr:to>
    <xdr:sp macro="" textlink="">
      <xdr:nvSpPr>
        <xdr:cNvPr id="33" name="Rectangle 32"/>
        <xdr:cNvSpPr/>
      </xdr:nvSpPr>
      <xdr:spPr>
        <a:xfrm>
          <a:off x="2725110" y="49865493"/>
          <a:ext cx="2229328" cy="369332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b="1">
              <a:solidFill>
                <a:srgbClr val="7030A0"/>
              </a:solidFill>
            </a:rPr>
            <a:t>Wing D, E,F, G, H,I &amp; J</a:t>
          </a:r>
        </a:p>
      </xdr:txBody>
    </xdr:sp>
    <xdr:clientData/>
  </xdr:twoCellAnchor>
  <xdr:twoCellAnchor>
    <xdr:from>
      <xdr:col>9</xdr:col>
      <xdr:colOff>0</xdr:colOff>
      <xdr:row>194</xdr:row>
      <xdr:rowOff>0</xdr:rowOff>
    </xdr:from>
    <xdr:to>
      <xdr:col>10</xdr:col>
      <xdr:colOff>475096</xdr:colOff>
      <xdr:row>195</xdr:row>
      <xdr:rowOff>102901</xdr:rowOff>
    </xdr:to>
    <xdr:sp macro="" textlink="">
      <xdr:nvSpPr>
        <xdr:cNvPr id="26" name="TextBox 11"/>
        <xdr:cNvSpPr txBox="1"/>
      </xdr:nvSpPr>
      <xdr:spPr>
        <a:xfrm>
          <a:off x="8070273" y="37089773"/>
          <a:ext cx="1277505" cy="29917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solidFill>
                <a:srgbClr val="FF0000"/>
              </a:solidFill>
            </a:rPr>
            <a:t>Wing A &amp; B</a:t>
          </a:r>
        </a:p>
      </xdr:txBody>
    </xdr:sp>
    <xdr:clientData/>
  </xdr:twoCellAnchor>
  <xdr:twoCellAnchor>
    <xdr:from>
      <xdr:col>0</xdr:col>
      <xdr:colOff>184150</xdr:colOff>
      <xdr:row>195</xdr:row>
      <xdr:rowOff>82550</xdr:rowOff>
    </xdr:from>
    <xdr:to>
      <xdr:col>7</xdr:col>
      <xdr:colOff>629828</xdr:colOff>
      <xdr:row>235</xdr:row>
      <xdr:rowOff>47710</xdr:rowOff>
    </xdr:to>
    <xdr:grpSp>
      <xdr:nvGrpSpPr>
        <xdr:cNvPr id="4" name="Group 3"/>
        <xdr:cNvGrpSpPr/>
      </xdr:nvGrpSpPr>
      <xdr:grpSpPr>
        <a:xfrm>
          <a:off x="184150" y="37414200"/>
          <a:ext cx="6421028" cy="7832810"/>
          <a:chOff x="184150" y="37414200"/>
          <a:chExt cx="6421028" cy="7832810"/>
        </a:xfrm>
      </xdr:grpSpPr>
      <xdr:pic>
        <xdr:nvPicPr>
          <xdr:cNvPr id="14" name="Picture 13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990832" y="43087010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7" name="Picture 16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374142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5802" y="374142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7454" y="3741420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150" y="40250605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65802" y="40250605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7454" y="40250605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49154" y="43087010"/>
            <a:ext cx="161775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h2VSyRad5BLs6cd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81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10" customWidth="1"/>
    <col min="2" max="2" width="12" style="10" customWidth="1"/>
    <col min="3" max="3" width="12.7265625" style="10" customWidth="1"/>
    <col min="4" max="4" width="14.1796875" style="10" customWidth="1"/>
    <col min="5" max="7" width="11.7265625" style="10" customWidth="1"/>
    <col min="8" max="8" width="12.453125" style="10" customWidth="1"/>
    <col min="9" max="9" width="17.453125" style="3" customWidth="1"/>
    <col min="10" max="10" width="11.453125" style="3" customWidth="1"/>
    <col min="11" max="11" width="10.54296875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28" t="s">
        <v>200</v>
      </c>
      <c r="B1" s="128"/>
      <c r="C1" s="128"/>
      <c r="D1" s="128"/>
      <c r="E1" s="128"/>
      <c r="F1" s="128"/>
      <c r="G1" s="128"/>
      <c r="H1" s="128"/>
    </row>
    <row r="2" spans="1:8" ht="16.5" customHeight="1" x14ac:dyDescent="0.35">
      <c r="A2" s="129" t="s">
        <v>0</v>
      </c>
      <c r="B2" s="129"/>
      <c r="C2" s="129"/>
      <c r="D2" s="129"/>
      <c r="E2" s="129"/>
      <c r="F2" s="129"/>
      <c r="G2" s="129"/>
      <c r="H2" s="129"/>
    </row>
    <row r="3" spans="1:8" x14ac:dyDescent="0.35">
      <c r="A3" s="96" t="s">
        <v>1</v>
      </c>
      <c r="B3" s="96"/>
      <c r="C3" s="96"/>
      <c r="D3" s="96"/>
      <c r="E3" s="127" t="str">
        <f ca="1">TEXT(TODAY(),"DD/MM/YYYY")</f>
        <v>12/09/2025</v>
      </c>
      <c r="F3" s="127"/>
      <c r="G3" s="127"/>
      <c r="H3" s="127"/>
    </row>
    <row r="4" spans="1:8" ht="15" customHeight="1" x14ac:dyDescent="0.35">
      <c r="A4" s="96" t="s">
        <v>2</v>
      </c>
      <c r="B4" s="96"/>
      <c r="C4" s="96"/>
      <c r="D4" s="96"/>
      <c r="E4" s="124" t="s">
        <v>171</v>
      </c>
      <c r="F4" s="124"/>
      <c r="G4" s="124"/>
      <c r="H4" s="124"/>
    </row>
    <row r="5" spans="1:8" x14ac:dyDescent="0.35">
      <c r="A5" s="96" t="s">
        <v>3</v>
      </c>
      <c r="B5" s="96"/>
      <c r="C5" s="96"/>
      <c r="D5" s="96"/>
      <c r="E5" s="127">
        <v>45912</v>
      </c>
      <c r="F5" s="127"/>
      <c r="G5" s="127"/>
      <c r="H5" s="127"/>
    </row>
    <row r="6" spans="1:8" ht="16.5" customHeight="1" x14ac:dyDescent="0.35">
      <c r="A6" s="96" t="s">
        <v>4</v>
      </c>
      <c r="B6" s="96"/>
      <c r="C6" s="96"/>
      <c r="D6" s="96"/>
      <c r="E6" s="122" t="s">
        <v>174</v>
      </c>
      <c r="F6" s="122"/>
      <c r="G6" s="122"/>
      <c r="H6" s="122"/>
    </row>
    <row r="7" spans="1:8" ht="15" customHeight="1" x14ac:dyDescent="0.35">
      <c r="A7" s="96" t="s">
        <v>5</v>
      </c>
      <c r="B7" s="96"/>
      <c r="C7" s="96"/>
      <c r="D7" s="96"/>
      <c r="E7" s="122" t="str">
        <f>E6</f>
        <v>M/s. Tharwani Constructions Pvt Ltd</v>
      </c>
      <c r="F7" s="122"/>
      <c r="G7" s="122"/>
      <c r="H7" s="122"/>
    </row>
    <row r="8" spans="1:8" x14ac:dyDescent="0.35">
      <c r="A8" s="96" t="s">
        <v>6</v>
      </c>
      <c r="B8" s="96"/>
      <c r="C8" s="96"/>
      <c r="D8" s="96"/>
      <c r="E8" s="130" t="s">
        <v>173</v>
      </c>
      <c r="F8" s="130"/>
      <c r="G8" s="130"/>
      <c r="H8" s="130"/>
    </row>
    <row r="9" spans="1:8" x14ac:dyDescent="0.35">
      <c r="A9" s="96" t="s">
        <v>133</v>
      </c>
      <c r="B9" s="96"/>
      <c r="C9" s="96"/>
      <c r="D9" s="96"/>
      <c r="E9" s="103" t="s">
        <v>175</v>
      </c>
      <c r="F9" s="103"/>
      <c r="G9" s="103"/>
      <c r="H9" s="103"/>
    </row>
    <row r="10" spans="1:8" x14ac:dyDescent="0.35">
      <c r="A10" s="103" t="s">
        <v>7</v>
      </c>
      <c r="B10" s="103"/>
      <c r="C10" s="103"/>
      <c r="D10" s="103"/>
      <c r="E10" s="103" t="s">
        <v>195</v>
      </c>
      <c r="F10" s="103"/>
      <c r="G10" s="103"/>
      <c r="H10" s="103"/>
    </row>
    <row r="11" spans="1:8" x14ac:dyDescent="0.35">
      <c r="A11" s="96" t="s">
        <v>8</v>
      </c>
      <c r="B11" s="96"/>
      <c r="C11" s="96"/>
      <c r="D11" s="96"/>
      <c r="E11" s="122" t="s">
        <v>199</v>
      </c>
      <c r="F11" s="122"/>
      <c r="G11" s="122"/>
      <c r="H11" s="122"/>
    </row>
    <row r="12" spans="1:8" x14ac:dyDescent="0.35">
      <c r="A12" s="96" t="s">
        <v>9</v>
      </c>
      <c r="B12" s="96"/>
      <c r="C12" s="96"/>
      <c r="D12" s="96"/>
      <c r="E12" s="122" t="s">
        <v>172</v>
      </c>
      <c r="F12" s="103"/>
      <c r="G12" s="103"/>
      <c r="H12" s="103"/>
    </row>
    <row r="13" spans="1:8" ht="48.75" customHeight="1" x14ac:dyDescent="0.35">
      <c r="A13" s="122" t="s">
        <v>10</v>
      </c>
      <c r="B13" s="122"/>
      <c r="C13" s="12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Tharwanis Meghna Montana Phase - I, Survey No.135/3A, 138/1P, 138/2, 134/1A, 1B, 1C, 1D(P), 134/2, near Mahalaxmi Paradise, Internal road, Chikhaloli, Chikhloli (East), Ambernath, Thane - 421504.</v>
      </c>
      <c r="D13" s="122"/>
      <c r="E13" s="122"/>
      <c r="F13" s="122"/>
      <c r="G13" s="122"/>
      <c r="H13" s="122"/>
    </row>
    <row r="14" spans="1:8" x14ac:dyDescent="0.35">
      <c r="A14" s="122" t="s">
        <v>176</v>
      </c>
      <c r="B14" s="122"/>
      <c r="C14" s="122" t="s">
        <v>177</v>
      </c>
      <c r="D14" s="122"/>
      <c r="E14" s="122"/>
      <c r="F14" s="122"/>
      <c r="G14" s="122"/>
      <c r="H14" s="122"/>
    </row>
    <row r="15" spans="1:8" ht="15.75" customHeight="1" x14ac:dyDescent="0.35">
      <c r="A15" s="122" t="s">
        <v>11</v>
      </c>
      <c r="B15" s="122"/>
      <c r="C15" s="103" t="s">
        <v>187</v>
      </c>
      <c r="D15" s="103"/>
      <c r="E15" s="122" t="s">
        <v>77</v>
      </c>
      <c r="F15" s="122"/>
      <c r="G15" s="122" t="s">
        <v>178</v>
      </c>
      <c r="H15" s="122"/>
    </row>
    <row r="16" spans="1:8" x14ac:dyDescent="0.35">
      <c r="A16" s="103" t="s">
        <v>13</v>
      </c>
      <c r="B16" s="103"/>
      <c r="C16" s="122" t="s">
        <v>185</v>
      </c>
      <c r="D16" s="122"/>
      <c r="E16" s="122" t="s">
        <v>12</v>
      </c>
      <c r="F16" s="122"/>
      <c r="G16" s="126" t="s">
        <v>180</v>
      </c>
      <c r="H16" s="126"/>
    </row>
    <row r="17" spans="1:8" x14ac:dyDescent="0.35">
      <c r="A17" s="103" t="s">
        <v>78</v>
      </c>
      <c r="B17" s="103"/>
      <c r="C17" s="122" t="s">
        <v>179</v>
      </c>
      <c r="D17" s="122"/>
      <c r="E17" s="122" t="s">
        <v>14</v>
      </c>
      <c r="F17" s="122"/>
      <c r="G17" s="122">
        <v>421504</v>
      </c>
      <c r="H17" s="122"/>
    </row>
    <row r="18" spans="1:8" ht="32.25" customHeight="1" x14ac:dyDescent="0.35">
      <c r="A18" s="103" t="s">
        <v>134</v>
      </c>
      <c r="B18" s="103"/>
      <c r="C18" s="122" t="s">
        <v>181</v>
      </c>
      <c r="D18" s="122"/>
      <c r="E18" s="122" t="s">
        <v>15</v>
      </c>
      <c r="F18" s="122"/>
      <c r="G18" s="122" t="s">
        <v>186</v>
      </c>
      <c r="H18" s="122"/>
    </row>
    <row r="19" spans="1:8" ht="15" customHeight="1" x14ac:dyDescent="0.35">
      <c r="A19" s="123" t="s">
        <v>81</v>
      </c>
      <c r="B19" s="123"/>
      <c r="C19" s="123"/>
      <c r="D19" s="123"/>
      <c r="E19" s="103" t="s">
        <v>16</v>
      </c>
      <c r="F19" s="103"/>
      <c r="G19" s="103"/>
      <c r="H19" s="103"/>
    </row>
    <row r="20" spans="1:8" ht="18.75" customHeight="1" x14ac:dyDescent="0.35">
      <c r="A20" s="123"/>
      <c r="B20" s="123"/>
      <c r="C20" s="123"/>
      <c r="D20" s="123"/>
      <c r="E20" s="103"/>
      <c r="F20" s="103"/>
      <c r="G20" s="103"/>
      <c r="H20" s="103"/>
    </row>
    <row r="21" spans="1:8" ht="15" customHeight="1" x14ac:dyDescent="0.35">
      <c r="A21" s="123" t="s">
        <v>17</v>
      </c>
      <c r="B21" s="123"/>
      <c r="C21" s="123"/>
      <c r="D21" s="123"/>
      <c r="E21" s="122" t="s">
        <v>18</v>
      </c>
      <c r="F21" s="122"/>
      <c r="G21" s="122"/>
      <c r="H21" s="122"/>
    </row>
    <row r="22" spans="1:8" ht="15" customHeight="1" x14ac:dyDescent="0.35">
      <c r="A22" s="96" t="s">
        <v>19</v>
      </c>
      <c r="B22" s="96"/>
      <c r="C22" s="96"/>
      <c r="D22" s="96"/>
      <c r="E22" s="122" t="str">
        <f>IF(AND(G16="Mumbai"),"Upper Class","Middle Class")</f>
        <v>Middle Class</v>
      </c>
      <c r="F22" s="122"/>
      <c r="G22" s="122"/>
      <c r="H22" s="122"/>
    </row>
    <row r="23" spans="1:8" x14ac:dyDescent="0.35">
      <c r="A23" s="96" t="s">
        <v>20</v>
      </c>
      <c r="B23" s="96"/>
      <c r="C23" s="96"/>
      <c r="D23" s="96"/>
      <c r="E23" s="122" t="s">
        <v>21</v>
      </c>
      <c r="F23" s="122"/>
      <c r="G23" s="122"/>
      <c r="H23" s="122"/>
    </row>
    <row r="24" spans="1:8" ht="15.75" customHeight="1" x14ac:dyDescent="0.35">
      <c r="A24" s="96" t="s">
        <v>22</v>
      </c>
      <c r="B24" s="96"/>
      <c r="C24" s="96"/>
      <c r="D24" s="96"/>
      <c r="E24" s="122" t="str">
        <f>IF(AND(G16="Mumbai"),"Developed","Developing")</f>
        <v>Developing</v>
      </c>
      <c r="F24" s="122"/>
      <c r="G24" s="122"/>
      <c r="H24" s="122"/>
    </row>
    <row r="25" spans="1:8" x14ac:dyDescent="0.35">
      <c r="A25" s="96" t="s">
        <v>23</v>
      </c>
      <c r="B25" s="96"/>
      <c r="C25" s="96"/>
      <c r="D25" s="96"/>
      <c r="E25" s="122" t="s">
        <v>24</v>
      </c>
      <c r="F25" s="122"/>
      <c r="G25" s="122"/>
      <c r="H25" s="122"/>
    </row>
    <row r="26" spans="1:8" x14ac:dyDescent="0.35">
      <c r="A26" s="96" t="s">
        <v>87</v>
      </c>
      <c r="B26" s="96"/>
      <c r="C26" s="96"/>
      <c r="D26" s="96"/>
      <c r="E26" s="122" t="s">
        <v>88</v>
      </c>
      <c r="F26" s="122"/>
      <c r="G26" s="122"/>
      <c r="H26" s="122"/>
    </row>
    <row r="27" spans="1:8" ht="15" customHeight="1" x14ac:dyDescent="0.35">
      <c r="A27" s="123" t="s">
        <v>33</v>
      </c>
      <c r="B27" s="123"/>
      <c r="C27" s="123"/>
      <c r="D27" s="123"/>
      <c r="E27" s="124" t="str">
        <f>IF(ISNUMBER(SEARCH("Shop",D53)),"Residential + Commercial",IF(ISNUMBER(SEARCH("Office",D53)),"Residential + Commercial",IF(SEARCH("Flats",D53),"Residential","")))</f>
        <v>Residential</v>
      </c>
      <c r="F27" s="124"/>
      <c r="G27" s="124"/>
      <c r="H27" s="124"/>
    </row>
    <row r="28" spans="1:8" x14ac:dyDescent="0.35">
      <c r="A28" s="123" t="s">
        <v>99</v>
      </c>
      <c r="B28" s="123"/>
      <c r="C28" s="123"/>
      <c r="D28" s="123"/>
      <c r="E28" s="123" t="s">
        <v>34</v>
      </c>
      <c r="F28" s="123"/>
      <c r="G28" s="123"/>
      <c r="H28" s="123"/>
    </row>
    <row r="29" spans="1:8" s="6" customFormat="1" x14ac:dyDescent="0.35">
      <c r="A29" s="120" t="s">
        <v>100</v>
      </c>
      <c r="B29" s="120"/>
      <c r="C29" s="125" t="s">
        <v>29</v>
      </c>
      <c r="D29" s="125"/>
      <c r="E29" s="125"/>
      <c r="F29" s="125" t="s">
        <v>31</v>
      </c>
      <c r="G29" s="125"/>
      <c r="H29" s="125"/>
    </row>
    <row r="30" spans="1:8" s="6" customFormat="1" x14ac:dyDescent="0.35">
      <c r="A30" s="119" t="s">
        <v>25</v>
      </c>
      <c r="B30" s="119" t="s">
        <v>30</v>
      </c>
      <c r="C30" s="121" t="s">
        <v>30</v>
      </c>
      <c r="D30" s="121"/>
      <c r="E30" s="121"/>
      <c r="F30" s="121" t="s">
        <v>183</v>
      </c>
      <c r="G30" s="121"/>
      <c r="H30" s="121"/>
    </row>
    <row r="31" spans="1:8" x14ac:dyDescent="0.35">
      <c r="A31" s="119" t="s">
        <v>26</v>
      </c>
      <c r="B31" s="119" t="s">
        <v>30</v>
      </c>
      <c r="C31" s="121" t="s">
        <v>30</v>
      </c>
      <c r="D31" s="121"/>
      <c r="E31" s="121"/>
      <c r="F31" s="121" t="s">
        <v>184</v>
      </c>
      <c r="G31" s="121"/>
      <c r="H31" s="121"/>
    </row>
    <row r="32" spans="1:8" s="6" customFormat="1" x14ac:dyDescent="0.35">
      <c r="A32" s="119" t="s">
        <v>28</v>
      </c>
      <c r="B32" s="119" t="s">
        <v>30</v>
      </c>
      <c r="C32" s="121" t="s">
        <v>30</v>
      </c>
      <c r="D32" s="121"/>
      <c r="E32" s="121"/>
      <c r="F32" s="121" t="s">
        <v>181</v>
      </c>
      <c r="G32" s="121"/>
      <c r="H32" s="121"/>
    </row>
    <row r="33" spans="1:8" x14ac:dyDescent="0.35">
      <c r="A33" s="119" t="s">
        <v>27</v>
      </c>
      <c r="B33" s="119" t="s">
        <v>30</v>
      </c>
      <c r="C33" s="121" t="s">
        <v>30</v>
      </c>
      <c r="D33" s="121"/>
      <c r="E33" s="121"/>
      <c r="F33" s="121" t="s">
        <v>182</v>
      </c>
      <c r="G33" s="121"/>
      <c r="H33" s="121"/>
    </row>
    <row r="34" spans="1:8" x14ac:dyDescent="0.35">
      <c r="A34" s="96" t="s">
        <v>32</v>
      </c>
      <c r="B34" s="96"/>
      <c r="C34" s="96"/>
      <c r="D34" s="96"/>
      <c r="E34" s="96"/>
      <c r="F34" s="96"/>
      <c r="G34" s="96"/>
      <c r="H34" s="96"/>
    </row>
    <row r="35" spans="1:8" ht="15.75" customHeight="1" x14ac:dyDescent="0.35">
      <c r="A35" s="87" t="s">
        <v>201</v>
      </c>
      <c r="B35" s="87"/>
      <c r="C35" s="88" t="s">
        <v>202</v>
      </c>
      <c r="D35" s="88"/>
      <c r="E35" s="88"/>
      <c r="F35" s="88"/>
      <c r="G35" s="88"/>
      <c r="H35" s="88"/>
    </row>
    <row r="36" spans="1:8" ht="15.75" customHeight="1" x14ac:dyDescent="0.35">
      <c r="A36" s="87" t="s">
        <v>204</v>
      </c>
      <c r="B36" s="87"/>
      <c r="C36" s="89" t="s">
        <v>203</v>
      </c>
      <c r="D36" s="88"/>
      <c r="E36" s="88"/>
      <c r="F36" s="88"/>
      <c r="G36" s="88"/>
      <c r="H36" s="88"/>
    </row>
    <row r="37" spans="1:8" x14ac:dyDescent="0.35">
      <c r="A37" s="105" t="s">
        <v>35</v>
      </c>
      <c r="B37" s="105"/>
      <c r="C37" s="105"/>
      <c r="D37" s="105"/>
      <c r="E37" s="105"/>
      <c r="F37" s="105"/>
      <c r="G37" s="105"/>
      <c r="H37" s="105"/>
    </row>
    <row r="38" spans="1:8" x14ac:dyDescent="0.35">
      <c r="A38" s="103" t="s">
        <v>36</v>
      </c>
      <c r="B38" s="103"/>
      <c r="C38" s="103"/>
      <c r="D38" s="103"/>
      <c r="E38" s="104">
        <v>32470.33</v>
      </c>
      <c r="F38" s="104"/>
      <c r="G38" s="104"/>
      <c r="H38" s="104"/>
    </row>
    <row r="39" spans="1:8" x14ac:dyDescent="0.35">
      <c r="A39" s="103" t="s">
        <v>37</v>
      </c>
      <c r="B39" s="103"/>
      <c r="C39" s="103"/>
      <c r="D39" s="103"/>
      <c r="E39" s="139">
        <v>1.1000000000000001</v>
      </c>
      <c r="F39" s="139"/>
      <c r="G39" s="139"/>
      <c r="H39" s="139"/>
    </row>
    <row r="40" spans="1:8" x14ac:dyDescent="0.35">
      <c r="A40" s="103" t="s">
        <v>38</v>
      </c>
      <c r="B40" s="103"/>
      <c r="C40" s="103"/>
      <c r="D40" s="103"/>
      <c r="E40" s="139">
        <f>E42/E38-E39</f>
        <v>0.19999972282388234</v>
      </c>
      <c r="F40" s="139"/>
      <c r="G40" s="139"/>
      <c r="H40" s="139"/>
    </row>
    <row r="41" spans="1:8" x14ac:dyDescent="0.35">
      <c r="A41" s="103" t="s">
        <v>39</v>
      </c>
      <c r="B41" s="103"/>
      <c r="C41" s="103"/>
      <c r="D41" s="103"/>
      <c r="E41" s="139">
        <f>E39+E40</f>
        <v>1.2999997228238824</v>
      </c>
      <c r="F41" s="139"/>
      <c r="G41" s="139"/>
      <c r="H41" s="139"/>
    </row>
    <row r="42" spans="1:8" x14ac:dyDescent="0.35">
      <c r="A42" s="103" t="s">
        <v>98</v>
      </c>
      <c r="B42" s="103"/>
      <c r="C42" s="103"/>
      <c r="D42" s="103"/>
      <c r="E42" s="140">
        <v>42211.42</v>
      </c>
      <c r="F42" s="140"/>
      <c r="G42" s="140"/>
      <c r="H42" s="140"/>
    </row>
    <row r="43" spans="1:8" x14ac:dyDescent="0.35">
      <c r="A43" s="103" t="s">
        <v>40</v>
      </c>
      <c r="B43" s="103"/>
      <c r="C43" s="103"/>
      <c r="D43" s="103"/>
      <c r="E43" s="103" t="s">
        <v>189</v>
      </c>
      <c r="F43" s="103"/>
      <c r="G43" s="103"/>
      <c r="H43" s="103"/>
    </row>
    <row r="44" spans="1:8" x14ac:dyDescent="0.35">
      <c r="A44" s="105" t="s">
        <v>41</v>
      </c>
      <c r="B44" s="105"/>
      <c r="C44" s="105"/>
      <c r="D44" s="105"/>
      <c r="E44" s="105"/>
      <c r="F44" s="105"/>
      <c r="G44" s="105"/>
      <c r="H44" s="105"/>
    </row>
    <row r="45" spans="1:8" ht="33.75" customHeight="1" x14ac:dyDescent="0.35">
      <c r="A45" s="90" t="s">
        <v>163</v>
      </c>
      <c r="B45" s="91"/>
      <c r="C45" s="92" t="s">
        <v>190</v>
      </c>
      <c r="D45" s="93"/>
      <c r="E45" s="93"/>
      <c r="F45" s="93"/>
      <c r="G45" s="93"/>
      <c r="H45" s="94"/>
    </row>
    <row r="46" spans="1:8" x14ac:dyDescent="0.35">
      <c r="A46" s="123" t="s">
        <v>42</v>
      </c>
      <c r="B46" s="123"/>
      <c r="C46" s="122" t="s">
        <v>191</v>
      </c>
      <c r="D46" s="122"/>
      <c r="E46" s="122"/>
      <c r="F46" s="59" t="s">
        <v>43</v>
      </c>
      <c r="G46" s="145">
        <v>43335</v>
      </c>
      <c r="H46" s="145"/>
    </row>
    <row r="47" spans="1:8" ht="48.75" customHeight="1" x14ac:dyDescent="0.35">
      <c r="A47" s="123" t="s">
        <v>207</v>
      </c>
      <c r="B47" s="96"/>
      <c r="C47" s="122" t="str">
        <f>C46</f>
        <v>ANP/NRV/18-19/632</v>
      </c>
      <c r="D47" s="122"/>
      <c r="E47" s="122"/>
      <c r="F47" s="59" t="s">
        <v>43</v>
      </c>
      <c r="G47" s="145">
        <f>G46</f>
        <v>43335</v>
      </c>
      <c r="H47" s="145"/>
    </row>
    <row r="48" spans="1:8" s="5" customFormat="1" x14ac:dyDescent="0.35">
      <c r="A48" s="122" t="s">
        <v>44</v>
      </c>
      <c r="B48" s="122"/>
      <c r="C48" s="122" t="s">
        <v>192</v>
      </c>
      <c r="D48" s="103"/>
      <c r="E48" s="103"/>
      <c r="F48" s="60" t="s">
        <v>43</v>
      </c>
      <c r="G48" s="145">
        <v>43335</v>
      </c>
      <c r="H48" s="145"/>
    </row>
    <row r="49" spans="1:14" s="5" customFormat="1" ht="32.25" customHeight="1" x14ac:dyDescent="0.35">
      <c r="A49" s="122"/>
      <c r="B49" s="122"/>
      <c r="C49" s="154" t="s">
        <v>193</v>
      </c>
      <c r="D49" s="155"/>
      <c r="E49" s="155"/>
      <c r="F49" s="155"/>
      <c r="G49" s="155"/>
      <c r="H49" s="156"/>
    </row>
    <row r="50" spans="1:14" ht="66" customHeight="1" x14ac:dyDescent="0.35">
      <c r="A50" s="157" t="s">
        <v>45</v>
      </c>
      <c r="B50" s="157"/>
      <c r="C50" s="146" t="s">
        <v>194</v>
      </c>
      <c r="D50" s="146"/>
      <c r="E50" s="146" t="s">
        <v>46</v>
      </c>
      <c r="F50" s="58" t="s">
        <v>43</v>
      </c>
      <c r="G50" s="159">
        <v>43335</v>
      </c>
      <c r="H50" s="159"/>
    </row>
    <row r="51" spans="1:14" x14ac:dyDescent="0.35">
      <c r="A51" s="158" t="s">
        <v>48</v>
      </c>
      <c r="B51" s="158"/>
      <c r="C51" s="158"/>
      <c r="D51" s="158"/>
      <c r="E51" s="158"/>
      <c r="F51" s="158"/>
      <c r="G51" s="158"/>
      <c r="H51" s="158"/>
    </row>
    <row r="52" spans="1:14" x14ac:dyDescent="0.35">
      <c r="A52" s="123" t="s">
        <v>97</v>
      </c>
      <c r="B52" s="123"/>
      <c r="C52" s="123"/>
      <c r="D52" s="96">
        <f>E42</f>
        <v>42211.42</v>
      </c>
      <c r="E52" s="96"/>
      <c r="F52" s="96"/>
      <c r="G52" s="96"/>
      <c r="H52" s="96"/>
    </row>
    <row r="53" spans="1:14" x14ac:dyDescent="0.35">
      <c r="A53" s="122" t="s">
        <v>49</v>
      </c>
      <c r="B53" s="103"/>
      <c r="C53" s="103"/>
      <c r="D53" s="103" t="s">
        <v>218</v>
      </c>
      <c r="E53" s="103"/>
      <c r="F53" s="103"/>
      <c r="G53" s="103"/>
      <c r="H53" s="103"/>
      <c r="I53" s="40"/>
    </row>
    <row r="54" spans="1:14" ht="31.5" customHeight="1" x14ac:dyDescent="0.35">
      <c r="A54" s="142" t="s">
        <v>50</v>
      </c>
      <c r="B54" s="143"/>
      <c r="C54" s="144"/>
      <c r="D54" s="141" t="s">
        <v>196</v>
      </c>
      <c r="E54" s="141"/>
      <c r="F54" s="141"/>
      <c r="G54" s="141"/>
      <c r="H54" s="141"/>
      <c r="I54" s="41"/>
    </row>
    <row r="55" spans="1:14" ht="33" customHeight="1" x14ac:dyDescent="0.35">
      <c r="A55" s="142" t="s">
        <v>95</v>
      </c>
      <c r="B55" s="143"/>
      <c r="C55" s="143"/>
      <c r="D55" s="154" t="s">
        <v>197</v>
      </c>
      <c r="E55" s="155"/>
      <c r="F55" s="155"/>
      <c r="G55" s="155"/>
      <c r="H55" s="156"/>
      <c r="I55" s="41"/>
    </row>
    <row r="56" spans="1:14" ht="15.75" customHeight="1" x14ac:dyDescent="0.35">
      <c r="A56" s="96" t="s">
        <v>47</v>
      </c>
      <c r="B56" s="96"/>
      <c r="C56" s="96"/>
      <c r="D56" s="131" t="s">
        <v>205</v>
      </c>
      <c r="E56" s="131"/>
      <c r="F56" s="131"/>
      <c r="G56" s="131"/>
      <c r="H56" s="131"/>
      <c r="J56" s="39"/>
      <c r="K56" s="40"/>
      <c r="N56" s="40"/>
    </row>
    <row r="57" spans="1:14" ht="15.75" customHeight="1" x14ac:dyDescent="0.35">
      <c r="A57" s="96" t="s">
        <v>93</v>
      </c>
      <c r="B57" s="96"/>
      <c r="C57" s="96"/>
      <c r="D57" s="138" t="str">
        <f ca="1">(IF(G50="NA","60 Years After Completion",IF(G50&lt;&gt;"NA",""&amp;60-ROUNDDOWN((E3-G50)/360,0)&amp;" Years"," ")))</f>
        <v>53 Years</v>
      </c>
      <c r="E57" s="138"/>
      <c r="F57" s="138"/>
      <c r="G57" s="138"/>
      <c r="H57" s="138"/>
      <c r="N57" s="40"/>
    </row>
    <row r="58" spans="1:14" ht="15.75" customHeight="1" x14ac:dyDescent="0.35">
      <c r="A58" s="96" t="s">
        <v>94</v>
      </c>
      <c r="B58" s="96"/>
      <c r="C58" s="96"/>
      <c r="D58" s="123" t="s">
        <v>24</v>
      </c>
      <c r="E58" s="123"/>
      <c r="F58" s="123"/>
      <c r="G58" s="123"/>
      <c r="H58" s="123"/>
      <c r="J58" s="12"/>
      <c r="K58" s="12"/>
    </row>
    <row r="59" spans="1:14" ht="33" customHeight="1" x14ac:dyDescent="0.35">
      <c r="A59" s="96" t="s">
        <v>79</v>
      </c>
      <c r="B59" s="96"/>
      <c r="C59" s="96"/>
      <c r="D59" s="122" t="s">
        <v>206</v>
      </c>
      <c r="E59" s="123"/>
      <c r="F59" s="123"/>
      <c r="G59" s="123"/>
      <c r="H59" s="123"/>
    </row>
    <row r="60" spans="1:14" x14ac:dyDescent="0.35">
      <c r="A60" s="123" t="s">
        <v>160</v>
      </c>
      <c r="B60" s="123"/>
      <c r="C60" s="123"/>
      <c r="D60" s="123" t="s">
        <v>30</v>
      </c>
      <c r="E60" s="123"/>
      <c r="F60" s="123"/>
      <c r="G60" s="123"/>
      <c r="H60" s="123"/>
      <c r="I60" s="54"/>
      <c r="J60" s="54"/>
      <c r="K60" s="54"/>
      <c r="L60" s="54"/>
      <c r="M60" s="54"/>
      <c r="N60" s="54"/>
    </row>
    <row r="61" spans="1:14" ht="15.75" customHeight="1" x14ac:dyDescent="0.35">
      <c r="A61" s="96" t="s">
        <v>92</v>
      </c>
      <c r="B61" s="96"/>
      <c r="C61" s="96"/>
      <c r="D61" s="122" t="str">
        <f ca="1">(IF(G67&gt;95%,"Nothing",IF(G67&gt;0%,"Cement, Aggregate, Steel, etc",IF(G67=0%,"Work not yet Started"))))</f>
        <v>Nothing</v>
      </c>
      <c r="E61" s="122"/>
      <c r="F61" s="122"/>
      <c r="G61" s="122"/>
      <c r="H61" s="122"/>
      <c r="J61" s="12"/>
    </row>
    <row r="62" spans="1:14" ht="33.75" customHeight="1" thickBot="1" x14ac:dyDescent="0.4">
      <c r="A62" s="123" t="s">
        <v>127</v>
      </c>
      <c r="B62" s="123"/>
      <c r="C62" s="123"/>
      <c r="D62" s="122" t="str">
        <f ca="1">(IF(D61="Nothing","Yes",IF(D61="Cement, Aggregate, Steel, etc","Under Construction",IF(D61="Work not yet Started","Work not yet Started"))))</f>
        <v>Yes</v>
      </c>
      <c r="E62" s="122"/>
      <c r="F62" s="122" t="str">
        <f ca="1">(IF(D61="Nothing","Yes",IF(D61="Cement, Aggregate, Steel, etc","Under Construction",IF(D61="Work not yet Started","Work not yet Started"))))</f>
        <v>Yes</v>
      </c>
      <c r="G62" s="122"/>
      <c r="H62" s="122"/>
    </row>
    <row r="63" spans="1:14" ht="19" customHeight="1" x14ac:dyDescent="0.35">
      <c r="A63" s="146" t="s">
        <v>152</v>
      </c>
      <c r="B63" s="146"/>
      <c r="C63" s="146" t="str">
        <f>D55</f>
        <v>Phase - I  = Wing A, B, D, E, F, G, H, I &amp; J = Gr/St + 1st to 7th Floor</v>
      </c>
      <c r="D63" s="146"/>
      <c r="E63" s="146"/>
      <c r="F63" s="146"/>
      <c r="G63" s="146"/>
      <c r="H63" s="146"/>
      <c r="I63" s="45" t="str">
        <f ca="1">(IF(E67&gt;99%,"All work completed. Please provide OC.",IF(E67&gt;89.8%,"Plinth, RCC, Brick, Plaster, Flooring, Painting work Completed. Finishing work is in process.",IF(E67&lt;94%,(IF(C67=0,"Work not yet Started.",IF(D67=25%,"Piling work in process",IF(D67=50%,"Excavation work in process",IF(D67=100%,"Excavation work Completed. ","0")))&amp;(IF(C68=0%,"",IF(C68=J69,"Footing work is process",IF(C68=J70,"Footing work Completed",IF(C68=J71,"1st Basement Completed",IF(C68=J72,"1st &amp; 2nd Basement Completed",IF(C68=J73,"1st to 3rd Basement Completed",IF(C68=J74,"1st to 4th Basement Completed",IF(C68=J75,"Plinth work is process",IF(C68=J76,"Plinth work completed","0")))))))))))&amp;(IF(C69=(D64+F64+H64),", RCC Slab Completed",IF(C69&gt;0,", RCC upto "&amp;C69&amp;" Slab Completed",""))&amp;(IF(C70=H64,", Brickwork Completed",IF(C70&gt;0,", Brickwork upto "&amp;C70&amp;" Floor Completed",""))&amp;(IF(C71=H64,", Internal Plaster Completed",IF(C71&gt;0,", Internal Plaster upto "&amp;C71&amp;" Floor Completed",""))&amp;(IF(C72=H64,", External Plaster Completed",IF(C72&gt;0,", External Plaster upto "&amp;C72&amp;" Floor Completed",""))&amp;(IF(C73=H64,", Flooring Completed",IF(C73&gt;0,", Flooring upto "&amp;C73&amp;" Floor Completed",""))&amp;(IF(C74=H64,", Painting Completed",IF(C74&gt;0,", Painting upto "&amp;C74&amp;" Floor Completed",""))&amp;(IF(C75&gt;0,", Finishing upto "&amp;C75&amp;" Floor Completed","")&amp;(IF(C69&gt;0.5,".",""))))))))))))))</f>
        <v>All work completed. Please provide OC.</v>
      </c>
      <c r="J63" s="14"/>
    </row>
    <row r="64" spans="1:14" x14ac:dyDescent="0.35">
      <c r="A64" s="74" t="s">
        <v>154</v>
      </c>
      <c r="B64" s="74">
        <v>0</v>
      </c>
      <c r="C64" s="74" t="s">
        <v>76</v>
      </c>
      <c r="D64" s="74">
        <v>1</v>
      </c>
      <c r="E64" s="74" t="s">
        <v>75</v>
      </c>
      <c r="F64" s="74">
        <v>0</v>
      </c>
      <c r="G64" s="74" t="s">
        <v>86</v>
      </c>
      <c r="H64" s="74">
        <f ca="1">--TRIM(RIGHT(SUBSTITUTE(LEFT(C63,_xlfn.AGGREGATE(16,6,FIND({0,1,2,3,4,5,6,7,8,9},C63,ROW(INDIRECT("1:"&amp;LEN(C63)))),1))," ",REPT(" ",LEN(C63))),LEN(C63)))</f>
        <v>7</v>
      </c>
      <c r="I64" s="46"/>
      <c r="J64" s="15"/>
    </row>
    <row r="65" spans="1:14" ht="20" customHeight="1" x14ac:dyDescent="0.35">
      <c r="A65" s="163" t="s">
        <v>96</v>
      </c>
      <c r="B65" s="163"/>
      <c r="C65" s="164" t="str">
        <f>(IF($G$50="NA",I63,"All work Completed. OC Received."))</f>
        <v>All work Completed. OC Received.</v>
      </c>
      <c r="D65" s="164"/>
      <c r="E65" s="164"/>
      <c r="F65" s="164"/>
      <c r="G65" s="164"/>
      <c r="H65" s="164"/>
      <c r="I65" s="46" t="s">
        <v>114</v>
      </c>
      <c r="J65" s="15"/>
    </row>
    <row r="66" spans="1:14" ht="15.75" customHeight="1" x14ac:dyDescent="0.35">
      <c r="A66" s="98" t="s">
        <v>51</v>
      </c>
      <c r="B66" s="98"/>
      <c r="C66" s="61" t="s">
        <v>151</v>
      </c>
      <c r="D66" s="72" t="s">
        <v>89</v>
      </c>
      <c r="E66" s="98" t="s">
        <v>91</v>
      </c>
      <c r="F66" s="98"/>
      <c r="G66" s="98" t="s">
        <v>90</v>
      </c>
      <c r="H66" s="98"/>
      <c r="I66" s="38" t="s">
        <v>153</v>
      </c>
      <c r="J66" s="16">
        <f ca="1">H64*25%</f>
        <v>1.75</v>
      </c>
    </row>
    <row r="67" spans="1:14" x14ac:dyDescent="0.35">
      <c r="A67" s="97" t="s">
        <v>140</v>
      </c>
      <c r="B67" s="98"/>
      <c r="C67" s="62">
        <f ca="1">J68</f>
        <v>7</v>
      </c>
      <c r="D67" s="63">
        <f ca="1">((100/H64)*C67)/100</f>
        <v>1</v>
      </c>
      <c r="E67" s="132">
        <f ca="1">(((C68/H64*10)+(40/(D64+F64+H64)*C69)+(7.5/(H64)*C70)+(7.5/(H64)*C71)+(10/H64*C72)+(10/H64*C73)+(5/H64*C74)+(5/H64*C75)+(5/H64*C76))/100)</f>
        <v>1</v>
      </c>
      <c r="F67" s="132"/>
      <c r="G67" s="132">
        <f ca="1">((((C67/H64)*20)+((C68/H64)*25)+(30/(H64+F64+D64)*C69)+(5/H64*C70)+(5/H64*C71)+(5/H64*C72)+(5/H64*C73)+(0/H64*C74)+(0/H64*C75)+(5/H64*C76))/100)</f>
        <v>1</v>
      </c>
      <c r="H67" s="134"/>
      <c r="I67" s="38" t="s">
        <v>109</v>
      </c>
      <c r="J67" s="44">
        <f ca="1">H64*50%</f>
        <v>3.5</v>
      </c>
    </row>
    <row r="68" spans="1:14" x14ac:dyDescent="0.35">
      <c r="A68" s="97" t="s">
        <v>52</v>
      </c>
      <c r="B68" s="98"/>
      <c r="C68" s="64">
        <f ca="1">J76</f>
        <v>7</v>
      </c>
      <c r="D68" s="63">
        <f ca="1">((100/H64)*C68)/100</f>
        <v>1</v>
      </c>
      <c r="E68" s="132"/>
      <c r="F68" s="132"/>
      <c r="G68" s="132"/>
      <c r="H68" s="134"/>
      <c r="I68" s="38" t="s">
        <v>110</v>
      </c>
      <c r="J68" s="44">
        <f ca="1">H64</f>
        <v>7</v>
      </c>
    </row>
    <row r="69" spans="1:14" ht="15.75" customHeight="1" x14ac:dyDescent="0.35">
      <c r="A69" s="97" t="s">
        <v>141</v>
      </c>
      <c r="B69" s="98"/>
      <c r="C69" s="64">
        <f ca="1">D64+H64</f>
        <v>8</v>
      </c>
      <c r="D69" s="63">
        <f ca="1">((100/(D64+F64+H64))*C69)/100</f>
        <v>1</v>
      </c>
      <c r="E69" s="132"/>
      <c r="F69" s="132"/>
      <c r="G69" s="132"/>
      <c r="H69" s="134"/>
      <c r="I69" s="38" t="s">
        <v>111</v>
      </c>
      <c r="J69" s="48">
        <f ca="1">(IF(B64&gt;1,(H64/(B64+2)),H64/4))</f>
        <v>1.75</v>
      </c>
    </row>
    <row r="70" spans="1:14" ht="15.75" customHeight="1" x14ac:dyDescent="0.35">
      <c r="A70" s="97" t="s">
        <v>148</v>
      </c>
      <c r="B70" s="98" t="s">
        <v>142</v>
      </c>
      <c r="C70" s="62">
        <v>7</v>
      </c>
      <c r="D70" s="63">
        <f ca="1">((100/H64)*C70)/100</f>
        <v>1</v>
      </c>
      <c r="E70" s="132"/>
      <c r="F70" s="132"/>
      <c r="G70" s="132"/>
      <c r="H70" s="134"/>
      <c r="I70" s="38" t="s">
        <v>112</v>
      </c>
      <c r="J70" s="48">
        <f ca="1">(IF(B64&gt;1,(H64/(B64+2)+J69),H64/4+J69))</f>
        <v>3.5</v>
      </c>
    </row>
    <row r="71" spans="1:14" ht="15.75" customHeight="1" x14ac:dyDescent="0.35">
      <c r="A71" s="97" t="s">
        <v>149</v>
      </c>
      <c r="B71" s="98" t="s">
        <v>142</v>
      </c>
      <c r="C71" s="62">
        <v>7</v>
      </c>
      <c r="D71" s="63">
        <f ca="1">((100/H64)*C71)/100</f>
        <v>1</v>
      </c>
      <c r="E71" s="132"/>
      <c r="F71" s="132"/>
      <c r="G71" s="132"/>
      <c r="H71" s="134"/>
      <c r="I71" s="38" t="s">
        <v>158</v>
      </c>
      <c r="J71" s="48">
        <f>(IF(B64&gt;1,(H64/(B64+2)+J70),0))</f>
        <v>0</v>
      </c>
    </row>
    <row r="72" spans="1:14" ht="15" customHeight="1" x14ac:dyDescent="0.35">
      <c r="A72" s="97" t="s">
        <v>147</v>
      </c>
      <c r="B72" s="98" t="s">
        <v>144</v>
      </c>
      <c r="C72" s="62">
        <v>7</v>
      </c>
      <c r="D72" s="63">
        <f ca="1">((100/(H64))*C72)/100</f>
        <v>1</v>
      </c>
      <c r="E72" s="132"/>
      <c r="F72" s="132"/>
      <c r="G72" s="132"/>
      <c r="H72" s="134"/>
      <c r="I72" s="38" t="s">
        <v>155</v>
      </c>
      <c r="J72" s="48">
        <f>(IF(B64&gt;2,(H64/(B64+2)+J71),0))</f>
        <v>0</v>
      </c>
    </row>
    <row r="73" spans="1:14" ht="15.75" customHeight="1" x14ac:dyDescent="0.35">
      <c r="A73" s="97" t="s">
        <v>143</v>
      </c>
      <c r="B73" s="98" t="s">
        <v>143</v>
      </c>
      <c r="C73" s="62">
        <v>7</v>
      </c>
      <c r="D73" s="63">
        <f ca="1">((100/H64)*C73)/100</f>
        <v>1</v>
      </c>
      <c r="E73" s="132"/>
      <c r="F73" s="132"/>
      <c r="G73" s="132"/>
      <c r="H73" s="134"/>
      <c r="I73" s="38" t="s">
        <v>156</v>
      </c>
      <c r="J73" s="49">
        <f>(IF(B64&gt;3,(H64/(B64+2)+J72),0))</f>
        <v>0</v>
      </c>
    </row>
    <row r="74" spans="1:14" ht="15.75" customHeight="1" x14ac:dyDescent="0.35">
      <c r="A74" s="97" t="s">
        <v>150</v>
      </c>
      <c r="B74" s="98"/>
      <c r="C74" s="62">
        <v>7</v>
      </c>
      <c r="D74" s="63">
        <f ca="1">((100/H64)*C74)/100</f>
        <v>1</v>
      </c>
      <c r="E74" s="132"/>
      <c r="F74" s="132"/>
      <c r="G74" s="132"/>
      <c r="H74" s="134"/>
      <c r="I74" s="38" t="s">
        <v>157</v>
      </c>
      <c r="J74" s="48">
        <f>(IF(B64&gt;4,(H64/(B64+2)+J73),0))</f>
        <v>0</v>
      </c>
    </row>
    <row r="75" spans="1:14" ht="15.75" customHeight="1" x14ac:dyDescent="0.35">
      <c r="A75" s="97" t="s">
        <v>145</v>
      </c>
      <c r="B75" s="98" t="s">
        <v>145</v>
      </c>
      <c r="C75" s="62">
        <v>7</v>
      </c>
      <c r="D75" s="63">
        <f ca="1">((100/(H64))*C75)/100</f>
        <v>1</v>
      </c>
      <c r="E75" s="132"/>
      <c r="F75" s="132"/>
      <c r="G75" s="132"/>
      <c r="H75" s="134"/>
      <c r="I75" s="38" t="s">
        <v>159</v>
      </c>
      <c r="J75" s="48">
        <f ca="1">(IF(B64=1,(H64/(B64+3)+J70),IF(B64=0,(H64/4+J70),IF(B64&gt;1,0))))</f>
        <v>5.25</v>
      </c>
    </row>
    <row r="76" spans="1:14" ht="16" thickBot="1" x14ac:dyDescent="0.4">
      <c r="A76" s="136" t="s">
        <v>146</v>
      </c>
      <c r="B76" s="137"/>
      <c r="C76" s="65">
        <v>7</v>
      </c>
      <c r="D76" s="66">
        <f ca="1">((100/(H64))*C76)/100</f>
        <v>1</v>
      </c>
      <c r="E76" s="133"/>
      <c r="F76" s="133"/>
      <c r="G76" s="133"/>
      <c r="H76" s="135"/>
      <c r="I76" s="47" t="s">
        <v>113</v>
      </c>
      <c r="J76" s="50">
        <f ca="1">(IF(B64&gt;1.5,(H64/(B64+2)+J70+MAX(0,J71-J70)+MAX(0,J72-J71)+MAX(0,J73-J72)+MAX(0,J74-J73)+MAX(0,J75-J74)),IF(B64=1,(H64/(B64+3)+J75),IF(B64=0,H64/4+J75))))</f>
        <v>7</v>
      </c>
    </row>
    <row r="77" spans="1:14" x14ac:dyDescent="0.35">
      <c r="A77" s="105" t="s">
        <v>53</v>
      </c>
      <c r="B77" s="105"/>
      <c r="C77" s="105"/>
      <c r="D77" s="105"/>
      <c r="E77" s="105"/>
      <c r="F77" s="105"/>
      <c r="G77" s="105"/>
      <c r="H77" s="105"/>
    </row>
    <row r="78" spans="1:14" x14ac:dyDescent="0.35">
      <c r="A78" s="96" t="s">
        <v>166</v>
      </c>
      <c r="B78" s="96"/>
      <c r="C78" s="96"/>
      <c r="D78" s="96"/>
      <c r="E78" s="96"/>
      <c r="F78" s="95">
        <v>4300</v>
      </c>
      <c r="G78" s="95"/>
      <c r="H78" s="95"/>
      <c r="J78" s="3" t="s">
        <v>221</v>
      </c>
      <c r="M78" s="3" t="s">
        <v>222</v>
      </c>
      <c r="N78" s="39">
        <v>45596</v>
      </c>
    </row>
    <row r="79" spans="1:14" hidden="1" x14ac:dyDescent="0.35">
      <c r="A79" s="96" t="s">
        <v>167</v>
      </c>
      <c r="B79" s="96"/>
      <c r="C79" s="96"/>
      <c r="D79" s="96"/>
      <c r="E79" s="96"/>
      <c r="F79" s="95"/>
      <c r="G79" s="95"/>
      <c r="H79" s="95"/>
    </row>
    <row r="80" spans="1:14" hidden="1" x14ac:dyDescent="0.35">
      <c r="A80" s="96" t="s">
        <v>168</v>
      </c>
      <c r="B80" s="96"/>
      <c r="C80" s="96"/>
      <c r="D80" s="96"/>
      <c r="E80" s="96"/>
      <c r="F80" s="95"/>
      <c r="G80" s="95"/>
      <c r="H80" s="95"/>
    </row>
    <row r="81" spans="1:8" s="7" customFormat="1" hidden="1" x14ac:dyDescent="0.3">
      <c r="A81" s="96" t="s">
        <v>101</v>
      </c>
      <c r="B81" s="96"/>
      <c r="C81" s="96"/>
      <c r="D81" s="96"/>
      <c r="E81" s="96"/>
      <c r="F81" s="95"/>
      <c r="G81" s="95"/>
      <c r="H81" s="95"/>
    </row>
    <row r="82" spans="1:8" s="7" customFormat="1" x14ac:dyDescent="0.3">
      <c r="A82" s="96" t="s">
        <v>102</v>
      </c>
      <c r="B82" s="96"/>
      <c r="C82" s="96"/>
      <c r="D82" s="96"/>
      <c r="E82" s="96"/>
      <c r="F82" s="95">
        <v>150000</v>
      </c>
      <c r="G82" s="95"/>
      <c r="H82" s="95"/>
    </row>
    <row r="83" spans="1:8" s="7" customFormat="1" hidden="1" x14ac:dyDescent="0.3">
      <c r="A83" s="96" t="s">
        <v>103</v>
      </c>
      <c r="B83" s="96"/>
      <c r="C83" s="96"/>
      <c r="D83" s="96"/>
      <c r="E83" s="96"/>
      <c r="F83" s="95"/>
      <c r="G83" s="95"/>
      <c r="H83" s="95"/>
    </row>
    <row r="84" spans="1:8" s="7" customFormat="1" hidden="1" x14ac:dyDescent="0.3">
      <c r="A84" s="96" t="s">
        <v>104</v>
      </c>
      <c r="B84" s="96"/>
      <c r="C84" s="96"/>
      <c r="D84" s="96"/>
      <c r="E84" s="96"/>
      <c r="F84" s="95"/>
      <c r="G84" s="95"/>
      <c r="H84" s="95"/>
    </row>
    <row r="85" spans="1:8" s="7" customFormat="1" hidden="1" x14ac:dyDescent="0.3">
      <c r="A85" s="96" t="s">
        <v>105</v>
      </c>
      <c r="B85" s="96"/>
      <c r="C85" s="96"/>
      <c r="D85" s="96"/>
      <c r="E85" s="96"/>
      <c r="F85" s="95"/>
      <c r="G85" s="95"/>
      <c r="H85" s="95"/>
    </row>
    <row r="86" spans="1:8" s="7" customFormat="1" hidden="1" x14ac:dyDescent="0.3">
      <c r="A86" s="96" t="s">
        <v>106</v>
      </c>
      <c r="B86" s="96"/>
      <c r="C86" s="96"/>
      <c r="D86" s="96"/>
      <c r="E86" s="96"/>
      <c r="F86" s="95"/>
      <c r="G86" s="95"/>
      <c r="H86" s="95"/>
    </row>
    <row r="87" spans="1:8" s="7" customFormat="1" hidden="1" x14ac:dyDescent="0.3">
      <c r="A87" s="96" t="s">
        <v>107</v>
      </c>
      <c r="B87" s="96"/>
      <c r="C87" s="96"/>
      <c r="D87" s="96"/>
      <c r="E87" s="96"/>
      <c r="F87" s="95"/>
      <c r="G87" s="95"/>
      <c r="H87" s="95"/>
    </row>
    <row r="88" spans="1:8" s="7" customFormat="1" hidden="1" x14ac:dyDescent="0.3">
      <c r="A88" s="96" t="s">
        <v>108</v>
      </c>
      <c r="B88" s="96"/>
      <c r="C88" s="96"/>
      <c r="D88" s="96"/>
      <c r="E88" s="96"/>
      <c r="F88" s="95"/>
      <c r="G88" s="95"/>
      <c r="H88" s="95"/>
    </row>
    <row r="89" spans="1:8" x14ac:dyDescent="0.35">
      <c r="A89" s="96" t="s">
        <v>54</v>
      </c>
      <c r="B89" s="96"/>
      <c r="C89" s="96"/>
      <c r="D89" s="96"/>
      <c r="E89" s="96"/>
      <c r="F89" s="95">
        <v>300000</v>
      </c>
      <c r="G89" s="95"/>
      <c r="H89" s="95"/>
    </row>
    <row r="90" spans="1:8" s="4" customFormat="1" x14ac:dyDescent="0.35">
      <c r="A90" s="105" t="s">
        <v>55</v>
      </c>
      <c r="B90" s="105"/>
      <c r="C90" s="105"/>
      <c r="D90" s="105"/>
      <c r="E90" s="105"/>
      <c r="F90" s="95">
        <f>F78*0.8</f>
        <v>3440</v>
      </c>
      <c r="G90" s="95"/>
      <c r="H90" s="95"/>
    </row>
    <row r="91" spans="1:8" s="1" customFormat="1" ht="15.75" hidden="1" customHeight="1" x14ac:dyDescent="0.35">
      <c r="A91" s="102" t="s">
        <v>80</v>
      </c>
      <c r="B91" s="102"/>
      <c r="C91" s="102"/>
      <c r="D91" s="102"/>
      <c r="E91" s="102"/>
      <c r="F91" s="102"/>
      <c r="G91" s="102"/>
      <c r="H91" s="102"/>
    </row>
    <row r="92" spans="1:8" s="1" customFormat="1" ht="15.75" hidden="1" customHeight="1" x14ac:dyDescent="0.35">
      <c r="A92" s="101" t="s">
        <v>56</v>
      </c>
      <c r="B92" s="101"/>
      <c r="C92" s="100" t="s">
        <v>83</v>
      </c>
      <c r="D92" s="100"/>
      <c r="E92" s="115" t="s">
        <v>57</v>
      </c>
      <c r="F92" s="115"/>
      <c r="G92" s="101" t="s">
        <v>58</v>
      </c>
      <c r="H92" s="101"/>
    </row>
    <row r="93" spans="1:8" s="1" customFormat="1" hidden="1" x14ac:dyDescent="0.35">
      <c r="A93" s="108"/>
      <c r="B93" s="108"/>
      <c r="C93" s="116"/>
      <c r="D93" s="116"/>
      <c r="E93" s="153"/>
      <c r="F93" s="153"/>
      <c r="G93" s="118"/>
      <c r="H93" s="118"/>
    </row>
    <row r="94" spans="1:8" s="1" customFormat="1" hidden="1" x14ac:dyDescent="0.35">
      <c r="A94" s="108"/>
      <c r="B94" s="108"/>
      <c r="C94" s="116"/>
      <c r="D94" s="116"/>
      <c r="E94" s="153"/>
      <c r="F94" s="153"/>
      <c r="G94" s="118"/>
      <c r="H94" s="118"/>
    </row>
    <row r="95" spans="1:8" s="1" customFormat="1" hidden="1" x14ac:dyDescent="0.35">
      <c r="A95" s="102" t="s">
        <v>162</v>
      </c>
      <c r="B95" s="102"/>
      <c r="C95" s="100"/>
      <c r="D95" s="100"/>
      <c r="E95" s="115"/>
      <c r="F95" s="115"/>
      <c r="G95" s="101"/>
      <c r="H95" s="101"/>
    </row>
    <row r="96" spans="1:8" s="1" customFormat="1" x14ac:dyDescent="0.35">
      <c r="A96" s="102" t="s">
        <v>74</v>
      </c>
      <c r="B96" s="102"/>
      <c r="C96" s="102"/>
      <c r="D96" s="102"/>
      <c r="E96" s="102"/>
      <c r="F96" s="102"/>
      <c r="G96" s="102"/>
      <c r="H96" s="102"/>
    </row>
    <row r="97" spans="1:14" s="1" customFormat="1" ht="15.75" customHeight="1" x14ac:dyDescent="0.35">
      <c r="A97" s="101" t="s">
        <v>56</v>
      </c>
      <c r="B97" s="101"/>
      <c r="C97" s="100" t="s">
        <v>83</v>
      </c>
      <c r="D97" s="100"/>
      <c r="E97" s="115" t="s">
        <v>57</v>
      </c>
      <c r="F97" s="115"/>
      <c r="G97" s="101" t="s">
        <v>58</v>
      </c>
      <c r="H97" s="101"/>
    </row>
    <row r="98" spans="1:14" s="1" customFormat="1" x14ac:dyDescent="0.35">
      <c r="A98" s="108" t="s">
        <v>208</v>
      </c>
      <c r="B98" s="108"/>
      <c r="C98" s="116">
        <f>COUNT(D120:D123)+COUNT(D125:D128)*3+COUNT(D130:D133)*3</f>
        <v>28</v>
      </c>
      <c r="D98" s="116"/>
      <c r="E98" s="99">
        <f>SUM(D120:D123)+SUM(D125:D128)*3+SUM(D130:D133)*3</f>
        <v>13635.8481168</v>
      </c>
      <c r="F98" s="99"/>
      <c r="G98" s="99">
        <f t="shared" ref="G98" si="0">SUM(F120:F123)+SUM(F125:F128)*3+SUM(F130:F133)*3</f>
        <v>21572.745947999996</v>
      </c>
      <c r="H98" s="99"/>
      <c r="J98" s="1">
        <f>28*3</f>
        <v>84</v>
      </c>
    </row>
    <row r="99" spans="1:14" s="1" customFormat="1" x14ac:dyDescent="0.35">
      <c r="A99" s="108" t="s">
        <v>214</v>
      </c>
      <c r="B99" s="108"/>
      <c r="C99" s="116">
        <v>28</v>
      </c>
      <c r="D99" s="116"/>
      <c r="E99" s="99">
        <f>SUM(D137:D140)+SUM(D142:D145)*3+SUM(D147:D150)*3</f>
        <v>13635.8481168</v>
      </c>
      <c r="F99" s="99"/>
      <c r="G99" s="99">
        <f>SUM(F137:F140)+SUM(F142:F145)*3+SUM(F147:F150)*3</f>
        <v>21572.745947999996</v>
      </c>
      <c r="H99" s="99"/>
    </row>
    <row r="100" spans="1:14" s="1" customFormat="1" x14ac:dyDescent="0.35">
      <c r="A100" s="108" t="s">
        <v>215</v>
      </c>
      <c r="B100" s="108"/>
      <c r="C100" s="116">
        <v>28</v>
      </c>
      <c r="D100" s="116"/>
      <c r="E100" s="99">
        <f>SUM(D137:D140)+SUM(D142:D145)*3+SUM(D147:D150)*3</f>
        <v>13635.8481168</v>
      </c>
      <c r="F100" s="99"/>
      <c r="G100" s="118">
        <f t="shared" ref="G100" si="1">SUM(F120:F123)+SUM(F125:F128)*3+SUM(F130:F133)*3</f>
        <v>21572.745947999996</v>
      </c>
      <c r="H100" s="118"/>
    </row>
    <row r="101" spans="1:14" s="1" customFormat="1" x14ac:dyDescent="0.35">
      <c r="A101" s="102" t="s">
        <v>162</v>
      </c>
      <c r="B101" s="102"/>
      <c r="C101" s="100">
        <f>SUM(C98:D100)</f>
        <v>84</v>
      </c>
      <c r="D101" s="100"/>
      <c r="E101" s="161">
        <f>SUM(E98:F100)</f>
        <v>40907.5443504</v>
      </c>
      <c r="F101" s="115"/>
      <c r="G101" s="101">
        <f>SUM(G98:H100)</f>
        <v>64718.237843999988</v>
      </c>
      <c r="H101" s="101"/>
    </row>
    <row r="102" spans="1:14" s="4" customFormat="1" hidden="1" x14ac:dyDescent="0.35">
      <c r="A102" s="87" t="s">
        <v>59</v>
      </c>
      <c r="B102" s="87"/>
      <c r="C102" s="87"/>
      <c r="D102" s="87"/>
      <c r="E102" s="87"/>
      <c r="F102" s="87"/>
      <c r="G102" s="87"/>
      <c r="H102" s="87"/>
    </row>
    <row r="103" spans="1:14" hidden="1" x14ac:dyDescent="0.35">
      <c r="A103" s="87" t="s">
        <v>60</v>
      </c>
      <c r="B103" s="87"/>
      <c r="C103" s="87"/>
      <c r="D103" s="87"/>
      <c r="E103" s="87"/>
      <c r="F103" s="87"/>
      <c r="G103" s="87"/>
      <c r="H103" s="87"/>
    </row>
    <row r="104" spans="1:14" ht="47.25" hidden="1" customHeight="1" x14ac:dyDescent="0.35">
      <c r="A104" s="106" t="s">
        <v>130</v>
      </c>
      <c r="B104" s="106" t="s">
        <v>129</v>
      </c>
      <c r="C104" s="106" t="s">
        <v>61</v>
      </c>
      <c r="D104" s="106" t="s">
        <v>62</v>
      </c>
      <c r="E104" s="109" t="s">
        <v>63</v>
      </c>
      <c r="F104" s="31" t="s">
        <v>161</v>
      </c>
      <c r="G104" s="111" t="s">
        <v>64</v>
      </c>
      <c r="H104" s="112"/>
    </row>
    <row r="105" spans="1:14" s="2" customFormat="1" hidden="1" x14ac:dyDescent="0.35">
      <c r="A105" s="107"/>
      <c r="B105" s="107"/>
      <c r="C105" s="107"/>
      <c r="D105" s="107"/>
      <c r="E105" s="110"/>
      <c r="F105" s="32">
        <v>0.6</v>
      </c>
      <c r="G105" s="113"/>
      <c r="H105" s="114"/>
    </row>
    <row r="106" spans="1:14" s="2" customFormat="1" hidden="1" x14ac:dyDescent="0.35">
      <c r="A106" s="82" t="s">
        <v>128</v>
      </c>
      <c r="B106" s="83"/>
      <c r="C106" s="83"/>
      <c r="D106" s="83"/>
      <c r="E106" s="83"/>
      <c r="F106" s="83"/>
      <c r="G106" s="83"/>
      <c r="H106" s="84"/>
      <c r="J106" s="34"/>
    </row>
    <row r="107" spans="1:14" s="2" customFormat="1" hidden="1" x14ac:dyDescent="0.35">
      <c r="A107" s="79">
        <v>1</v>
      </c>
      <c r="B107" s="80"/>
      <c r="C107" s="33"/>
      <c r="D107" s="33"/>
      <c r="E107" s="33">
        <v>0</v>
      </c>
      <c r="F107" s="33">
        <f>D107*(($F$105)+1)+(IF(E107&lt;101,E107,IF(E107&lt;201,E107/2,IF(E107&lt;=301,E107/3,E107/4))))</f>
        <v>0</v>
      </c>
      <c r="G107" s="79" t="str">
        <f>A106</f>
        <v>Ground Floor</v>
      </c>
      <c r="H107" s="80"/>
      <c r="I107" s="34"/>
      <c r="L107" s="85"/>
      <c r="M107" s="85"/>
      <c r="N107" s="34"/>
    </row>
    <row r="108" spans="1:14" s="2" customFormat="1" hidden="1" x14ac:dyDescent="0.35">
      <c r="A108" s="79">
        <f t="shared" ref="A108:A113" si="2">A107+1</f>
        <v>2</v>
      </c>
      <c r="B108" s="80"/>
      <c r="C108" s="33"/>
      <c r="D108" s="33"/>
      <c r="E108" s="43">
        <v>0</v>
      </c>
      <c r="F108" s="53">
        <f t="shared" ref="F108:F113" si="3">D108*(($F$105)+1)+(IF(E108&lt;101,E108,IF(E108&lt;201,E108/2,IF(E108&lt;=301,E108/3,E108/4))))</f>
        <v>0</v>
      </c>
      <c r="G108" s="79" t="str">
        <f t="shared" ref="G108:G113" si="4">G107</f>
        <v>Ground Floor</v>
      </c>
      <c r="H108" s="80"/>
      <c r="I108" s="34"/>
      <c r="L108" s="85"/>
      <c r="M108" s="85"/>
      <c r="N108" s="34"/>
    </row>
    <row r="109" spans="1:14" s="2" customFormat="1" hidden="1" x14ac:dyDescent="0.35">
      <c r="A109" s="79">
        <f t="shared" si="2"/>
        <v>3</v>
      </c>
      <c r="B109" s="80"/>
      <c r="C109" s="33"/>
      <c r="D109" s="33"/>
      <c r="E109" s="43">
        <v>0</v>
      </c>
      <c r="F109" s="53">
        <f t="shared" si="3"/>
        <v>0</v>
      </c>
      <c r="G109" s="79" t="str">
        <f t="shared" si="4"/>
        <v>Ground Floor</v>
      </c>
      <c r="H109" s="80"/>
      <c r="I109" s="34"/>
      <c r="L109" s="85"/>
      <c r="M109" s="85"/>
      <c r="N109" s="34"/>
    </row>
    <row r="110" spans="1:14" s="2" customFormat="1" hidden="1" x14ac:dyDescent="0.35">
      <c r="A110" s="79">
        <f t="shared" si="2"/>
        <v>4</v>
      </c>
      <c r="B110" s="80"/>
      <c r="C110" s="33"/>
      <c r="D110" s="33"/>
      <c r="E110" s="43">
        <v>0</v>
      </c>
      <c r="F110" s="53">
        <f t="shared" si="3"/>
        <v>0</v>
      </c>
      <c r="G110" s="79" t="str">
        <f t="shared" si="4"/>
        <v>Ground Floor</v>
      </c>
      <c r="H110" s="80"/>
      <c r="I110" s="34"/>
      <c r="L110" s="85"/>
      <c r="M110" s="85"/>
      <c r="N110" s="34"/>
    </row>
    <row r="111" spans="1:14" s="2" customFormat="1" hidden="1" x14ac:dyDescent="0.35">
      <c r="A111" s="79">
        <f t="shared" si="2"/>
        <v>5</v>
      </c>
      <c r="B111" s="80"/>
      <c r="C111" s="33"/>
      <c r="D111" s="33"/>
      <c r="E111" s="43">
        <v>0</v>
      </c>
      <c r="F111" s="53">
        <f t="shared" si="3"/>
        <v>0</v>
      </c>
      <c r="G111" s="79" t="str">
        <f t="shared" si="4"/>
        <v>Ground Floor</v>
      </c>
      <c r="H111" s="80"/>
      <c r="I111" s="34"/>
      <c r="L111" s="85"/>
      <c r="M111" s="85"/>
      <c r="N111" s="34"/>
    </row>
    <row r="112" spans="1:14" s="2" customFormat="1" hidden="1" x14ac:dyDescent="0.35">
      <c r="A112" s="79">
        <f t="shared" si="2"/>
        <v>6</v>
      </c>
      <c r="B112" s="80"/>
      <c r="C112" s="33"/>
      <c r="D112" s="33"/>
      <c r="E112" s="43">
        <v>0</v>
      </c>
      <c r="F112" s="53">
        <f t="shared" si="3"/>
        <v>0</v>
      </c>
      <c r="G112" s="79" t="str">
        <f t="shared" si="4"/>
        <v>Ground Floor</v>
      </c>
      <c r="H112" s="80"/>
      <c r="I112" s="34"/>
      <c r="L112" s="85"/>
      <c r="M112" s="85"/>
      <c r="N112" s="34"/>
    </row>
    <row r="113" spans="1:16" s="2" customFormat="1" hidden="1" x14ac:dyDescent="0.35">
      <c r="A113" s="79">
        <f t="shared" si="2"/>
        <v>7</v>
      </c>
      <c r="B113" s="80"/>
      <c r="C113" s="33"/>
      <c r="D113" s="33"/>
      <c r="E113" s="43">
        <v>0</v>
      </c>
      <c r="F113" s="53">
        <f t="shared" si="3"/>
        <v>0</v>
      </c>
      <c r="G113" s="79" t="str">
        <f t="shared" si="4"/>
        <v>Ground Floor</v>
      </c>
      <c r="H113" s="80"/>
      <c r="I113" s="34"/>
      <c r="L113" s="85"/>
      <c r="M113" s="85"/>
      <c r="N113" s="34"/>
    </row>
    <row r="114" spans="1:16" s="36" customFormat="1" hidden="1" x14ac:dyDescent="0.35">
      <c r="A114" s="79"/>
      <c r="B114" s="117"/>
      <c r="C114" s="117"/>
      <c r="D114" s="117"/>
      <c r="E114" s="117"/>
      <c r="F114" s="117"/>
      <c r="G114" s="117"/>
      <c r="H114" s="80"/>
      <c r="I114" s="34"/>
      <c r="N114" s="34"/>
    </row>
    <row r="115" spans="1:16" ht="47.25" customHeight="1" x14ac:dyDescent="0.35">
      <c r="A115" s="111" t="s">
        <v>131</v>
      </c>
      <c r="B115" s="111" t="s">
        <v>132</v>
      </c>
      <c r="C115" s="106" t="s">
        <v>61</v>
      </c>
      <c r="D115" s="106" t="s">
        <v>62</v>
      </c>
      <c r="E115" s="109" t="s">
        <v>63</v>
      </c>
      <c r="F115" s="37" t="s">
        <v>161</v>
      </c>
      <c r="G115" s="111" t="s">
        <v>64</v>
      </c>
      <c r="H115" s="112"/>
      <c r="I115" s="34"/>
    </row>
    <row r="116" spans="1:16" s="36" customFormat="1" x14ac:dyDescent="0.35">
      <c r="A116" s="113"/>
      <c r="B116" s="113"/>
      <c r="C116" s="107"/>
      <c r="D116" s="107"/>
      <c r="E116" s="110"/>
      <c r="F116" s="32">
        <v>0.5</v>
      </c>
      <c r="G116" s="113"/>
      <c r="H116" s="114"/>
      <c r="I116" s="34"/>
    </row>
    <row r="117" spans="1:16" s="4" customFormat="1" x14ac:dyDescent="0.35">
      <c r="A117" s="87" t="s">
        <v>208</v>
      </c>
      <c r="B117" s="87"/>
      <c r="C117" s="87"/>
      <c r="D117" s="87"/>
      <c r="E117" s="87"/>
      <c r="F117" s="87"/>
      <c r="G117" s="87"/>
      <c r="H117" s="87"/>
    </row>
    <row r="118" spans="1:16" s="69" customFormat="1" x14ac:dyDescent="0.35">
      <c r="A118" s="86" t="s">
        <v>209</v>
      </c>
      <c r="B118" s="86"/>
      <c r="C118" s="86"/>
      <c r="D118" s="86"/>
      <c r="E118" s="86"/>
      <c r="F118" s="86"/>
      <c r="G118" s="86"/>
      <c r="H118" s="86"/>
      <c r="I118" s="34"/>
      <c r="L118" s="85"/>
      <c r="M118" s="85"/>
    </row>
    <row r="119" spans="1:16" s="2" customFormat="1" x14ac:dyDescent="0.35">
      <c r="A119" s="86" t="s">
        <v>170</v>
      </c>
      <c r="B119" s="86"/>
      <c r="C119" s="86"/>
      <c r="D119" s="86"/>
      <c r="E119" s="86"/>
      <c r="F119" s="86"/>
      <c r="G119" s="86"/>
      <c r="H119" s="86"/>
      <c r="I119" s="34"/>
      <c r="L119" s="85"/>
      <c r="M119" s="85"/>
    </row>
    <row r="120" spans="1:16" s="2" customFormat="1" x14ac:dyDescent="0.35">
      <c r="A120" s="78">
        <v>1</v>
      </c>
      <c r="B120" s="78"/>
      <c r="C120" s="13" t="s">
        <v>210</v>
      </c>
      <c r="D120" s="13">
        <f>(35.95+1.21*2.59+0.75*2.74+0.75*2.59)*10.764</f>
        <v>463.72818960000001</v>
      </c>
      <c r="E120" s="13">
        <f>(1.22*2.9)*10.764</f>
        <v>38.083031999999996</v>
      </c>
      <c r="F120" s="55">
        <f t="shared" ref="F120:F121" si="5">D120*(($F$116)+1)+(IF(E120&lt;101,E120,IF(E120&lt;201,E120/2,IF(E120&lt;=301,E120/3,E120/4))))</f>
        <v>733.67531640000004</v>
      </c>
      <c r="G120" s="78" t="str">
        <f>A119</f>
        <v>1st Floor for Residential</v>
      </c>
      <c r="H120" s="78"/>
      <c r="I120" s="34"/>
      <c r="J120" s="2">
        <f>2.9*4.87+2.59*2.44+2.74*3.2+1.22*1.05+1.22*1.82+1.07*0.45+0.5*1.22+2.74*0.45</f>
        <v>35.03649999999999</v>
      </c>
      <c r="L120" s="42"/>
      <c r="M120" s="42"/>
      <c r="N120" s="34"/>
    </row>
    <row r="121" spans="1:16" s="2" customFormat="1" x14ac:dyDescent="0.35">
      <c r="A121" s="78">
        <f>A120+1</f>
        <v>2</v>
      </c>
      <c r="B121" s="78"/>
      <c r="C121" s="67" t="s">
        <v>210</v>
      </c>
      <c r="D121" s="67">
        <f t="shared" ref="D121" si="6">(35.95+1.21*2.59+0.75*2.74+0.75*2.59)*10.764</f>
        <v>463.72818960000001</v>
      </c>
      <c r="E121" s="67">
        <f t="shared" ref="E121:E123" si="7">(1.22*2.9)*10.764</f>
        <v>38.083031999999996</v>
      </c>
      <c r="F121" s="55">
        <f t="shared" si="5"/>
        <v>733.67531640000004</v>
      </c>
      <c r="G121" s="78" t="str">
        <f>G120</f>
        <v>1st Floor for Residential</v>
      </c>
      <c r="H121" s="78"/>
      <c r="I121" s="34"/>
      <c r="L121" s="42"/>
      <c r="M121" s="42"/>
      <c r="N121" s="34"/>
    </row>
    <row r="122" spans="1:16" s="2" customFormat="1" x14ac:dyDescent="0.35">
      <c r="A122" s="78">
        <f>A121+1</f>
        <v>3</v>
      </c>
      <c r="B122" s="78"/>
      <c r="C122" s="67" t="s">
        <v>210</v>
      </c>
      <c r="D122" s="67">
        <f>(35.68+1.21*2.59+0.75*2.74+0.75*2.59)*10.764</f>
        <v>460.82190959999997</v>
      </c>
      <c r="E122" s="67">
        <f t="shared" si="7"/>
        <v>38.083031999999996</v>
      </c>
      <c r="F122" s="53">
        <f>D122*(($F$116)+1)+(IF(E122&lt;101,E122,IF(E122&lt;201,E122/2,IF(E122&lt;=301,E122/3,E122/4))))</f>
        <v>729.31589639999993</v>
      </c>
      <c r="G122" s="78" t="str">
        <f>G121</f>
        <v>1st Floor for Residential</v>
      </c>
      <c r="H122" s="78"/>
      <c r="I122" s="34"/>
      <c r="L122" s="42"/>
      <c r="M122" s="42"/>
      <c r="N122" s="34"/>
    </row>
    <row r="123" spans="1:16" s="2" customFormat="1" x14ac:dyDescent="0.35">
      <c r="A123" s="78">
        <f>A122+1</f>
        <v>4</v>
      </c>
      <c r="B123" s="78"/>
      <c r="C123" s="67" t="s">
        <v>210</v>
      </c>
      <c r="D123" s="67">
        <f>(32.23+1.21*2.59+0.9*2.59+0.75*2.74+0.75*2.59)*10.764</f>
        <v>448.77699359999997</v>
      </c>
      <c r="E123" s="67">
        <f t="shared" si="7"/>
        <v>38.083031999999996</v>
      </c>
      <c r="F123" s="55">
        <f>D123*(($F$116)+1)+(IF(E123&lt;101,E123,IF(E123&lt;201,E123/2,IF(E123&lt;=301,E123/3,E123/4))))</f>
        <v>711.24852239999996</v>
      </c>
      <c r="G123" s="78" t="str">
        <f>G122</f>
        <v>1st Floor for Residential</v>
      </c>
      <c r="H123" s="78"/>
      <c r="I123" s="34"/>
      <c r="L123" s="42"/>
      <c r="M123" s="42"/>
      <c r="N123" s="34"/>
    </row>
    <row r="124" spans="1:16" s="69" customFormat="1" ht="15.75" customHeight="1" x14ac:dyDescent="0.35">
      <c r="A124" s="86" t="s">
        <v>213</v>
      </c>
      <c r="B124" s="86"/>
      <c r="C124" s="86"/>
      <c r="D124" s="86"/>
      <c r="E124" s="86"/>
      <c r="F124" s="86"/>
      <c r="G124" s="86"/>
      <c r="H124" s="86"/>
      <c r="I124" s="34"/>
      <c r="P124" s="35"/>
    </row>
    <row r="125" spans="1:16" s="69" customFormat="1" ht="15.75" customHeight="1" x14ac:dyDescent="0.35">
      <c r="A125" s="78">
        <v>1</v>
      </c>
      <c r="B125" s="78"/>
      <c r="C125" s="71" t="s">
        <v>210</v>
      </c>
      <c r="D125" s="71">
        <f>(35.95+1.21*2.59+0.75*2.9+0.75*2.59)*10.764</f>
        <v>465.01986959999999</v>
      </c>
      <c r="E125" s="71">
        <f>(1.22*2.74)*10.764</f>
        <v>35.981899200000001</v>
      </c>
      <c r="F125" s="71">
        <f t="shared" ref="F125:F128" si="8">D125*(($F$116)+1)+(IF(E125&lt;101,E125,IF(E125&lt;201,E125/2,IF(E125&lt;=301,E125/3,E125/4))))</f>
        <v>733.51170360000003</v>
      </c>
      <c r="G125" s="78" t="str">
        <f>A124</f>
        <v>2nd, 4th &amp; 6th Floor</v>
      </c>
      <c r="H125" s="78"/>
      <c r="I125" s="34"/>
    </row>
    <row r="126" spans="1:16" s="69" customFormat="1" ht="15.75" customHeight="1" x14ac:dyDescent="0.35">
      <c r="A126" s="78">
        <f>A125+1</f>
        <v>2</v>
      </c>
      <c r="B126" s="78"/>
      <c r="C126" s="71" t="s">
        <v>210</v>
      </c>
      <c r="D126" s="71">
        <f>(35.95+1.21*2.59+0.75*2.9+0.75*2.59)*10.764</f>
        <v>465.01986959999999</v>
      </c>
      <c r="E126" s="71">
        <f t="shared" ref="E126:E127" si="9">(1.22*2.74)*10.764</f>
        <v>35.981899200000001</v>
      </c>
      <c r="F126" s="71">
        <f t="shared" si="8"/>
        <v>733.51170360000003</v>
      </c>
      <c r="G126" s="78" t="str">
        <f>G125</f>
        <v>2nd, 4th &amp; 6th Floor</v>
      </c>
      <c r="H126" s="78"/>
      <c r="I126" s="34"/>
    </row>
    <row r="127" spans="1:16" s="69" customFormat="1" ht="15.75" customHeight="1" x14ac:dyDescent="0.35">
      <c r="A127" s="78">
        <f>A126+1</f>
        <v>3</v>
      </c>
      <c r="B127" s="78"/>
      <c r="C127" s="71" t="s">
        <v>210</v>
      </c>
      <c r="D127" s="71">
        <f>(35.68+1.21*2.59+0.75*2.9+0.75*2.59)*10.764</f>
        <v>462.11358959999995</v>
      </c>
      <c r="E127" s="71">
        <f t="shared" si="9"/>
        <v>35.981899200000001</v>
      </c>
      <c r="F127" s="71">
        <f t="shared" si="8"/>
        <v>729.15228359999992</v>
      </c>
      <c r="G127" s="78" t="str">
        <f>G126</f>
        <v>2nd, 4th &amp; 6th Floor</v>
      </c>
      <c r="H127" s="78"/>
      <c r="I127" s="34"/>
    </row>
    <row r="128" spans="1:16" s="69" customFormat="1" ht="15.75" customHeight="1" x14ac:dyDescent="0.35">
      <c r="A128" s="78">
        <f>A127+1</f>
        <v>4</v>
      </c>
      <c r="B128" s="78"/>
      <c r="C128" s="71" t="s">
        <v>212</v>
      </c>
      <c r="D128" s="71">
        <f>(42.07+1.21*2.59+0.9*2.59+0.75*2.9+0.75*2.59+0.75*2.59)*10.764</f>
        <v>576.89550359999998</v>
      </c>
      <c r="E128" s="71">
        <f>(2.1*2.74)*10.764</f>
        <v>61.936056000000001</v>
      </c>
      <c r="F128" s="71">
        <f t="shared" si="8"/>
        <v>927.27931139999998</v>
      </c>
      <c r="G128" s="78" t="str">
        <f>G127</f>
        <v>2nd, 4th &amp; 6th Floor</v>
      </c>
      <c r="H128" s="78"/>
      <c r="I128" s="34"/>
    </row>
    <row r="129" spans="1:16" s="2" customFormat="1" ht="15.75" customHeight="1" x14ac:dyDescent="0.35">
      <c r="A129" s="86" t="s">
        <v>211</v>
      </c>
      <c r="B129" s="86"/>
      <c r="C129" s="86"/>
      <c r="D129" s="86"/>
      <c r="E129" s="86"/>
      <c r="F129" s="86"/>
      <c r="G129" s="86"/>
      <c r="H129" s="86"/>
      <c r="I129" s="34"/>
      <c r="L129" s="42"/>
      <c r="M129" s="42"/>
      <c r="P129" s="35"/>
    </row>
    <row r="130" spans="1:16" s="2" customFormat="1" ht="15.75" customHeight="1" x14ac:dyDescent="0.35">
      <c r="A130" s="78">
        <v>1</v>
      </c>
      <c r="B130" s="78"/>
      <c r="C130" s="71" t="s">
        <v>210</v>
      </c>
      <c r="D130" s="71">
        <f>(35.95+1.21*2.59+0.75*2.74+0.75*2.59)*10.764</f>
        <v>463.72818960000001</v>
      </c>
      <c r="E130" s="71">
        <f>(1.22*2.9)*10.764</f>
        <v>38.083031999999996</v>
      </c>
      <c r="F130" s="71">
        <f>D130*(($F$116)+1)+(IF(E130&lt;101,E130,IF(E130&lt;201,E130/2,IF(E130&lt;=301,E130/3,E130/4))))</f>
        <v>733.67531640000004</v>
      </c>
      <c r="G130" s="78" t="str">
        <f>A129</f>
        <v>3rd, 5th &amp; 7th Floor</v>
      </c>
      <c r="H130" s="78"/>
      <c r="I130" s="34"/>
      <c r="M130" s="42"/>
      <c r="N130" s="42"/>
      <c r="O130" s="52"/>
      <c r="P130" s="52"/>
    </row>
    <row r="131" spans="1:16" s="2" customFormat="1" ht="15.75" customHeight="1" x14ac:dyDescent="0.35">
      <c r="A131" s="78">
        <f>A130+1</f>
        <v>2</v>
      </c>
      <c r="B131" s="78"/>
      <c r="C131" s="71" t="s">
        <v>210</v>
      </c>
      <c r="D131" s="71">
        <f t="shared" ref="D131" si="10">(35.95+1.21*2.59+0.75*2.74+0.75*2.59)*10.764</f>
        <v>463.72818960000001</v>
      </c>
      <c r="E131" s="71">
        <f t="shared" ref="E131:E133" si="11">(1.22*2.9)*10.764</f>
        <v>38.083031999999996</v>
      </c>
      <c r="F131" s="71">
        <f>D131*(($F$116)+1)+(IF(E131&lt;101,E131,IF(E131&lt;201,E131/2,IF(E131&lt;=301,E131/3,E131/4))))</f>
        <v>733.67531640000004</v>
      </c>
      <c r="G131" s="78" t="str">
        <f>G130</f>
        <v>3rd, 5th &amp; 7th Floor</v>
      </c>
      <c r="H131" s="78"/>
      <c r="I131" s="34"/>
      <c r="M131" s="42"/>
      <c r="N131" s="51"/>
    </row>
    <row r="132" spans="1:16" s="2" customFormat="1" ht="15.75" customHeight="1" x14ac:dyDescent="0.35">
      <c r="A132" s="78">
        <f>A131+1</f>
        <v>3</v>
      </c>
      <c r="B132" s="78"/>
      <c r="C132" s="71" t="s">
        <v>210</v>
      </c>
      <c r="D132" s="71">
        <f>(35.68+1.21*2.59+0.75*2.74+0.75*2.59)*10.764</f>
        <v>460.82190959999997</v>
      </c>
      <c r="E132" s="71">
        <f t="shared" si="11"/>
        <v>38.083031999999996</v>
      </c>
      <c r="F132" s="71">
        <f>D132*(($F$116)+1)+(IF(E132&lt;101,E132,IF(E132&lt;201,E132/2,IF(E132&lt;=301,E132/3,E132/4))))</f>
        <v>729.31589639999993</v>
      </c>
      <c r="G132" s="78" t="str">
        <f>G131</f>
        <v>3rd, 5th &amp; 7th Floor</v>
      </c>
      <c r="H132" s="78"/>
      <c r="I132" s="34"/>
      <c r="M132" s="42"/>
      <c r="N132" s="51"/>
    </row>
    <row r="133" spans="1:16" s="2" customFormat="1" ht="15.75" customHeight="1" x14ac:dyDescent="0.35">
      <c r="A133" s="78">
        <f>A132+1</f>
        <v>4</v>
      </c>
      <c r="B133" s="78"/>
      <c r="C133" s="71" t="s">
        <v>212</v>
      </c>
      <c r="D133" s="71">
        <f>(42.07+1.21*2.59+0.9*2.59+0.75*2.74+0.75*2.59+0.75*2.59)*10.764</f>
        <v>575.60382360000006</v>
      </c>
      <c r="E133" s="71">
        <f t="shared" si="11"/>
        <v>38.083031999999996</v>
      </c>
      <c r="F133" s="71">
        <f>D133*(($F$116)+1)+(IF(E133&lt;101,E133,IF(E133&lt;201,E133/2,IF(E133&lt;=301,E133/3,E133/4))))</f>
        <v>901.48876740000014</v>
      </c>
      <c r="G133" s="78" t="str">
        <f>G132</f>
        <v>3rd, 5th &amp; 7th Floor</v>
      </c>
      <c r="H133" s="78"/>
      <c r="I133" s="34"/>
      <c r="M133" s="42"/>
      <c r="N133" s="51"/>
    </row>
    <row r="134" spans="1:16" s="4" customFormat="1" x14ac:dyDescent="0.35">
      <c r="A134" s="87" t="s">
        <v>214</v>
      </c>
      <c r="B134" s="87"/>
      <c r="C134" s="87"/>
      <c r="D134" s="87"/>
      <c r="E134" s="87"/>
      <c r="F134" s="87"/>
      <c r="G134" s="87"/>
      <c r="H134" s="87"/>
    </row>
    <row r="135" spans="1:16" s="69" customFormat="1" x14ac:dyDescent="0.35">
      <c r="A135" s="86" t="s">
        <v>209</v>
      </c>
      <c r="B135" s="86"/>
      <c r="C135" s="86"/>
      <c r="D135" s="86"/>
      <c r="E135" s="86"/>
      <c r="F135" s="86"/>
      <c r="G135" s="86"/>
      <c r="H135" s="86"/>
      <c r="I135" s="34"/>
      <c r="L135" s="85"/>
      <c r="M135" s="85"/>
    </row>
    <row r="136" spans="1:16" s="69" customFormat="1" x14ac:dyDescent="0.35">
      <c r="A136" s="86" t="s">
        <v>170</v>
      </c>
      <c r="B136" s="86"/>
      <c r="C136" s="86"/>
      <c r="D136" s="86"/>
      <c r="E136" s="86"/>
      <c r="F136" s="86"/>
      <c r="G136" s="86"/>
      <c r="H136" s="86"/>
      <c r="I136" s="34"/>
      <c r="L136" s="85"/>
      <c r="M136" s="85"/>
    </row>
    <row r="137" spans="1:16" s="69" customFormat="1" x14ac:dyDescent="0.35">
      <c r="A137" s="78">
        <v>1</v>
      </c>
      <c r="B137" s="78"/>
      <c r="C137" s="67" t="s">
        <v>210</v>
      </c>
      <c r="D137" s="67">
        <f>(35.95+1.21*2.59+0.75*2.74+0.75*2.59)*10.764</f>
        <v>463.72818960000001</v>
      </c>
      <c r="E137" s="67">
        <f>(1.22*2.9)*10.764</f>
        <v>38.083031999999996</v>
      </c>
      <c r="F137" s="67">
        <f t="shared" ref="F137:F138" si="12">D137*(($F$116)+1)+(IF(E137&lt;101,E137,IF(E137&lt;201,E137/2,IF(E137&lt;=301,E137/3,E137/4))))</f>
        <v>733.67531640000004</v>
      </c>
      <c r="G137" s="78" t="str">
        <f>A136</f>
        <v>1st Floor for Residential</v>
      </c>
      <c r="H137" s="78"/>
      <c r="I137" s="34"/>
      <c r="J137" s="69">
        <f>2.9*4.87+2.59*2.44+2.74*3.2+1.22*1.05+1.22*1.82+1.07*0.45+0.5*1.22+2.74*0.45</f>
        <v>35.03649999999999</v>
      </c>
      <c r="N137" s="34"/>
    </row>
    <row r="138" spans="1:16" s="69" customFormat="1" x14ac:dyDescent="0.35">
      <c r="A138" s="78">
        <f>A137+1</f>
        <v>2</v>
      </c>
      <c r="B138" s="78"/>
      <c r="C138" s="67" t="s">
        <v>210</v>
      </c>
      <c r="D138" s="67">
        <f t="shared" ref="D138" si="13">(35.95+1.21*2.59+0.75*2.74+0.75*2.59)*10.764</f>
        <v>463.72818960000001</v>
      </c>
      <c r="E138" s="67">
        <f t="shared" ref="E138:E140" si="14">(1.22*2.9)*10.764</f>
        <v>38.083031999999996</v>
      </c>
      <c r="F138" s="67">
        <f t="shared" si="12"/>
        <v>733.67531640000004</v>
      </c>
      <c r="G138" s="78" t="str">
        <f>G137</f>
        <v>1st Floor for Residential</v>
      </c>
      <c r="H138" s="78"/>
      <c r="I138" s="34"/>
      <c r="N138" s="34"/>
    </row>
    <row r="139" spans="1:16" s="69" customFormat="1" x14ac:dyDescent="0.35">
      <c r="A139" s="78">
        <f>A138+1</f>
        <v>3</v>
      </c>
      <c r="B139" s="78"/>
      <c r="C139" s="67" t="s">
        <v>210</v>
      </c>
      <c r="D139" s="67">
        <f>(35.68+1.21*2.59+0.75*2.74+0.75*2.59)*10.764</f>
        <v>460.82190959999997</v>
      </c>
      <c r="E139" s="67">
        <f t="shared" si="14"/>
        <v>38.083031999999996</v>
      </c>
      <c r="F139" s="67">
        <f>D139*(($F$116)+1)+(IF(E139&lt;101,E139,IF(E139&lt;201,E139/2,IF(E139&lt;=301,E139/3,E139/4))))</f>
        <v>729.31589639999993</v>
      </c>
      <c r="G139" s="78" t="str">
        <f>G138</f>
        <v>1st Floor for Residential</v>
      </c>
      <c r="H139" s="78"/>
      <c r="I139" s="34"/>
      <c r="N139" s="34"/>
    </row>
    <row r="140" spans="1:16" s="69" customFormat="1" x14ac:dyDescent="0.35">
      <c r="A140" s="78">
        <f>A139+1</f>
        <v>4</v>
      </c>
      <c r="B140" s="78"/>
      <c r="C140" s="67" t="s">
        <v>210</v>
      </c>
      <c r="D140" s="67">
        <f>(32.23+1.21*2.59+0.9*2.59+0.75*2.74+0.75*2.59)*10.764</f>
        <v>448.77699359999997</v>
      </c>
      <c r="E140" s="67">
        <f t="shared" si="14"/>
        <v>38.083031999999996</v>
      </c>
      <c r="F140" s="67">
        <f t="shared" ref="F140" si="15">D140*(($F$116)+1)+(IF(E140&lt;101,E140,IF(E140&lt;201,E140/2,IF(E140&lt;=301,E140/3,E140/4))))</f>
        <v>711.24852239999996</v>
      </c>
      <c r="G140" s="78" t="str">
        <f>G139</f>
        <v>1st Floor for Residential</v>
      </c>
      <c r="H140" s="78"/>
      <c r="I140" s="34"/>
      <c r="N140" s="34"/>
    </row>
    <row r="141" spans="1:16" s="69" customFormat="1" ht="15.75" customHeight="1" x14ac:dyDescent="0.35">
      <c r="A141" s="82" t="s">
        <v>213</v>
      </c>
      <c r="B141" s="83"/>
      <c r="C141" s="83"/>
      <c r="D141" s="83"/>
      <c r="E141" s="83"/>
      <c r="F141" s="83"/>
      <c r="G141" s="83"/>
      <c r="H141" s="84"/>
      <c r="I141" s="34"/>
      <c r="P141" s="35"/>
    </row>
    <row r="142" spans="1:16" s="69" customFormat="1" ht="15.75" customHeight="1" x14ac:dyDescent="0.35">
      <c r="A142" s="78">
        <v>1</v>
      </c>
      <c r="B142" s="78"/>
      <c r="C142" s="67" t="s">
        <v>210</v>
      </c>
      <c r="D142" s="67">
        <f>(35.95+1.21*2.59+0.75*2.9+0.75*2.59)*10.764</f>
        <v>465.01986959999999</v>
      </c>
      <c r="E142" s="67">
        <f>(1.22*2.74)*10.764</f>
        <v>35.981899200000001</v>
      </c>
      <c r="F142" s="67">
        <f t="shared" ref="F142:F145" si="16">D142*(($F$116)+1)+(IF(E142&lt;101,E142,IF(E142&lt;201,E142/2,IF(E142&lt;=301,E142/3,E142/4))))</f>
        <v>733.51170360000003</v>
      </c>
      <c r="G142" s="79" t="str">
        <f>A141</f>
        <v>2nd, 4th &amp; 6th Floor</v>
      </c>
      <c r="H142" s="80"/>
      <c r="I142" s="34"/>
    </row>
    <row r="143" spans="1:16" s="69" customFormat="1" ht="15.75" customHeight="1" x14ac:dyDescent="0.35">
      <c r="A143" s="78">
        <f>A142+1</f>
        <v>2</v>
      </c>
      <c r="B143" s="78"/>
      <c r="C143" s="67" t="s">
        <v>210</v>
      </c>
      <c r="D143" s="67">
        <f>(35.95+1.21*2.59+0.75*2.9+0.75*2.59)*10.764</f>
        <v>465.01986959999999</v>
      </c>
      <c r="E143" s="67">
        <f t="shared" ref="E143:E144" si="17">(1.22*2.74)*10.764</f>
        <v>35.981899200000001</v>
      </c>
      <c r="F143" s="67">
        <f t="shared" si="16"/>
        <v>733.51170360000003</v>
      </c>
      <c r="G143" s="79" t="str">
        <f>G142</f>
        <v>2nd, 4th &amp; 6th Floor</v>
      </c>
      <c r="H143" s="80"/>
      <c r="I143" s="34"/>
    </row>
    <row r="144" spans="1:16" s="69" customFormat="1" ht="15.75" customHeight="1" x14ac:dyDescent="0.35">
      <c r="A144" s="78">
        <f>A143+1</f>
        <v>3</v>
      </c>
      <c r="B144" s="78"/>
      <c r="C144" s="67" t="s">
        <v>210</v>
      </c>
      <c r="D144" s="67">
        <f>(35.68+1.21*2.59+0.75*2.9+0.75*2.59)*10.764</f>
        <v>462.11358959999995</v>
      </c>
      <c r="E144" s="67">
        <f t="shared" si="17"/>
        <v>35.981899200000001</v>
      </c>
      <c r="F144" s="67">
        <f t="shared" si="16"/>
        <v>729.15228359999992</v>
      </c>
      <c r="G144" s="79" t="str">
        <f>G143</f>
        <v>2nd, 4th &amp; 6th Floor</v>
      </c>
      <c r="H144" s="80"/>
      <c r="I144" s="34"/>
    </row>
    <row r="145" spans="1:16" s="69" customFormat="1" ht="15.75" customHeight="1" x14ac:dyDescent="0.35">
      <c r="A145" s="78">
        <f>A144+1</f>
        <v>4</v>
      </c>
      <c r="B145" s="78"/>
      <c r="C145" s="67" t="s">
        <v>212</v>
      </c>
      <c r="D145" s="67">
        <f>(42.07+1.21*2.59+0.9*2.59+0.75*2.9+0.75*2.59+0.75*2.59)*10.764</f>
        <v>576.89550359999998</v>
      </c>
      <c r="E145" s="67">
        <f>(2.1*2.74)*10.764</f>
        <v>61.936056000000001</v>
      </c>
      <c r="F145" s="67">
        <f t="shared" si="16"/>
        <v>927.27931139999998</v>
      </c>
      <c r="G145" s="79" t="str">
        <f>G144</f>
        <v>2nd, 4th &amp; 6th Floor</v>
      </c>
      <c r="H145" s="80"/>
      <c r="I145" s="34"/>
    </row>
    <row r="146" spans="1:16" s="69" customFormat="1" ht="15.75" customHeight="1" x14ac:dyDescent="0.35">
      <c r="A146" s="82" t="s">
        <v>211</v>
      </c>
      <c r="B146" s="83"/>
      <c r="C146" s="83"/>
      <c r="D146" s="83"/>
      <c r="E146" s="83"/>
      <c r="F146" s="83"/>
      <c r="G146" s="83"/>
      <c r="H146" s="84"/>
      <c r="I146" s="34"/>
      <c r="P146" s="35"/>
    </row>
    <row r="147" spans="1:16" s="69" customFormat="1" ht="15.75" customHeight="1" x14ac:dyDescent="0.35">
      <c r="A147" s="78">
        <v>1</v>
      </c>
      <c r="B147" s="78"/>
      <c r="C147" s="67" t="s">
        <v>210</v>
      </c>
      <c r="D147" s="67">
        <f>(35.95+1.21*2.59+0.75*2.74+0.75*2.59)*10.764</f>
        <v>463.72818960000001</v>
      </c>
      <c r="E147" s="67">
        <f>(1.22*2.9)*10.764</f>
        <v>38.083031999999996</v>
      </c>
      <c r="F147" s="67">
        <f t="shared" ref="F147:F150" si="18">D147*(($F$116)+1)+(IF(E147&lt;101,E147,IF(E147&lt;201,E147/2,IF(E147&lt;=301,E147/3,E147/4))))</f>
        <v>733.67531640000004</v>
      </c>
      <c r="G147" s="79" t="str">
        <f>A146</f>
        <v>3rd, 5th &amp; 7th Floor</v>
      </c>
      <c r="H147" s="80"/>
      <c r="I147" s="34"/>
    </row>
    <row r="148" spans="1:16" s="69" customFormat="1" ht="15.75" customHeight="1" x14ac:dyDescent="0.35">
      <c r="A148" s="78">
        <f>A147+1</f>
        <v>2</v>
      </c>
      <c r="B148" s="78"/>
      <c r="C148" s="67" t="s">
        <v>210</v>
      </c>
      <c r="D148" s="67">
        <f t="shared" ref="D148" si="19">(35.95+1.21*2.59+0.75*2.74+0.75*2.59)*10.764</f>
        <v>463.72818960000001</v>
      </c>
      <c r="E148" s="67">
        <f t="shared" ref="E148:E150" si="20">(1.22*2.9)*10.764</f>
        <v>38.083031999999996</v>
      </c>
      <c r="F148" s="67">
        <f t="shared" si="18"/>
        <v>733.67531640000004</v>
      </c>
      <c r="G148" s="79" t="str">
        <f>G147</f>
        <v>3rd, 5th &amp; 7th Floor</v>
      </c>
      <c r="H148" s="80"/>
      <c r="I148" s="34"/>
    </row>
    <row r="149" spans="1:16" s="69" customFormat="1" ht="15.75" customHeight="1" x14ac:dyDescent="0.35">
      <c r="A149" s="78">
        <f>A148+1</f>
        <v>3</v>
      </c>
      <c r="B149" s="78"/>
      <c r="C149" s="67" t="s">
        <v>210</v>
      </c>
      <c r="D149" s="67">
        <f>(35.68+1.21*2.59+0.75*2.74+0.75*2.59)*10.764</f>
        <v>460.82190959999997</v>
      </c>
      <c r="E149" s="67">
        <f t="shared" si="20"/>
        <v>38.083031999999996</v>
      </c>
      <c r="F149" s="67">
        <f t="shared" si="18"/>
        <v>729.31589639999993</v>
      </c>
      <c r="G149" s="79" t="str">
        <f>G148</f>
        <v>3rd, 5th &amp; 7th Floor</v>
      </c>
      <c r="H149" s="80"/>
      <c r="I149" s="34"/>
    </row>
    <row r="150" spans="1:16" s="69" customFormat="1" ht="15.75" customHeight="1" x14ac:dyDescent="0.35">
      <c r="A150" s="78">
        <f>A149+1</f>
        <v>4</v>
      </c>
      <c r="B150" s="78"/>
      <c r="C150" s="67" t="s">
        <v>212</v>
      </c>
      <c r="D150" s="67">
        <f>(42.07+1.21*2.59+0.9*2.59+0.75*2.74+0.75*2.59+0.75*2.59)*10.764</f>
        <v>575.60382360000006</v>
      </c>
      <c r="E150" s="67">
        <f t="shared" si="20"/>
        <v>38.083031999999996</v>
      </c>
      <c r="F150" s="67">
        <f t="shared" si="18"/>
        <v>901.48876740000014</v>
      </c>
      <c r="G150" s="79" t="str">
        <f>G149</f>
        <v>3rd, 5th &amp; 7th Floor</v>
      </c>
      <c r="H150" s="80"/>
      <c r="I150" s="34"/>
    </row>
    <row r="151" spans="1:16" s="4" customFormat="1" x14ac:dyDescent="0.35">
      <c r="A151" s="87" t="s">
        <v>215</v>
      </c>
      <c r="B151" s="87"/>
      <c r="C151" s="87"/>
      <c r="D151" s="87"/>
      <c r="E151" s="87"/>
      <c r="F151" s="87"/>
      <c r="G151" s="87"/>
      <c r="H151" s="87"/>
    </row>
    <row r="152" spans="1:16" s="69" customFormat="1" x14ac:dyDescent="0.35">
      <c r="A152" s="86" t="s">
        <v>209</v>
      </c>
      <c r="B152" s="86"/>
      <c r="C152" s="86"/>
      <c r="D152" s="86"/>
      <c r="E152" s="86"/>
      <c r="F152" s="86"/>
      <c r="G152" s="86"/>
      <c r="H152" s="86"/>
      <c r="I152" s="34"/>
      <c r="L152" s="85"/>
      <c r="M152" s="85"/>
    </row>
    <row r="153" spans="1:16" s="69" customFormat="1" x14ac:dyDescent="0.35">
      <c r="A153" s="86" t="s">
        <v>170</v>
      </c>
      <c r="B153" s="86"/>
      <c r="C153" s="86"/>
      <c r="D153" s="86"/>
      <c r="E153" s="86"/>
      <c r="F153" s="86"/>
      <c r="G153" s="86"/>
      <c r="H153" s="86"/>
      <c r="I153" s="34"/>
      <c r="L153" s="85"/>
      <c r="M153" s="85"/>
    </row>
    <row r="154" spans="1:16" s="69" customFormat="1" x14ac:dyDescent="0.35">
      <c r="A154" s="78">
        <v>1</v>
      </c>
      <c r="B154" s="78"/>
      <c r="C154" s="67" t="s">
        <v>210</v>
      </c>
      <c r="D154" s="67">
        <f>(35.95+1.21*2.59+0.75*2.74+0.75*2.59)*10.764</f>
        <v>463.72818960000001</v>
      </c>
      <c r="E154" s="67">
        <f>(1.22*2.9)*10.764</f>
        <v>38.083031999999996</v>
      </c>
      <c r="F154" s="67">
        <f t="shared" ref="F154:F155" si="21">D154*(($F$116)+1)+(IF(E154&lt;101,E154,IF(E154&lt;201,E154/2,IF(E154&lt;=301,E154/3,E154/4))))</f>
        <v>733.67531640000004</v>
      </c>
      <c r="G154" s="78" t="str">
        <f>A153</f>
        <v>1st Floor for Residential</v>
      </c>
      <c r="H154" s="78"/>
      <c r="I154" s="34"/>
      <c r="J154" s="69">
        <f>2.9*4.87+2.59*2.44+2.74*3.2+1.22*1.05+1.22*1.82+1.07*0.45+0.5*1.22+2.74*0.45</f>
        <v>35.03649999999999</v>
      </c>
      <c r="N154" s="34"/>
    </row>
    <row r="155" spans="1:16" s="69" customFormat="1" x14ac:dyDescent="0.35">
      <c r="A155" s="78">
        <f>A154+1</f>
        <v>2</v>
      </c>
      <c r="B155" s="78"/>
      <c r="C155" s="67" t="s">
        <v>210</v>
      </c>
      <c r="D155" s="67">
        <f t="shared" ref="D155" si="22">(35.95+1.21*2.59+0.75*2.74+0.75*2.59)*10.764</f>
        <v>463.72818960000001</v>
      </c>
      <c r="E155" s="67">
        <f t="shared" ref="E155:E157" si="23">(1.22*2.9)*10.764</f>
        <v>38.083031999999996</v>
      </c>
      <c r="F155" s="67">
        <f t="shared" si="21"/>
        <v>733.67531640000004</v>
      </c>
      <c r="G155" s="78" t="str">
        <f>G154</f>
        <v>1st Floor for Residential</v>
      </c>
      <c r="H155" s="78"/>
      <c r="I155" s="34"/>
      <c r="N155" s="34"/>
    </row>
    <row r="156" spans="1:16" s="69" customFormat="1" x14ac:dyDescent="0.35">
      <c r="A156" s="78">
        <f>A155+1</f>
        <v>3</v>
      </c>
      <c r="B156" s="78"/>
      <c r="C156" s="67" t="s">
        <v>210</v>
      </c>
      <c r="D156" s="67">
        <f>(35.68+1.21*2.59+0.75*2.74+0.75*2.59)*10.764</f>
        <v>460.82190959999997</v>
      </c>
      <c r="E156" s="67">
        <f t="shared" si="23"/>
        <v>38.083031999999996</v>
      </c>
      <c r="F156" s="67">
        <f>D156*(($F$116)+1)+(IF(E156&lt;101,E156,IF(E156&lt;201,E156/2,IF(E156&lt;=301,E156/3,E156/4))))</f>
        <v>729.31589639999993</v>
      </c>
      <c r="G156" s="78" t="str">
        <f>G155</f>
        <v>1st Floor for Residential</v>
      </c>
      <c r="H156" s="78"/>
      <c r="I156" s="34"/>
      <c r="N156" s="34"/>
    </row>
    <row r="157" spans="1:16" s="69" customFormat="1" x14ac:dyDescent="0.35">
      <c r="A157" s="78">
        <f>A156+1</f>
        <v>4</v>
      </c>
      <c r="B157" s="78"/>
      <c r="C157" s="67" t="s">
        <v>210</v>
      </c>
      <c r="D157" s="67">
        <f>(32.23+1.21*2.59+0.9*2.59+0.75*2.74+0.75*2.59)*10.764</f>
        <v>448.77699359999997</v>
      </c>
      <c r="E157" s="67">
        <f t="shared" si="23"/>
        <v>38.083031999999996</v>
      </c>
      <c r="F157" s="67">
        <f t="shared" ref="F157" si="24">D157*(($F$116)+1)+(IF(E157&lt;101,E157,IF(E157&lt;201,E157/2,IF(E157&lt;=301,E157/3,E157/4))))</f>
        <v>711.24852239999996</v>
      </c>
      <c r="G157" s="78" t="str">
        <f>G156</f>
        <v>1st Floor for Residential</v>
      </c>
      <c r="H157" s="78"/>
      <c r="I157" s="34"/>
      <c r="N157" s="34"/>
    </row>
    <row r="158" spans="1:16" s="69" customFormat="1" ht="15.75" customHeight="1" x14ac:dyDescent="0.35">
      <c r="A158" s="82" t="s">
        <v>213</v>
      </c>
      <c r="B158" s="83"/>
      <c r="C158" s="83"/>
      <c r="D158" s="83"/>
      <c r="E158" s="83"/>
      <c r="F158" s="83"/>
      <c r="G158" s="83"/>
      <c r="H158" s="84"/>
      <c r="I158" s="34"/>
      <c r="P158" s="35"/>
    </row>
    <row r="159" spans="1:16" s="69" customFormat="1" ht="15.75" customHeight="1" x14ac:dyDescent="0.35">
      <c r="A159" s="78">
        <v>1</v>
      </c>
      <c r="B159" s="78"/>
      <c r="C159" s="67" t="s">
        <v>210</v>
      </c>
      <c r="D159" s="67">
        <f>(35.95+1.21*2.59+0.75*2.9+0.75*2.59)*10.764</f>
        <v>465.01986959999999</v>
      </c>
      <c r="E159" s="67">
        <f>(1.22*2.74)*10.764</f>
        <v>35.981899200000001</v>
      </c>
      <c r="F159" s="67">
        <f t="shared" ref="F159:F162" si="25">D159*(($F$116)+1)+(IF(E159&lt;101,E159,IF(E159&lt;201,E159/2,IF(E159&lt;=301,E159/3,E159/4))))</f>
        <v>733.51170360000003</v>
      </c>
      <c r="G159" s="79" t="str">
        <f>A158</f>
        <v>2nd, 4th &amp; 6th Floor</v>
      </c>
      <c r="H159" s="80"/>
      <c r="I159" s="34"/>
    </row>
    <row r="160" spans="1:16" s="69" customFormat="1" ht="15.75" customHeight="1" x14ac:dyDescent="0.35">
      <c r="A160" s="78">
        <f>A159+1</f>
        <v>2</v>
      </c>
      <c r="B160" s="78"/>
      <c r="C160" s="67" t="s">
        <v>210</v>
      </c>
      <c r="D160" s="67">
        <f>(35.95+1.21*2.59+0.75*2.9+0.75*2.59)*10.764</f>
        <v>465.01986959999999</v>
      </c>
      <c r="E160" s="67">
        <f t="shared" ref="E160:E161" si="26">(1.22*2.74)*10.764</f>
        <v>35.981899200000001</v>
      </c>
      <c r="F160" s="67">
        <f t="shared" si="25"/>
        <v>733.51170360000003</v>
      </c>
      <c r="G160" s="79" t="str">
        <f>G159</f>
        <v>2nd, 4th &amp; 6th Floor</v>
      </c>
      <c r="H160" s="80"/>
      <c r="I160" s="34"/>
    </row>
    <row r="161" spans="1:16" s="69" customFormat="1" ht="15.75" customHeight="1" x14ac:dyDescent="0.35">
      <c r="A161" s="78">
        <f>A160+1</f>
        <v>3</v>
      </c>
      <c r="B161" s="78"/>
      <c r="C161" s="67" t="s">
        <v>210</v>
      </c>
      <c r="D161" s="67">
        <f>(35.68+1.21*2.59+0.75*2.9+0.75*2.59)*10.764</f>
        <v>462.11358959999995</v>
      </c>
      <c r="E161" s="67">
        <f t="shared" si="26"/>
        <v>35.981899200000001</v>
      </c>
      <c r="F161" s="67">
        <f t="shared" si="25"/>
        <v>729.15228359999992</v>
      </c>
      <c r="G161" s="79" t="str">
        <f>G160</f>
        <v>2nd, 4th &amp; 6th Floor</v>
      </c>
      <c r="H161" s="80"/>
      <c r="I161" s="34"/>
    </row>
    <row r="162" spans="1:16" s="69" customFormat="1" ht="15.75" customHeight="1" x14ac:dyDescent="0.35">
      <c r="A162" s="78">
        <f>A161+1</f>
        <v>4</v>
      </c>
      <c r="B162" s="78"/>
      <c r="C162" s="67" t="s">
        <v>212</v>
      </c>
      <c r="D162" s="67">
        <f>(42.07+1.21*2.59+0.9*2.59+0.75*2.9+0.75*2.59+0.75*2.59)*10.764</f>
        <v>576.89550359999998</v>
      </c>
      <c r="E162" s="67">
        <f>(2.1*2.74)*10.764</f>
        <v>61.936056000000001</v>
      </c>
      <c r="F162" s="67">
        <f t="shared" si="25"/>
        <v>927.27931139999998</v>
      </c>
      <c r="G162" s="79" t="str">
        <f>G161</f>
        <v>2nd, 4th &amp; 6th Floor</v>
      </c>
      <c r="H162" s="80"/>
      <c r="I162" s="34"/>
    </row>
    <row r="163" spans="1:16" s="69" customFormat="1" ht="15.75" customHeight="1" x14ac:dyDescent="0.35">
      <c r="A163" s="82" t="s">
        <v>211</v>
      </c>
      <c r="B163" s="83"/>
      <c r="C163" s="83"/>
      <c r="D163" s="83"/>
      <c r="E163" s="83"/>
      <c r="F163" s="83"/>
      <c r="G163" s="83"/>
      <c r="H163" s="84"/>
      <c r="I163" s="34"/>
      <c r="P163" s="35"/>
    </row>
    <row r="164" spans="1:16" s="69" customFormat="1" ht="15.75" customHeight="1" x14ac:dyDescent="0.35">
      <c r="A164" s="78">
        <v>1</v>
      </c>
      <c r="B164" s="78"/>
      <c r="C164" s="67" t="s">
        <v>210</v>
      </c>
      <c r="D164" s="67">
        <f>(35.95+1.21*2.59+0.75*2.74+0.75*2.59)*10.764</f>
        <v>463.72818960000001</v>
      </c>
      <c r="E164" s="67">
        <f>(1.22*2.9)*10.764</f>
        <v>38.083031999999996</v>
      </c>
      <c r="F164" s="67">
        <f t="shared" ref="F164:F167" si="27">D164*(($F$116)+1)+(IF(E164&lt;101,E164,IF(E164&lt;201,E164/2,IF(E164&lt;=301,E164/3,E164/4))))</f>
        <v>733.67531640000004</v>
      </c>
      <c r="G164" s="79" t="str">
        <f>A163</f>
        <v>3rd, 5th &amp; 7th Floor</v>
      </c>
      <c r="H164" s="80"/>
      <c r="I164" s="34"/>
    </row>
    <row r="165" spans="1:16" s="69" customFormat="1" ht="15.75" customHeight="1" x14ac:dyDescent="0.35">
      <c r="A165" s="78">
        <f>A164+1</f>
        <v>2</v>
      </c>
      <c r="B165" s="78"/>
      <c r="C165" s="67" t="s">
        <v>210</v>
      </c>
      <c r="D165" s="67">
        <f t="shared" ref="D165" si="28">(35.95+1.21*2.59+0.75*2.74+0.75*2.59)*10.764</f>
        <v>463.72818960000001</v>
      </c>
      <c r="E165" s="67">
        <f t="shared" ref="E165:E167" si="29">(1.22*2.9)*10.764</f>
        <v>38.083031999999996</v>
      </c>
      <c r="F165" s="67">
        <f t="shared" si="27"/>
        <v>733.67531640000004</v>
      </c>
      <c r="G165" s="79" t="str">
        <f>G164</f>
        <v>3rd, 5th &amp; 7th Floor</v>
      </c>
      <c r="H165" s="80"/>
      <c r="I165" s="34"/>
    </row>
    <row r="166" spans="1:16" s="69" customFormat="1" ht="15.75" customHeight="1" x14ac:dyDescent="0.35">
      <c r="A166" s="78">
        <f>A165+1</f>
        <v>3</v>
      </c>
      <c r="B166" s="78"/>
      <c r="C166" s="67" t="s">
        <v>210</v>
      </c>
      <c r="D166" s="67">
        <f>(35.68+1.21*2.59+0.75*2.74+0.75*2.59)*10.764</f>
        <v>460.82190959999997</v>
      </c>
      <c r="E166" s="67">
        <f t="shared" si="29"/>
        <v>38.083031999999996</v>
      </c>
      <c r="F166" s="67">
        <f t="shared" si="27"/>
        <v>729.31589639999993</v>
      </c>
      <c r="G166" s="79" t="str">
        <f>G165</f>
        <v>3rd, 5th &amp; 7th Floor</v>
      </c>
      <c r="H166" s="80"/>
      <c r="I166" s="34"/>
    </row>
    <row r="167" spans="1:16" s="69" customFormat="1" ht="15.75" customHeight="1" x14ac:dyDescent="0.35">
      <c r="A167" s="78">
        <f>A166+1</f>
        <v>4</v>
      </c>
      <c r="B167" s="78"/>
      <c r="C167" s="67" t="s">
        <v>212</v>
      </c>
      <c r="D167" s="67">
        <f>(42.07+1.21*2.59+0.9*2.59+0.75*2.74+0.75*2.59+0.75*2.59)*10.764</f>
        <v>575.60382360000006</v>
      </c>
      <c r="E167" s="67">
        <f t="shared" si="29"/>
        <v>38.083031999999996</v>
      </c>
      <c r="F167" s="67">
        <f t="shared" si="27"/>
        <v>901.48876740000014</v>
      </c>
      <c r="G167" s="79" t="str">
        <f>G166</f>
        <v>3rd, 5th &amp; 7th Floor</v>
      </c>
      <c r="H167" s="80"/>
      <c r="I167" s="34"/>
    </row>
    <row r="168" spans="1:16" s="1" customFormat="1" x14ac:dyDescent="0.35">
      <c r="A168" s="151" t="s">
        <v>72</v>
      </c>
      <c r="B168" s="151"/>
      <c r="C168" s="151"/>
      <c r="D168" s="151"/>
      <c r="E168" s="151"/>
      <c r="F168" s="151"/>
      <c r="G168" s="151"/>
      <c r="H168" s="151"/>
    </row>
    <row r="169" spans="1:16" s="1" customFormat="1" x14ac:dyDescent="0.35">
      <c r="A169" s="73" t="s">
        <v>165</v>
      </c>
      <c r="B169" s="81" t="s">
        <v>198</v>
      </c>
      <c r="C169" s="81"/>
      <c r="D169" s="81"/>
      <c r="E169" s="81"/>
      <c r="F169" s="81"/>
      <c r="G169" s="81"/>
      <c r="H169" s="81"/>
    </row>
    <row r="170" spans="1:16" s="1" customFormat="1" x14ac:dyDescent="0.35">
      <c r="A170" s="73" t="s">
        <v>165</v>
      </c>
      <c r="B170" s="81" t="str">
        <f>(IF(F115="Saleable area Loading :","We have considered Saleable area of Flats as per our Calculation.","We considered Saleable area of Flat as per Builder area Sheet."))</f>
        <v>We have considered Saleable area of Flats as per our Calculation.</v>
      </c>
      <c r="C170" s="81"/>
      <c r="D170" s="81"/>
      <c r="E170" s="81"/>
      <c r="F170" s="81"/>
      <c r="G170" s="81"/>
      <c r="H170" s="81"/>
    </row>
    <row r="171" spans="1:16" s="1" customFormat="1" hidden="1" x14ac:dyDescent="0.35">
      <c r="A171" s="73" t="s">
        <v>165</v>
      </c>
      <c r="B171" s="81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1" s="81"/>
      <c r="D171" s="81"/>
      <c r="E171" s="81"/>
      <c r="F171" s="81"/>
      <c r="G171" s="81"/>
      <c r="H171" s="81"/>
    </row>
    <row r="172" spans="1:16" s="1" customFormat="1" x14ac:dyDescent="0.35">
      <c r="A172" s="73" t="s">
        <v>165</v>
      </c>
      <c r="B172" s="81" t="s">
        <v>135</v>
      </c>
      <c r="C172" s="81"/>
      <c r="D172" s="81"/>
      <c r="E172" s="81"/>
      <c r="F172" s="81"/>
      <c r="G172" s="81"/>
      <c r="H172" s="81"/>
    </row>
    <row r="173" spans="1:16" s="1" customFormat="1" x14ac:dyDescent="0.35">
      <c r="A173" s="73" t="s">
        <v>165</v>
      </c>
      <c r="B173" s="81" t="s">
        <v>216</v>
      </c>
      <c r="C173" s="81"/>
      <c r="D173" s="81"/>
      <c r="E173" s="81"/>
      <c r="F173" s="81"/>
      <c r="G173" s="81"/>
      <c r="H173" s="81"/>
    </row>
    <row r="174" spans="1:16" s="1" customFormat="1" x14ac:dyDescent="0.35">
      <c r="A174" s="73" t="s">
        <v>165</v>
      </c>
      <c r="B174" s="81" t="s">
        <v>164</v>
      </c>
      <c r="C174" s="81"/>
      <c r="D174" s="81"/>
      <c r="E174" s="81"/>
      <c r="F174" s="81"/>
      <c r="G174" s="81"/>
      <c r="H174" s="81"/>
    </row>
    <row r="175" spans="1:16" s="1" customFormat="1" x14ac:dyDescent="0.35">
      <c r="A175" s="73" t="s">
        <v>165</v>
      </c>
      <c r="B175" s="81" t="s">
        <v>136</v>
      </c>
      <c r="C175" s="81"/>
      <c r="D175" s="81"/>
      <c r="E175" s="81"/>
      <c r="F175" s="81"/>
      <c r="G175" s="81"/>
      <c r="H175" s="81"/>
    </row>
    <row r="176" spans="1:16" s="1" customFormat="1" ht="34.5" customHeight="1" x14ac:dyDescent="0.35">
      <c r="A176" s="73" t="s">
        <v>165</v>
      </c>
      <c r="B176" s="81" t="s">
        <v>169</v>
      </c>
      <c r="C176" s="81"/>
      <c r="D176" s="81"/>
      <c r="E176" s="81"/>
      <c r="F176" s="81"/>
      <c r="G176" s="81"/>
      <c r="H176" s="81"/>
    </row>
    <row r="177" spans="1:8" s="1" customFormat="1" x14ac:dyDescent="0.35">
      <c r="A177" s="56" t="s">
        <v>165</v>
      </c>
      <c r="B177" s="75" t="s">
        <v>137</v>
      </c>
      <c r="C177" s="76"/>
      <c r="D177" s="76"/>
      <c r="E177" s="76"/>
      <c r="F177" s="76"/>
      <c r="G177" s="76"/>
      <c r="H177" s="77"/>
    </row>
    <row r="178" spans="1:8" s="1" customFormat="1" hidden="1" x14ac:dyDescent="0.35">
      <c r="A178" s="56" t="s">
        <v>165</v>
      </c>
      <c r="B178" s="75" t="s">
        <v>188</v>
      </c>
      <c r="C178" s="76"/>
      <c r="D178" s="76"/>
      <c r="E178" s="76"/>
      <c r="F178" s="76"/>
      <c r="G178" s="76"/>
      <c r="H178" s="77"/>
    </row>
    <row r="179" spans="1:8" s="1" customFormat="1" ht="34.5" customHeight="1" x14ac:dyDescent="0.35">
      <c r="A179" s="57" t="s">
        <v>165</v>
      </c>
      <c r="B179" s="75" t="s">
        <v>219</v>
      </c>
      <c r="C179" s="76"/>
      <c r="D179" s="76"/>
      <c r="E179" s="76"/>
      <c r="F179" s="76"/>
      <c r="G179" s="76"/>
      <c r="H179" s="77"/>
    </row>
    <row r="180" spans="1:8" s="1" customFormat="1" x14ac:dyDescent="0.35">
      <c r="A180" s="70" t="s">
        <v>165</v>
      </c>
      <c r="B180" s="75" t="s">
        <v>220</v>
      </c>
      <c r="C180" s="76"/>
      <c r="D180" s="76"/>
      <c r="E180" s="76"/>
      <c r="F180" s="76"/>
      <c r="G180" s="76"/>
      <c r="H180" s="77"/>
    </row>
    <row r="181" spans="1:8" s="1" customFormat="1" x14ac:dyDescent="0.35">
      <c r="A181" s="68" t="s">
        <v>165</v>
      </c>
      <c r="B181" s="75" t="s">
        <v>223</v>
      </c>
      <c r="C181" s="76"/>
      <c r="D181" s="76"/>
      <c r="E181" s="76"/>
      <c r="F181" s="76"/>
      <c r="G181" s="76"/>
      <c r="H181" s="77"/>
    </row>
    <row r="182" spans="1:8" s="1" customFormat="1" x14ac:dyDescent="0.35">
      <c r="A182" s="70" t="s">
        <v>165</v>
      </c>
      <c r="B182" s="75" t="s">
        <v>224</v>
      </c>
      <c r="C182" s="76"/>
      <c r="D182" s="76"/>
      <c r="E182" s="76"/>
      <c r="F182" s="76"/>
      <c r="G182" s="76"/>
      <c r="H182" s="77"/>
    </row>
    <row r="183" spans="1:8" x14ac:dyDescent="0.35">
      <c r="A183" s="152" t="s">
        <v>65</v>
      </c>
      <c r="B183" s="152"/>
      <c r="C183" s="152"/>
      <c r="D183" s="152"/>
      <c r="E183" s="152"/>
      <c r="F183" s="152"/>
      <c r="G183" s="152"/>
      <c r="H183" s="152"/>
    </row>
    <row r="184" spans="1:8" x14ac:dyDescent="0.35">
      <c r="A184" s="149" t="s">
        <v>66</v>
      </c>
      <c r="B184" s="149"/>
      <c r="C184" s="149"/>
      <c r="D184" s="149"/>
      <c r="E184" s="149"/>
      <c r="F184" s="149"/>
      <c r="G184" s="149"/>
      <c r="H184" s="149"/>
    </row>
    <row r="185" spans="1:8" ht="15.75" customHeight="1" x14ac:dyDescent="0.35">
      <c r="A185" s="160" t="s">
        <v>67</v>
      </c>
      <c r="B185" s="160"/>
      <c r="C185" s="160"/>
      <c r="D185" s="160"/>
      <c r="E185" s="160"/>
      <c r="F185" s="160"/>
      <c r="G185" s="160"/>
      <c r="H185" s="160"/>
    </row>
    <row r="186" spans="1:8" x14ac:dyDescent="0.35">
      <c r="A186" s="149" t="s">
        <v>68</v>
      </c>
      <c r="B186" s="149"/>
      <c r="C186" s="149"/>
      <c r="D186" s="149"/>
      <c r="E186" s="149"/>
      <c r="F186" s="149"/>
      <c r="G186" s="149"/>
      <c r="H186" s="149"/>
    </row>
    <row r="187" spans="1:8" x14ac:dyDescent="0.35">
      <c r="A187" s="149" t="s">
        <v>69</v>
      </c>
      <c r="B187" s="149"/>
      <c r="C187" s="149"/>
      <c r="D187" s="149"/>
      <c r="E187" s="149"/>
      <c r="F187" s="149"/>
      <c r="G187" s="149"/>
      <c r="H187" s="149"/>
    </row>
    <row r="188" spans="1:8" x14ac:dyDescent="0.35">
      <c r="A188" s="149" t="s">
        <v>138</v>
      </c>
      <c r="B188" s="149"/>
      <c r="C188" s="149"/>
      <c r="D188" s="149"/>
      <c r="E188" s="149"/>
      <c r="F188" s="149"/>
      <c r="G188" s="149"/>
      <c r="H188" s="149"/>
    </row>
    <row r="189" spans="1:8" ht="35.25" customHeight="1" x14ac:dyDescent="0.35">
      <c r="A189" s="150" t="s">
        <v>139</v>
      </c>
      <c r="B189" s="150"/>
      <c r="C189" s="150"/>
      <c r="D189" s="150"/>
      <c r="E189" s="150"/>
      <c r="F189" s="150"/>
      <c r="G189" s="150"/>
      <c r="H189" s="150"/>
    </row>
    <row r="190" spans="1:8" x14ac:dyDescent="0.35">
      <c r="A190" s="148" t="s">
        <v>82</v>
      </c>
      <c r="B190" s="148"/>
      <c r="C190" s="148" t="s">
        <v>85</v>
      </c>
      <c r="D190" s="148"/>
      <c r="E190" s="148" t="s">
        <v>115</v>
      </c>
      <c r="F190" s="148"/>
      <c r="G190" s="148" t="s">
        <v>225</v>
      </c>
      <c r="H190" s="148"/>
    </row>
    <row r="191" spans="1:8" x14ac:dyDescent="0.35">
      <c r="A191" s="147" t="s">
        <v>84</v>
      </c>
      <c r="B191" s="147"/>
      <c r="C191" s="147"/>
      <c r="D191" s="147"/>
      <c r="E191" s="147"/>
      <c r="F191" s="147"/>
      <c r="G191" s="147"/>
      <c r="H191" s="147"/>
    </row>
    <row r="192" spans="1:8" x14ac:dyDescent="0.35">
      <c r="A192" s="147"/>
      <c r="B192" s="147"/>
      <c r="C192" s="147"/>
      <c r="D192" s="147"/>
      <c r="E192" s="147"/>
      <c r="F192" s="147"/>
      <c r="G192" s="147"/>
      <c r="H192" s="147"/>
    </row>
    <row r="193" spans="1:8" x14ac:dyDescent="0.35">
      <c r="A193" s="147"/>
      <c r="B193" s="147"/>
      <c r="C193" s="147"/>
      <c r="D193" s="147"/>
      <c r="E193" s="147"/>
      <c r="F193" s="147"/>
      <c r="G193" s="147"/>
      <c r="H193" s="147"/>
    </row>
    <row r="194" spans="1:8" x14ac:dyDescent="0.35">
      <c r="A194" s="147"/>
      <c r="B194" s="147"/>
      <c r="C194" s="147"/>
      <c r="D194" s="147"/>
      <c r="E194" s="147"/>
      <c r="F194" s="147"/>
      <c r="G194" s="147"/>
      <c r="H194" s="147"/>
    </row>
    <row r="195" spans="1:8" x14ac:dyDescent="0.35">
      <c r="A195" s="8" t="s">
        <v>70</v>
      </c>
      <c r="B195" s="9"/>
      <c r="C195" s="9"/>
      <c r="D195" s="8" t="str">
        <f>E8</f>
        <v>Tharwanis Meghna Montana Phase - I</v>
      </c>
      <c r="F195" s="9"/>
      <c r="G195" s="9"/>
      <c r="H195" s="9"/>
    </row>
    <row r="196" spans="1:8" x14ac:dyDescent="0.35">
      <c r="A196" s="9"/>
      <c r="B196" s="9"/>
      <c r="C196" s="9"/>
      <c r="D196" s="9"/>
      <c r="E196" s="9"/>
      <c r="F196" s="9"/>
      <c r="G196" s="9"/>
      <c r="H196" s="9"/>
    </row>
    <row r="197" spans="1:8" x14ac:dyDescent="0.35">
      <c r="A197" s="9"/>
      <c r="B197" s="9"/>
      <c r="C197" s="9"/>
      <c r="D197" s="9"/>
      <c r="E197" s="9"/>
      <c r="F197" s="9"/>
      <c r="G197" s="9"/>
      <c r="H197" s="9"/>
    </row>
    <row r="198" spans="1:8" ht="15" customHeight="1" x14ac:dyDescent="0.35"/>
    <row r="238" spans="1:1" x14ac:dyDescent="0.35">
      <c r="A238" s="11"/>
    </row>
    <row r="239" spans="1:1" x14ac:dyDescent="0.35">
      <c r="A239" s="11" t="s">
        <v>217</v>
      </c>
    </row>
    <row r="240" spans="1:1" x14ac:dyDescent="0.35">
      <c r="A240" s="11"/>
    </row>
    <row r="281" spans="1:1" x14ac:dyDescent="0.35">
      <c r="A281" s="11" t="s">
        <v>71</v>
      </c>
    </row>
  </sheetData>
  <mergeCells count="373">
    <mergeCell ref="B182:H182"/>
    <mergeCell ref="E39:H39"/>
    <mergeCell ref="A39:D39"/>
    <mergeCell ref="A188:H188"/>
    <mergeCell ref="A125:B125"/>
    <mergeCell ref="A185:H185"/>
    <mergeCell ref="A120:B120"/>
    <mergeCell ref="A97:B97"/>
    <mergeCell ref="D115:D116"/>
    <mergeCell ref="E115:E116"/>
    <mergeCell ref="G115:H116"/>
    <mergeCell ref="A72:B72"/>
    <mergeCell ref="F78:H78"/>
    <mergeCell ref="A77:H77"/>
    <mergeCell ref="G93:H93"/>
    <mergeCell ref="A46:B46"/>
    <mergeCell ref="C46:E46"/>
    <mergeCell ref="E101:F101"/>
    <mergeCell ref="G101:H101"/>
    <mergeCell ref="C94:D94"/>
    <mergeCell ref="E94:F94"/>
    <mergeCell ref="G94:H94"/>
    <mergeCell ref="A95:B95"/>
    <mergeCell ref="C95:D95"/>
    <mergeCell ref="G46:H46"/>
    <mergeCell ref="G48:H48"/>
    <mergeCell ref="D52:H52"/>
    <mergeCell ref="C48:E48"/>
    <mergeCell ref="A55:C55"/>
    <mergeCell ref="D55:H55"/>
    <mergeCell ref="C47:E47"/>
    <mergeCell ref="A50:B50"/>
    <mergeCell ref="C50:E50"/>
    <mergeCell ref="A47:B47"/>
    <mergeCell ref="A51:H51"/>
    <mergeCell ref="A52:C52"/>
    <mergeCell ref="A53:C53"/>
    <mergeCell ref="D53:H53"/>
    <mergeCell ref="G50:H50"/>
    <mergeCell ref="C49:H49"/>
    <mergeCell ref="E97:F97"/>
    <mergeCell ref="E92:F92"/>
    <mergeCell ref="A102:H102"/>
    <mergeCell ref="G122:H122"/>
    <mergeCell ref="A92:B92"/>
    <mergeCell ref="F85:H85"/>
    <mergeCell ref="C92:D92"/>
    <mergeCell ref="F88:H88"/>
    <mergeCell ref="F86:H86"/>
    <mergeCell ref="A103:H103"/>
    <mergeCell ref="G92:H92"/>
    <mergeCell ref="A87:E87"/>
    <mergeCell ref="C93:D93"/>
    <mergeCell ref="E93:F93"/>
    <mergeCell ref="G121:H121"/>
    <mergeCell ref="B104:B105"/>
    <mergeCell ref="A104:A105"/>
    <mergeCell ref="C115:C116"/>
    <mergeCell ref="A117:H117"/>
    <mergeCell ref="A191:H194"/>
    <mergeCell ref="A190:B190"/>
    <mergeCell ref="E190:F190"/>
    <mergeCell ref="C190:D190"/>
    <mergeCell ref="G190:H190"/>
    <mergeCell ref="A91:H91"/>
    <mergeCell ref="A89:E89"/>
    <mergeCell ref="F89:H89"/>
    <mergeCell ref="A90:E90"/>
    <mergeCell ref="F90:H90"/>
    <mergeCell ref="A119:H119"/>
    <mergeCell ref="A98:B98"/>
    <mergeCell ref="A132:B132"/>
    <mergeCell ref="A93:B93"/>
    <mergeCell ref="A186:H186"/>
    <mergeCell ref="A96:H96"/>
    <mergeCell ref="A189:H189"/>
    <mergeCell ref="A187:H187"/>
    <mergeCell ref="A168:H168"/>
    <mergeCell ref="C104:C105"/>
    <mergeCell ref="B115:B116"/>
    <mergeCell ref="A129:H129"/>
    <mergeCell ref="A183:H183"/>
    <mergeCell ref="A184:H184"/>
    <mergeCell ref="A61:C61"/>
    <mergeCell ref="D61:H61"/>
    <mergeCell ref="A67:B67"/>
    <mergeCell ref="G66:H66"/>
    <mergeCell ref="A65:B65"/>
    <mergeCell ref="A63:B63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56:C56"/>
    <mergeCell ref="A57:C57"/>
    <mergeCell ref="D56:H56"/>
    <mergeCell ref="E67:F76"/>
    <mergeCell ref="G67:H76"/>
    <mergeCell ref="A75:B75"/>
    <mergeCell ref="A76:B76"/>
    <mergeCell ref="D57:H57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4:H54"/>
    <mergeCell ref="A54:C54"/>
    <mergeCell ref="G47:H47"/>
    <mergeCell ref="A48:B49"/>
    <mergeCell ref="A73:B73"/>
    <mergeCell ref="A66:B66"/>
    <mergeCell ref="A69:B6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36:B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G133:H133"/>
    <mergeCell ref="A133:B133"/>
    <mergeCell ref="A130:B130"/>
    <mergeCell ref="A131:B131"/>
    <mergeCell ref="G132:H132"/>
    <mergeCell ref="G130:H130"/>
    <mergeCell ref="A88:E88"/>
    <mergeCell ref="A83:E83"/>
    <mergeCell ref="F83:H83"/>
    <mergeCell ref="A84:E84"/>
    <mergeCell ref="A86:E86"/>
    <mergeCell ref="F80:H80"/>
    <mergeCell ref="A85:E85"/>
    <mergeCell ref="A80:E80"/>
    <mergeCell ref="G125:H125"/>
    <mergeCell ref="A112:B112"/>
    <mergeCell ref="L113:M113"/>
    <mergeCell ref="L112:M112"/>
    <mergeCell ref="G109:H109"/>
    <mergeCell ref="G107:H107"/>
    <mergeCell ref="G113:H113"/>
    <mergeCell ref="G112:H112"/>
    <mergeCell ref="G108:H108"/>
    <mergeCell ref="G111:H111"/>
    <mergeCell ref="G110:H110"/>
    <mergeCell ref="L111:M111"/>
    <mergeCell ref="L110:M110"/>
    <mergeCell ref="L109:M109"/>
    <mergeCell ref="L108:M108"/>
    <mergeCell ref="L107:M107"/>
    <mergeCell ref="A128:B128"/>
    <mergeCell ref="G128:H128"/>
    <mergeCell ref="A114:H114"/>
    <mergeCell ref="A115:A116"/>
    <mergeCell ref="A121:B121"/>
    <mergeCell ref="A122:B122"/>
    <mergeCell ref="A123:B123"/>
    <mergeCell ref="C98:D98"/>
    <mergeCell ref="E98:F98"/>
    <mergeCell ref="G98:H98"/>
    <mergeCell ref="E99:F99"/>
    <mergeCell ref="A100:B100"/>
    <mergeCell ref="C100:D100"/>
    <mergeCell ref="E100:F100"/>
    <mergeCell ref="G100:H100"/>
    <mergeCell ref="F84:H84"/>
    <mergeCell ref="G131:H131"/>
    <mergeCell ref="G123:H123"/>
    <mergeCell ref="G120:H120"/>
    <mergeCell ref="D104:D105"/>
    <mergeCell ref="A81:E81"/>
    <mergeCell ref="A113:B113"/>
    <mergeCell ref="A107:B107"/>
    <mergeCell ref="A108:B108"/>
    <mergeCell ref="A109:B109"/>
    <mergeCell ref="A110:B110"/>
    <mergeCell ref="A111:B111"/>
    <mergeCell ref="A82:E82"/>
    <mergeCell ref="F82:H82"/>
    <mergeCell ref="F81:H81"/>
    <mergeCell ref="F87:H87"/>
    <mergeCell ref="A94:B94"/>
    <mergeCell ref="A106:H106"/>
    <mergeCell ref="E104:E105"/>
    <mergeCell ref="G104:H105"/>
    <mergeCell ref="E95:F95"/>
    <mergeCell ref="G95:H95"/>
    <mergeCell ref="A99:B99"/>
    <mergeCell ref="C99:D99"/>
    <mergeCell ref="C35:H35"/>
    <mergeCell ref="C36:H36"/>
    <mergeCell ref="A118:H118"/>
    <mergeCell ref="L118:M118"/>
    <mergeCell ref="A124:H124"/>
    <mergeCell ref="A126:B126"/>
    <mergeCell ref="G126:H126"/>
    <mergeCell ref="A127:B127"/>
    <mergeCell ref="G127:H127"/>
    <mergeCell ref="A45:B45"/>
    <mergeCell ref="C45:H45"/>
    <mergeCell ref="F79:H79"/>
    <mergeCell ref="A79:E79"/>
    <mergeCell ref="L119:M119"/>
    <mergeCell ref="A74:B74"/>
    <mergeCell ref="A78:E78"/>
    <mergeCell ref="G99:H99"/>
    <mergeCell ref="C97:D97"/>
    <mergeCell ref="G97:H97"/>
    <mergeCell ref="A101:B101"/>
    <mergeCell ref="C101:D101"/>
    <mergeCell ref="A38:D38"/>
    <mergeCell ref="E38:H38"/>
    <mergeCell ref="A37:H37"/>
    <mergeCell ref="G143:H143"/>
    <mergeCell ref="A134:H134"/>
    <mergeCell ref="A135:H135"/>
    <mergeCell ref="L135:M135"/>
    <mergeCell ref="A136:H136"/>
    <mergeCell ref="L136:M136"/>
    <mergeCell ref="A137:B137"/>
    <mergeCell ref="G137:H137"/>
    <mergeCell ref="A138:B138"/>
    <mergeCell ref="G138:H138"/>
    <mergeCell ref="A139:B139"/>
    <mergeCell ref="G139:H139"/>
    <mergeCell ref="A140:B140"/>
    <mergeCell ref="G140:H140"/>
    <mergeCell ref="A141:H141"/>
    <mergeCell ref="A142:B142"/>
    <mergeCell ref="G142:H142"/>
    <mergeCell ref="A143:B143"/>
    <mergeCell ref="L152:M152"/>
    <mergeCell ref="A153:H153"/>
    <mergeCell ref="L153:M153"/>
    <mergeCell ref="A144:B144"/>
    <mergeCell ref="G144:H144"/>
    <mergeCell ref="A145:B145"/>
    <mergeCell ref="G145:H145"/>
    <mergeCell ref="A146:H146"/>
    <mergeCell ref="A147:B147"/>
    <mergeCell ref="G147:H147"/>
    <mergeCell ref="A148:B148"/>
    <mergeCell ref="G148:H148"/>
    <mergeCell ref="A149:B149"/>
    <mergeCell ref="G149:H149"/>
    <mergeCell ref="A150:B150"/>
    <mergeCell ref="G150:H150"/>
    <mergeCell ref="A151:H151"/>
    <mergeCell ref="A152:H152"/>
    <mergeCell ref="A162:B162"/>
    <mergeCell ref="G162:H162"/>
    <mergeCell ref="A163:H163"/>
    <mergeCell ref="A154:B154"/>
    <mergeCell ref="G154:H154"/>
    <mergeCell ref="A155:B155"/>
    <mergeCell ref="G155:H155"/>
    <mergeCell ref="A156:B156"/>
    <mergeCell ref="G156:H156"/>
    <mergeCell ref="A157:B157"/>
    <mergeCell ref="G157:H157"/>
    <mergeCell ref="A158:H158"/>
    <mergeCell ref="A159:B159"/>
    <mergeCell ref="G159:H159"/>
    <mergeCell ref="A160:B160"/>
    <mergeCell ref="G160:H160"/>
    <mergeCell ref="A161:B161"/>
    <mergeCell ref="G161:H161"/>
    <mergeCell ref="B181:H181"/>
    <mergeCell ref="A164:B164"/>
    <mergeCell ref="G164:H164"/>
    <mergeCell ref="A165:B165"/>
    <mergeCell ref="G165:H165"/>
    <mergeCell ref="A166:B166"/>
    <mergeCell ref="G166:H166"/>
    <mergeCell ref="A167:B167"/>
    <mergeCell ref="G167:H167"/>
    <mergeCell ref="B179:H179"/>
    <mergeCell ref="B176:H176"/>
    <mergeCell ref="B174:H174"/>
    <mergeCell ref="B175:H175"/>
    <mergeCell ref="B171:H171"/>
    <mergeCell ref="B169:H169"/>
    <mergeCell ref="B170:H170"/>
    <mergeCell ref="B172:H172"/>
    <mergeCell ref="B173:H173"/>
    <mergeCell ref="B177:H177"/>
    <mergeCell ref="B178:H178"/>
    <mergeCell ref="B180:H180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2" max="16383" man="1"/>
    <brk id="194" max="16383" man="1"/>
    <brk id="237" max="16383" man="1"/>
    <brk id="28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8"/>
    <col min="2" max="2" width="22.1796875" style="18" customWidth="1"/>
    <col min="3" max="3" width="37" style="18" customWidth="1"/>
    <col min="4" max="5" width="11.453125" style="18" customWidth="1"/>
    <col min="6" max="6" width="14" style="18" customWidth="1"/>
    <col min="7" max="7" width="20" style="18" customWidth="1"/>
    <col min="8" max="8" width="16.453125" style="18" customWidth="1"/>
    <col min="9" max="16384" width="8.7265625" style="18"/>
  </cols>
  <sheetData>
    <row r="1" spans="1:9" ht="15" customHeight="1" x14ac:dyDescent="0.35">
      <c r="A1" s="17"/>
      <c r="B1" s="17"/>
      <c r="C1" s="17"/>
      <c r="D1" s="17"/>
      <c r="E1" s="17"/>
      <c r="F1" s="17"/>
      <c r="G1" s="17"/>
      <c r="H1" s="17"/>
    </row>
    <row r="2" spans="1:9" ht="15" customHeight="1" x14ac:dyDescent="0.3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35">
      <c r="A3" s="19"/>
      <c r="B3" s="162" t="s">
        <v>116</v>
      </c>
      <c r="C3" s="162"/>
      <c r="D3" s="162"/>
      <c r="E3" s="162"/>
      <c r="F3" s="162"/>
      <c r="G3" s="162"/>
      <c r="H3" s="162"/>
    </row>
    <row r="4" spans="1:9" x14ac:dyDescent="0.35">
      <c r="A4" s="19"/>
      <c r="B4" s="20" t="s">
        <v>117</v>
      </c>
      <c r="C4" s="20" t="s">
        <v>118</v>
      </c>
      <c r="D4" s="20" t="s">
        <v>73</v>
      </c>
      <c r="E4" s="20" t="s">
        <v>119</v>
      </c>
      <c r="F4" s="20" t="s">
        <v>125</v>
      </c>
      <c r="G4" s="20" t="s">
        <v>126</v>
      </c>
      <c r="H4" s="20" t="s">
        <v>120</v>
      </c>
    </row>
    <row r="5" spans="1:9" ht="15" customHeight="1" x14ac:dyDescent="0.35">
      <c r="A5" s="19"/>
      <c r="B5" s="22" t="s">
        <v>121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35">
      <c r="A6" s="19"/>
      <c r="B6" s="22" t="s">
        <v>121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35">
      <c r="A7" s="19"/>
      <c r="B7" s="22" t="s">
        <v>121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35">
      <c r="A8" s="19"/>
      <c r="B8" s="22" t="s">
        <v>121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35">
      <c r="A9" s="19"/>
      <c r="B9" s="22" t="s">
        <v>121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35">
      <c r="A10" s="19"/>
      <c r="B10" s="22" t="s">
        <v>122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35">
      <c r="A11" s="19"/>
      <c r="B11" s="22" t="s">
        <v>122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35">
      <c r="A12" s="19"/>
      <c r="B12" s="27" t="s">
        <v>123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35">
      <c r="A13" s="17"/>
      <c r="B13" s="27" t="s">
        <v>124</v>
      </c>
      <c r="C13" s="29"/>
      <c r="D13" s="29"/>
      <c r="E13" s="29"/>
      <c r="F13" s="30"/>
      <c r="G13" s="27"/>
      <c r="H13" s="27"/>
      <c r="I13" s="21"/>
    </row>
    <row r="14" spans="1:9" ht="15" customHeight="1" x14ac:dyDescent="0.35">
      <c r="B14" s="17"/>
      <c r="C14" s="17"/>
      <c r="D14" s="17"/>
      <c r="E14" s="17"/>
    </row>
    <row r="15" spans="1:9" ht="15" customHeight="1" x14ac:dyDescent="0.35">
      <c r="B15" s="17"/>
      <c r="C15" s="17"/>
      <c r="D15" s="17"/>
      <c r="E15" s="17"/>
    </row>
    <row r="16" spans="1:9" ht="15" customHeight="1" x14ac:dyDescent="0.35">
      <c r="B16" s="17"/>
      <c r="C16" s="17"/>
      <c r="D16" s="17"/>
      <c r="E16" s="17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2024-10-31T12:24:14Z</cp:lastPrinted>
  <dcterms:created xsi:type="dcterms:W3CDTF">2019-07-16T09:29:46Z</dcterms:created>
  <dcterms:modified xsi:type="dcterms:W3CDTF">2025-09-12T07:00:55Z</dcterms:modified>
</cp:coreProperties>
</file>