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12-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9" i="1" l="1"/>
  <c r="H119" i="1"/>
  <c r="D130" i="1" l="1"/>
  <c r="D126" i="1"/>
  <c r="J122" i="1"/>
  <c r="D129" i="1"/>
  <c r="D125" i="1"/>
  <c r="J123" i="1"/>
  <c r="C122" i="1" s="1"/>
  <c r="J121" i="1"/>
  <c r="J118" i="1"/>
  <c r="J120" i="1" s="1"/>
  <c r="D131" i="1"/>
  <c r="D127" i="1"/>
  <c r="D128" i="1"/>
  <c r="D124" i="1"/>
  <c r="J127" i="1"/>
  <c r="J124" i="1"/>
  <c r="J125" i="1" s="1"/>
  <c r="J128" i="1"/>
  <c r="J129" i="1"/>
  <c r="J126" i="1"/>
  <c r="D309" i="1"/>
  <c r="D310" i="1"/>
  <c r="I226" i="1"/>
  <c r="J130" i="1" l="1"/>
  <c r="J131" i="1" s="1"/>
  <c r="C123" i="1"/>
  <c r="E122" i="1" s="1"/>
  <c r="D122" i="1"/>
  <c r="E346" i="1"/>
  <c r="D346" i="1"/>
  <c r="E344" i="1"/>
  <c r="D344" i="1"/>
  <c r="F344" i="1" s="1"/>
  <c r="H344" i="1" s="1"/>
  <c r="E343" i="1"/>
  <c r="D343" i="1"/>
  <c r="E342" i="1"/>
  <c r="D342" i="1"/>
  <c r="F342" i="1" s="1"/>
  <c r="H342" i="1" s="1"/>
  <c r="E341" i="1"/>
  <c r="D341" i="1"/>
  <c r="E339" i="1"/>
  <c r="D339" i="1"/>
  <c r="E337" i="1"/>
  <c r="D337" i="1"/>
  <c r="F337" i="1" s="1"/>
  <c r="H337" i="1" s="1"/>
  <c r="E336" i="1"/>
  <c r="D336" i="1"/>
  <c r="E335" i="1"/>
  <c r="D335" i="1"/>
  <c r="E334" i="1"/>
  <c r="D334" i="1"/>
  <c r="E332" i="1"/>
  <c r="D332" i="1"/>
  <c r="E331" i="1"/>
  <c r="D331" i="1"/>
  <c r="E330" i="1"/>
  <c r="D330" i="1"/>
  <c r="E329" i="1"/>
  <c r="D329" i="1"/>
  <c r="E328" i="1"/>
  <c r="D328" i="1"/>
  <c r="E327" i="1"/>
  <c r="D327" i="1"/>
  <c r="E325" i="1"/>
  <c r="D325" i="1"/>
  <c r="E324" i="1"/>
  <c r="D324" i="1"/>
  <c r="E323" i="1"/>
  <c r="D323" i="1"/>
  <c r="E322" i="1"/>
  <c r="D322" i="1"/>
  <c r="E321" i="1"/>
  <c r="D321" i="1"/>
  <c r="E320" i="1"/>
  <c r="D320" i="1"/>
  <c r="G318" i="1"/>
  <c r="G317" i="1"/>
  <c r="G316" i="1"/>
  <c r="G315" i="1"/>
  <c r="E318" i="1"/>
  <c r="D318" i="1"/>
  <c r="E317" i="1"/>
  <c r="D317" i="1"/>
  <c r="E316" i="1"/>
  <c r="D316" i="1"/>
  <c r="E315" i="1"/>
  <c r="D315" i="1"/>
  <c r="E314" i="1"/>
  <c r="D314" i="1"/>
  <c r="E313" i="1"/>
  <c r="D313" i="1"/>
  <c r="E310" i="1"/>
  <c r="E309" i="1"/>
  <c r="E308" i="1"/>
  <c r="D308" i="1"/>
  <c r="E307" i="1"/>
  <c r="D307" i="1"/>
  <c r="E306" i="1"/>
  <c r="D306" i="1"/>
  <c r="E304" i="1"/>
  <c r="D304" i="1"/>
  <c r="E303" i="1"/>
  <c r="D303" i="1"/>
  <c r="E302" i="1"/>
  <c r="D302" i="1"/>
  <c r="E301" i="1"/>
  <c r="D301" i="1"/>
  <c r="E300" i="1"/>
  <c r="D300" i="1"/>
  <c r="G298" i="1"/>
  <c r="G297" i="1"/>
  <c r="G296" i="1"/>
  <c r="E298" i="1"/>
  <c r="D298" i="1"/>
  <c r="E297" i="1"/>
  <c r="D297" i="1"/>
  <c r="F297" i="1" s="1"/>
  <c r="E296" i="1"/>
  <c r="F296" i="1" s="1"/>
  <c r="D296" i="1"/>
  <c r="E295" i="1"/>
  <c r="D295" i="1"/>
  <c r="E294" i="1"/>
  <c r="D294" i="1"/>
  <c r="E291" i="1"/>
  <c r="D291" i="1"/>
  <c r="E290" i="1"/>
  <c r="F290" i="1" s="1"/>
  <c r="H290" i="1" s="1"/>
  <c r="D290" i="1"/>
  <c r="E289" i="1"/>
  <c r="D289" i="1"/>
  <c r="E288" i="1"/>
  <c r="D288" i="1"/>
  <c r="E287" i="1"/>
  <c r="D287" i="1"/>
  <c r="E286" i="1"/>
  <c r="D286" i="1"/>
  <c r="E285" i="1"/>
  <c r="D285" i="1"/>
  <c r="E284" i="1"/>
  <c r="D284" i="1"/>
  <c r="E283" i="1"/>
  <c r="D283" i="1"/>
  <c r="E282" i="1"/>
  <c r="D282" i="1"/>
  <c r="E281" i="1"/>
  <c r="D281" i="1"/>
  <c r="E280" i="1"/>
  <c r="D280" i="1"/>
  <c r="E278" i="1"/>
  <c r="D278" i="1"/>
  <c r="E277" i="1"/>
  <c r="D277" i="1"/>
  <c r="E276" i="1"/>
  <c r="F276" i="1" s="1"/>
  <c r="H276" i="1" s="1"/>
  <c r="D276" i="1"/>
  <c r="E275" i="1"/>
  <c r="D275" i="1"/>
  <c r="E274" i="1"/>
  <c r="D274" i="1"/>
  <c r="E273" i="1"/>
  <c r="D273" i="1"/>
  <c r="E272" i="1"/>
  <c r="D272" i="1"/>
  <c r="E271" i="1"/>
  <c r="D271" i="1"/>
  <c r="E270" i="1"/>
  <c r="D270" i="1"/>
  <c r="E269" i="1"/>
  <c r="D269" i="1"/>
  <c r="E268" i="1"/>
  <c r="D268" i="1"/>
  <c r="E267" i="1"/>
  <c r="D267" i="1"/>
  <c r="E265" i="1"/>
  <c r="D265" i="1"/>
  <c r="E264" i="1"/>
  <c r="F264" i="1" s="1"/>
  <c r="H264" i="1" s="1"/>
  <c r="D264" i="1"/>
  <c r="E263" i="1"/>
  <c r="D263" i="1"/>
  <c r="E262" i="1"/>
  <c r="D262" i="1"/>
  <c r="E261" i="1"/>
  <c r="D261" i="1"/>
  <c r="F261" i="1" s="1"/>
  <c r="H261" i="1" s="1"/>
  <c r="E260" i="1"/>
  <c r="D260" i="1"/>
  <c r="E259" i="1"/>
  <c r="D259" i="1"/>
  <c r="E258" i="1"/>
  <c r="D258" i="1"/>
  <c r="E257" i="1"/>
  <c r="D257" i="1"/>
  <c r="F257" i="1" s="1"/>
  <c r="H257" i="1" s="1"/>
  <c r="E256" i="1"/>
  <c r="D256" i="1"/>
  <c r="E255" i="1"/>
  <c r="D255" i="1"/>
  <c r="E254" i="1"/>
  <c r="D254" i="1"/>
  <c r="E249" i="1"/>
  <c r="D249" i="1"/>
  <c r="E248" i="1"/>
  <c r="D248" i="1"/>
  <c r="E247" i="1"/>
  <c r="D247" i="1"/>
  <c r="E246" i="1"/>
  <c r="D246" i="1"/>
  <c r="E245" i="1"/>
  <c r="D245" i="1"/>
  <c r="E244" i="1"/>
  <c r="D244" i="1"/>
  <c r="E235" i="1"/>
  <c r="D235" i="1"/>
  <c r="E234" i="1"/>
  <c r="D234" i="1"/>
  <c r="E233" i="1"/>
  <c r="D233" i="1"/>
  <c r="E232" i="1"/>
  <c r="D232" i="1"/>
  <c r="E231" i="1"/>
  <c r="D231" i="1"/>
  <c r="E230" i="1"/>
  <c r="D230" i="1"/>
  <c r="E228" i="1"/>
  <c r="D228" i="1"/>
  <c r="E227" i="1"/>
  <c r="D227" i="1"/>
  <c r="E226" i="1"/>
  <c r="D226" i="1"/>
  <c r="E225" i="1"/>
  <c r="D225" i="1"/>
  <c r="E224" i="1"/>
  <c r="D224" i="1"/>
  <c r="E223" i="1"/>
  <c r="D223" i="1"/>
  <c r="E242" i="1"/>
  <c r="D242" i="1"/>
  <c r="E241" i="1"/>
  <c r="D241" i="1"/>
  <c r="E240" i="1"/>
  <c r="D240" i="1"/>
  <c r="E239" i="1"/>
  <c r="D239" i="1"/>
  <c r="E238" i="1"/>
  <c r="D238" i="1"/>
  <c r="E237" i="1"/>
  <c r="D237" i="1"/>
  <c r="D216" i="1"/>
  <c r="D215" i="1"/>
  <c r="F215" i="1" s="1"/>
  <c r="H215" i="1" s="1"/>
  <c r="D214" i="1"/>
  <c r="F214" i="1" s="1"/>
  <c r="H214" i="1" s="1"/>
  <c r="D213" i="1"/>
  <c r="D212" i="1"/>
  <c r="F212" i="1" s="1"/>
  <c r="H212" i="1" s="1"/>
  <c r="D211" i="1"/>
  <c r="F211" i="1" s="1"/>
  <c r="H211" i="1" s="1"/>
  <c r="D210" i="1"/>
  <c r="F210" i="1" s="1"/>
  <c r="H210" i="1" s="1"/>
  <c r="D209" i="1"/>
  <c r="F209" i="1" s="1"/>
  <c r="H209" i="1" s="1"/>
  <c r="D208" i="1"/>
  <c r="D207" i="1"/>
  <c r="D206" i="1"/>
  <c r="D205" i="1"/>
  <c r="D202" i="1"/>
  <c r="F202" i="1" s="1"/>
  <c r="H202" i="1" s="1"/>
  <c r="D201" i="1"/>
  <c r="F201" i="1" s="1"/>
  <c r="H201" i="1" s="1"/>
  <c r="D200" i="1"/>
  <c r="F200" i="1" s="1"/>
  <c r="H200" i="1" s="1"/>
  <c r="D199" i="1"/>
  <c r="F199" i="1" s="1"/>
  <c r="H199" i="1" s="1"/>
  <c r="D198" i="1"/>
  <c r="D197" i="1"/>
  <c r="F197" i="1" s="1"/>
  <c r="H197" i="1" s="1"/>
  <c r="D196" i="1"/>
  <c r="D195" i="1"/>
  <c r="D194" i="1"/>
  <c r="D193" i="1"/>
  <c r="L287" i="1"/>
  <c r="K223" i="1"/>
  <c r="K192" i="1"/>
  <c r="J322" i="1"/>
  <c r="J315" i="1"/>
  <c r="J313" i="1"/>
  <c r="I313" i="1"/>
  <c r="A341" i="1"/>
  <c r="A342" i="1" s="1"/>
  <c r="A343" i="1" s="1"/>
  <c r="A334" i="1"/>
  <c r="A335" i="1" s="1"/>
  <c r="A336" i="1" s="1"/>
  <c r="A327" i="1"/>
  <c r="A328" i="1" s="1"/>
  <c r="A329" i="1" s="1"/>
  <c r="A330" i="1" s="1"/>
  <c r="A331" i="1" s="1"/>
  <c r="A332" i="1" s="1"/>
  <c r="F313" i="1"/>
  <c r="H313" i="1" s="1"/>
  <c r="A313" i="1"/>
  <c r="A314" i="1" s="1"/>
  <c r="A315" i="1" s="1"/>
  <c r="A316" i="1" s="1"/>
  <c r="A317" i="1" s="1"/>
  <c r="A318" i="1" s="1"/>
  <c r="I215" i="1"/>
  <c r="I207" i="1"/>
  <c r="I205" i="1"/>
  <c r="F216" i="1"/>
  <c r="H216" i="1" s="1"/>
  <c r="F213" i="1"/>
  <c r="H213" i="1" s="1"/>
  <c r="J301" i="1"/>
  <c r="J303" i="1"/>
  <c r="I304" i="1"/>
  <c r="I303" i="1"/>
  <c r="I300" i="1"/>
  <c r="I294" i="1"/>
  <c r="I295" i="1"/>
  <c r="I296" i="1"/>
  <c r="F308" i="1"/>
  <c r="H308" i="1" s="1"/>
  <c r="F309" i="1"/>
  <c r="H309" i="1" s="1"/>
  <c r="A306" i="1"/>
  <c r="A307" i="1" s="1"/>
  <c r="A308" i="1" s="1"/>
  <c r="A309" i="1" s="1"/>
  <c r="A310" i="1" s="1"/>
  <c r="F301" i="1"/>
  <c r="H301" i="1" s="1"/>
  <c r="A294" i="1"/>
  <c r="A295" i="1" s="1"/>
  <c r="A296" i="1" s="1"/>
  <c r="A297" i="1" s="1"/>
  <c r="A298" i="1" s="1"/>
  <c r="I196" i="1"/>
  <c r="I193" i="1"/>
  <c r="F198" i="1"/>
  <c r="H198" i="1" s="1"/>
  <c r="F196" i="1"/>
  <c r="H196" i="1" s="1"/>
  <c r="F195" i="1"/>
  <c r="H195" i="1" s="1"/>
  <c r="F194" i="1"/>
  <c r="H194" i="1" s="1"/>
  <c r="A194" i="1"/>
  <c r="A195" i="1" s="1"/>
  <c r="A196" i="1" s="1"/>
  <c r="A197" i="1" s="1"/>
  <c r="A198" i="1" s="1"/>
  <c r="A199" i="1" s="1"/>
  <c r="A200" i="1" s="1"/>
  <c r="A201" i="1" s="1"/>
  <c r="A202" i="1" s="1"/>
  <c r="I289" i="1"/>
  <c r="J276" i="1"/>
  <c r="I276" i="1"/>
  <c r="J270" i="1"/>
  <c r="I270" i="1"/>
  <c r="J254" i="1"/>
  <c r="I257" i="1"/>
  <c r="I254" i="1"/>
  <c r="F283" i="1"/>
  <c r="H283" i="1" s="1"/>
  <c r="A254" i="1"/>
  <c r="A255" i="1" s="1"/>
  <c r="A256" i="1" s="1"/>
  <c r="A257" i="1" s="1"/>
  <c r="A258" i="1" s="1"/>
  <c r="A259" i="1" s="1"/>
  <c r="A260" i="1" s="1"/>
  <c r="A261" i="1" s="1"/>
  <c r="A262" i="1" s="1"/>
  <c r="A263" i="1" s="1"/>
  <c r="A264" i="1" s="1"/>
  <c r="A265" i="1" s="1"/>
  <c r="K242" i="1"/>
  <c r="J242" i="1"/>
  <c r="I242" i="1"/>
  <c r="I233" i="1"/>
  <c r="A300" i="1"/>
  <c r="A320" i="1"/>
  <c r="A267" i="1"/>
  <c r="A280" i="1"/>
  <c r="G122" i="1" l="1"/>
  <c r="D123" i="1"/>
  <c r="I119" i="1" s="1"/>
  <c r="I120" i="1" s="1"/>
  <c r="J119" i="1"/>
  <c r="F300" i="1"/>
  <c r="H300" i="1" s="1"/>
  <c r="F316" i="1"/>
  <c r="F323" i="1"/>
  <c r="H323" i="1" s="1"/>
  <c r="F332" i="1"/>
  <c r="H332" i="1" s="1"/>
  <c r="F343" i="1"/>
  <c r="H343" i="1" s="1"/>
  <c r="F306" i="1"/>
  <c r="H306" i="1" s="1"/>
  <c r="F317" i="1"/>
  <c r="H317" i="1" s="1"/>
  <c r="F320" i="1"/>
  <c r="H320" i="1" s="1"/>
  <c r="F329" i="1"/>
  <c r="H329" i="1" s="1"/>
  <c r="F334" i="1"/>
  <c r="H334" i="1" s="1"/>
  <c r="F339" i="1"/>
  <c r="H339" i="1" s="1"/>
  <c r="C176" i="1"/>
  <c r="F255" i="1"/>
  <c r="H255" i="1" s="1"/>
  <c r="F281" i="1"/>
  <c r="H281" i="1" s="1"/>
  <c r="F289" i="1"/>
  <c r="H289" i="1" s="1"/>
  <c r="C177" i="1"/>
  <c r="C181" i="1"/>
  <c r="F193" i="1"/>
  <c r="H193" i="1" s="1"/>
  <c r="C184" i="1"/>
  <c r="C182" i="1"/>
  <c r="C183" i="1"/>
  <c r="H296" i="1"/>
  <c r="F298" i="1"/>
  <c r="H298" i="1" s="1"/>
  <c r="F302" i="1"/>
  <c r="H302" i="1" s="1"/>
  <c r="F307" i="1"/>
  <c r="H307" i="1" s="1"/>
  <c r="F321" i="1"/>
  <c r="H321" i="1" s="1"/>
  <c r="F335" i="1"/>
  <c r="H335" i="1" s="1"/>
  <c r="C178" i="1"/>
  <c r="F258" i="1"/>
  <c r="H258" i="1" s="1"/>
  <c r="F275" i="1"/>
  <c r="H275" i="1" s="1"/>
  <c r="F288" i="1"/>
  <c r="H288" i="1" s="1"/>
  <c r="F314" i="1"/>
  <c r="H314" i="1" s="1"/>
  <c r="F318" i="1"/>
  <c r="H318" i="1" s="1"/>
  <c r="F325" i="1"/>
  <c r="H325" i="1" s="1"/>
  <c r="F330" i="1"/>
  <c r="H330" i="1" s="1"/>
  <c r="F341" i="1"/>
  <c r="H341" i="1" s="1"/>
  <c r="F346" i="1"/>
  <c r="H346" i="1" s="1"/>
  <c r="F315" i="1"/>
  <c r="H315" i="1" s="1"/>
  <c r="F322" i="1"/>
  <c r="H322" i="1" s="1"/>
  <c r="F327" i="1"/>
  <c r="H327" i="1" s="1"/>
  <c r="F331" i="1"/>
  <c r="H331" i="1" s="1"/>
  <c r="F336" i="1"/>
  <c r="H336" i="1" s="1"/>
  <c r="G176" i="1"/>
  <c r="F328" i="1"/>
  <c r="H328" i="1" s="1"/>
  <c r="J327" i="1" s="1"/>
  <c r="H316" i="1"/>
  <c r="F324" i="1"/>
  <c r="H324" i="1" s="1"/>
  <c r="A344" i="1"/>
  <c r="A345" i="1" s="1"/>
  <c r="A346" i="1" s="1"/>
  <c r="A337" i="1"/>
  <c r="A338" i="1" s="1"/>
  <c r="A339" i="1" s="1"/>
  <c r="F268" i="1"/>
  <c r="H268" i="1" s="1"/>
  <c r="F274" i="1"/>
  <c r="H274" i="1" s="1"/>
  <c r="F295" i="1"/>
  <c r="H295" i="1" s="1"/>
  <c r="F303" i="1"/>
  <c r="H303" i="1" s="1"/>
  <c r="F273" i="1"/>
  <c r="H273" i="1" s="1"/>
  <c r="F272" i="1"/>
  <c r="H272" i="1" s="1"/>
  <c r="F259" i="1"/>
  <c r="H259" i="1" s="1"/>
  <c r="F287" i="1"/>
  <c r="H287" i="1" s="1"/>
  <c r="F269" i="1"/>
  <c r="H269" i="1" s="1"/>
  <c r="F267" i="1"/>
  <c r="H267" i="1" s="1"/>
  <c r="F310" i="1"/>
  <c r="H297" i="1"/>
  <c r="F304" i="1"/>
  <c r="H304" i="1" s="1"/>
  <c r="F270" i="1"/>
  <c r="H270" i="1" s="1"/>
  <c r="F280" i="1"/>
  <c r="H280" i="1" s="1"/>
  <c r="F284" i="1"/>
  <c r="H284" i="1" s="1"/>
  <c r="F294" i="1"/>
  <c r="H294" i="1" s="1"/>
  <c r="F285" i="1"/>
  <c r="H285" i="1" s="1"/>
  <c r="F282" i="1"/>
  <c r="H282" i="1" s="1"/>
  <c r="F286" i="1"/>
  <c r="H286" i="1" s="1"/>
  <c r="F291" i="1"/>
  <c r="H291" i="1" s="1"/>
  <c r="F278" i="1"/>
  <c r="H278" i="1" s="1"/>
  <c r="F277" i="1"/>
  <c r="H277" i="1" s="1"/>
  <c r="F271" i="1"/>
  <c r="H271" i="1" s="1"/>
  <c r="F265" i="1"/>
  <c r="H265" i="1" s="1"/>
  <c r="F263" i="1"/>
  <c r="H263" i="1" s="1"/>
  <c r="F262" i="1"/>
  <c r="H262" i="1" s="1"/>
  <c r="F260" i="1"/>
  <c r="H260" i="1" s="1"/>
  <c r="F256" i="1"/>
  <c r="H256" i="1" s="1"/>
  <c r="F254" i="1"/>
  <c r="F249" i="1"/>
  <c r="H249" i="1" s="1"/>
  <c r="F248" i="1"/>
  <c r="H248" i="1" s="1"/>
  <c r="F247" i="1"/>
  <c r="H247" i="1" s="1"/>
  <c r="F246" i="1"/>
  <c r="H246" i="1" s="1"/>
  <c r="F245" i="1"/>
  <c r="H245" i="1" s="1"/>
  <c r="F244" i="1"/>
  <c r="H244" i="1" s="1"/>
  <c r="F242" i="1"/>
  <c r="H242" i="1" s="1"/>
  <c r="F240" i="1"/>
  <c r="H240" i="1" s="1"/>
  <c r="F238" i="1"/>
  <c r="H238" i="1" s="1"/>
  <c r="F237" i="1"/>
  <c r="H237" i="1" s="1"/>
  <c r="F233" i="1"/>
  <c r="H233" i="1" s="1"/>
  <c r="F232" i="1"/>
  <c r="H232" i="1" s="1"/>
  <c r="F235" i="1"/>
  <c r="H235" i="1" s="1"/>
  <c r="F239" i="1"/>
  <c r="H239" i="1" s="1"/>
  <c r="J227" i="1"/>
  <c r="J226" i="1"/>
  <c r="I227" i="1"/>
  <c r="A244" i="1"/>
  <c r="A230" i="1"/>
  <c r="A281" i="1"/>
  <c r="A268" i="1"/>
  <c r="A321" i="1"/>
  <c r="A237" i="1"/>
  <c r="A301" i="1"/>
  <c r="I118" i="1" l="1"/>
  <c r="C120" i="1" s="1"/>
  <c r="C185" i="1"/>
  <c r="E176" i="1"/>
  <c r="H254" i="1"/>
  <c r="G182" i="1" s="1"/>
  <c r="E182" i="1"/>
  <c r="E184" i="1"/>
  <c r="G184" i="1"/>
  <c r="H310" i="1"/>
  <c r="G183" i="1" s="1"/>
  <c r="E183" i="1"/>
  <c r="F241" i="1"/>
  <c r="H241" i="1" s="1"/>
  <c r="F234" i="1"/>
  <c r="H234" i="1" s="1"/>
  <c r="F231" i="1"/>
  <c r="H231" i="1" s="1"/>
  <c r="F230" i="1"/>
  <c r="H230" i="1" s="1"/>
  <c r="F224" i="1"/>
  <c r="H224" i="1" s="1"/>
  <c r="F228" i="1"/>
  <c r="H228" i="1" s="1"/>
  <c r="F226" i="1"/>
  <c r="H226" i="1" s="1"/>
  <c r="A223" i="1"/>
  <c r="A224" i="1" s="1"/>
  <c r="A225" i="1" s="1"/>
  <c r="A226" i="1" s="1"/>
  <c r="A227" i="1" s="1"/>
  <c r="A228" i="1" s="1"/>
  <c r="A282" i="1"/>
  <c r="A245" i="1"/>
  <c r="A302" i="1"/>
  <c r="A269" i="1"/>
  <c r="A238" i="1"/>
  <c r="A231" i="1"/>
  <c r="A322" i="1"/>
  <c r="F223" i="1" l="1"/>
  <c r="F227" i="1"/>
  <c r="H227" i="1" s="1"/>
  <c r="F225" i="1"/>
  <c r="H225" i="1" s="1"/>
  <c r="E43" i="1"/>
  <c r="H91" i="1"/>
  <c r="A239" i="1"/>
  <c r="A323" i="1"/>
  <c r="A283" i="1"/>
  <c r="A246" i="1"/>
  <c r="A232" i="1"/>
  <c r="A270" i="1"/>
  <c r="A303" i="1"/>
  <c r="H223" i="1" l="1"/>
  <c r="G181" i="1" s="1"/>
  <c r="G185" i="1" s="1"/>
  <c r="E181" i="1"/>
  <c r="E185" i="1" s="1"/>
  <c r="J95" i="1"/>
  <c r="C94" i="1" s="1"/>
  <c r="D94" i="1" s="1"/>
  <c r="J93" i="1"/>
  <c r="J90" i="1"/>
  <c r="J92" i="1" s="1"/>
  <c r="D103" i="1"/>
  <c r="D99" i="1"/>
  <c r="D102" i="1"/>
  <c r="D98" i="1"/>
  <c r="J94" i="1"/>
  <c r="D101" i="1"/>
  <c r="D96" i="1"/>
  <c r="D97" i="1"/>
  <c r="D100" i="1"/>
  <c r="B91"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G10" i="5"/>
  <c r="F10" i="5"/>
  <c r="F9" i="5"/>
  <c r="G9" i="5" s="1"/>
  <c r="F8" i="5"/>
  <c r="G8" i="5" s="1"/>
  <c r="F7" i="5"/>
  <c r="G7" i="5" s="1"/>
  <c r="F6" i="5"/>
  <c r="G6" i="5" s="1"/>
  <c r="F5" i="5"/>
  <c r="G5" i="5" s="1"/>
  <c r="G12" i="5" s="1"/>
  <c r="D404" i="1"/>
  <c r="B379" i="1"/>
  <c r="B378" i="1"/>
  <c r="F375" i="1"/>
  <c r="H375" i="1" s="1"/>
  <c r="F374" i="1"/>
  <c r="H374" i="1" s="1"/>
  <c r="F373" i="1"/>
  <c r="H373" i="1" s="1"/>
  <c r="F372" i="1"/>
  <c r="H372" i="1" s="1"/>
  <c r="F371" i="1"/>
  <c r="H371" i="1" s="1"/>
  <c r="F369" i="1"/>
  <c r="H369" i="1" s="1"/>
  <c r="F368" i="1"/>
  <c r="H368" i="1" s="1"/>
  <c r="F367" i="1"/>
  <c r="H367" i="1" s="1"/>
  <c r="F366" i="1"/>
  <c r="H366" i="1" s="1"/>
  <c r="F365" i="1"/>
  <c r="H365" i="1" s="1"/>
  <c r="F363" i="1"/>
  <c r="H363" i="1" s="1"/>
  <c r="F362" i="1"/>
  <c r="H362" i="1" s="1"/>
  <c r="F361" i="1"/>
  <c r="H361" i="1" s="1"/>
  <c r="F360" i="1"/>
  <c r="H360" i="1" s="1"/>
  <c r="F359" i="1"/>
  <c r="H359" i="1" s="1"/>
  <c r="F357" i="1"/>
  <c r="H357" i="1" s="1"/>
  <c r="F356" i="1"/>
  <c r="H356" i="1" s="1"/>
  <c r="F355" i="1"/>
  <c r="H355" i="1" s="1"/>
  <c r="F354" i="1"/>
  <c r="H354" i="1" s="1"/>
  <c r="F353" i="1"/>
  <c r="H353" i="1" s="1"/>
  <c r="A353" i="1"/>
  <c r="A354" i="1" s="1"/>
  <c r="A355" i="1" s="1"/>
  <c r="A356" i="1" s="1"/>
  <c r="A357" i="1" s="1"/>
  <c r="F351" i="1"/>
  <c r="H351" i="1" s="1"/>
  <c r="F350" i="1"/>
  <c r="H350" i="1" s="1"/>
  <c r="F349" i="1"/>
  <c r="H349" i="1" s="1"/>
  <c r="A349" i="1"/>
  <c r="A350" i="1" s="1"/>
  <c r="A351" i="1" s="1"/>
  <c r="F348" i="1"/>
  <c r="H348" i="1" s="1"/>
  <c r="F208" i="1"/>
  <c r="H208" i="1" s="1"/>
  <c r="F207" i="1"/>
  <c r="H207" i="1" s="1"/>
  <c r="F206" i="1"/>
  <c r="H206" i="1" s="1"/>
  <c r="A206" i="1"/>
  <c r="A207" i="1" s="1"/>
  <c r="A208" i="1" s="1"/>
  <c r="A209" i="1" s="1"/>
  <c r="A210" i="1" s="1"/>
  <c r="A211" i="1" s="1"/>
  <c r="A212" i="1" s="1"/>
  <c r="A213" i="1" s="1"/>
  <c r="A214" i="1" s="1"/>
  <c r="A215" i="1" s="1"/>
  <c r="A216" i="1" s="1"/>
  <c r="F205" i="1"/>
  <c r="C186" i="1"/>
  <c r="F173" i="1"/>
  <c r="C147" i="1"/>
  <c r="B148" i="1" s="1"/>
  <c r="J156" i="1" s="1"/>
  <c r="C133" i="1"/>
  <c r="C76" i="1"/>
  <c r="B77" i="1" s="1"/>
  <c r="D70" i="1"/>
  <c r="D62" i="1"/>
  <c r="G56" i="1"/>
  <c r="C56" i="1"/>
  <c r="K54" i="1"/>
  <c r="C54" i="1"/>
  <c r="G51" i="1"/>
  <c r="C51" i="1"/>
  <c r="C52" i="1" s="1"/>
  <c r="E44" i="1"/>
  <c r="E45" i="1" s="1"/>
  <c r="S33" i="1"/>
  <c r="E31" i="1"/>
  <c r="E28" i="1"/>
  <c r="E26" i="1"/>
  <c r="C16" i="1"/>
  <c r="I15" i="1"/>
  <c r="Z13" i="1"/>
  <c r="E8" i="1"/>
  <c r="E3" i="1"/>
  <c r="B389" i="1" s="1"/>
  <c r="A324" i="1"/>
  <c r="A284" i="1"/>
  <c r="H77" i="1"/>
  <c r="A271" i="1"/>
  <c r="A233" i="1"/>
  <c r="H134" i="1"/>
  <c r="A365" i="1"/>
  <c r="A304" i="1"/>
  <c r="A240" i="1"/>
  <c r="A247" i="1"/>
  <c r="H148" i="1"/>
  <c r="A359" i="1"/>
  <c r="A371" i="1"/>
  <c r="H205" i="1" l="1"/>
  <c r="G177" i="1" s="1"/>
  <c r="G178" i="1" s="1"/>
  <c r="E177" i="1"/>
  <c r="E178" i="1" s="1"/>
  <c r="E186" i="1" s="1"/>
  <c r="E42" i="7"/>
  <c r="I42" i="7"/>
  <c r="H42" i="7" s="1"/>
  <c r="L42" i="7"/>
  <c r="K42" i="7" s="1"/>
  <c r="G186" i="1"/>
  <c r="J99" i="1"/>
  <c r="J98" i="1"/>
  <c r="J100" i="1"/>
  <c r="J96" i="1"/>
  <c r="J97" i="1" s="1"/>
  <c r="J101" i="1"/>
  <c r="J84" i="1"/>
  <c r="J85" i="1"/>
  <c r="J133" i="1"/>
  <c r="J135" i="1" s="1"/>
  <c r="D142" i="1"/>
  <c r="D141" i="1"/>
  <c r="D146" i="1"/>
  <c r="D140" i="1"/>
  <c r="J136" i="1"/>
  <c r="D145" i="1"/>
  <c r="J138" i="1"/>
  <c r="D139" i="1"/>
  <c r="D144" i="1"/>
  <c r="J137" i="1"/>
  <c r="D143" i="1"/>
  <c r="D85" i="1"/>
  <c r="J79" i="1"/>
  <c r="D84" i="1"/>
  <c r="D89" i="1"/>
  <c r="D83" i="1"/>
  <c r="D88" i="1"/>
  <c r="D82" i="1"/>
  <c r="J81" i="1"/>
  <c r="C80" i="1" s="1"/>
  <c r="D87" i="1"/>
  <c r="D86" i="1"/>
  <c r="J80" i="1"/>
  <c r="J76" i="1"/>
  <c r="J78" i="1" s="1"/>
  <c r="D157" i="1"/>
  <c r="J151" i="1"/>
  <c r="J147" i="1"/>
  <c r="J149" i="1" s="1"/>
  <c r="J150" i="1"/>
  <c r="D155" i="1"/>
  <c r="D160" i="1"/>
  <c r="D154" i="1"/>
  <c r="D159" i="1"/>
  <c r="D153" i="1"/>
  <c r="D156" i="1"/>
  <c r="J152" i="1"/>
  <c r="D151" i="1" s="1"/>
  <c r="D158" i="1"/>
  <c r="E44" i="7"/>
  <c r="D42" i="7"/>
  <c r="L54" i="1"/>
  <c r="B134" i="1"/>
  <c r="J86" i="1"/>
  <c r="J158" i="1"/>
  <c r="J87" i="1"/>
  <c r="J153" i="1"/>
  <c r="J154" i="1" s="1"/>
  <c r="J159" i="1" s="1"/>
  <c r="J160" i="1" s="1"/>
  <c r="I52" i="1"/>
  <c r="J157" i="1"/>
  <c r="J82" i="1"/>
  <c r="J83" i="1" s="1"/>
  <c r="J88" i="1" s="1"/>
  <c r="J155" i="1"/>
  <c r="A285" i="1"/>
  <c r="A241" i="1"/>
  <c r="A248" i="1"/>
  <c r="A372" i="1"/>
  <c r="A360" i="1"/>
  <c r="A272" i="1"/>
  <c r="A366" i="1"/>
  <c r="A234" i="1"/>
  <c r="A325" i="1"/>
  <c r="D44" i="7" l="1"/>
  <c r="J102" i="1"/>
  <c r="J89" i="1"/>
  <c r="C81" i="1" s="1"/>
  <c r="D81" i="1" s="1"/>
  <c r="E151" i="1"/>
  <c r="D152" i="1"/>
  <c r="I148" i="1" s="1"/>
  <c r="G151" i="1"/>
  <c r="J148" i="1"/>
  <c r="D80" i="1"/>
  <c r="D137" i="1"/>
  <c r="J142" i="1"/>
  <c r="J139" i="1"/>
  <c r="J140" i="1" s="1"/>
  <c r="J145" i="1" s="1"/>
  <c r="J146" i="1" s="1"/>
  <c r="J144" i="1"/>
  <c r="J141" i="1"/>
  <c r="J143" i="1"/>
  <c r="A361" i="1"/>
  <c r="A286" i="1"/>
  <c r="A373" i="1"/>
  <c r="A249" i="1"/>
  <c r="A367" i="1"/>
  <c r="A242" i="1"/>
  <c r="A273" i="1"/>
  <c r="A235" i="1"/>
  <c r="J103" i="1" l="1"/>
  <c r="C95" i="1" s="1"/>
  <c r="G94" i="1" s="1"/>
  <c r="B105" i="1"/>
  <c r="G80" i="1"/>
  <c r="D74" i="1" s="1"/>
  <c r="D75" i="1" s="1"/>
  <c r="E80" i="1"/>
  <c r="I77" i="1"/>
  <c r="I78" i="1" s="1"/>
  <c r="J77" i="1"/>
  <c r="E137" i="1"/>
  <c r="D138" i="1"/>
  <c r="I134" i="1" s="1"/>
  <c r="J134" i="1"/>
  <c r="G137" i="1"/>
  <c r="I149" i="1"/>
  <c r="I147" i="1" s="1"/>
  <c r="C149" i="1" s="1"/>
  <c r="A287" i="1"/>
  <c r="A362" i="1"/>
  <c r="A374" i="1"/>
  <c r="H105" i="1"/>
  <c r="A368" i="1"/>
  <c r="A274" i="1"/>
  <c r="J91" i="1" l="1"/>
  <c r="E94" i="1"/>
  <c r="D95" i="1"/>
  <c r="I91" i="1" s="1"/>
  <c r="I92" i="1" s="1"/>
  <c r="D117" i="1"/>
  <c r="D113" i="1"/>
  <c r="J107" i="1"/>
  <c r="J104" i="1"/>
  <c r="J106" i="1" s="1"/>
  <c r="D116" i="1"/>
  <c r="D112" i="1"/>
  <c r="J108" i="1"/>
  <c r="D111" i="1"/>
  <c r="D114" i="1"/>
  <c r="D110" i="1"/>
  <c r="D115" i="1"/>
  <c r="J109" i="1"/>
  <c r="C108" i="1" s="1"/>
  <c r="D108" i="1" s="1"/>
  <c r="J112" i="1"/>
  <c r="J114" i="1"/>
  <c r="J110" i="1"/>
  <c r="J111" i="1" s="1"/>
  <c r="J116" i="1" s="1"/>
  <c r="J115" i="1"/>
  <c r="J113" i="1"/>
  <c r="F75" i="1"/>
  <c r="I76" i="1"/>
  <c r="C78" i="1" s="1"/>
  <c r="I135" i="1"/>
  <c r="I133" i="1" s="1"/>
  <c r="C135" i="1" s="1"/>
  <c r="A288" i="1"/>
  <c r="A369" i="1"/>
  <c r="A363" i="1"/>
  <c r="A275" i="1"/>
  <c r="A375" i="1"/>
  <c r="I90" i="1" l="1"/>
  <c r="C92" i="1" s="1"/>
  <c r="J117" i="1"/>
  <c r="C109" i="1" s="1"/>
  <c r="G108" i="1" s="1"/>
  <c r="G132" i="1" s="1"/>
  <c r="A276" i="1"/>
  <c r="A289" i="1"/>
  <c r="D109" i="1" l="1"/>
  <c r="I105" i="1" s="1"/>
  <c r="I106" i="1" s="1"/>
  <c r="E108" i="1"/>
  <c r="C132" i="1" s="1"/>
  <c r="J105" i="1"/>
  <c r="A290" i="1"/>
  <c r="A277" i="1"/>
  <c r="I104" i="1" l="1"/>
  <c r="C106" i="1" s="1"/>
  <c r="A291" i="1"/>
  <c r="A278"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6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1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<sst xmlns="http://schemas.openxmlformats.org/spreadsheetml/2006/main" count="948" uniqueCount="426">
  <si>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</si>
  <si>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</si>
  <si>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</si>
  <si>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</si>
  <si>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</si>
  <si>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</si>
  <si>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</si>
  <si>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</si>
  <si>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</si>
  <si>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</si>
  <si>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</si>
  <si>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</si>
  <si>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</si>
  <si>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</si>
  <si>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</si>
  <si>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</si>
  <si>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</si>
  <si>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</si>
  <si>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</si>
  <si>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</si>
  <si>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</si>
  <si>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</si>
  <si>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</si>
  <si>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</si>
  <si>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</si>
  <si>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</si>
  <si>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</si>
  <si>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</si>
  <si>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</si>
  <si>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</si>
  <si>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</si>
  <si>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</si>
  <si>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</si>
  <si>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</si>
  <si>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</si>
  <si>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</si>
  <si>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</si>
  <si>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</si>
  <si>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</si>
  <si>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</si>
  <si>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</si>
  <si>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</si>
  <si>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</si>
  <si>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</si>
  <si>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</si>
  <si>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</si>
  <si>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</si>
  <si>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</si>
  <si>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</si>
  <si>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</si>
  <si>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</si>
  <si>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</si>
  <si>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</si>
  <si>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</si>
  <si>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</si>
  <si>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</si>
  <si>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</si>
  <si>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</si>
  <si>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</si>
  <si>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</si>
  <si>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</si>
  <si>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</si>
  <si>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</si>
  <si>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</si>
  <si>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</si>
  <si>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</si>
  <si>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</si>
  <si>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</si>
  <si>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</si>
  <si>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</si>
  <si>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</si>
  <si>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</si>
  <si>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</si>
  <si>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</si>
  <si>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</si>
  <si>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</si>
  <si>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</si>
  <si>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</si>
  <si>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</si>
  <si>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</si>
  <si>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</si>
  <si>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</si>
  <si>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</si>
  <si>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</si>
  <si>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</si>
  <si>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</si>
  <si>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</si>
  <si>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</si>
  <si>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</si>
  <si>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</si>
  <si>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</si>
  <si>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</si>
  <si>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</si>
  <si>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</si>
  <si>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</si>
  <si>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</si>
  <si>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</si>
  <si>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</si>
  <si>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</si>
  <si>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</si>
  <si>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</si>
  <si>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</si>
  <si>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</si>
  <si>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</si>
  <si>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</si>
  <si>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</si>
  <si>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</si>
  <si>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</si>
  <si>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</si>
  <si>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</si>
  <si>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</si>
  <si>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</si>
  <si>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</si>
  <si>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</si>
  <si>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</si>
  <si>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</si>
  <si>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</si>
  <si>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</si>
  <si>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</si>
  <si>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</si>
  <si>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</si>
  <si>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</si>
  <si>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</si>
  <si>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</si>
  <si>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</si>
  <si>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</si>
  <si>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</si>
  <si>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</si>
  <si>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</si>
  <si>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</si>
  <si>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</si>
  <si>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</si>
  <si>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</si>
  <si>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</si>
  <si>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</si>
  <si>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</si>
  <si>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</si>
  <si>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</si>
  <si>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</si>
  <si>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</si>
  <si>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</si>
  <si>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</si>
  <si>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</si>
  <si>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</si>
  <si>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</si>
  <si>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</si>
  <si>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</si>
  <si>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</si>
  <si>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</si>
  <si>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</si>
  <si>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</si>
  <si>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</si>
  <si>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</si>
  <si>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</si>
  <si>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</si>
  <si>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</si>
  <si>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</si>
  <si>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</si>
  <si>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</si>
  <si>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</si>
  <si>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</si>
  <si>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</si>
  <si>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</si>
  <si>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</si>
  <si>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</si>
  <si>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</si>
  <si>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</si>
  <si>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</si>
  <si>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</si>
  <si>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</si>
  <si>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</si>
  <si>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</si>
  <si>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</si>
  <si>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</si>
  <si>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</si>
  <si>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</si>
  <si>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</si>
  <si>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</si>
  <si>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</si>
  <si>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</si>
  <si>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</si>
  <si>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</si>
  <si>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</si>
  <si>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</si>
  <si>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</si>
  <si>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</si>
  <si>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</si>
  <si>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</si>
  <si>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</si>
  <si>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</si>
  <si>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</si>
  <si>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</si>
  <si>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</si>
  <si>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</si>
  <si>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</si>
  <si>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</si>
  <si>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</si>
  <si>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</si>
  <si>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</si>
  <si>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</si>
  <si>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</si>
  <si>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</si>
  <si>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</si>
  <si>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</si>
  <si>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</si>
  <si>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</si>
  <si>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</si>
  <si>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</si>
  <si>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</si>
  <si>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</si>
  <si>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</si>
  <si>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</si>
  <si>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</si>
  <si>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</si>
  <si>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</si>
  <si>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</si>
  <si>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</si>
  <si>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</si>
  <si>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</si>
  <si>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</si>
  <si>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</si>
  <si>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</si>
  <si>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</si>
  <si>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</si>
  <si>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</si>
  <si>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</si>
  <si>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</si>
  <si>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</si>
  <si>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</si>
  <si>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</si>
  <si>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</si>
  <si>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</si>
  <si>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</si>
  <si>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</si>
  <si>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</si>
  <si>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</si>
  <si>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</si>
  <si>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</si>
  <si>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</si>
  <si>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</si>
  <si>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</si>
  <si>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</si>
  <si>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</si>
  <si>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</si>
  <si>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</si>
  <si>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</si>
  <si>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</si>
  <si>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</si>
  <si>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</si>
  <si>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</si>
  <si>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</si>
  <si>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</si>
  <si>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</si>
  <si>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</si>
  <si>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</si>
  <si>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</si>
  <si>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</si>
  <si>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</si>
  <si>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</si>
  <si>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</si>
  <si>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</si>
  <si>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</si>
  <si>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</si>
  <si>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</si>
  <si>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</si>
  <si>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</si>
  <si>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</si>
  <si>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</si>
  <si>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</si>
  <si>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</si>
  <si>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</si>
  <si>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</si>
  <si>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</si>
  <si>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</si>
  <si>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</si>
  <si>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</si>
  <si>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</si>
  <si>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</si>
  <si>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</si>
  <si>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</si>
  <si>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</si>
  <si>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</si>
  <si>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</si>
  <si>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</si>
  <si>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</si>
  <si>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</si>
  <si>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</si>
  <si>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</si>
  <si>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</si>
  <si>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</si>
  <si>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</si>
  <si>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</si>
  <si>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</si>
  <si>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</si>
  <si>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</si>
  <si>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</si>
  <si>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</si>
  <si>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</si>
  <si>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</si>
  <si>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</si>
  <si>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</si>
  <si>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</si>
  <si>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</si>
  <si>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</si>
  <si>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</si>
  <si>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</si>
  <si>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</si>
  <si>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</si>
  <si>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</si>
  <si>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</si>
  <si>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</si>
  <si>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</si>
  <si>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</si>
  <si>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</si>
  <si>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</si>
  <si>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</si>
  <si>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</si>
  <si>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</si>
  <si>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</si>
  <si>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</si>
  <si>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</si>
  <si>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</si>
  <si>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</si>
  <si>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</si>
  <si>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</si>
  <si>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</si>
  <si>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</si>
  <si>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</si>
  <si>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</si>
  <si>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</si>
  <si>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</si>
  <si>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</si>
  <si>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</si>
  <si>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</si>
  <si>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</si>
  <si>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</si>
  <si>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</si>
  <si>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</si>
  <si>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</si>
  <si>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</si>
  <si>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</si>
  <si>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</si>
  <si>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</si>
  <si>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</si>
  <si>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</si>
  <si>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</si>
  <si>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</si>
  <si>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</si>
  <si>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</si>
  <si>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</si>
  <si>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</si>
  <si>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</si>
  <si>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</si>
  <si>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</si>
  <si>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</si>
  <si>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</si>
  <si>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</si>
  <si>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</si>
  <si>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 xml:space="preserve">Tharwani Constructions Pvt Ltd
</t>
  </si>
  <si>
    <t>P51700055468</t>
  </si>
  <si>
    <t>Tharwanis Meghna Montana Phase 3</t>
  </si>
  <si>
    <t>135/3A, 138/1D, 138/2, 134/1A, 1B, 1C, 1D(Pt), 134/2</t>
  </si>
  <si>
    <t>Barvi Dam Road</t>
  </si>
  <si>
    <t>Chikhaloli</t>
  </si>
  <si>
    <t>Belavali</t>
  </si>
  <si>
    <t>3.2 KM from Badlapur Railway Station</t>
  </si>
  <si>
    <t>Badlapur East</t>
  </si>
  <si>
    <t>Mahalaxmi Paradise</t>
  </si>
  <si>
    <t>Open Land</t>
  </si>
  <si>
    <t>Karrm Gardens</t>
  </si>
  <si>
    <t>9 M W Road</t>
  </si>
  <si>
    <t>Other Plot</t>
  </si>
  <si>
    <t>19.1857186,73.2240212</t>
  </si>
  <si>
    <t>https://maps.app.goo.gl/qjXi7Xfeg5cxxQYH8</t>
  </si>
  <si>
    <t>ABNMCB/0011/[P/C]/2023/AutoDCR</t>
  </si>
  <si>
    <t>`</t>
  </si>
  <si>
    <t>04 Buildings</t>
  </si>
  <si>
    <t>Building K = St + 1st to 17th Floor
Building O = B + St + 1st to 17th Floor
Building R = St + 1st to 11th Floor
Building S = St + 1st to 12th Floor</t>
  </si>
  <si>
    <t>Building K = St + 1st to 17th Floor</t>
  </si>
  <si>
    <t>Building R = St + 1st to 11th Floor</t>
  </si>
  <si>
    <t>Building S = St + 1st to 12th Floor</t>
  </si>
  <si>
    <t>Building K</t>
  </si>
  <si>
    <t>Ground Floor For Stilt Parking</t>
  </si>
  <si>
    <t>1st Floor For Residential</t>
  </si>
  <si>
    <t>2BHK</t>
  </si>
  <si>
    <t>1BHK</t>
  </si>
  <si>
    <t>3rd, 5th, 7th, 9th, 11th, 15th &amp; 17th Floor</t>
  </si>
  <si>
    <t>8th &amp; 13th Floor (Refuge Area At Mid Landing)</t>
  </si>
  <si>
    <t>Building O</t>
  </si>
  <si>
    <t>Basement For Parking</t>
  </si>
  <si>
    <t>2nd to 7th, 9th to 12th, 14th to 17th Floor</t>
  </si>
  <si>
    <t>Building R</t>
  </si>
  <si>
    <t>Ground Floor For Commercial &amp; Parking</t>
  </si>
  <si>
    <t>Shop</t>
  </si>
  <si>
    <t>2nd to 6th, 8th to 11th Floor</t>
  </si>
  <si>
    <t>7th Floor (Part Refuge Area At Mid Landing)</t>
  </si>
  <si>
    <t>3BHK</t>
  </si>
  <si>
    <t>Building S</t>
  </si>
  <si>
    <t>2nd to 6th, 8th to 10th Floor</t>
  </si>
  <si>
    <t>12th Floor (Part Terrace Area &amp; Refuge Area At Mid Landing)</t>
  </si>
  <si>
    <t>Terrace Area</t>
  </si>
  <si>
    <t>11th Floor (Part Terrace Area)</t>
  </si>
  <si>
    <t>Flats - 421, Shops - 22</t>
  </si>
  <si>
    <t>As per RERA - 31/12/2028</t>
  </si>
  <si>
    <t>Jogging Track, Landscaped Garden &amp; Sit-outs, Squash Court, Net Cricket Patch, Lush Green Party Lawn, Yoga &amp; Meditation Area, Children Play Area, Amphitheatre, Swimming Pool, Gymnasium, Steam Room, Jacuzzi &amp; Sauna, Indoor Games Room, Music Room with HD System, Infant Care Room, Mini Theatre, etc.</t>
  </si>
  <si>
    <r>
      <t xml:space="preserve">Proposed Amenities :                                                                                                                                                                                                                         </t>
    </r>
    <r>
      <rPr>
        <b/>
        <sz val="12"/>
        <color theme="1"/>
        <rFont val="Times New Roman"/>
        <family val="1"/>
      </rPr>
      <t xml:space="preserve">                                               </t>
    </r>
  </si>
  <si>
    <t>Miss. Prachi 9930557000</t>
  </si>
  <si>
    <t>We considered Gross carpet area = Net carpet + Enclose balcony + Balcony + A.P Area.</t>
  </si>
  <si>
    <t>Please check for Environment Clearance Certificate &amp; Fire NOC.</t>
  </si>
  <si>
    <t>Mr.Sudhir Bhosale</t>
  </si>
  <si>
    <t>RERA Carpet area</t>
  </si>
  <si>
    <t>Building O = 1B + St + 1st to 17th Floor</t>
  </si>
  <si>
    <t>Building K = St + 1st to 17th Floor
Building O = 1B + St + 1st to 17th Floor
Building R = St + 1st to 11th Floor
Building S = St + 1st to 12th Floor</t>
  </si>
  <si>
    <r>
      <t xml:space="preserve">Shop No.
</t>
    </r>
    <r>
      <rPr>
        <b/>
        <sz val="11"/>
        <color theme="1"/>
        <rFont val="Times New Roman"/>
        <family val="1"/>
      </rPr>
      <t>(Approved Plan)</t>
    </r>
  </si>
  <si>
    <t>Phase 3 - (Building K, O, R, S)</t>
  </si>
  <si>
    <t>https://tharwaniconstructions.com/projects-ongoing-meghna-montana.php</t>
  </si>
  <si>
    <t>Survey No</t>
  </si>
  <si>
    <t>2nd, 4th, 6th, 10th, 12th, 14th &amp; 16th Floor</t>
  </si>
  <si>
    <t>Pooja Kawale</t>
  </si>
  <si>
    <t>Part I = Building O = 1B + St + 1st to 17th Floor</t>
  </si>
  <si>
    <t>Part II = Building O = 1B + St + 1st to 17th Floor</t>
  </si>
  <si>
    <t>Average Progress</t>
  </si>
  <si>
    <t>Average Disbursement</t>
  </si>
  <si>
    <t>Since building R &amp; S have received CC on 16/11/2023, but as of construction work is not
started.</t>
  </si>
  <si>
    <t>Part III = Building O = 1B + St + 1st to 17th Floor</t>
  </si>
  <si>
    <t>Building O = Construction work is in process at the time of Visit (labour found).
Building K = Construction work was stopped. Work is same as last visit (dtd.18/04/2025).
Building R &amp; S = Work not yet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</si>
</sst>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8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10" fillId="0" borderId="0" xfId="1" applyFont="1"/>
    <xf numFmtId="0" fontId="7"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0" fontId="27" fillId="0" borderId="0" xfId="10"/>
    <xf numFmtId="9" fontId="13" fillId="0" borderId="16" xfId="8" applyFont="1" applyFill="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25" fillId="2" borderId="15" xfId="0" applyFont="1" applyFill="1" applyBorder="1"/>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9" fontId="7" fillId="0" borderId="1" xfId="8" applyFont="1" applyFill="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4" fillId="0" borderId="1"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17" xfId="1" applyFont="1" applyBorder="1" applyAlignment="1" applyProtection="1">
      <alignment horizontal="left" vertical="top"/>
      <protection locked="0"/>
    </xf>
    <xf numFmtId="0" fontId="7" fillId="0" borderId="24" xfId="1" applyFont="1" applyBorder="1" applyAlignment="1" applyProtection="1">
      <alignment horizontal="left" vertical="top"/>
      <protection locked="0"/>
    </xf>
    <xf numFmtId="0" fontId="7" fillId="0" borderId="18" xfId="1" applyFont="1" applyBorder="1" applyAlignment="1" applyProtection="1">
      <alignment horizontal="left" vertical="top"/>
      <protection locked="0"/>
    </xf>
    <xf numFmtId="0" fontId="7" fillId="0" borderId="2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6"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Fill="1" applyBorder="1" applyAlignment="1" applyProtection="1">
      <alignment horizontal="left" vertical="top"/>
      <protection locked="0"/>
    </xf>
    <xf numFmtId="0" fontId="7" fillId="0" borderId="1"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0" fillId="0" borderId="1"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13" fillId="0" borderId="16" xfId="1" applyFont="1" applyBorder="1" applyAlignment="1" applyProtection="1">
      <alignment horizontal="center" vertical="top"/>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9"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3" fillId="5" borderId="35" xfId="1" applyFont="1" applyFill="1" applyBorder="1" applyAlignment="1" applyProtection="1">
      <alignment horizontal="center" vertical="center"/>
      <protection locked="0"/>
    </xf>
    <xf numFmtId="0" fontId="13" fillId="5" borderId="16" xfId="1" applyFont="1" applyFill="1" applyBorder="1" applyAlignment="1" applyProtection="1">
      <alignment horizontal="center" vertical="center"/>
      <protection locked="0"/>
    </xf>
    <xf numFmtId="9" fontId="13" fillId="5" borderId="28" xfId="1" applyNumberFormat="1" applyFont="1" applyFill="1" applyBorder="1" applyAlignment="1" applyProtection="1">
      <alignment horizontal="center" vertical="center" wrapText="1"/>
      <protection locked="0"/>
    </xf>
    <xf numFmtId="0" fontId="13" fillId="5" borderId="29" xfId="1" applyFont="1" applyFill="1" applyBorder="1" applyAlignment="1" applyProtection="1">
      <alignment horizontal="center" vertical="center" wrapText="1"/>
      <protection locked="0"/>
    </xf>
    <xf numFmtId="0" fontId="13" fillId="5" borderId="28" xfId="1" applyFont="1" applyFill="1" applyBorder="1" applyAlignment="1" applyProtection="1">
      <alignment horizontal="center" vertical="center" wrapText="1"/>
      <protection locked="0"/>
    </xf>
    <xf numFmtId="0" fontId="13" fillId="5" borderId="12" xfId="1" applyFont="1" applyFill="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10</xdr:col>
      <xdr:colOff>428945</xdr:colOff>
      <xdr:row>250</xdr:row>
      <xdr:rowOff>40001</xdr:rowOff>
    </xdr:from>
    <xdr:to>
      <xdr:col>14</xdr:col>
      <xdr:colOff>292330</xdr:colOff>
      <xdr:row>271</xdr:row>
      <xdr:rowOff>109113</xdr:rowOff>
    </xdr:to>
    <xdr:pic>
      <xdr:nvPicPr>
        <xdr:cNvPr id="2" name="Picture 1"/>
        <xdr:cNvPicPr>
          <a:picLocks noChangeAspect="1"/>
        </xdr:cNvPicPr>
      </xdr:nvPicPr>
      <xdr:blipFill>
        <a:blip xmlns:r="http://schemas.openxmlformats.org/officeDocument/2006/relationships" r:embed="rId1"/>
        <a:stretch>
          <a:fillRect/>
        </a:stretch>
      </xdr:blipFill>
      <xdr:spPr>
        <a:xfrm>
          <a:off x="8655081" y="48063319"/>
          <a:ext cx="3153840" cy="4433294"/>
        </a:xfrm>
        <a:prstGeom prst="rect">
          <a:avLst/>
        </a:prstGeom>
      </xdr:spPr>
    </xdr:pic>
    <xdr:clientData/>
  </xdr:twoCellAnchor>
  <xdr:twoCellAnchor editAs="oneCell">
    <xdr:from>
      <xdr:col>11</xdr:col>
      <xdr:colOff>28574</xdr:colOff>
      <xdr:row>223</xdr:row>
      <xdr:rowOff>170877</xdr:rowOff>
    </xdr:from>
    <xdr:to>
      <xdr:col>15</xdr:col>
      <xdr:colOff>47050</xdr:colOff>
      <xdr:row>239</xdr:row>
      <xdr:rowOff>189954</xdr:rowOff>
    </xdr:to>
    <xdr:pic>
      <xdr:nvPicPr>
        <xdr:cNvPr id="3" name="Picture 2"/>
        <xdr:cNvPicPr>
          <a:picLocks noChangeAspect="1"/>
        </xdr:cNvPicPr>
      </xdr:nvPicPr>
      <xdr:blipFill>
        <a:blip xmlns:r="http://schemas.openxmlformats.org/officeDocument/2006/relationships" r:embed="rId2"/>
        <a:stretch>
          <a:fillRect/>
        </a:stretch>
      </xdr:blipFill>
      <xdr:spPr>
        <a:xfrm>
          <a:off x="9020174" y="37156452"/>
          <a:ext cx="3380801" cy="3219477"/>
        </a:xfrm>
        <a:prstGeom prst="rect">
          <a:avLst/>
        </a:prstGeom>
      </xdr:spPr>
    </xdr:pic>
    <xdr:clientData/>
  </xdr:twoCellAnchor>
  <xdr:twoCellAnchor editAs="oneCell">
    <xdr:from>
      <xdr:col>10</xdr:col>
      <xdr:colOff>259772</xdr:colOff>
      <xdr:row>313</xdr:row>
      <xdr:rowOff>51956</xdr:rowOff>
    </xdr:from>
    <xdr:to>
      <xdr:col>15</xdr:col>
      <xdr:colOff>117268</xdr:colOff>
      <xdr:row>340</xdr:row>
      <xdr:rowOff>183721</xdr:rowOff>
    </xdr:to>
    <xdr:pic>
      <xdr:nvPicPr>
        <xdr:cNvPr id="4" name="Picture 3"/>
        <xdr:cNvPicPr>
          <a:picLocks noChangeAspect="1"/>
        </xdr:cNvPicPr>
      </xdr:nvPicPr>
      <xdr:blipFill>
        <a:blip xmlns:r="http://schemas.openxmlformats.org/officeDocument/2006/relationships" r:embed="rId3"/>
        <a:stretch>
          <a:fillRect/>
        </a:stretch>
      </xdr:blipFill>
      <xdr:spPr>
        <a:xfrm>
          <a:off x="8485908" y="61167820"/>
          <a:ext cx="3961905" cy="5742857"/>
        </a:xfrm>
        <a:prstGeom prst="rect">
          <a:avLst/>
        </a:prstGeom>
      </xdr:spPr>
    </xdr:pic>
    <xdr:clientData/>
  </xdr:twoCellAnchor>
  <xdr:twoCellAnchor editAs="oneCell">
    <xdr:from>
      <xdr:col>10</xdr:col>
      <xdr:colOff>103909</xdr:colOff>
      <xdr:row>289</xdr:row>
      <xdr:rowOff>17319</xdr:rowOff>
    </xdr:from>
    <xdr:to>
      <xdr:col>15</xdr:col>
      <xdr:colOff>751881</xdr:colOff>
      <xdr:row>310</xdr:row>
      <xdr:rowOff>186470</xdr:rowOff>
    </xdr:to>
    <xdr:pic>
      <xdr:nvPicPr>
        <xdr:cNvPr id="5" name="Picture 4"/>
        <xdr:cNvPicPr>
          <a:picLocks noChangeAspect="1"/>
        </xdr:cNvPicPr>
      </xdr:nvPicPr>
      <xdr:blipFill>
        <a:blip xmlns:r="http://schemas.openxmlformats.org/officeDocument/2006/relationships" r:embed="rId4"/>
        <a:stretch>
          <a:fillRect/>
        </a:stretch>
      </xdr:blipFill>
      <xdr:spPr>
        <a:xfrm>
          <a:off x="8330045" y="56145546"/>
          <a:ext cx="4752381" cy="4533333"/>
        </a:xfrm>
        <a:prstGeom prst="rect">
          <a:avLst/>
        </a:prstGeom>
      </xdr:spPr>
    </xdr:pic>
    <xdr:clientData/>
  </xdr:twoCellAnchor>
  <xdr:twoCellAnchor editAs="oneCell">
    <xdr:from>
      <xdr:col>8</xdr:col>
      <xdr:colOff>557493</xdr:colOff>
      <xdr:row>178</xdr:row>
      <xdr:rowOff>15394</xdr:rowOff>
    </xdr:from>
    <xdr:to>
      <xdr:col>14</xdr:col>
      <xdr:colOff>357468</xdr:colOff>
      <xdr:row>188</xdr:row>
      <xdr:rowOff>8578</xdr:rowOff>
    </xdr:to>
    <xdr:pic>
      <xdr:nvPicPr>
        <xdr:cNvPr id="6" name="Picture 5"/>
        <xdr:cNvPicPr>
          <a:picLocks noChangeAspect="1"/>
        </xdr:cNvPicPr>
      </xdr:nvPicPr>
      <xdr:blipFill>
        <a:blip xmlns:r="http://schemas.openxmlformats.org/officeDocument/2006/relationships" r:embed="rId5"/>
        <a:stretch>
          <a:fillRect/>
        </a:stretch>
      </xdr:blipFill>
      <xdr:spPr>
        <a:xfrm>
          <a:off x="6866405" y="30472982"/>
          <a:ext cx="5033122" cy="2032655"/>
        </a:xfrm>
        <a:prstGeom prst="rect">
          <a:avLst/>
        </a:prstGeom>
      </xdr:spPr>
    </xdr:pic>
    <xdr:clientData/>
  </xdr:twoCellAnchor>
  <xdr:twoCellAnchor editAs="oneCell">
    <xdr:from>
      <xdr:col>8</xdr:col>
      <xdr:colOff>1038225</xdr:colOff>
      <xdr:row>15</xdr:row>
      <xdr:rowOff>219075</xdr:rowOff>
    </xdr:from>
    <xdr:to>
      <xdr:col>11</xdr:col>
      <xdr:colOff>523605</xdr:colOff>
      <xdr:row>25</xdr:row>
      <xdr:rowOff>161601</xdr:rowOff>
    </xdr:to>
    <xdr:pic>
      <xdr:nvPicPr>
        <xdr:cNvPr id="7" name="Picture 6"/>
        <xdr:cNvPicPr>
          <a:picLocks noChangeAspect="1"/>
        </xdr:cNvPicPr>
      </xdr:nvPicPr>
      <xdr:blipFill>
        <a:blip xmlns:r="http://schemas.openxmlformats.org/officeDocument/2006/relationships" r:embed="rId6"/>
        <a:stretch>
          <a:fillRect/>
        </a:stretch>
      </xdr:blipFill>
      <xdr:spPr>
        <a:xfrm>
          <a:off x="7353300" y="3600450"/>
          <a:ext cx="2161905" cy="2590476"/>
        </a:xfrm>
        <a:prstGeom prst="rect">
          <a:avLst/>
        </a:prstGeom>
      </xdr:spPr>
    </xdr:pic>
    <xdr:clientData/>
  </xdr:twoCellAnchor>
  <xdr:twoCellAnchor editAs="oneCell">
    <xdr:from>
      <xdr:col>2</xdr:col>
      <xdr:colOff>114299</xdr:colOff>
      <xdr:row>447</xdr:row>
      <xdr:rowOff>16983</xdr:rowOff>
    </xdr:from>
    <xdr:to>
      <xdr:col>5</xdr:col>
      <xdr:colOff>609599</xdr:colOff>
      <xdr:row>463</xdr:row>
      <xdr:rowOff>58336</xdr:rowOff>
    </xdr:to>
    <xdr:pic>
      <xdr:nvPicPr>
        <xdr:cNvPr id="17" name="Picture 16"/>
        <xdr:cNvPicPr>
          <a:picLocks noChangeAspect="1"/>
        </xdr:cNvPicPr>
      </xdr:nvPicPr>
      <xdr:blipFill>
        <a:blip xmlns:r="http://schemas.openxmlformats.org/officeDocument/2006/relationships" r:embed="rId7"/>
        <a:stretch>
          <a:fillRect/>
        </a:stretch>
      </xdr:blipFill>
      <xdr:spPr>
        <a:xfrm>
          <a:off x="1676399" y="83570283"/>
          <a:ext cx="3038475" cy="3241753"/>
        </a:xfrm>
        <a:prstGeom prst="rect">
          <a:avLst/>
        </a:prstGeom>
        <a:ln>
          <a:solidFill>
            <a:schemeClr val="tx1"/>
          </a:solidFill>
        </a:ln>
      </xdr:spPr>
    </xdr:pic>
    <xdr:clientData/>
  </xdr:twoCellAnchor>
  <xdr:twoCellAnchor>
    <xdr:from>
      <xdr:col>0</xdr:col>
      <xdr:colOff>373193</xdr:colOff>
      <xdr:row>463</xdr:row>
      <xdr:rowOff>164451</xdr:rowOff>
    </xdr:from>
    <xdr:to>
      <xdr:col>7</xdr:col>
      <xdr:colOff>482454</xdr:colOff>
      <xdr:row>488</xdr:row>
      <xdr:rowOff>50801</xdr:rowOff>
    </xdr:to>
    <xdr:grpSp>
      <xdr:nvGrpSpPr>
        <xdr:cNvPr id="51" name="Group 50"/>
        <xdr:cNvGrpSpPr/>
      </xdr:nvGrpSpPr>
      <xdr:grpSpPr>
        <a:xfrm>
          <a:off x="373193" y="87680151"/>
          <a:ext cx="5963961" cy="4807600"/>
          <a:chOff x="373193" y="86452667"/>
          <a:chExt cx="5691739" cy="4988617"/>
        </a:xfrm>
      </xdr:grpSpPr>
      <xdr:grpSp>
        <xdr:nvGrpSpPr>
          <xdr:cNvPr id="47" name="Group 46"/>
          <xdr:cNvGrpSpPr/>
        </xdr:nvGrpSpPr>
        <xdr:grpSpPr>
          <a:xfrm>
            <a:off x="373193" y="86452667"/>
            <a:ext cx="5691739" cy="4988617"/>
            <a:chOff x="373193" y="88393164"/>
            <a:chExt cx="5688190" cy="5121730"/>
          </a:xfrm>
        </xdr:grpSpPr>
        <xdr:grpSp>
          <xdr:nvGrpSpPr>
            <xdr:cNvPr id="26" name="Group 25"/>
            <xdr:cNvGrpSpPr/>
          </xdr:nvGrpSpPr>
          <xdr:grpSpPr>
            <a:xfrm>
              <a:off x="373193" y="88393164"/>
              <a:ext cx="5688190" cy="5121730"/>
              <a:chOff x="314325" y="86172674"/>
              <a:chExt cx="5689345" cy="4964724"/>
            </a:xfrm>
          </xdr:grpSpPr>
          <xdr:pic>
            <xdr:nvPicPr>
              <xdr:cNvPr id="16" name="Picture 15"/>
              <xdr:cNvPicPr>
                <a:picLocks noChangeAspect="1"/>
              </xdr:cNvPicPr>
            </xdr:nvPicPr>
            <xdr:blipFill>
              <a:blip xmlns:r="http://schemas.openxmlformats.org/officeDocument/2006/relationships" r:embed="rId8"/>
              <a:stretch>
                <a:fillRect/>
              </a:stretch>
            </xdr:blipFill>
            <xdr:spPr>
              <a:xfrm>
                <a:off x="314325" y="86172674"/>
                <a:ext cx="5689345" cy="4964724"/>
              </a:xfrm>
              <a:prstGeom prst="rect">
                <a:avLst/>
              </a:prstGeom>
              <a:ln>
                <a:solidFill>
                  <a:schemeClr val="tx1"/>
                </a:solidFill>
              </a:ln>
            </xdr:spPr>
          </xdr:pic>
          <xdr:sp macro="" textlink="">
            <xdr:nvSpPr>
              <xdr:cNvPr id="19" name="TextBox 18"/>
              <xdr:cNvSpPr txBox="1"/>
            </xdr:nvSpPr>
            <xdr:spPr>
              <a:xfrm>
                <a:off x="3917629" y="87744451"/>
                <a:ext cx="803689" cy="251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baseline="0">
                    <a:solidFill>
                      <a:srgbClr val="FF0000"/>
                    </a:solidFill>
                  </a:rPr>
                  <a:t>Bldg O</a:t>
                </a:r>
                <a:endParaRPr lang="en-IN" sz="1100" b="1">
                  <a:solidFill>
                    <a:srgbClr val="FF0000"/>
                  </a:solidFill>
                </a:endParaRPr>
              </a:p>
            </xdr:txBody>
          </xdr:sp>
          <xdr:sp macro="" textlink="">
            <xdr:nvSpPr>
              <xdr:cNvPr id="20" name="Rectangle 19"/>
              <xdr:cNvSpPr/>
            </xdr:nvSpPr>
            <xdr:spPr>
              <a:xfrm>
                <a:off x="2627334" y="88535759"/>
                <a:ext cx="439134" cy="58691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b="0"/>
              </a:p>
            </xdr:txBody>
          </xdr:sp>
          <xdr:sp macro="" textlink="">
            <xdr:nvSpPr>
              <xdr:cNvPr id="21" name="TextBox 20"/>
              <xdr:cNvSpPr txBox="1"/>
            </xdr:nvSpPr>
            <xdr:spPr>
              <a:xfrm>
                <a:off x="2583786" y="88655198"/>
                <a:ext cx="804192"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baseline="0">
                    <a:solidFill>
                      <a:srgbClr val="C00000"/>
                    </a:solidFill>
                    <a:effectLst/>
                    <a:latin typeface="+mn-lt"/>
                    <a:ea typeface="+mn-ea"/>
                    <a:cs typeface="+mn-cs"/>
                  </a:rPr>
                  <a:t>Bldg</a:t>
                </a:r>
                <a:r>
                  <a:rPr lang="en-IN" sz="1100" b="1" baseline="0">
                    <a:solidFill>
                      <a:srgbClr val="C00000"/>
                    </a:solidFill>
                  </a:rPr>
                  <a:t> K</a:t>
                </a:r>
                <a:endParaRPr lang="en-IN" sz="1100" b="1">
                  <a:solidFill>
                    <a:srgbClr val="C00000"/>
                  </a:solidFill>
                </a:endParaRPr>
              </a:p>
            </xdr:txBody>
          </xdr:sp>
          <xdr:sp macro="" textlink="">
            <xdr:nvSpPr>
              <xdr:cNvPr id="22" name="Rectangle 21"/>
              <xdr:cNvSpPr/>
            </xdr:nvSpPr>
            <xdr:spPr>
              <a:xfrm rot="20670791">
                <a:off x="1366841" y="88493843"/>
                <a:ext cx="436355" cy="598013"/>
              </a:xfrm>
              <a:prstGeom prst="rect">
                <a:avLst/>
              </a:prstGeom>
              <a:no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b="0"/>
              </a:p>
            </xdr:txBody>
          </xdr:sp>
          <xdr:sp macro="" textlink="">
            <xdr:nvSpPr>
              <xdr:cNvPr id="23" name="TextBox 22"/>
              <xdr:cNvSpPr txBox="1"/>
            </xdr:nvSpPr>
            <xdr:spPr>
              <a:xfrm rot="20749916">
                <a:off x="1174858" y="88223959"/>
                <a:ext cx="798635"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baseline="0">
                    <a:solidFill>
                      <a:srgbClr val="002060"/>
                    </a:solidFill>
                    <a:effectLst/>
                    <a:latin typeface="+mn-lt"/>
                    <a:ea typeface="+mn-ea"/>
                    <a:cs typeface="+mn-cs"/>
                  </a:rPr>
                  <a:t>Bldg</a:t>
                </a:r>
                <a:r>
                  <a:rPr lang="en-IN" sz="1100" b="1" baseline="0">
                    <a:solidFill>
                      <a:srgbClr val="002060"/>
                    </a:solidFill>
                  </a:rPr>
                  <a:t> R</a:t>
                </a:r>
                <a:endParaRPr lang="en-IN" sz="1100" b="1">
                  <a:solidFill>
                    <a:srgbClr val="002060"/>
                  </a:solidFill>
                </a:endParaRPr>
              </a:p>
            </xdr:txBody>
          </xdr:sp>
          <xdr:sp macro="" textlink="">
            <xdr:nvSpPr>
              <xdr:cNvPr id="24" name="Rectangle 23"/>
              <xdr:cNvSpPr/>
            </xdr:nvSpPr>
            <xdr:spPr>
              <a:xfrm rot="20670791">
                <a:off x="730141" y="88502766"/>
                <a:ext cx="378430" cy="757536"/>
              </a:xfrm>
              <a:prstGeom prst="rect">
                <a:avLst/>
              </a:prstGeom>
              <a:noFill/>
              <a:ln w="285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b="0">
                  <a:solidFill>
                    <a:schemeClr val="accent6">
                      <a:lumMod val="50000"/>
                    </a:schemeClr>
                  </a:solidFill>
                </a:endParaRPr>
              </a:p>
            </xdr:txBody>
          </xdr:sp>
          <xdr:sp macro="" textlink="">
            <xdr:nvSpPr>
              <xdr:cNvPr id="25" name="TextBox 24"/>
              <xdr:cNvSpPr txBox="1"/>
            </xdr:nvSpPr>
            <xdr:spPr>
              <a:xfrm rot="20749916">
                <a:off x="478549" y="88223960"/>
                <a:ext cx="801414"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chemeClr val="accent6">
                        <a:lumMod val="50000"/>
                      </a:schemeClr>
                    </a:solidFill>
                  </a:rPr>
                  <a:t>Wing</a:t>
                </a:r>
                <a:r>
                  <a:rPr lang="en-IN" sz="1100" b="1" baseline="0">
                    <a:solidFill>
                      <a:schemeClr val="accent6">
                        <a:lumMod val="50000"/>
                      </a:schemeClr>
                    </a:solidFill>
                  </a:rPr>
                  <a:t> S</a:t>
                </a:r>
                <a:endParaRPr lang="en-IN" sz="1100" b="1">
                  <a:solidFill>
                    <a:schemeClr val="accent6">
                      <a:lumMod val="50000"/>
                    </a:schemeClr>
                  </a:solidFill>
                </a:endParaRPr>
              </a:p>
            </xdr:txBody>
          </xdr:sp>
        </xdr:grpSp>
        <xdr:sp macro="" textlink="">
          <xdr:nvSpPr>
            <xdr:cNvPr id="27" name="Rectangle 26"/>
            <xdr:cNvSpPr/>
          </xdr:nvSpPr>
          <xdr:spPr>
            <a:xfrm>
              <a:off x="2048398" y="90685326"/>
              <a:ext cx="550566" cy="86039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TextBox 27"/>
            <xdr:cNvSpPr txBox="1"/>
          </xdr:nvSpPr>
          <xdr:spPr>
            <a:xfrm>
              <a:off x="2194936" y="89760042"/>
              <a:ext cx="396701"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C1</a:t>
              </a:r>
            </a:p>
          </xdr:txBody>
        </xdr:sp>
        <xdr:sp macro="" textlink="">
          <xdr:nvSpPr>
            <xdr:cNvPr id="29" name="TextBox 28"/>
            <xdr:cNvSpPr txBox="1"/>
          </xdr:nvSpPr>
          <xdr:spPr>
            <a:xfrm>
              <a:off x="2114340" y="90664393"/>
              <a:ext cx="338085"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B</a:t>
              </a:r>
            </a:p>
          </xdr:txBody>
        </xdr:sp>
        <xdr:sp macro="" textlink="">
          <xdr:nvSpPr>
            <xdr:cNvPr id="30" name="TextBox 29"/>
            <xdr:cNvSpPr txBox="1"/>
          </xdr:nvSpPr>
          <xdr:spPr>
            <a:xfrm>
              <a:off x="2244760" y="91092076"/>
              <a:ext cx="338085" cy="306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A</a:t>
              </a:r>
            </a:p>
          </xdr:txBody>
        </xdr:sp>
        <xdr:sp macro="" textlink="">
          <xdr:nvSpPr>
            <xdr:cNvPr id="31" name="Rectangle 30"/>
            <xdr:cNvSpPr/>
          </xdr:nvSpPr>
          <xdr:spPr>
            <a:xfrm>
              <a:off x="2026417" y="89730735"/>
              <a:ext cx="520778" cy="753743"/>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2" name="TextBox 31"/>
            <xdr:cNvSpPr txBox="1"/>
          </xdr:nvSpPr>
          <xdr:spPr>
            <a:xfrm>
              <a:off x="3708471" y="89388461"/>
              <a:ext cx="300404"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H</a:t>
              </a:r>
            </a:p>
          </xdr:txBody>
        </xdr:sp>
        <xdr:sp macro="" textlink="">
          <xdr:nvSpPr>
            <xdr:cNvPr id="33" name="TextBox 32"/>
            <xdr:cNvSpPr txBox="1"/>
          </xdr:nvSpPr>
          <xdr:spPr>
            <a:xfrm>
              <a:off x="3413929" y="89379669"/>
              <a:ext cx="309196"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G</a:t>
              </a:r>
            </a:p>
          </xdr:txBody>
        </xdr:sp>
        <xdr:sp macro="" textlink="">
          <xdr:nvSpPr>
            <xdr:cNvPr id="34" name="TextBox 33"/>
            <xdr:cNvSpPr txBox="1"/>
          </xdr:nvSpPr>
          <xdr:spPr>
            <a:xfrm>
              <a:off x="3152880" y="89385530"/>
              <a:ext cx="277168"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F</a:t>
              </a:r>
            </a:p>
          </xdr:txBody>
        </xdr:sp>
        <xdr:sp macro="" textlink="">
          <xdr:nvSpPr>
            <xdr:cNvPr id="35" name="TextBox 34"/>
            <xdr:cNvSpPr txBox="1"/>
          </xdr:nvSpPr>
          <xdr:spPr>
            <a:xfrm>
              <a:off x="2851010" y="89384065"/>
              <a:ext cx="344365"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E</a:t>
              </a:r>
            </a:p>
          </xdr:txBody>
        </xdr:sp>
        <xdr:sp macro="" textlink="">
          <xdr:nvSpPr>
            <xdr:cNvPr id="36" name="TextBox 35"/>
            <xdr:cNvSpPr txBox="1"/>
          </xdr:nvSpPr>
          <xdr:spPr>
            <a:xfrm>
              <a:off x="2534487" y="89389926"/>
              <a:ext cx="344365"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D</a:t>
              </a:r>
            </a:p>
          </xdr:txBody>
        </xdr:sp>
        <xdr:sp macro="" textlink="">
          <xdr:nvSpPr>
            <xdr:cNvPr id="37" name="TextBox 36"/>
            <xdr:cNvSpPr txBox="1"/>
          </xdr:nvSpPr>
          <xdr:spPr>
            <a:xfrm>
              <a:off x="2136321" y="90153602"/>
              <a:ext cx="338085" cy="306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C</a:t>
              </a:r>
            </a:p>
          </xdr:txBody>
        </xdr:sp>
        <xdr:sp macro="" textlink="">
          <xdr:nvSpPr>
            <xdr:cNvPr id="38" name="Rectangle 37"/>
            <xdr:cNvSpPr/>
          </xdr:nvSpPr>
          <xdr:spPr>
            <a:xfrm>
              <a:off x="2534486" y="89389926"/>
              <a:ext cx="2118109" cy="3115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9" name="TextBox 38"/>
            <xdr:cNvSpPr txBox="1"/>
          </xdr:nvSpPr>
          <xdr:spPr>
            <a:xfrm>
              <a:off x="4271596" y="89395788"/>
              <a:ext cx="300404"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J</a:t>
              </a:r>
            </a:p>
          </xdr:txBody>
        </xdr:sp>
        <xdr:sp macro="" textlink="">
          <xdr:nvSpPr>
            <xdr:cNvPr id="40" name="TextBox 39"/>
            <xdr:cNvSpPr txBox="1"/>
          </xdr:nvSpPr>
          <xdr:spPr>
            <a:xfrm>
              <a:off x="4014735" y="89401650"/>
              <a:ext cx="292030" cy="312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I</a:t>
              </a:r>
            </a:p>
          </xdr:txBody>
        </xdr:sp>
        <xdr:sp macro="" textlink="">
          <xdr:nvSpPr>
            <xdr:cNvPr id="41" name="Freeform 40"/>
            <xdr:cNvSpPr/>
          </xdr:nvSpPr>
          <xdr:spPr>
            <a:xfrm>
              <a:off x="3759758" y="89861571"/>
              <a:ext cx="988088" cy="591388"/>
            </a:xfrm>
            <a:custGeom>
              <a:avLst/>
              <a:gdLst>
                <a:gd name="connsiteX0" fmla="*/ 476250 w 996462"/>
                <a:gd name="connsiteY0" fmla="*/ 468923 h 578827"/>
                <a:gd name="connsiteX1" fmla="*/ 483577 w 996462"/>
                <a:gd name="connsiteY1" fmla="*/ 578827 h 578827"/>
                <a:gd name="connsiteX2" fmla="*/ 7327 w 996462"/>
                <a:gd name="connsiteY2" fmla="*/ 578827 h 578827"/>
                <a:gd name="connsiteX3" fmla="*/ 0 w 996462"/>
                <a:gd name="connsiteY3" fmla="*/ 7327 h 578827"/>
                <a:gd name="connsiteX4" fmla="*/ 989135 w 996462"/>
                <a:gd name="connsiteY4" fmla="*/ 0 h 578827"/>
                <a:gd name="connsiteX5" fmla="*/ 996462 w 996462"/>
                <a:gd name="connsiteY5" fmla="*/ 483577 h 578827"/>
                <a:gd name="connsiteX6" fmla="*/ 476250 w 996462"/>
                <a:gd name="connsiteY6" fmla="*/ 468923 h 578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96462" h="578827">
                  <a:moveTo>
                    <a:pt x="476250" y="468923"/>
                  </a:moveTo>
                  <a:lnTo>
                    <a:pt x="483577" y="578827"/>
                  </a:lnTo>
                  <a:lnTo>
                    <a:pt x="7327" y="578827"/>
                  </a:lnTo>
                  <a:cubicBezTo>
                    <a:pt x="4885" y="388327"/>
                    <a:pt x="2442" y="197827"/>
                    <a:pt x="0" y="7327"/>
                  </a:cubicBezTo>
                  <a:lnTo>
                    <a:pt x="989135" y="0"/>
                  </a:lnTo>
                  <a:lnTo>
                    <a:pt x="996462" y="483577"/>
                  </a:lnTo>
                  <a:lnTo>
                    <a:pt x="476250" y="468923"/>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2" name="Freeform 41"/>
            <xdr:cNvSpPr/>
          </xdr:nvSpPr>
          <xdr:spPr>
            <a:xfrm>
              <a:off x="2723521" y="89890879"/>
              <a:ext cx="882372" cy="933660"/>
            </a:xfrm>
            <a:custGeom>
              <a:avLst/>
              <a:gdLst>
                <a:gd name="connsiteX0" fmla="*/ 424961 w 952500"/>
                <a:gd name="connsiteY0" fmla="*/ 901212 h 908539"/>
                <a:gd name="connsiteX1" fmla="*/ 0 w 952500"/>
                <a:gd name="connsiteY1" fmla="*/ 908539 h 908539"/>
                <a:gd name="connsiteX2" fmla="*/ 0 w 952500"/>
                <a:gd name="connsiteY2" fmla="*/ 7327 h 908539"/>
                <a:gd name="connsiteX3" fmla="*/ 945173 w 952500"/>
                <a:gd name="connsiteY3" fmla="*/ 0 h 908539"/>
                <a:gd name="connsiteX4" fmla="*/ 952500 w 952500"/>
                <a:gd name="connsiteY4" fmla="*/ 468923 h 908539"/>
                <a:gd name="connsiteX5" fmla="*/ 417634 w 952500"/>
                <a:gd name="connsiteY5" fmla="*/ 468923 h 908539"/>
                <a:gd name="connsiteX6" fmla="*/ 424961 w 952500"/>
                <a:gd name="connsiteY6" fmla="*/ 901212 h 90853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52500" h="908539">
                  <a:moveTo>
                    <a:pt x="424961" y="901212"/>
                  </a:moveTo>
                  <a:lnTo>
                    <a:pt x="0" y="908539"/>
                  </a:lnTo>
                  <a:lnTo>
                    <a:pt x="0" y="7327"/>
                  </a:lnTo>
                  <a:lnTo>
                    <a:pt x="945173" y="0"/>
                  </a:lnTo>
                  <a:lnTo>
                    <a:pt x="952500" y="468923"/>
                  </a:lnTo>
                  <a:lnTo>
                    <a:pt x="417634" y="468923"/>
                  </a:lnTo>
                  <a:lnTo>
                    <a:pt x="424961" y="901212"/>
                  </a:lnTo>
                  <a:close/>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3" name="TextBox 42"/>
            <xdr:cNvSpPr txBox="1"/>
          </xdr:nvSpPr>
          <xdr:spPr>
            <a:xfrm>
              <a:off x="2752349" y="90448890"/>
              <a:ext cx="344365" cy="312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L</a:t>
              </a:r>
            </a:p>
          </xdr:txBody>
        </xdr:sp>
        <xdr:sp macro="" textlink="">
          <xdr:nvSpPr>
            <xdr:cNvPr id="45" name="TextBox 44"/>
            <xdr:cNvSpPr txBox="1"/>
          </xdr:nvSpPr>
          <xdr:spPr>
            <a:xfrm>
              <a:off x="3251060" y="89890879"/>
              <a:ext cx="340179" cy="306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N</a:t>
              </a:r>
            </a:p>
          </xdr:txBody>
        </xdr:sp>
        <xdr:sp macro="" textlink="">
          <xdr:nvSpPr>
            <xdr:cNvPr id="46" name="TextBox 45"/>
            <xdr:cNvSpPr txBox="1"/>
          </xdr:nvSpPr>
          <xdr:spPr>
            <a:xfrm>
              <a:off x="2758691" y="89918721"/>
              <a:ext cx="344365" cy="306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M</a:t>
              </a:r>
            </a:p>
          </xdr:txBody>
        </xdr:sp>
      </xdr:grpSp>
      <xdr:sp macro="" textlink="">
        <xdr:nvSpPr>
          <xdr:cNvPr id="44" name="TextBox 43"/>
          <xdr:cNvSpPr txBox="1"/>
        </xdr:nvSpPr>
        <xdr:spPr>
          <a:xfrm>
            <a:off x="3413993" y="89520227"/>
            <a:ext cx="344365" cy="302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Q</a:t>
            </a:r>
          </a:p>
        </xdr:txBody>
      </xdr:sp>
      <xdr:sp macro="" textlink="">
        <xdr:nvSpPr>
          <xdr:cNvPr id="48" name="Rectangle 47"/>
          <xdr:cNvSpPr/>
        </xdr:nvSpPr>
        <xdr:spPr>
          <a:xfrm>
            <a:off x="4398066" y="88367152"/>
            <a:ext cx="339586" cy="977348"/>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9" name="TextBox 48"/>
          <xdr:cNvSpPr txBox="1"/>
        </xdr:nvSpPr>
        <xdr:spPr>
          <a:xfrm>
            <a:off x="4445497" y="88634307"/>
            <a:ext cx="344580" cy="2987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t>P</a:t>
            </a:r>
          </a:p>
        </xdr:txBody>
      </xdr:sp>
      <xdr:sp macro="" textlink="">
        <xdr:nvSpPr>
          <xdr:cNvPr id="50" name="Rectangle 49"/>
          <xdr:cNvSpPr/>
        </xdr:nvSpPr>
        <xdr:spPr>
          <a:xfrm rot="5400000">
            <a:off x="3402319" y="89105409"/>
            <a:ext cx="339586" cy="1138383"/>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0</xdr:col>
      <xdr:colOff>519395</xdr:colOff>
      <xdr:row>490</xdr:row>
      <xdr:rowOff>19350</xdr:rowOff>
    </xdr:from>
    <xdr:to>
      <xdr:col>7</xdr:col>
      <xdr:colOff>373051</xdr:colOff>
      <xdr:row>509</xdr:row>
      <xdr:rowOff>168086</xdr:rowOff>
    </xdr:to>
    <xdr:pic>
      <xdr:nvPicPr>
        <xdr:cNvPr id="52" name="Picture 51"/>
        <xdr:cNvPicPr>
          <a:picLocks noChangeAspect="1"/>
        </xdr:cNvPicPr>
      </xdr:nvPicPr>
      <xdr:blipFill>
        <a:blip xmlns:r="http://schemas.openxmlformats.org/officeDocument/2006/relationships" r:embed="rId9"/>
        <a:stretch>
          <a:fillRect/>
        </a:stretch>
      </xdr:blipFill>
      <xdr:spPr>
        <a:xfrm>
          <a:off x="519395" y="93050585"/>
          <a:ext cx="5434185" cy="3981149"/>
        </a:xfrm>
        <a:prstGeom prst="rect">
          <a:avLst/>
        </a:prstGeom>
        <a:ln>
          <a:solidFill>
            <a:schemeClr val="tx1"/>
          </a:solidFill>
        </a:ln>
      </xdr:spPr>
    </xdr:pic>
    <xdr:clientData/>
  </xdr:twoCellAnchor>
  <xdr:twoCellAnchor>
    <xdr:from>
      <xdr:col>0</xdr:col>
      <xdr:colOff>143239</xdr:colOff>
      <xdr:row>510</xdr:row>
      <xdr:rowOff>79589</xdr:rowOff>
    </xdr:from>
    <xdr:to>
      <xdr:col>7</xdr:col>
      <xdr:colOff>617463</xdr:colOff>
      <xdr:row>530</xdr:row>
      <xdr:rowOff>89647</xdr:rowOff>
    </xdr:to>
    <xdr:grpSp>
      <xdr:nvGrpSpPr>
        <xdr:cNvPr id="55" name="Group 54"/>
        <xdr:cNvGrpSpPr/>
      </xdr:nvGrpSpPr>
      <xdr:grpSpPr>
        <a:xfrm>
          <a:off x="143239" y="96847239"/>
          <a:ext cx="6328924" cy="3947058"/>
          <a:chOff x="143239" y="96434489"/>
          <a:chExt cx="6055874" cy="4010558"/>
        </a:xfrm>
      </xdr:grpSpPr>
      <xdr:pic>
        <xdr:nvPicPr>
          <xdr:cNvPr id="53" name="Picture 52"/>
          <xdr:cNvPicPr>
            <a:picLocks noChangeAspect="1"/>
          </xdr:cNvPicPr>
        </xdr:nvPicPr>
        <xdr:blipFill>
          <a:blip xmlns:r="http://schemas.openxmlformats.org/officeDocument/2006/relationships" r:embed="rId10"/>
          <a:stretch>
            <a:fillRect/>
          </a:stretch>
        </xdr:blipFill>
        <xdr:spPr>
          <a:xfrm>
            <a:off x="143239" y="96434489"/>
            <a:ext cx="6055874" cy="4010558"/>
          </a:xfrm>
          <a:prstGeom prst="rect">
            <a:avLst/>
          </a:prstGeom>
          <a:ln>
            <a:solidFill>
              <a:schemeClr val="tx1"/>
            </a:solidFill>
          </a:ln>
        </xdr:spPr>
      </xdr:pic>
      <xdr:sp macro="" textlink="">
        <xdr:nvSpPr>
          <xdr:cNvPr id="54" name="Freeform 53"/>
          <xdr:cNvSpPr/>
        </xdr:nvSpPr>
        <xdr:spPr>
          <a:xfrm>
            <a:off x="1676400" y="97269300"/>
            <a:ext cx="3086100" cy="2828925"/>
          </a:xfrm>
          <a:custGeom>
            <a:avLst/>
            <a:gdLst>
              <a:gd name="connsiteX0" fmla="*/ 857250 w 3086100"/>
              <a:gd name="connsiteY0" fmla="*/ 2809875 h 2828925"/>
              <a:gd name="connsiteX1" fmla="*/ 1209675 w 3086100"/>
              <a:gd name="connsiteY1" fmla="*/ 2828925 h 2828925"/>
              <a:gd name="connsiteX2" fmla="*/ 1200150 w 3086100"/>
              <a:gd name="connsiteY2" fmla="*/ 2266950 h 2828925"/>
              <a:gd name="connsiteX3" fmla="*/ 1524000 w 3086100"/>
              <a:gd name="connsiteY3" fmla="*/ 2114550 h 2828925"/>
              <a:gd name="connsiteX4" fmla="*/ 2000250 w 3086100"/>
              <a:gd name="connsiteY4" fmla="*/ 2190750 h 2828925"/>
              <a:gd name="connsiteX5" fmla="*/ 2609850 w 3086100"/>
              <a:gd name="connsiteY5" fmla="*/ 1666875 h 2828925"/>
              <a:gd name="connsiteX6" fmla="*/ 3019425 w 3086100"/>
              <a:gd name="connsiteY6" fmla="*/ 1695450 h 2828925"/>
              <a:gd name="connsiteX7" fmla="*/ 3086100 w 3086100"/>
              <a:gd name="connsiteY7" fmla="*/ 1619250 h 2828925"/>
              <a:gd name="connsiteX8" fmla="*/ 2867025 w 3086100"/>
              <a:gd name="connsiteY8" fmla="*/ 1019175 h 2828925"/>
              <a:gd name="connsiteX9" fmla="*/ 3000375 w 3086100"/>
              <a:gd name="connsiteY9" fmla="*/ 952500 h 2828925"/>
              <a:gd name="connsiteX10" fmla="*/ 3048000 w 3086100"/>
              <a:gd name="connsiteY10" fmla="*/ 133350 h 2828925"/>
              <a:gd name="connsiteX11" fmla="*/ 1314450 w 3086100"/>
              <a:gd name="connsiteY11" fmla="*/ 0 h 2828925"/>
              <a:gd name="connsiteX12" fmla="*/ 1171575 w 3086100"/>
              <a:gd name="connsiteY12" fmla="*/ 247650 h 2828925"/>
              <a:gd name="connsiteX13" fmla="*/ 952500 w 3086100"/>
              <a:gd name="connsiteY13" fmla="*/ 828675 h 2828925"/>
              <a:gd name="connsiteX14" fmla="*/ 9525 w 3086100"/>
              <a:gd name="connsiteY14" fmla="*/ 876300 h 2828925"/>
              <a:gd name="connsiteX15" fmla="*/ 0 w 3086100"/>
              <a:gd name="connsiteY15" fmla="*/ 1285875 h 2828925"/>
              <a:gd name="connsiteX16" fmla="*/ 466725 w 3086100"/>
              <a:gd name="connsiteY16" fmla="*/ 1762125 h 2828925"/>
              <a:gd name="connsiteX17" fmla="*/ 676275 w 3086100"/>
              <a:gd name="connsiteY17" fmla="*/ 1809750 h 2828925"/>
              <a:gd name="connsiteX18" fmla="*/ 857250 w 3086100"/>
              <a:gd name="connsiteY18" fmla="*/ 2809875 h 2828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3086100" h="2828925">
                <a:moveTo>
                  <a:pt x="857250" y="2809875"/>
                </a:moveTo>
                <a:lnTo>
                  <a:pt x="1209675" y="2828925"/>
                </a:lnTo>
                <a:lnTo>
                  <a:pt x="1200150" y="2266950"/>
                </a:lnTo>
                <a:lnTo>
                  <a:pt x="1524000" y="2114550"/>
                </a:lnTo>
                <a:lnTo>
                  <a:pt x="2000250" y="2190750"/>
                </a:lnTo>
                <a:lnTo>
                  <a:pt x="2609850" y="1666875"/>
                </a:lnTo>
                <a:lnTo>
                  <a:pt x="3019425" y="1695450"/>
                </a:lnTo>
                <a:lnTo>
                  <a:pt x="3086100" y="1619250"/>
                </a:lnTo>
                <a:lnTo>
                  <a:pt x="2867025" y="1019175"/>
                </a:lnTo>
                <a:lnTo>
                  <a:pt x="3000375" y="952500"/>
                </a:lnTo>
                <a:lnTo>
                  <a:pt x="3048000" y="133350"/>
                </a:lnTo>
                <a:lnTo>
                  <a:pt x="1314450" y="0"/>
                </a:lnTo>
                <a:lnTo>
                  <a:pt x="1171575" y="247650"/>
                </a:lnTo>
                <a:lnTo>
                  <a:pt x="952500" y="828675"/>
                </a:lnTo>
                <a:lnTo>
                  <a:pt x="9525" y="876300"/>
                </a:lnTo>
                <a:lnTo>
                  <a:pt x="0" y="1285875"/>
                </a:lnTo>
                <a:lnTo>
                  <a:pt x="466725" y="1762125"/>
                </a:lnTo>
                <a:lnTo>
                  <a:pt x="676275" y="1809750"/>
                </a:lnTo>
                <a:lnTo>
                  <a:pt x="857250" y="280987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133350</xdr:colOff>
      <xdr:row>47</xdr:row>
      <xdr:rowOff>38100</xdr:rowOff>
    </xdr:from>
    <xdr:to>
      <xdr:col>13</xdr:col>
      <xdr:colOff>313754</xdr:colOff>
      <xdr:row>59</xdr:row>
      <xdr:rowOff>37846</xdr:rowOff>
    </xdr:to>
    <xdr:pic>
      <xdr:nvPicPr>
        <xdr:cNvPr id="56" name="Picture 55"/>
        <xdr:cNvPicPr>
          <a:picLocks noChangeAspect="1"/>
        </xdr:cNvPicPr>
      </xdr:nvPicPr>
      <xdr:blipFill>
        <a:blip xmlns:r="http://schemas.openxmlformats.org/officeDocument/2006/relationships" r:embed="rId11"/>
        <a:stretch>
          <a:fillRect/>
        </a:stretch>
      </xdr:blipFill>
      <xdr:spPr>
        <a:xfrm>
          <a:off x="6448425" y="10448925"/>
          <a:ext cx="4571429" cy="2028571"/>
        </a:xfrm>
        <a:prstGeom prst="rect">
          <a:avLst/>
        </a:prstGeom>
      </xdr:spPr>
    </xdr:pic>
    <xdr:clientData/>
  </xdr:twoCellAnchor>
  <xdr:twoCellAnchor editAs="oneCell">
    <xdr:from>
      <xdr:col>12</xdr:col>
      <xdr:colOff>642657</xdr:colOff>
      <xdr:row>46</xdr:row>
      <xdr:rowOff>173186</xdr:rowOff>
    </xdr:from>
    <xdr:to>
      <xdr:col>17</xdr:col>
      <xdr:colOff>6702</xdr:colOff>
      <xdr:row>52</xdr:row>
      <xdr:rowOff>609821</xdr:rowOff>
    </xdr:to>
    <xdr:pic>
      <xdr:nvPicPr>
        <xdr:cNvPr id="57" name="Picture 56"/>
        <xdr:cNvPicPr>
          <a:picLocks noChangeAspect="1"/>
        </xdr:cNvPicPr>
      </xdr:nvPicPr>
      <xdr:blipFill>
        <a:blip xmlns:r="http://schemas.openxmlformats.org/officeDocument/2006/relationships" r:embed="rId12"/>
        <a:stretch>
          <a:fillRect/>
        </a:stretch>
      </xdr:blipFill>
      <xdr:spPr>
        <a:xfrm>
          <a:off x="10548657" y="10448980"/>
          <a:ext cx="3196457" cy="1870988"/>
        </a:xfrm>
        <a:prstGeom prst="rect">
          <a:avLst/>
        </a:prstGeom>
      </xdr:spPr>
    </xdr:pic>
    <xdr:clientData/>
  </xdr:twoCellAnchor>
  <xdr:oneCellAnchor>
    <xdr:from>
      <xdr:col>9</xdr:col>
      <xdr:colOff>787400</xdr:colOff>
      <xdr:row>413</xdr:row>
      <xdr:rowOff>114300</xdr:rowOff>
    </xdr:from>
    <xdr:ext cx="627288" cy="342786"/>
    <xdr:sp macro="" textlink="">
      <xdr:nvSpPr>
        <xdr:cNvPr id="8" name="TextBox 7"/>
        <xdr:cNvSpPr txBox="1"/>
      </xdr:nvSpPr>
      <xdr:spPr>
        <a:xfrm>
          <a:off x="8629650" y="74447400"/>
          <a:ext cx="62728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rgbClr val="FF0000"/>
              </a:solidFill>
              <a:effectLst>
                <a:outerShdw blurRad="38100" dist="25400" dir="5400000" algn="ctr" rotWithShape="0">
                  <a:srgbClr val="6E747A">
                    <a:alpha val="43000"/>
                  </a:srgbClr>
                </a:outerShdw>
              </a:effectLst>
            </a:rPr>
            <a:t>Part I</a:t>
          </a:r>
        </a:p>
      </xdr:txBody>
    </xdr:sp>
    <xdr:clientData/>
  </xdr:oneCellAnchor>
  <xdr:twoCellAnchor>
    <xdr:from>
      <xdr:col>0</xdr:col>
      <xdr:colOff>139700</xdr:colOff>
      <xdr:row>404</xdr:row>
      <xdr:rowOff>146050</xdr:rowOff>
    </xdr:from>
    <xdr:to>
      <xdr:col>7</xdr:col>
      <xdr:colOff>650174</xdr:colOff>
      <xdr:row>442</xdr:row>
      <xdr:rowOff>78254</xdr:rowOff>
    </xdr:to>
    <xdr:grpSp>
      <xdr:nvGrpSpPr>
        <xdr:cNvPr id="11" name="Group 10"/>
        <xdr:cNvGrpSpPr/>
      </xdr:nvGrpSpPr>
      <xdr:grpSpPr>
        <a:xfrm>
          <a:off x="139700" y="76053950"/>
          <a:ext cx="6365174" cy="7406154"/>
          <a:chOff x="139700" y="75990450"/>
          <a:chExt cx="6365174" cy="7406154"/>
        </a:xfrm>
      </xdr:grpSpPr>
      <xdr:pic>
        <xdr:nvPicPr>
          <xdr:cNvPr id="69" name="Picture 6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908280" y="81236604"/>
            <a:ext cx="2865387"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74225" y="78433527"/>
            <a:ext cx="2030649" cy="2700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5"/>
          <a:stretch>
            <a:fillRect/>
          </a:stretch>
        </xdr:blipFill>
        <xdr:spPr>
          <a:xfrm>
            <a:off x="139700" y="75990450"/>
            <a:ext cx="3104169" cy="2340000"/>
          </a:xfrm>
          <a:prstGeom prst="rect">
            <a:avLst/>
          </a:prstGeom>
          <a:ln>
            <a:solidFill>
              <a:schemeClr val="tx1"/>
            </a:solidFill>
          </a:ln>
        </xdr:spPr>
      </xdr:pic>
      <xdr:pic>
        <xdr:nvPicPr>
          <xdr:cNvPr id="86" name="Picture 85"/>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310325" y="78433527"/>
            <a:ext cx="2030649" cy="2700000"/>
          </a:xfrm>
          <a:prstGeom prst="rect">
            <a:avLst/>
          </a:prstGeom>
          <a:ln>
            <a:solidFill>
              <a:schemeClr val="tx1"/>
            </a:solidFill>
          </a:ln>
        </xdr:spPr>
      </xdr:pic>
      <xdr:pic>
        <xdr:nvPicPr>
          <xdr:cNvPr id="88" name="Picture 8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39802" y="78433527"/>
            <a:ext cx="2030649" cy="2700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18"/>
          <a:stretch>
            <a:fillRect/>
          </a:stretch>
        </xdr:blipFill>
        <xdr:spPr>
          <a:xfrm>
            <a:off x="3388178" y="75990450"/>
            <a:ext cx="3104169" cy="2340000"/>
          </a:xfrm>
          <a:prstGeom prst="rect">
            <a:avLst/>
          </a:prstGeom>
          <a:ln>
            <a:solidFill>
              <a:schemeClr val="tx1"/>
            </a:solidFill>
          </a:ln>
        </xdr:spPr>
      </xdr:pic>
      <xdr:pic>
        <xdr:nvPicPr>
          <xdr:cNvPr id="90" name="Picture 8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150656" y="81236604"/>
            <a:ext cx="1617750" cy="2160000"/>
          </a:xfrm>
          <a:prstGeom prst="rect">
            <a:avLst/>
          </a:prstGeom>
          <a:ln>
            <a:solidFill>
              <a:schemeClr val="tx1"/>
            </a:solidFill>
          </a:ln>
        </xdr:spPr>
      </xdr:pic>
      <xdr:sp macro="" textlink="">
        <xdr:nvSpPr>
          <xdr:cNvPr id="91" name="TextBox 90"/>
          <xdr:cNvSpPr txBox="1"/>
        </xdr:nvSpPr>
        <xdr:spPr>
          <a:xfrm>
            <a:off x="1244600" y="77590650"/>
            <a:ext cx="64030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a:t>
            </a:r>
          </a:p>
        </xdr:txBody>
      </xdr:sp>
      <xdr:sp macro="" textlink="">
        <xdr:nvSpPr>
          <xdr:cNvPr id="92" name="TextBox 91"/>
          <xdr:cNvSpPr txBox="1"/>
        </xdr:nvSpPr>
        <xdr:spPr>
          <a:xfrm>
            <a:off x="3508828" y="77146150"/>
            <a:ext cx="64030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a:t>
            </a:r>
          </a:p>
        </xdr:txBody>
      </xdr:sp>
      <xdr:sp macro="" textlink="">
        <xdr:nvSpPr>
          <xdr:cNvPr id="93" name="TextBox 92"/>
          <xdr:cNvSpPr txBox="1"/>
        </xdr:nvSpPr>
        <xdr:spPr>
          <a:xfrm>
            <a:off x="4848678" y="76898500"/>
            <a:ext cx="7496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III</a:t>
            </a:r>
          </a:p>
        </xdr:txBody>
      </xdr:sp>
      <xdr:sp macro="" textlink="">
        <xdr:nvSpPr>
          <xdr:cNvPr id="94" name="TextBox 93"/>
          <xdr:cNvSpPr txBox="1"/>
        </xdr:nvSpPr>
        <xdr:spPr>
          <a:xfrm>
            <a:off x="1289152" y="80275027"/>
            <a:ext cx="69499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II</a:t>
            </a:r>
          </a:p>
        </xdr:txBody>
      </xdr:sp>
      <xdr:sp macro="" textlink="">
        <xdr:nvSpPr>
          <xdr:cNvPr id="95" name="TextBox 94"/>
          <xdr:cNvSpPr txBox="1"/>
        </xdr:nvSpPr>
        <xdr:spPr>
          <a:xfrm>
            <a:off x="2704025" y="80363927"/>
            <a:ext cx="69499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Part II</a:t>
            </a:r>
          </a:p>
        </xdr:txBody>
      </xdr:sp>
      <xdr:sp macro="" textlink="">
        <xdr:nvSpPr>
          <xdr:cNvPr id="96" name="TextBox 95"/>
          <xdr:cNvSpPr txBox="1"/>
        </xdr:nvSpPr>
        <xdr:spPr>
          <a:xfrm>
            <a:off x="4950475" y="79982927"/>
            <a:ext cx="78694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cap="none" spc="0">
                <a:ln w="0"/>
                <a:solidFill>
                  <a:srgbClr val="FFFF00"/>
                </a:solidFill>
                <a:effectLst>
                  <a:outerShdw blurRad="38100" dist="25400" dir="5400000" algn="ctr" rotWithShape="0">
                    <a:srgbClr val="6E747A">
                      <a:alpha val="43000"/>
                    </a:srgbClr>
                  </a:outerShdw>
                </a:effectLst>
              </a:rPr>
              <a:t>K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7</xdr:col>
      <xdr:colOff>231952</xdr:colOff>
      <xdr:row>37</xdr:row>
      <xdr:rowOff>162559</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7964011" cy="45440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tharwaniconstructions.com/projects-ongoing-meghna-montana.php" TargetMode="External"/><Relationship Id="rId1" Type="http://schemas.openxmlformats.org/officeDocument/2006/relationships/hyperlink" Target="https://maps.app.goo.gl/qjXi7Xfeg5cxxQYH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53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8" width="11" style="39" customWidth="1"/>
    <col min="9" max="9" width="17.453125" style="20" customWidth="1"/>
    <col min="10" max="10" width="11.453125" style="20" customWidth="1"/>
    <col min="11" max="11" width="11.26953125" style="20" bestFit="1" customWidth="1"/>
    <col min="12" max="12" width="13.81640625" style="20" bestFit="1" customWidth="1"/>
    <col min="13" max="13" width="11.81640625" style="20" customWidth="1"/>
    <col min="14" max="14" width="12.54296875" style="20" customWidth="1"/>
    <col min="15" max="15" width="12.1796875" style="20" customWidth="1"/>
    <col min="16" max="16" width="11.7265625" style="20" customWidth="1"/>
    <col min="17" max="18" width="9.1796875" style="20"/>
    <col min="19" max="19" width="10.81640625" style="20" bestFit="1" customWidth="1"/>
    <col min="20" max="20" width="10.7265625" style="20" customWidth="1"/>
    <col min="21" max="247" width="9.1796875" style="20"/>
    <col min="248" max="248" width="8.7265625" style="20" customWidth="1"/>
    <col min="249" max="249" width="9.81640625" style="20" customWidth="1"/>
    <col min="250" max="250" width="14.453125" style="20" customWidth="1"/>
    <col min="251" max="251" width="7.26953125" style="20" customWidth="1"/>
    <col min="252" max="252" width="5.54296875" style="20" customWidth="1"/>
    <col min="253" max="253" width="9" style="20" customWidth="1"/>
    <col min="254" max="255" width="9.81640625" style="20" customWidth="1"/>
    <col min="256" max="256" width="11.1796875" style="20" customWidth="1"/>
    <col min="257" max="257" width="2.81640625" style="20" customWidth="1"/>
    <col min="258" max="258" width="3.54296875" style="20" customWidth="1"/>
    <col min="259" max="503" width="9.1796875" style="20"/>
    <col min="504" max="504" width="8.7265625" style="20" customWidth="1"/>
    <col min="505" max="505" width="9.81640625" style="20" customWidth="1"/>
    <col min="506" max="506" width="14.453125" style="20" customWidth="1"/>
    <col min="507" max="507" width="7.26953125" style="20" customWidth="1"/>
    <col min="508" max="508" width="5.54296875" style="20" customWidth="1"/>
    <col min="509" max="509" width="9" style="20" customWidth="1"/>
    <col min="510" max="511" width="9.81640625" style="20" customWidth="1"/>
    <col min="512" max="512" width="11.1796875" style="20" customWidth="1"/>
    <col min="513" max="513" width="2.81640625" style="20" customWidth="1"/>
    <col min="514" max="514" width="3.54296875" style="20" customWidth="1"/>
    <col min="515" max="759" width="9.1796875" style="20"/>
    <col min="760" max="760" width="8.7265625" style="20" customWidth="1"/>
    <col min="761" max="761" width="9.81640625" style="20" customWidth="1"/>
    <col min="762" max="762" width="14.453125" style="20" customWidth="1"/>
    <col min="763" max="763" width="7.26953125" style="20" customWidth="1"/>
    <col min="764" max="764" width="5.54296875" style="20" customWidth="1"/>
    <col min="765" max="765" width="9" style="20" customWidth="1"/>
    <col min="766" max="767" width="9.81640625" style="20" customWidth="1"/>
    <col min="768" max="768" width="11.1796875" style="20" customWidth="1"/>
    <col min="769" max="769" width="2.81640625" style="20" customWidth="1"/>
    <col min="770" max="770" width="3.54296875" style="20" customWidth="1"/>
    <col min="771" max="1015" width="9.1796875" style="20"/>
    <col min="1016" max="1016" width="8.7265625" style="20" customWidth="1"/>
    <col min="1017" max="1017" width="9.81640625" style="20" customWidth="1"/>
    <col min="1018" max="1018" width="14.453125" style="20" customWidth="1"/>
    <col min="1019" max="1019" width="7.26953125" style="20" customWidth="1"/>
    <col min="1020" max="1020" width="5.54296875" style="20" customWidth="1"/>
    <col min="1021" max="1021" width="9" style="20" customWidth="1"/>
    <col min="1022" max="1023" width="9.81640625" style="20" customWidth="1"/>
    <col min="1024" max="1024" width="11.1796875" style="20" customWidth="1"/>
    <col min="1025" max="1025" width="2.81640625" style="20" customWidth="1"/>
    <col min="1026" max="1026" width="3.54296875" style="20" customWidth="1"/>
    <col min="1027" max="1271" width="9.1796875" style="20"/>
    <col min="1272" max="1272" width="8.7265625" style="20" customWidth="1"/>
    <col min="1273" max="1273" width="9.81640625" style="20" customWidth="1"/>
    <col min="1274" max="1274" width="14.453125" style="20" customWidth="1"/>
    <col min="1275" max="1275" width="7.26953125" style="20" customWidth="1"/>
    <col min="1276" max="1276" width="5.54296875" style="20" customWidth="1"/>
    <col min="1277" max="1277" width="9" style="20" customWidth="1"/>
    <col min="1278" max="1279" width="9.81640625" style="20" customWidth="1"/>
    <col min="1280" max="1280" width="11.1796875" style="20" customWidth="1"/>
    <col min="1281" max="1281" width="2.81640625" style="20" customWidth="1"/>
    <col min="1282" max="1282" width="3.54296875" style="20" customWidth="1"/>
    <col min="1283" max="1527" width="9.1796875" style="20"/>
    <col min="1528" max="1528" width="8.7265625" style="20" customWidth="1"/>
    <col min="1529" max="1529" width="9.81640625" style="20" customWidth="1"/>
    <col min="1530" max="1530" width="14.453125" style="20" customWidth="1"/>
    <col min="1531" max="1531" width="7.26953125" style="20" customWidth="1"/>
    <col min="1532" max="1532" width="5.54296875" style="20" customWidth="1"/>
    <col min="1533" max="1533" width="9" style="20" customWidth="1"/>
    <col min="1534" max="1535" width="9.81640625" style="20" customWidth="1"/>
    <col min="1536" max="1536" width="11.1796875" style="20" customWidth="1"/>
    <col min="1537" max="1537" width="2.81640625" style="20" customWidth="1"/>
    <col min="1538" max="1538" width="3.54296875" style="20" customWidth="1"/>
    <col min="1539" max="1783" width="9.1796875" style="20"/>
    <col min="1784" max="1784" width="8.7265625" style="20" customWidth="1"/>
    <col min="1785" max="1785" width="9.81640625" style="20" customWidth="1"/>
    <col min="1786" max="1786" width="14.453125" style="20" customWidth="1"/>
    <col min="1787" max="1787" width="7.26953125" style="20" customWidth="1"/>
    <col min="1788" max="1788" width="5.54296875" style="20" customWidth="1"/>
    <col min="1789" max="1789" width="9" style="20" customWidth="1"/>
    <col min="1790" max="1791" width="9.81640625" style="20" customWidth="1"/>
    <col min="1792" max="1792" width="11.1796875" style="20" customWidth="1"/>
    <col min="1793" max="1793" width="2.81640625" style="20" customWidth="1"/>
    <col min="1794" max="1794" width="3.54296875" style="20" customWidth="1"/>
    <col min="1795" max="2039" width="9.1796875" style="20"/>
    <col min="2040" max="2040" width="8.7265625" style="20" customWidth="1"/>
    <col min="2041" max="2041" width="9.81640625" style="20" customWidth="1"/>
    <col min="2042" max="2042" width="14.453125" style="20" customWidth="1"/>
    <col min="2043" max="2043" width="7.26953125" style="20" customWidth="1"/>
    <col min="2044" max="2044" width="5.54296875" style="20" customWidth="1"/>
    <col min="2045" max="2045" width="9" style="20" customWidth="1"/>
    <col min="2046" max="2047" width="9.81640625" style="20" customWidth="1"/>
    <col min="2048" max="2048" width="11.1796875" style="20" customWidth="1"/>
    <col min="2049" max="2049" width="2.81640625" style="20" customWidth="1"/>
    <col min="2050" max="2050" width="3.54296875" style="20" customWidth="1"/>
    <col min="2051" max="2295" width="9.1796875" style="20"/>
    <col min="2296" max="2296" width="8.7265625" style="20" customWidth="1"/>
    <col min="2297" max="2297" width="9.81640625" style="20" customWidth="1"/>
    <col min="2298" max="2298" width="14.453125" style="20" customWidth="1"/>
    <col min="2299" max="2299" width="7.26953125" style="20" customWidth="1"/>
    <col min="2300" max="2300" width="5.54296875" style="20" customWidth="1"/>
    <col min="2301" max="2301" width="9" style="20" customWidth="1"/>
    <col min="2302" max="2303" width="9.81640625" style="20" customWidth="1"/>
    <col min="2304" max="2304" width="11.1796875" style="20" customWidth="1"/>
    <col min="2305" max="2305" width="2.81640625" style="20" customWidth="1"/>
    <col min="2306" max="2306" width="3.54296875" style="20" customWidth="1"/>
    <col min="2307" max="2551" width="9.1796875" style="20"/>
    <col min="2552" max="2552" width="8.7265625" style="20" customWidth="1"/>
    <col min="2553" max="2553" width="9.81640625" style="20" customWidth="1"/>
    <col min="2554" max="2554" width="14.453125" style="20" customWidth="1"/>
    <col min="2555" max="2555" width="7.26953125" style="20" customWidth="1"/>
    <col min="2556" max="2556" width="5.54296875" style="20" customWidth="1"/>
    <col min="2557" max="2557" width="9" style="20" customWidth="1"/>
    <col min="2558" max="2559" width="9.81640625" style="20" customWidth="1"/>
    <col min="2560" max="2560" width="11.1796875" style="20" customWidth="1"/>
    <col min="2561" max="2561" width="2.81640625" style="20" customWidth="1"/>
    <col min="2562" max="2562" width="3.54296875" style="20" customWidth="1"/>
    <col min="2563" max="2807" width="9.1796875" style="20"/>
    <col min="2808" max="2808" width="8.7265625" style="20" customWidth="1"/>
    <col min="2809" max="2809" width="9.81640625" style="20" customWidth="1"/>
    <col min="2810" max="2810" width="14.453125" style="20" customWidth="1"/>
    <col min="2811" max="2811" width="7.26953125" style="20" customWidth="1"/>
    <col min="2812" max="2812" width="5.54296875" style="20" customWidth="1"/>
    <col min="2813" max="2813" width="9" style="20" customWidth="1"/>
    <col min="2814" max="2815" width="9.81640625" style="20" customWidth="1"/>
    <col min="2816" max="2816" width="11.1796875" style="20" customWidth="1"/>
    <col min="2817" max="2817" width="2.81640625" style="20" customWidth="1"/>
    <col min="2818" max="2818" width="3.54296875" style="20" customWidth="1"/>
    <col min="2819" max="3063" width="9.1796875" style="20"/>
    <col min="3064" max="3064" width="8.7265625" style="20" customWidth="1"/>
    <col min="3065" max="3065" width="9.81640625" style="20" customWidth="1"/>
    <col min="3066" max="3066" width="14.453125" style="20" customWidth="1"/>
    <col min="3067" max="3067" width="7.26953125" style="20" customWidth="1"/>
    <col min="3068" max="3068" width="5.54296875" style="20" customWidth="1"/>
    <col min="3069" max="3069" width="9" style="20" customWidth="1"/>
    <col min="3070" max="3071" width="9.81640625" style="20" customWidth="1"/>
    <col min="3072" max="3072" width="11.1796875" style="20" customWidth="1"/>
    <col min="3073" max="3073" width="2.81640625" style="20" customWidth="1"/>
    <col min="3074" max="3074" width="3.54296875" style="20" customWidth="1"/>
    <col min="3075" max="3319" width="9.1796875" style="20"/>
    <col min="3320" max="3320" width="8.7265625" style="20" customWidth="1"/>
    <col min="3321" max="3321" width="9.81640625" style="20" customWidth="1"/>
    <col min="3322" max="3322" width="14.453125" style="20" customWidth="1"/>
    <col min="3323" max="3323" width="7.26953125" style="20" customWidth="1"/>
    <col min="3324" max="3324" width="5.54296875" style="20" customWidth="1"/>
    <col min="3325" max="3325" width="9" style="20" customWidth="1"/>
    <col min="3326" max="3327" width="9.81640625" style="20" customWidth="1"/>
    <col min="3328" max="3328" width="11.1796875" style="20" customWidth="1"/>
    <col min="3329" max="3329" width="2.81640625" style="20" customWidth="1"/>
    <col min="3330" max="3330" width="3.54296875" style="20" customWidth="1"/>
    <col min="3331" max="3575" width="9.1796875" style="20"/>
    <col min="3576" max="3576" width="8.7265625" style="20" customWidth="1"/>
    <col min="3577" max="3577" width="9.81640625" style="20" customWidth="1"/>
    <col min="3578" max="3578" width="14.453125" style="20" customWidth="1"/>
    <col min="3579" max="3579" width="7.26953125" style="20" customWidth="1"/>
    <col min="3580" max="3580" width="5.54296875" style="20" customWidth="1"/>
    <col min="3581" max="3581" width="9" style="20" customWidth="1"/>
    <col min="3582" max="3583" width="9.81640625" style="20" customWidth="1"/>
    <col min="3584" max="3584" width="11.1796875" style="20" customWidth="1"/>
    <col min="3585" max="3585" width="2.81640625" style="20" customWidth="1"/>
    <col min="3586" max="3586" width="3.54296875" style="20" customWidth="1"/>
    <col min="3587" max="3831" width="9.1796875" style="20"/>
    <col min="3832" max="3832" width="8.7265625" style="20" customWidth="1"/>
    <col min="3833" max="3833" width="9.81640625" style="20" customWidth="1"/>
    <col min="3834" max="3834" width="14.453125" style="20" customWidth="1"/>
    <col min="3835" max="3835" width="7.26953125" style="20" customWidth="1"/>
    <col min="3836" max="3836" width="5.54296875" style="20" customWidth="1"/>
    <col min="3837" max="3837" width="9" style="20" customWidth="1"/>
    <col min="3838" max="3839" width="9.81640625" style="20" customWidth="1"/>
    <col min="3840" max="3840" width="11.1796875" style="20" customWidth="1"/>
    <col min="3841" max="3841" width="2.81640625" style="20" customWidth="1"/>
    <col min="3842" max="3842" width="3.54296875" style="20" customWidth="1"/>
    <col min="3843" max="4087" width="9.1796875" style="20"/>
    <col min="4088" max="4088" width="8.7265625" style="20" customWidth="1"/>
    <col min="4089" max="4089" width="9.81640625" style="20" customWidth="1"/>
    <col min="4090" max="4090" width="14.453125" style="20" customWidth="1"/>
    <col min="4091" max="4091" width="7.26953125" style="20" customWidth="1"/>
    <col min="4092" max="4092" width="5.54296875" style="20" customWidth="1"/>
    <col min="4093" max="4093" width="9" style="20" customWidth="1"/>
    <col min="4094" max="4095" width="9.81640625" style="20" customWidth="1"/>
    <col min="4096" max="4096" width="11.1796875" style="20" customWidth="1"/>
    <col min="4097" max="4097" width="2.81640625" style="20" customWidth="1"/>
    <col min="4098" max="4098" width="3.54296875" style="20" customWidth="1"/>
    <col min="4099" max="4343" width="9.1796875" style="20"/>
    <col min="4344" max="4344" width="8.7265625" style="20" customWidth="1"/>
    <col min="4345" max="4345" width="9.81640625" style="20" customWidth="1"/>
    <col min="4346" max="4346" width="14.453125" style="20" customWidth="1"/>
    <col min="4347" max="4347" width="7.26953125" style="20" customWidth="1"/>
    <col min="4348" max="4348" width="5.54296875" style="20" customWidth="1"/>
    <col min="4349" max="4349" width="9" style="20" customWidth="1"/>
    <col min="4350" max="4351" width="9.81640625" style="20" customWidth="1"/>
    <col min="4352" max="4352" width="11.1796875" style="20" customWidth="1"/>
    <col min="4353" max="4353" width="2.81640625" style="20" customWidth="1"/>
    <col min="4354" max="4354" width="3.54296875" style="20" customWidth="1"/>
    <col min="4355" max="4599" width="9.1796875" style="20"/>
    <col min="4600" max="4600" width="8.7265625" style="20" customWidth="1"/>
    <col min="4601" max="4601" width="9.81640625" style="20" customWidth="1"/>
    <col min="4602" max="4602" width="14.453125" style="20" customWidth="1"/>
    <col min="4603" max="4603" width="7.26953125" style="20" customWidth="1"/>
    <col min="4604" max="4604" width="5.54296875" style="20" customWidth="1"/>
    <col min="4605" max="4605" width="9" style="20" customWidth="1"/>
    <col min="4606" max="4607" width="9.81640625" style="20" customWidth="1"/>
    <col min="4608" max="4608" width="11.1796875" style="20" customWidth="1"/>
    <col min="4609" max="4609" width="2.81640625" style="20" customWidth="1"/>
    <col min="4610" max="4610" width="3.54296875" style="20" customWidth="1"/>
    <col min="4611" max="4855" width="9.1796875" style="20"/>
    <col min="4856" max="4856" width="8.7265625" style="20" customWidth="1"/>
    <col min="4857" max="4857" width="9.81640625" style="20" customWidth="1"/>
    <col min="4858" max="4858" width="14.453125" style="20" customWidth="1"/>
    <col min="4859" max="4859" width="7.26953125" style="20" customWidth="1"/>
    <col min="4860" max="4860" width="5.54296875" style="20" customWidth="1"/>
    <col min="4861" max="4861" width="9" style="20" customWidth="1"/>
    <col min="4862" max="4863" width="9.81640625" style="20" customWidth="1"/>
    <col min="4864" max="4864" width="11.1796875" style="20" customWidth="1"/>
    <col min="4865" max="4865" width="2.81640625" style="20" customWidth="1"/>
    <col min="4866" max="4866" width="3.54296875" style="20" customWidth="1"/>
    <col min="4867" max="5111" width="9.1796875" style="20"/>
    <col min="5112" max="5112" width="8.7265625" style="20" customWidth="1"/>
    <col min="5113" max="5113" width="9.81640625" style="20" customWidth="1"/>
    <col min="5114" max="5114" width="14.453125" style="20" customWidth="1"/>
    <col min="5115" max="5115" width="7.26953125" style="20" customWidth="1"/>
    <col min="5116" max="5116" width="5.54296875" style="20" customWidth="1"/>
    <col min="5117" max="5117" width="9" style="20" customWidth="1"/>
    <col min="5118" max="5119" width="9.81640625" style="20" customWidth="1"/>
    <col min="5120" max="5120" width="11.1796875" style="20" customWidth="1"/>
    <col min="5121" max="5121" width="2.81640625" style="20" customWidth="1"/>
    <col min="5122" max="5122" width="3.54296875" style="20" customWidth="1"/>
    <col min="5123" max="5367" width="9.1796875" style="20"/>
    <col min="5368" max="5368" width="8.7265625" style="20" customWidth="1"/>
    <col min="5369" max="5369" width="9.81640625" style="20" customWidth="1"/>
    <col min="5370" max="5370" width="14.453125" style="20" customWidth="1"/>
    <col min="5371" max="5371" width="7.26953125" style="20" customWidth="1"/>
    <col min="5372" max="5372" width="5.54296875" style="20" customWidth="1"/>
    <col min="5373" max="5373" width="9" style="20" customWidth="1"/>
    <col min="5374" max="5375" width="9.81640625" style="20" customWidth="1"/>
    <col min="5376" max="5376" width="11.1796875" style="20" customWidth="1"/>
    <col min="5377" max="5377" width="2.81640625" style="20" customWidth="1"/>
    <col min="5378" max="5378" width="3.54296875" style="20" customWidth="1"/>
    <col min="5379" max="5623" width="9.1796875" style="20"/>
    <col min="5624" max="5624" width="8.7265625" style="20" customWidth="1"/>
    <col min="5625" max="5625" width="9.81640625" style="20" customWidth="1"/>
    <col min="5626" max="5626" width="14.453125" style="20" customWidth="1"/>
    <col min="5627" max="5627" width="7.26953125" style="20" customWidth="1"/>
    <col min="5628" max="5628" width="5.54296875" style="20" customWidth="1"/>
    <col min="5629" max="5629" width="9" style="20" customWidth="1"/>
    <col min="5630" max="5631" width="9.81640625" style="20" customWidth="1"/>
    <col min="5632" max="5632" width="11.1796875" style="20" customWidth="1"/>
    <col min="5633" max="5633" width="2.81640625" style="20" customWidth="1"/>
    <col min="5634" max="5634" width="3.54296875" style="20" customWidth="1"/>
    <col min="5635" max="5879" width="9.1796875" style="20"/>
    <col min="5880" max="5880" width="8.7265625" style="20" customWidth="1"/>
    <col min="5881" max="5881" width="9.81640625" style="20" customWidth="1"/>
    <col min="5882" max="5882" width="14.453125" style="20" customWidth="1"/>
    <col min="5883" max="5883" width="7.26953125" style="20" customWidth="1"/>
    <col min="5884" max="5884" width="5.54296875" style="20" customWidth="1"/>
    <col min="5885" max="5885" width="9" style="20" customWidth="1"/>
    <col min="5886" max="5887" width="9.81640625" style="20" customWidth="1"/>
    <col min="5888" max="5888" width="11.1796875" style="20" customWidth="1"/>
    <col min="5889" max="5889" width="2.81640625" style="20" customWidth="1"/>
    <col min="5890" max="5890" width="3.54296875" style="20" customWidth="1"/>
    <col min="5891" max="6135" width="9.1796875" style="20"/>
    <col min="6136" max="6136" width="8.7265625" style="20" customWidth="1"/>
    <col min="6137" max="6137" width="9.81640625" style="20" customWidth="1"/>
    <col min="6138" max="6138" width="14.453125" style="20" customWidth="1"/>
    <col min="6139" max="6139" width="7.26953125" style="20" customWidth="1"/>
    <col min="6140" max="6140" width="5.54296875" style="20" customWidth="1"/>
    <col min="6141" max="6141" width="9" style="20" customWidth="1"/>
    <col min="6142" max="6143" width="9.81640625" style="20" customWidth="1"/>
    <col min="6144" max="6144" width="11.1796875" style="20" customWidth="1"/>
    <col min="6145" max="6145" width="2.81640625" style="20" customWidth="1"/>
    <col min="6146" max="6146" width="3.54296875" style="20" customWidth="1"/>
    <col min="6147" max="6391" width="9.1796875" style="20"/>
    <col min="6392" max="6392" width="8.7265625" style="20" customWidth="1"/>
    <col min="6393" max="6393" width="9.81640625" style="20" customWidth="1"/>
    <col min="6394" max="6394" width="14.453125" style="20" customWidth="1"/>
    <col min="6395" max="6395" width="7.26953125" style="20" customWidth="1"/>
    <col min="6396" max="6396" width="5.54296875" style="20" customWidth="1"/>
    <col min="6397" max="6397" width="9" style="20" customWidth="1"/>
    <col min="6398" max="6399" width="9.81640625" style="20" customWidth="1"/>
    <col min="6400" max="6400" width="11.1796875" style="20" customWidth="1"/>
    <col min="6401" max="6401" width="2.81640625" style="20" customWidth="1"/>
    <col min="6402" max="6402" width="3.54296875" style="20" customWidth="1"/>
    <col min="6403" max="6647" width="9.1796875" style="20"/>
    <col min="6648" max="6648" width="8.7265625" style="20" customWidth="1"/>
    <col min="6649" max="6649" width="9.81640625" style="20" customWidth="1"/>
    <col min="6650" max="6650" width="14.453125" style="20" customWidth="1"/>
    <col min="6651" max="6651" width="7.26953125" style="20" customWidth="1"/>
    <col min="6652" max="6652" width="5.54296875" style="20" customWidth="1"/>
    <col min="6653" max="6653" width="9" style="20" customWidth="1"/>
    <col min="6654" max="6655" width="9.81640625" style="20" customWidth="1"/>
    <col min="6656" max="6656" width="11.1796875" style="20" customWidth="1"/>
    <col min="6657" max="6657" width="2.81640625" style="20" customWidth="1"/>
    <col min="6658" max="6658" width="3.54296875" style="20" customWidth="1"/>
    <col min="6659" max="6903" width="9.1796875" style="20"/>
    <col min="6904" max="6904" width="8.7265625" style="20" customWidth="1"/>
    <col min="6905" max="6905" width="9.81640625" style="20" customWidth="1"/>
    <col min="6906" max="6906" width="14.453125" style="20" customWidth="1"/>
    <col min="6907" max="6907" width="7.26953125" style="20" customWidth="1"/>
    <col min="6908" max="6908" width="5.54296875" style="20" customWidth="1"/>
    <col min="6909" max="6909" width="9" style="20" customWidth="1"/>
    <col min="6910" max="6911" width="9.81640625" style="20" customWidth="1"/>
    <col min="6912" max="6912" width="11.1796875" style="20" customWidth="1"/>
    <col min="6913" max="6913" width="2.81640625" style="20" customWidth="1"/>
    <col min="6914" max="6914" width="3.54296875" style="20" customWidth="1"/>
    <col min="6915" max="7159" width="9.1796875" style="20"/>
    <col min="7160" max="7160" width="8.7265625" style="20" customWidth="1"/>
    <col min="7161" max="7161" width="9.81640625" style="20" customWidth="1"/>
    <col min="7162" max="7162" width="14.453125" style="20" customWidth="1"/>
    <col min="7163" max="7163" width="7.26953125" style="20" customWidth="1"/>
    <col min="7164" max="7164" width="5.54296875" style="20" customWidth="1"/>
    <col min="7165" max="7165" width="9" style="20" customWidth="1"/>
    <col min="7166" max="7167" width="9.81640625" style="20" customWidth="1"/>
    <col min="7168" max="7168" width="11.1796875" style="20" customWidth="1"/>
    <col min="7169" max="7169" width="2.81640625" style="20" customWidth="1"/>
    <col min="7170" max="7170" width="3.54296875" style="20" customWidth="1"/>
    <col min="7171" max="7415" width="9.1796875" style="20"/>
    <col min="7416" max="7416" width="8.7265625" style="20" customWidth="1"/>
    <col min="7417" max="7417" width="9.81640625" style="20" customWidth="1"/>
    <col min="7418" max="7418" width="14.453125" style="20" customWidth="1"/>
    <col min="7419" max="7419" width="7.26953125" style="20" customWidth="1"/>
    <col min="7420" max="7420" width="5.54296875" style="20" customWidth="1"/>
    <col min="7421" max="7421" width="9" style="20" customWidth="1"/>
    <col min="7422" max="7423" width="9.81640625" style="20" customWidth="1"/>
    <col min="7424" max="7424" width="11.1796875" style="20" customWidth="1"/>
    <col min="7425" max="7425" width="2.81640625" style="20" customWidth="1"/>
    <col min="7426" max="7426" width="3.54296875" style="20" customWidth="1"/>
    <col min="7427" max="7671" width="9.1796875" style="20"/>
    <col min="7672" max="7672" width="8.7265625" style="20" customWidth="1"/>
    <col min="7673" max="7673" width="9.81640625" style="20" customWidth="1"/>
    <col min="7674" max="7674" width="14.453125" style="20" customWidth="1"/>
    <col min="7675" max="7675" width="7.26953125" style="20" customWidth="1"/>
    <col min="7676" max="7676" width="5.54296875" style="20" customWidth="1"/>
    <col min="7677" max="7677" width="9" style="20" customWidth="1"/>
    <col min="7678" max="7679" width="9.81640625" style="20" customWidth="1"/>
    <col min="7680" max="7680" width="11.1796875" style="20" customWidth="1"/>
    <col min="7681" max="7681" width="2.81640625" style="20" customWidth="1"/>
    <col min="7682" max="7682" width="3.54296875" style="20" customWidth="1"/>
    <col min="7683" max="7927" width="9.1796875" style="20"/>
    <col min="7928" max="7928" width="8.7265625" style="20" customWidth="1"/>
    <col min="7929" max="7929" width="9.81640625" style="20" customWidth="1"/>
    <col min="7930" max="7930" width="14.453125" style="20" customWidth="1"/>
    <col min="7931" max="7931" width="7.26953125" style="20" customWidth="1"/>
    <col min="7932" max="7932" width="5.54296875" style="20" customWidth="1"/>
    <col min="7933" max="7933" width="9" style="20" customWidth="1"/>
    <col min="7934" max="7935" width="9.81640625" style="20" customWidth="1"/>
    <col min="7936" max="7936" width="11.1796875" style="20" customWidth="1"/>
    <col min="7937" max="7937" width="2.81640625" style="20" customWidth="1"/>
    <col min="7938" max="7938" width="3.54296875" style="20" customWidth="1"/>
    <col min="7939" max="8183" width="9.1796875" style="20"/>
    <col min="8184" max="8184" width="8.7265625" style="20" customWidth="1"/>
    <col min="8185" max="8185" width="9.81640625" style="20" customWidth="1"/>
    <col min="8186" max="8186" width="14.453125" style="20" customWidth="1"/>
    <col min="8187" max="8187" width="7.26953125" style="20" customWidth="1"/>
    <col min="8188" max="8188" width="5.54296875" style="20" customWidth="1"/>
    <col min="8189" max="8189" width="9" style="20" customWidth="1"/>
    <col min="8190" max="8191" width="9.81640625" style="20" customWidth="1"/>
    <col min="8192" max="8192" width="11.1796875" style="20" customWidth="1"/>
    <col min="8193" max="8193" width="2.81640625" style="20" customWidth="1"/>
    <col min="8194" max="8194" width="3.54296875" style="20" customWidth="1"/>
    <col min="8195" max="8439" width="9.1796875" style="20"/>
    <col min="8440" max="8440" width="8.7265625" style="20" customWidth="1"/>
    <col min="8441" max="8441" width="9.81640625" style="20" customWidth="1"/>
    <col min="8442" max="8442" width="14.453125" style="20" customWidth="1"/>
    <col min="8443" max="8443" width="7.26953125" style="20" customWidth="1"/>
    <col min="8444" max="8444" width="5.54296875" style="20" customWidth="1"/>
    <col min="8445" max="8445" width="9" style="20" customWidth="1"/>
    <col min="8446" max="8447" width="9.81640625" style="20" customWidth="1"/>
    <col min="8448" max="8448" width="11.1796875" style="20" customWidth="1"/>
    <col min="8449" max="8449" width="2.81640625" style="20" customWidth="1"/>
    <col min="8450" max="8450" width="3.54296875" style="20" customWidth="1"/>
    <col min="8451" max="8695" width="9.1796875" style="20"/>
    <col min="8696" max="8696" width="8.7265625" style="20" customWidth="1"/>
    <col min="8697" max="8697" width="9.81640625" style="20" customWidth="1"/>
    <col min="8698" max="8698" width="14.453125" style="20" customWidth="1"/>
    <col min="8699" max="8699" width="7.26953125" style="20" customWidth="1"/>
    <col min="8700" max="8700" width="5.54296875" style="20" customWidth="1"/>
    <col min="8701" max="8701" width="9" style="20" customWidth="1"/>
    <col min="8702" max="8703" width="9.81640625" style="20" customWidth="1"/>
    <col min="8704" max="8704" width="11.1796875" style="20" customWidth="1"/>
    <col min="8705" max="8705" width="2.81640625" style="20" customWidth="1"/>
    <col min="8706" max="8706" width="3.54296875" style="20" customWidth="1"/>
    <col min="8707" max="8951" width="9.1796875" style="20"/>
    <col min="8952" max="8952" width="8.7265625" style="20" customWidth="1"/>
    <col min="8953" max="8953" width="9.81640625" style="20" customWidth="1"/>
    <col min="8954" max="8954" width="14.453125" style="20" customWidth="1"/>
    <col min="8955" max="8955" width="7.26953125" style="20" customWidth="1"/>
    <col min="8956" max="8956" width="5.54296875" style="20" customWidth="1"/>
    <col min="8957" max="8957" width="9" style="20" customWidth="1"/>
    <col min="8958" max="8959" width="9.81640625" style="20" customWidth="1"/>
    <col min="8960" max="8960" width="11.1796875" style="20" customWidth="1"/>
    <col min="8961" max="8961" width="2.81640625" style="20" customWidth="1"/>
    <col min="8962" max="8962" width="3.54296875" style="20" customWidth="1"/>
    <col min="8963" max="9207" width="9.1796875" style="20"/>
    <col min="9208" max="9208" width="8.7265625" style="20" customWidth="1"/>
    <col min="9209" max="9209" width="9.81640625" style="20" customWidth="1"/>
    <col min="9210" max="9210" width="14.453125" style="20" customWidth="1"/>
    <col min="9211" max="9211" width="7.26953125" style="20" customWidth="1"/>
    <col min="9212" max="9212" width="5.54296875" style="20" customWidth="1"/>
    <col min="9213" max="9213" width="9" style="20" customWidth="1"/>
    <col min="9214" max="9215" width="9.81640625" style="20" customWidth="1"/>
    <col min="9216" max="9216" width="11.1796875" style="20" customWidth="1"/>
    <col min="9217" max="9217" width="2.81640625" style="20" customWidth="1"/>
    <col min="9218" max="9218" width="3.54296875" style="20" customWidth="1"/>
    <col min="9219" max="9463" width="9.1796875" style="20"/>
    <col min="9464" max="9464" width="8.7265625" style="20" customWidth="1"/>
    <col min="9465" max="9465" width="9.81640625" style="20" customWidth="1"/>
    <col min="9466" max="9466" width="14.453125" style="20" customWidth="1"/>
    <col min="9467" max="9467" width="7.26953125" style="20" customWidth="1"/>
    <col min="9468" max="9468" width="5.54296875" style="20" customWidth="1"/>
    <col min="9469" max="9469" width="9" style="20" customWidth="1"/>
    <col min="9470" max="9471" width="9.81640625" style="20" customWidth="1"/>
    <col min="9472" max="9472" width="11.1796875" style="20" customWidth="1"/>
    <col min="9473" max="9473" width="2.81640625" style="20" customWidth="1"/>
    <col min="9474" max="9474" width="3.54296875" style="20" customWidth="1"/>
    <col min="9475" max="9719" width="9.1796875" style="20"/>
    <col min="9720" max="9720" width="8.7265625" style="20" customWidth="1"/>
    <col min="9721" max="9721" width="9.81640625" style="20" customWidth="1"/>
    <col min="9722" max="9722" width="14.453125" style="20" customWidth="1"/>
    <col min="9723" max="9723" width="7.26953125" style="20" customWidth="1"/>
    <col min="9724" max="9724" width="5.54296875" style="20" customWidth="1"/>
    <col min="9725" max="9725" width="9" style="20" customWidth="1"/>
    <col min="9726" max="9727" width="9.81640625" style="20" customWidth="1"/>
    <col min="9728" max="9728" width="11.1796875" style="20" customWidth="1"/>
    <col min="9729" max="9729" width="2.81640625" style="20" customWidth="1"/>
    <col min="9730" max="9730" width="3.54296875" style="20" customWidth="1"/>
    <col min="9731" max="9975" width="9.1796875" style="20"/>
    <col min="9976" max="9976" width="8.7265625" style="20" customWidth="1"/>
    <col min="9977" max="9977" width="9.81640625" style="20" customWidth="1"/>
    <col min="9978" max="9978" width="14.453125" style="20" customWidth="1"/>
    <col min="9979" max="9979" width="7.26953125" style="20" customWidth="1"/>
    <col min="9980" max="9980" width="5.54296875" style="20" customWidth="1"/>
    <col min="9981" max="9981" width="9" style="20" customWidth="1"/>
    <col min="9982" max="9983" width="9.81640625" style="20" customWidth="1"/>
    <col min="9984" max="9984" width="11.1796875" style="20" customWidth="1"/>
    <col min="9985" max="9985" width="2.81640625" style="20" customWidth="1"/>
    <col min="9986" max="9986" width="3.54296875" style="20" customWidth="1"/>
    <col min="9987" max="10231" width="9.1796875" style="20"/>
    <col min="10232" max="10232" width="8.7265625" style="20" customWidth="1"/>
    <col min="10233" max="10233" width="9.81640625" style="20" customWidth="1"/>
    <col min="10234" max="10234" width="14.453125" style="20" customWidth="1"/>
    <col min="10235" max="10235" width="7.26953125" style="20" customWidth="1"/>
    <col min="10236" max="10236" width="5.54296875" style="20" customWidth="1"/>
    <col min="10237" max="10237" width="9" style="20" customWidth="1"/>
    <col min="10238" max="10239" width="9.81640625" style="20" customWidth="1"/>
    <col min="10240" max="10240" width="11.1796875" style="20" customWidth="1"/>
    <col min="10241" max="10241" width="2.81640625" style="20" customWidth="1"/>
    <col min="10242" max="10242" width="3.54296875" style="20" customWidth="1"/>
    <col min="10243" max="10487" width="9.1796875" style="20"/>
    <col min="10488" max="10488" width="8.7265625" style="20" customWidth="1"/>
    <col min="10489" max="10489" width="9.81640625" style="20" customWidth="1"/>
    <col min="10490" max="10490" width="14.453125" style="20" customWidth="1"/>
    <col min="10491" max="10491" width="7.26953125" style="20" customWidth="1"/>
    <col min="10492" max="10492" width="5.54296875" style="20" customWidth="1"/>
    <col min="10493" max="10493" width="9" style="20" customWidth="1"/>
    <col min="10494" max="10495" width="9.81640625" style="20" customWidth="1"/>
    <col min="10496" max="10496" width="11.1796875" style="20" customWidth="1"/>
    <col min="10497" max="10497" width="2.81640625" style="20" customWidth="1"/>
    <col min="10498" max="10498" width="3.54296875" style="20" customWidth="1"/>
    <col min="10499" max="10743" width="9.1796875" style="20"/>
    <col min="10744" max="10744" width="8.7265625" style="20" customWidth="1"/>
    <col min="10745" max="10745" width="9.81640625" style="20" customWidth="1"/>
    <col min="10746" max="10746" width="14.453125" style="20" customWidth="1"/>
    <col min="10747" max="10747" width="7.26953125" style="20" customWidth="1"/>
    <col min="10748" max="10748" width="5.54296875" style="20" customWidth="1"/>
    <col min="10749" max="10749" width="9" style="20" customWidth="1"/>
    <col min="10750" max="10751" width="9.81640625" style="20" customWidth="1"/>
    <col min="10752" max="10752" width="11.1796875" style="20" customWidth="1"/>
    <col min="10753" max="10753" width="2.81640625" style="20" customWidth="1"/>
    <col min="10754" max="10754" width="3.54296875" style="20" customWidth="1"/>
    <col min="10755" max="10999" width="9.1796875" style="20"/>
    <col min="11000" max="11000" width="8.7265625" style="20" customWidth="1"/>
    <col min="11001" max="11001" width="9.81640625" style="20" customWidth="1"/>
    <col min="11002" max="11002" width="14.453125" style="20" customWidth="1"/>
    <col min="11003" max="11003" width="7.26953125" style="20" customWidth="1"/>
    <col min="11004" max="11004" width="5.54296875" style="20" customWidth="1"/>
    <col min="11005" max="11005" width="9" style="20" customWidth="1"/>
    <col min="11006" max="11007" width="9.81640625" style="20" customWidth="1"/>
    <col min="11008" max="11008" width="11.1796875" style="20" customWidth="1"/>
    <col min="11009" max="11009" width="2.81640625" style="20" customWidth="1"/>
    <col min="11010" max="11010" width="3.54296875" style="20" customWidth="1"/>
    <col min="11011" max="11255" width="9.1796875" style="20"/>
    <col min="11256" max="11256" width="8.7265625" style="20" customWidth="1"/>
    <col min="11257" max="11257" width="9.81640625" style="20" customWidth="1"/>
    <col min="11258" max="11258" width="14.453125" style="20" customWidth="1"/>
    <col min="11259" max="11259" width="7.26953125" style="20" customWidth="1"/>
    <col min="11260" max="11260" width="5.54296875" style="20" customWidth="1"/>
    <col min="11261" max="11261" width="9" style="20" customWidth="1"/>
    <col min="11262" max="11263" width="9.81640625" style="20" customWidth="1"/>
    <col min="11264" max="11264" width="11.1796875" style="20" customWidth="1"/>
    <col min="11265" max="11265" width="2.81640625" style="20" customWidth="1"/>
    <col min="11266" max="11266" width="3.54296875" style="20" customWidth="1"/>
    <col min="11267" max="11511" width="9.1796875" style="20"/>
    <col min="11512" max="11512" width="8.7265625" style="20" customWidth="1"/>
    <col min="11513" max="11513" width="9.81640625" style="20" customWidth="1"/>
    <col min="11514" max="11514" width="14.453125" style="20" customWidth="1"/>
    <col min="11515" max="11515" width="7.26953125" style="20" customWidth="1"/>
    <col min="11516" max="11516" width="5.54296875" style="20" customWidth="1"/>
    <col min="11517" max="11517" width="9" style="20" customWidth="1"/>
    <col min="11518" max="11519" width="9.81640625" style="20" customWidth="1"/>
    <col min="11520" max="11520" width="11.1796875" style="20" customWidth="1"/>
    <col min="11521" max="11521" width="2.81640625" style="20" customWidth="1"/>
    <col min="11522" max="11522" width="3.54296875" style="20" customWidth="1"/>
    <col min="11523" max="11767" width="9.1796875" style="20"/>
    <col min="11768" max="11768" width="8.7265625" style="20" customWidth="1"/>
    <col min="11769" max="11769" width="9.81640625" style="20" customWidth="1"/>
    <col min="11770" max="11770" width="14.453125" style="20" customWidth="1"/>
    <col min="11771" max="11771" width="7.26953125" style="20" customWidth="1"/>
    <col min="11772" max="11772" width="5.54296875" style="20" customWidth="1"/>
    <col min="11773" max="11773" width="9" style="20" customWidth="1"/>
    <col min="11774" max="11775" width="9.81640625" style="20" customWidth="1"/>
    <col min="11776" max="11776" width="11.1796875" style="20" customWidth="1"/>
    <col min="11777" max="11777" width="2.81640625" style="20" customWidth="1"/>
    <col min="11778" max="11778" width="3.54296875" style="20" customWidth="1"/>
    <col min="11779" max="12023" width="9.1796875" style="20"/>
    <col min="12024" max="12024" width="8.7265625" style="20" customWidth="1"/>
    <col min="12025" max="12025" width="9.81640625" style="20" customWidth="1"/>
    <col min="12026" max="12026" width="14.453125" style="20" customWidth="1"/>
    <col min="12027" max="12027" width="7.26953125" style="20" customWidth="1"/>
    <col min="12028" max="12028" width="5.54296875" style="20" customWidth="1"/>
    <col min="12029" max="12029" width="9" style="20" customWidth="1"/>
    <col min="12030" max="12031" width="9.81640625" style="20" customWidth="1"/>
    <col min="12032" max="12032" width="11.1796875" style="20" customWidth="1"/>
    <col min="12033" max="12033" width="2.81640625" style="20" customWidth="1"/>
    <col min="12034" max="12034" width="3.54296875" style="20" customWidth="1"/>
    <col min="12035" max="12279" width="9.1796875" style="20"/>
    <col min="12280" max="12280" width="8.7265625" style="20" customWidth="1"/>
    <col min="12281" max="12281" width="9.81640625" style="20" customWidth="1"/>
    <col min="12282" max="12282" width="14.453125" style="20" customWidth="1"/>
    <col min="12283" max="12283" width="7.26953125" style="20" customWidth="1"/>
    <col min="12284" max="12284" width="5.54296875" style="20" customWidth="1"/>
    <col min="12285" max="12285" width="9" style="20" customWidth="1"/>
    <col min="12286" max="12287" width="9.81640625" style="20" customWidth="1"/>
    <col min="12288" max="12288" width="11.1796875" style="20" customWidth="1"/>
    <col min="12289" max="12289" width="2.81640625" style="20" customWidth="1"/>
    <col min="12290" max="12290" width="3.54296875" style="20" customWidth="1"/>
    <col min="12291" max="12535" width="9.1796875" style="20"/>
    <col min="12536" max="12536" width="8.7265625" style="20" customWidth="1"/>
    <col min="12537" max="12537" width="9.81640625" style="20" customWidth="1"/>
    <col min="12538" max="12538" width="14.453125" style="20" customWidth="1"/>
    <col min="12539" max="12539" width="7.26953125" style="20" customWidth="1"/>
    <col min="12540" max="12540" width="5.54296875" style="20" customWidth="1"/>
    <col min="12541" max="12541" width="9" style="20" customWidth="1"/>
    <col min="12542" max="12543" width="9.81640625" style="20" customWidth="1"/>
    <col min="12544" max="12544" width="11.1796875" style="20" customWidth="1"/>
    <col min="12545" max="12545" width="2.81640625" style="20" customWidth="1"/>
    <col min="12546" max="12546" width="3.54296875" style="20" customWidth="1"/>
    <col min="12547" max="12791" width="9.1796875" style="20"/>
    <col min="12792" max="12792" width="8.7265625" style="20" customWidth="1"/>
    <col min="12793" max="12793" width="9.81640625" style="20" customWidth="1"/>
    <col min="12794" max="12794" width="14.453125" style="20" customWidth="1"/>
    <col min="12795" max="12795" width="7.26953125" style="20" customWidth="1"/>
    <col min="12796" max="12796" width="5.54296875" style="20" customWidth="1"/>
    <col min="12797" max="12797" width="9" style="20" customWidth="1"/>
    <col min="12798" max="12799" width="9.81640625" style="20" customWidth="1"/>
    <col min="12800" max="12800" width="11.1796875" style="20" customWidth="1"/>
    <col min="12801" max="12801" width="2.81640625" style="20" customWidth="1"/>
    <col min="12802" max="12802" width="3.54296875" style="20" customWidth="1"/>
    <col min="12803" max="13047" width="9.1796875" style="20"/>
    <col min="13048" max="13048" width="8.7265625" style="20" customWidth="1"/>
    <col min="13049" max="13049" width="9.81640625" style="20" customWidth="1"/>
    <col min="13050" max="13050" width="14.453125" style="20" customWidth="1"/>
    <col min="13051" max="13051" width="7.26953125" style="20" customWidth="1"/>
    <col min="13052" max="13052" width="5.54296875" style="20" customWidth="1"/>
    <col min="13053" max="13053" width="9" style="20" customWidth="1"/>
    <col min="13054" max="13055" width="9.81640625" style="20" customWidth="1"/>
    <col min="13056" max="13056" width="11.1796875" style="20" customWidth="1"/>
    <col min="13057" max="13057" width="2.81640625" style="20" customWidth="1"/>
    <col min="13058" max="13058" width="3.54296875" style="20" customWidth="1"/>
    <col min="13059" max="13303" width="9.1796875" style="20"/>
    <col min="13304" max="13304" width="8.7265625" style="20" customWidth="1"/>
    <col min="13305" max="13305" width="9.81640625" style="20" customWidth="1"/>
    <col min="13306" max="13306" width="14.453125" style="20" customWidth="1"/>
    <col min="13307" max="13307" width="7.26953125" style="20" customWidth="1"/>
    <col min="13308" max="13308" width="5.54296875" style="20" customWidth="1"/>
    <col min="13309" max="13309" width="9" style="20" customWidth="1"/>
    <col min="13310" max="13311" width="9.81640625" style="20" customWidth="1"/>
    <col min="13312" max="13312" width="11.1796875" style="20" customWidth="1"/>
    <col min="13313" max="13313" width="2.81640625" style="20" customWidth="1"/>
    <col min="13314" max="13314" width="3.54296875" style="20" customWidth="1"/>
    <col min="13315" max="13559" width="9.1796875" style="20"/>
    <col min="13560" max="13560" width="8.7265625" style="20" customWidth="1"/>
    <col min="13561" max="13561" width="9.81640625" style="20" customWidth="1"/>
    <col min="13562" max="13562" width="14.453125" style="20" customWidth="1"/>
    <col min="13563" max="13563" width="7.26953125" style="20" customWidth="1"/>
    <col min="13564" max="13564" width="5.54296875" style="20" customWidth="1"/>
    <col min="13565" max="13565" width="9" style="20" customWidth="1"/>
    <col min="13566" max="13567" width="9.81640625" style="20" customWidth="1"/>
    <col min="13568" max="13568" width="11.1796875" style="20" customWidth="1"/>
    <col min="13569" max="13569" width="2.81640625" style="20" customWidth="1"/>
    <col min="13570" max="13570" width="3.54296875" style="20" customWidth="1"/>
    <col min="13571" max="13815" width="9.1796875" style="20"/>
    <col min="13816" max="13816" width="8.7265625" style="20" customWidth="1"/>
    <col min="13817" max="13817" width="9.81640625" style="20" customWidth="1"/>
    <col min="13818" max="13818" width="14.453125" style="20" customWidth="1"/>
    <col min="13819" max="13819" width="7.26953125" style="20" customWidth="1"/>
    <col min="13820" max="13820" width="5.54296875" style="20" customWidth="1"/>
    <col min="13821" max="13821" width="9" style="20" customWidth="1"/>
    <col min="13822" max="13823" width="9.81640625" style="20" customWidth="1"/>
    <col min="13824" max="13824" width="11.1796875" style="20" customWidth="1"/>
    <col min="13825" max="13825" width="2.81640625" style="20" customWidth="1"/>
    <col min="13826" max="13826" width="3.54296875" style="20" customWidth="1"/>
    <col min="13827" max="14071" width="9.1796875" style="20"/>
    <col min="14072" max="14072" width="8.7265625" style="20" customWidth="1"/>
    <col min="14073" max="14073" width="9.81640625" style="20" customWidth="1"/>
    <col min="14074" max="14074" width="14.453125" style="20" customWidth="1"/>
    <col min="14075" max="14075" width="7.26953125" style="20" customWidth="1"/>
    <col min="14076" max="14076" width="5.54296875" style="20" customWidth="1"/>
    <col min="14077" max="14077" width="9" style="20" customWidth="1"/>
    <col min="14078" max="14079" width="9.81640625" style="20" customWidth="1"/>
    <col min="14080" max="14080" width="11.1796875" style="20" customWidth="1"/>
    <col min="14081" max="14081" width="2.81640625" style="20" customWidth="1"/>
    <col min="14082" max="14082" width="3.54296875" style="20" customWidth="1"/>
    <col min="14083" max="14327" width="9.1796875" style="20"/>
    <col min="14328" max="14328" width="8.7265625" style="20" customWidth="1"/>
    <col min="14329" max="14329" width="9.81640625" style="20" customWidth="1"/>
    <col min="14330" max="14330" width="14.453125" style="20" customWidth="1"/>
    <col min="14331" max="14331" width="7.26953125" style="20" customWidth="1"/>
    <col min="14332" max="14332" width="5.54296875" style="20" customWidth="1"/>
    <col min="14333" max="14333" width="9" style="20" customWidth="1"/>
    <col min="14334" max="14335" width="9.81640625" style="20" customWidth="1"/>
    <col min="14336" max="14336" width="11.1796875" style="20" customWidth="1"/>
    <col min="14337" max="14337" width="2.81640625" style="20" customWidth="1"/>
    <col min="14338" max="14338" width="3.54296875" style="20" customWidth="1"/>
    <col min="14339" max="14583" width="9.1796875" style="20"/>
    <col min="14584" max="14584" width="8.7265625" style="20" customWidth="1"/>
    <col min="14585" max="14585" width="9.81640625" style="20" customWidth="1"/>
    <col min="14586" max="14586" width="14.453125" style="20" customWidth="1"/>
    <col min="14587" max="14587" width="7.26953125" style="20" customWidth="1"/>
    <col min="14588" max="14588" width="5.54296875" style="20" customWidth="1"/>
    <col min="14589" max="14589" width="9" style="20" customWidth="1"/>
    <col min="14590" max="14591" width="9.81640625" style="20" customWidth="1"/>
    <col min="14592" max="14592" width="11.1796875" style="20" customWidth="1"/>
    <col min="14593" max="14593" width="2.81640625" style="20" customWidth="1"/>
    <col min="14594" max="14594" width="3.54296875" style="20" customWidth="1"/>
    <col min="14595" max="14839" width="9.1796875" style="20"/>
    <col min="14840" max="14840" width="8.7265625" style="20" customWidth="1"/>
    <col min="14841" max="14841" width="9.81640625" style="20" customWidth="1"/>
    <col min="14842" max="14842" width="14.453125" style="20" customWidth="1"/>
    <col min="14843" max="14843" width="7.26953125" style="20" customWidth="1"/>
    <col min="14844" max="14844" width="5.54296875" style="20" customWidth="1"/>
    <col min="14845" max="14845" width="9" style="20" customWidth="1"/>
    <col min="14846" max="14847" width="9.81640625" style="20" customWidth="1"/>
    <col min="14848" max="14848" width="11.1796875" style="20" customWidth="1"/>
    <col min="14849" max="14849" width="2.81640625" style="20" customWidth="1"/>
    <col min="14850" max="14850" width="3.54296875" style="20" customWidth="1"/>
    <col min="14851" max="15095" width="9.1796875" style="20"/>
    <col min="15096" max="15096" width="8.7265625" style="20" customWidth="1"/>
    <col min="15097" max="15097" width="9.81640625" style="20" customWidth="1"/>
    <col min="15098" max="15098" width="14.453125" style="20" customWidth="1"/>
    <col min="15099" max="15099" width="7.26953125" style="20" customWidth="1"/>
    <col min="15100" max="15100" width="5.54296875" style="20" customWidth="1"/>
    <col min="15101" max="15101" width="9" style="20" customWidth="1"/>
    <col min="15102" max="15103" width="9.81640625" style="20" customWidth="1"/>
    <col min="15104" max="15104" width="11.1796875" style="20" customWidth="1"/>
    <col min="15105" max="15105" width="2.81640625" style="20" customWidth="1"/>
    <col min="15106" max="15106" width="3.54296875" style="20" customWidth="1"/>
    <col min="15107" max="15351" width="9.1796875" style="20"/>
    <col min="15352" max="15352" width="8.7265625" style="20" customWidth="1"/>
    <col min="15353" max="15353" width="9.81640625" style="20" customWidth="1"/>
    <col min="15354" max="15354" width="14.453125" style="20" customWidth="1"/>
    <col min="15355" max="15355" width="7.26953125" style="20" customWidth="1"/>
    <col min="15356" max="15356" width="5.54296875" style="20" customWidth="1"/>
    <col min="15357" max="15357" width="9" style="20" customWidth="1"/>
    <col min="15358" max="15359" width="9.81640625" style="20" customWidth="1"/>
    <col min="15360" max="15360" width="11.1796875" style="20" customWidth="1"/>
    <col min="15361" max="15361" width="2.81640625" style="20" customWidth="1"/>
    <col min="15362" max="15362" width="3.54296875" style="20" customWidth="1"/>
    <col min="15363" max="15607" width="9.1796875" style="20"/>
    <col min="15608" max="15608" width="8.7265625" style="20" customWidth="1"/>
    <col min="15609" max="15609" width="9.81640625" style="20" customWidth="1"/>
    <col min="15610" max="15610" width="14.453125" style="20" customWidth="1"/>
    <col min="15611" max="15611" width="7.26953125" style="20" customWidth="1"/>
    <col min="15612" max="15612" width="5.54296875" style="20" customWidth="1"/>
    <col min="15613" max="15613" width="9" style="20" customWidth="1"/>
    <col min="15614" max="15615" width="9.81640625" style="20" customWidth="1"/>
    <col min="15616" max="15616" width="11.1796875" style="20" customWidth="1"/>
    <col min="15617" max="15617" width="2.81640625" style="20" customWidth="1"/>
    <col min="15618" max="15618" width="3.54296875" style="20" customWidth="1"/>
    <col min="15619" max="15863" width="9.1796875" style="20"/>
    <col min="15864" max="15864" width="8.7265625" style="20" customWidth="1"/>
    <col min="15865" max="15865" width="9.81640625" style="20" customWidth="1"/>
    <col min="15866" max="15866" width="14.453125" style="20" customWidth="1"/>
    <col min="15867" max="15867" width="7.26953125" style="20" customWidth="1"/>
    <col min="15868" max="15868" width="5.54296875" style="20" customWidth="1"/>
    <col min="15869" max="15869" width="9" style="20" customWidth="1"/>
    <col min="15870" max="15871" width="9.81640625" style="20" customWidth="1"/>
    <col min="15872" max="15872" width="11.1796875" style="20" customWidth="1"/>
    <col min="15873" max="15873" width="2.81640625" style="20" customWidth="1"/>
    <col min="15874" max="15874" width="3.54296875" style="20" customWidth="1"/>
    <col min="15875" max="16119" width="9.1796875" style="20"/>
    <col min="16120" max="16120" width="8.7265625" style="20" customWidth="1"/>
    <col min="16121" max="16121" width="9.81640625" style="20" customWidth="1"/>
    <col min="16122" max="16122" width="14.453125" style="20" customWidth="1"/>
    <col min="16123" max="16123" width="7.26953125" style="20" customWidth="1"/>
    <col min="16124" max="16124" width="5.54296875" style="20" customWidth="1"/>
    <col min="16125" max="16125" width="9" style="20" customWidth="1"/>
    <col min="16126" max="16127" width="9.81640625" style="20" customWidth="1"/>
    <col min="16128" max="16128" width="11.1796875" style="20" customWidth="1"/>
    <col min="16129" max="16129" width="2.81640625" style="20" customWidth="1"/>
    <col min="16130" max="16130" width="3.54296875" style="20" customWidth="1"/>
    <col min="16131" max="16384" width="9.1796875" style="20"/>
  </cols>
  <sheetData>
    <row r="1" spans="1:26" ht="46.5" customHeight="1" x14ac:dyDescent="0.35">
      <c r="A1" s="237" t="s">
        <v>166</v>
      </c>
      <c r="B1" s="237"/>
      <c r="C1" s="237"/>
      <c r="D1" s="237"/>
      <c r="E1" s="237"/>
      <c r="F1" s="237"/>
      <c r="G1" s="237"/>
      <c r="H1" s="237"/>
    </row>
    <row r="2" spans="1:26" ht="16.5" customHeight="1" x14ac:dyDescent="0.35">
      <c r="A2" s="238" t="s">
        <v>0</v>
      </c>
      <c r="B2" s="238"/>
      <c r="C2" s="238"/>
      <c r="D2" s="238"/>
      <c r="E2" s="238"/>
      <c r="F2" s="238"/>
      <c r="G2" s="238"/>
      <c r="H2" s="238"/>
    </row>
    <row r="3" spans="1:26" x14ac:dyDescent="0.35">
      <c r="A3" s="203" t="s">
        <v>1</v>
      </c>
      <c r="B3" s="203"/>
      <c r="C3" s="203"/>
      <c r="D3" s="203"/>
      <c r="E3" s="203" t="str">
        <f ca="1">TEXT(TODAY(),"DD/MM/YYYY")</f>
        <v>12/09/2025</v>
      </c>
      <c r="F3" s="203"/>
      <c r="G3" s="203"/>
      <c r="H3" s="203"/>
      <c r="K3" s="59" t="s">
        <v>238</v>
      </c>
      <c r="L3" s="56" t="s">
        <v>236</v>
      </c>
      <c r="M3" s="56" t="s">
        <v>241</v>
      </c>
      <c r="N3" s="56" t="s">
        <v>239</v>
      </c>
      <c r="O3" s="56" t="s">
        <v>343</v>
      </c>
      <c r="P3" s="56" t="s">
        <v>242</v>
      </c>
    </row>
    <row r="4" spans="1:26" ht="15" customHeight="1" x14ac:dyDescent="0.35">
      <c r="A4" s="203" t="s">
        <v>235</v>
      </c>
      <c r="B4" s="203"/>
      <c r="C4" s="203"/>
      <c r="D4" s="203"/>
      <c r="E4" s="207" t="s">
        <v>236</v>
      </c>
      <c r="F4" s="207"/>
      <c r="G4" s="207"/>
      <c r="H4" s="207"/>
      <c r="K4" s="55" t="s">
        <v>237</v>
      </c>
      <c r="L4" s="56" t="s">
        <v>172</v>
      </c>
      <c r="M4" s="56" t="s">
        <v>246</v>
      </c>
      <c r="N4" s="56" t="s">
        <v>248</v>
      </c>
      <c r="O4" s="56" t="s">
        <v>344</v>
      </c>
      <c r="P4" s="56"/>
    </row>
    <row r="5" spans="1:26" ht="15" customHeight="1" x14ac:dyDescent="0.35">
      <c r="A5" s="203" t="s">
        <v>2</v>
      </c>
      <c r="B5" s="203"/>
      <c r="C5" s="203"/>
      <c r="D5" s="203"/>
      <c r="E5" s="207" t="s">
        <v>245</v>
      </c>
      <c r="F5" s="207"/>
      <c r="G5" s="207"/>
      <c r="H5" s="207"/>
      <c r="K5" s="55"/>
      <c r="L5" s="56" t="s">
        <v>243</v>
      </c>
      <c r="M5" s="56" t="s">
        <v>247</v>
      </c>
      <c r="N5" s="56" t="s">
        <v>249</v>
      </c>
      <c r="O5" s="56" t="s">
        <v>345</v>
      </c>
      <c r="P5" s="56"/>
    </row>
    <row r="6" spans="1:26" x14ac:dyDescent="0.35">
      <c r="A6" s="234" t="s">
        <v>3</v>
      </c>
      <c r="B6" s="234"/>
      <c r="C6" s="234"/>
      <c r="D6" s="234"/>
      <c r="E6" s="239">
        <v>45912</v>
      </c>
      <c r="F6" s="203"/>
      <c r="G6" s="203"/>
      <c r="H6" s="203"/>
      <c r="K6" s="55"/>
      <c r="L6" s="56" t="s">
        <v>244</v>
      </c>
      <c r="M6" s="56"/>
      <c r="N6" s="56"/>
      <c r="O6" s="56" t="s">
        <v>346</v>
      </c>
      <c r="P6" s="56"/>
    </row>
    <row r="7" spans="1:26" ht="16.5" customHeight="1" x14ac:dyDescent="0.35">
      <c r="A7" s="203" t="s">
        <v>4</v>
      </c>
      <c r="B7" s="203"/>
      <c r="C7" s="203"/>
      <c r="D7" s="203"/>
      <c r="E7" s="175" t="s">
        <v>358</v>
      </c>
      <c r="F7" s="203"/>
      <c r="G7" s="203"/>
      <c r="H7" s="203"/>
      <c r="K7" s="55"/>
      <c r="L7" s="56" t="s">
        <v>245</v>
      </c>
      <c r="M7" s="56"/>
      <c r="N7" s="56"/>
      <c r="O7" s="56" t="s">
        <v>346</v>
      </c>
      <c r="P7" s="56"/>
    </row>
    <row r="8" spans="1:26" ht="15" customHeight="1" x14ac:dyDescent="0.35">
      <c r="A8" s="203" t="s">
        <v>5</v>
      </c>
      <c r="B8" s="203"/>
      <c r="C8" s="203"/>
      <c r="D8" s="203"/>
      <c r="E8" s="203" t="str">
        <f>E7</f>
        <v xml:space="preserve">Tharwani Constructions Pvt Ltd
</v>
      </c>
      <c r="F8" s="203"/>
      <c r="G8" s="203"/>
      <c r="H8" s="203"/>
      <c r="K8" s="55"/>
      <c r="L8" s="56"/>
      <c r="M8" s="56"/>
      <c r="N8" s="56"/>
      <c r="O8" s="56" t="s">
        <v>347</v>
      </c>
      <c r="P8" s="56"/>
    </row>
    <row r="9" spans="1:26" x14ac:dyDescent="0.35">
      <c r="A9" s="203" t="s">
        <v>6</v>
      </c>
      <c r="B9" s="203"/>
      <c r="C9" s="203"/>
      <c r="D9" s="203"/>
      <c r="E9" s="121" t="s">
        <v>360</v>
      </c>
      <c r="F9" s="120"/>
      <c r="G9" s="120"/>
      <c r="H9" s="120"/>
      <c r="K9" s="55"/>
      <c r="L9" s="56"/>
      <c r="M9" s="56"/>
      <c r="N9" s="56"/>
      <c r="O9" s="56" t="s">
        <v>348</v>
      </c>
      <c r="P9" s="56"/>
    </row>
    <row r="10" spans="1:26" x14ac:dyDescent="0.35">
      <c r="A10" s="234" t="s">
        <v>169</v>
      </c>
      <c r="B10" s="234"/>
      <c r="C10" s="234"/>
      <c r="D10" s="234"/>
      <c r="E10" s="203" t="s">
        <v>406</v>
      </c>
      <c r="F10" s="203"/>
      <c r="G10" s="203"/>
      <c r="H10" s="203"/>
      <c r="K10" s="55"/>
      <c r="L10" s="56"/>
      <c r="M10" s="56"/>
      <c r="N10" s="56"/>
      <c r="O10" s="56" t="s">
        <v>349</v>
      </c>
      <c r="P10" s="56"/>
    </row>
    <row r="11" spans="1:26" x14ac:dyDescent="0.35">
      <c r="A11" s="234" t="s">
        <v>170</v>
      </c>
      <c r="B11" s="234"/>
      <c r="C11" s="234"/>
      <c r="D11" s="234"/>
      <c r="E11" s="234" t="s">
        <v>28</v>
      </c>
      <c r="F11" s="234"/>
      <c r="G11" s="234"/>
      <c r="H11" s="234"/>
      <c r="O11" s="56" t="s">
        <v>350</v>
      </c>
    </row>
    <row r="12" spans="1:26" x14ac:dyDescent="0.35">
      <c r="A12" s="203" t="s">
        <v>7</v>
      </c>
      <c r="B12" s="203"/>
      <c r="C12" s="203"/>
      <c r="D12" s="203"/>
      <c r="E12" s="203" t="s">
        <v>414</v>
      </c>
      <c r="F12" s="203"/>
      <c r="G12" s="203"/>
      <c r="H12" s="203"/>
    </row>
    <row r="13" spans="1:26" x14ac:dyDescent="0.35">
      <c r="A13" s="207" t="s">
        <v>173</v>
      </c>
      <c r="B13" s="207"/>
      <c r="C13" s="207"/>
      <c r="D13" s="207"/>
      <c r="E13" s="203" t="s">
        <v>28</v>
      </c>
      <c r="F13" s="203"/>
      <c r="G13" s="203"/>
      <c r="H13" s="203"/>
      <c r="S13" s="56" t="s">
        <v>182</v>
      </c>
      <c r="T13" s="56" t="s">
        <v>191</v>
      </c>
      <c r="U13" s="56" t="s">
        <v>174</v>
      </c>
      <c r="V13" s="56" t="s">
        <v>196</v>
      </c>
      <c r="W13" s="56" t="s">
        <v>214</v>
      </c>
      <c r="X13"/>
      <c r="Y13" t="s">
        <v>196</v>
      </c>
      <c r="Z13" t="e">
        <f ca="1">OFFSET($S$13,1,MATCH($G20,$S$13:$W$13,0)-1,15,1)</f>
        <v>#VALUE!</v>
      </c>
    </row>
    <row r="14" spans="1:26" x14ac:dyDescent="0.35">
      <c r="A14" s="236" t="s">
        <v>281</v>
      </c>
      <c r="B14" s="236"/>
      <c r="C14" s="236"/>
      <c r="D14" s="236"/>
      <c r="E14" s="232" t="s">
        <v>229</v>
      </c>
      <c r="F14" s="232"/>
      <c r="G14" s="232"/>
      <c r="H14" s="232"/>
      <c r="S14" s="56" t="s">
        <v>182</v>
      </c>
      <c r="T14" s="56" t="s">
        <v>189</v>
      </c>
      <c r="U14" s="56" t="s">
        <v>211</v>
      </c>
      <c r="V14" s="56" t="s">
        <v>197</v>
      </c>
      <c r="W14" s="56" t="s">
        <v>215</v>
      </c>
      <c r="X14"/>
      <c r="Y14"/>
      <c r="Z14"/>
    </row>
    <row r="15" spans="1:26" x14ac:dyDescent="0.35">
      <c r="A15" s="162" t="s">
        <v>8</v>
      </c>
      <c r="B15" s="162"/>
      <c r="C15" s="162"/>
      <c r="D15" s="162"/>
      <c r="E15" s="232" t="s">
        <v>359</v>
      </c>
      <c r="F15" s="207"/>
      <c r="G15" s="207"/>
      <c r="H15" s="207"/>
      <c r="I15" s="257" t="e">
        <f ca="1">OFFSET($D$5,1,MATCH($J13,$D$5:$H$5,0)-1,15,1)</f>
        <v>#N/A</v>
      </c>
      <c r="J15" s="258"/>
      <c r="K15" s="258"/>
      <c r="L15" s="258"/>
      <c r="M15" s="258"/>
      <c r="N15" s="258"/>
      <c r="O15" s="258"/>
      <c r="P15" s="258"/>
      <c r="S15" s="56" t="s">
        <v>183</v>
      </c>
      <c r="T15" s="56" t="s">
        <v>190</v>
      </c>
      <c r="U15" s="56" t="s">
        <v>212</v>
      </c>
      <c r="V15" s="56" t="s">
        <v>198</v>
      </c>
      <c r="W15" s="56" t="s">
        <v>228</v>
      </c>
      <c r="X15"/>
      <c r="Y15"/>
      <c r="Z15"/>
    </row>
    <row r="16" spans="1:26" ht="48.75" customHeight="1" x14ac:dyDescent="0.35">
      <c r="A16" s="228" t="s">
        <v>9</v>
      </c>
      <c r="B16" s="228"/>
      <c r="C16" s="228" t="str">
        <f>CONCATENATE((IF(OR(E9="",E9="NA"),"",E9)),", ",(IF(OR(A17="",A17="NA"),"",A17)),".",(IF(OR(C17="",C17="NA"),"",C17)),", near ",(IF(OR(C22="",C22="NA"),"",C22)),", ",(IF(OR(C19="",C19="NA"),"",C19)),", ",(IF(OR(C18="",C18="NA"),"",C18)),", ",(IF(OR(G19="",G19="NA"),"",G19)),", ",(IF(OR(C20="",C20="NA"),"",C20)),", ",(IF(OR(C21="",C21="NA"),"",C21)),", ",(IF(OR(G20="",G20="NA"),"",G20))," - ",(IF(OR(G21="",G21="NA"),"",G21)),".")</f>
        <v>Tharwanis Meghna Montana Phase 3, Survey No.135/3A, 138/1D, 138/2, 134/1A, 1B, 1C, 1D(Pt), 134/2, near Mahalaxmi Paradise, Barvi Dam Road, Belavali, Chikhaloli, Badlapur East, Ambernath, Thane - 421506.</v>
      </c>
      <c r="D16" s="228"/>
      <c r="E16" s="228"/>
      <c r="F16" s="228"/>
      <c r="G16" s="228"/>
      <c r="H16" s="228"/>
      <c r="S16" s="56" t="s">
        <v>184</v>
      </c>
      <c r="T16" s="56" t="s">
        <v>192</v>
      </c>
      <c r="U16" s="56" t="s">
        <v>213</v>
      </c>
      <c r="V16" s="56" t="s">
        <v>199</v>
      </c>
      <c r="W16" s="56" t="s">
        <v>216</v>
      </c>
      <c r="X16"/>
      <c r="Y16"/>
      <c r="Z16"/>
    </row>
    <row r="17" spans="1:26" x14ac:dyDescent="0.35">
      <c r="A17" s="232" t="s">
        <v>416</v>
      </c>
      <c r="B17" s="232"/>
      <c r="C17" s="235" t="s">
        <v>361</v>
      </c>
      <c r="D17" s="235"/>
      <c r="E17" s="235"/>
      <c r="F17" s="235"/>
      <c r="G17" s="235"/>
      <c r="H17" s="235"/>
      <c r="S17" s="56" t="s">
        <v>185</v>
      </c>
      <c r="T17" s="56" t="s">
        <v>193</v>
      </c>
      <c r="U17" s="56" t="s">
        <v>174</v>
      </c>
      <c r="V17" s="56" t="s">
        <v>200</v>
      </c>
      <c r="W17" s="56" t="s">
        <v>217</v>
      </c>
      <c r="X17"/>
      <c r="Y17"/>
      <c r="Z17"/>
    </row>
    <row r="18" spans="1:26" ht="15.75" customHeight="1" x14ac:dyDescent="0.35">
      <c r="A18" s="175" t="s">
        <v>164</v>
      </c>
      <c r="B18" s="175"/>
      <c r="C18" s="175" t="s">
        <v>364</v>
      </c>
      <c r="D18" s="175"/>
      <c r="E18" s="175"/>
      <c r="F18" s="175"/>
      <c r="G18" s="175"/>
      <c r="H18" s="175"/>
      <c r="S18" s="56" t="s">
        <v>186</v>
      </c>
      <c r="T18" s="56" t="s">
        <v>191</v>
      </c>
      <c r="U18" s="56"/>
      <c r="V18" s="56" t="s">
        <v>201</v>
      </c>
      <c r="W18" s="56" t="s">
        <v>218</v>
      </c>
      <c r="X18"/>
      <c r="Y18"/>
      <c r="Z18"/>
    </row>
    <row r="19" spans="1:26" ht="15.75" customHeight="1" x14ac:dyDescent="0.35">
      <c r="A19" s="228" t="s">
        <v>10</v>
      </c>
      <c r="B19" s="228"/>
      <c r="C19" s="207" t="s">
        <v>362</v>
      </c>
      <c r="D19" s="207"/>
      <c r="E19" s="232" t="s">
        <v>70</v>
      </c>
      <c r="F19" s="232"/>
      <c r="G19" s="232" t="s">
        <v>363</v>
      </c>
      <c r="H19" s="232"/>
      <c r="S19" s="56" t="s">
        <v>187</v>
      </c>
      <c r="T19" s="56" t="s">
        <v>194</v>
      </c>
      <c r="U19" s="56"/>
      <c r="V19" s="56" t="s">
        <v>202</v>
      </c>
      <c r="W19" s="56" t="s">
        <v>219</v>
      </c>
      <c r="X19"/>
      <c r="Y19"/>
      <c r="Z19"/>
    </row>
    <row r="20" spans="1:26" x14ac:dyDescent="0.35">
      <c r="A20" s="162" t="s">
        <v>12</v>
      </c>
      <c r="B20" s="162"/>
      <c r="C20" s="232" t="s">
        <v>366</v>
      </c>
      <c r="D20" s="232"/>
      <c r="E20" s="232" t="s">
        <v>11</v>
      </c>
      <c r="F20" s="232"/>
      <c r="G20" s="233" t="s">
        <v>182</v>
      </c>
      <c r="H20" s="233"/>
      <c r="S20" s="56" t="s">
        <v>188</v>
      </c>
      <c r="T20" s="56" t="s">
        <v>195</v>
      </c>
      <c r="U20" s="56"/>
      <c r="V20" s="56" t="s">
        <v>203</v>
      </c>
      <c r="W20" s="56" t="s">
        <v>220</v>
      </c>
      <c r="X20"/>
      <c r="Y20"/>
      <c r="Z20"/>
    </row>
    <row r="21" spans="1:26" x14ac:dyDescent="0.35">
      <c r="A21" s="162" t="s">
        <v>71</v>
      </c>
      <c r="B21" s="162"/>
      <c r="C21" s="232" t="s">
        <v>187</v>
      </c>
      <c r="D21" s="232"/>
      <c r="E21" s="232" t="s">
        <v>13</v>
      </c>
      <c r="F21" s="232"/>
      <c r="G21" s="232">
        <v>421506</v>
      </c>
      <c r="H21" s="232"/>
      <c r="S21" s="56"/>
      <c r="T21" s="56"/>
      <c r="U21" s="56"/>
      <c r="V21" s="56" t="s">
        <v>204</v>
      </c>
      <c r="W21" s="56" t="s">
        <v>221</v>
      </c>
      <c r="X21"/>
      <c r="Y21"/>
      <c r="Z21"/>
    </row>
    <row r="22" spans="1:26" ht="32.25" customHeight="1" x14ac:dyDescent="0.35">
      <c r="A22" s="162" t="s">
        <v>120</v>
      </c>
      <c r="B22" s="162"/>
      <c r="C22" s="232" t="s">
        <v>367</v>
      </c>
      <c r="D22" s="232"/>
      <c r="E22" s="232" t="s">
        <v>14</v>
      </c>
      <c r="F22" s="232"/>
      <c r="G22" s="232" t="s">
        <v>365</v>
      </c>
      <c r="H22" s="232"/>
      <c r="S22" s="56"/>
      <c r="T22" s="56"/>
      <c r="U22" s="56"/>
      <c r="V22" s="56" t="s">
        <v>205</v>
      </c>
      <c r="W22" s="56" t="s">
        <v>222</v>
      </c>
      <c r="X22"/>
      <c r="Y22"/>
      <c r="Z22"/>
    </row>
    <row r="23" spans="1:26" ht="15" customHeight="1" x14ac:dyDescent="0.35">
      <c r="A23" s="228" t="s">
        <v>73</v>
      </c>
      <c r="B23" s="228"/>
      <c r="C23" s="228"/>
      <c r="D23" s="228"/>
      <c r="E23" s="203" t="s">
        <v>15</v>
      </c>
      <c r="F23" s="203"/>
      <c r="G23" s="203"/>
      <c r="H23" s="203"/>
      <c r="S23" s="56"/>
      <c r="T23" s="56"/>
      <c r="U23" s="56"/>
      <c r="V23" s="56" t="s">
        <v>206</v>
      </c>
      <c r="W23" s="56" t="s">
        <v>223</v>
      </c>
      <c r="X23"/>
      <c r="Y23"/>
      <c r="Z23"/>
    </row>
    <row r="24" spans="1:26" ht="18.75" customHeight="1" x14ac:dyDescent="0.35">
      <c r="A24" s="228"/>
      <c r="B24" s="228"/>
      <c r="C24" s="228"/>
      <c r="D24" s="228"/>
      <c r="E24" s="203"/>
      <c r="F24" s="203"/>
      <c r="G24" s="203"/>
      <c r="H24" s="203"/>
      <c r="S24" s="56"/>
      <c r="T24" s="56"/>
      <c r="U24" s="56"/>
      <c r="V24" s="56" t="s">
        <v>207</v>
      </c>
      <c r="W24" s="56" t="s">
        <v>224</v>
      </c>
      <c r="X24"/>
      <c r="Y24"/>
      <c r="Z24"/>
    </row>
    <row r="25" spans="1:26" ht="15" customHeight="1" x14ac:dyDescent="0.35">
      <c r="A25" s="228" t="s">
        <v>16</v>
      </c>
      <c r="B25" s="228"/>
      <c r="C25" s="228"/>
      <c r="D25" s="228"/>
      <c r="E25" s="175" t="s">
        <v>17</v>
      </c>
      <c r="F25" s="175"/>
      <c r="G25" s="175"/>
      <c r="H25" s="175"/>
      <c r="S25" s="56"/>
      <c r="T25" s="56"/>
      <c r="U25" s="56"/>
      <c r="V25" s="56" t="s">
        <v>208</v>
      </c>
      <c r="W25" s="56" t="s">
        <v>225</v>
      </c>
      <c r="X25"/>
      <c r="Y25"/>
      <c r="Z25"/>
    </row>
    <row r="26" spans="1:26" ht="15" customHeight="1" x14ac:dyDescent="0.35">
      <c r="A26" s="162" t="s">
        <v>18</v>
      </c>
      <c r="B26" s="162"/>
      <c r="C26" s="162"/>
      <c r="D26" s="162"/>
      <c r="E26" s="175" t="str">
        <f>IF(AND(G20="Mumbai"),"Upper Class","Middle Class")</f>
        <v>Middle Class</v>
      </c>
      <c r="F26" s="175"/>
      <c r="G26" s="175"/>
      <c r="H26" s="175"/>
      <c r="S26" s="56"/>
      <c r="T26" s="56"/>
      <c r="U26" s="56"/>
      <c r="V26" s="56" t="s">
        <v>209</v>
      </c>
      <c r="W26" s="56" t="s">
        <v>226</v>
      </c>
      <c r="X26"/>
      <c r="Y26"/>
      <c r="Z26"/>
    </row>
    <row r="27" spans="1:26" x14ac:dyDescent="0.35">
      <c r="A27" s="162" t="s">
        <v>19</v>
      </c>
      <c r="B27" s="162"/>
      <c r="C27" s="162"/>
      <c r="D27" s="162"/>
      <c r="E27" s="175" t="s">
        <v>20</v>
      </c>
      <c r="F27" s="175"/>
      <c r="G27" s="175"/>
      <c r="H27" s="175"/>
      <c r="S27" s="56"/>
      <c r="T27" s="56"/>
      <c r="U27" s="56"/>
      <c r="V27" s="56" t="s">
        <v>210</v>
      </c>
      <c r="W27" s="56" t="s">
        <v>227</v>
      </c>
      <c r="X27"/>
      <c r="Y27"/>
      <c r="Z27"/>
    </row>
    <row r="28" spans="1:26" ht="15.75" customHeight="1" x14ac:dyDescent="0.35">
      <c r="A28" s="162" t="s">
        <v>21</v>
      </c>
      <c r="B28" s="162"/>
      <c r="C28" s="162"/>
      <c r="D28" s="162"/>
      <c r="E28" s="175" t="str">
        <f>IF(AND(G20="Mumbai"),"Developed","Developing")</f>
        <v>Developing</v>
      </c>
      <c r="F28" s="175"/>
      <c r="G28" s="175"/>
      <c r="H28" s="175"/>
    </row>
    <row r="29" spans="1:26" x14ac:dyDescent="0.35">
      <c r="A29" s="162" t="s">
        <v>22</v>
      </c>
      <c r="B29" s="162"/>
      <c r="C29" s="162"/>
      <c r="D29" s="162"/>
      <c r="E29" s="175" t="s">
        <v>23</v>
      </c>
      <c r="F29" s="175"/>
      <c r="G29" s="175"/>
      <c r="H29" s="175"/>
    </row>
    <row r="30" spans="1:26" ht="15.75" customHeight="1" x14ac:dyDescent="0.35">
      <c r="A30" s="162" t="s">
        <v>78</v>
      </c>
      <c r="B30" s="162"/>
      <c r="C30" s="162"/>
      <c r="D30" s="162"/>
      <c r="E30" s="175" t="s">
        <v>79</v>
      </c>
      <c r="F30" s="175"/>
      <c r="G30" s="175"/>
      <c r="H30" s="175"/>
    </row>
    <row r="31" spans="1:26" ht="15" customHeight="1" x14ac:dyDescent="0.35">
      <c r="A31" s="162" t="s">
        <v>30</v>
      </c>
      <c r="B31" s="162"/>
      <c r="C31" s="162"/>
      <c r="D31" s="162"/>
      <c r="E31" s="17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75"/>
      <c r="G31" s="175"/>
      <c r="H31" s="175"/>
    </row>
    <row r="32" spans="1:26" ht="15.75" customHeight="1" x14ac:dyDescent="0.35">
      <c r="A32" s="162" t="s">
        <v>90</v>
      </c>
      <c r="B32" s="162"/>
      <c r="C32" s="162"/>
      <c r="D32" s="162"/>
      <c r="E32" s="175" t="s">
        <v>31</v>
      </c>
      <c r="F32" s="175"/>
      <c r="G32" s="175"/>
      <c r="H32" s="175"/>
    </row>
    <row r="33" spans="1:19" s="21" customFormat="1" x14ac:dyDescent="0.35">
      <c r="A33" s="231" t="s">
        <v>91</v>
      </c>
      <c r="B33" s="231"/>
      <c r="C33" s="230" t="s">
        <v>175</v>
      </c>
      <c r="D33" s="230"/>
      <c r="E33" s="230"/>
      <c r="F33" s="230" t="s">
        <v>29</v>
      </c>
      <c r="G33" s="230"/>
      <c r="H33" s="230"/>
      <c r="S33" s="21" t="e">
        <f ca="1">OFFSET($S$13,1,MATCH($G20,$S$13:$W$13,0)-1,15,1)</f>
        <v>#VALUE!</v>
      </c>
    </row>
    <row r="34" spans="1:19" s="21" customFormat="1" x14ac:dyDescent="0.35">
      <c r="A34" s="185" t="s">
        <v>24</v>
      </c>
      <c r="B34" s="185" t="s">
        <v>28</v>
      </c>
      <c r="C34" s="186" t="s">
        <v>371</v>
      </c>
      <c r="D34" s="186"/>
      <c r="E34" s="186"/>
      <c r="F34" s="186" t="s">
        <v>367</v>
      </c>
      <c r="G34" s="186"/>
      <c r="H34" s="186"/>
    </row>
    <row r="35" spans="1:19" x14ac:dyDescent="0.35">
      <c r="A35" s="185" t="s">
        <v>25</v>
      </c>
      <c r="B35" s="185" t="s">
        <v>28</v>
      </c>
      <c r="C35" s="186" t="s">
        <v>370</v>
      </c>
      <c r="D35" s="186"/>
      <c r="E35" s="186"/>
      <c r="F35" s="186" t="s">
        <v>10</v>
      </c>
      <c r="G35" s="186"/>
      <c r="H35" s="186"/>
    </row>
    <row r="36" spans="1:19" s="21" customFormat="1" x14ac:dyDescent="0.35">
      <c r="A36" s="185" t="s">
        <v>27</v>
      </c>
      <c r="B36" s="185" t="s">
        <v>28</v>
      </c>
      <c r="C36" s="186" t="s">
        <v>371</v>
      </c>
      <c r="D36" s="186"/>
      <c r="E36" s="186"/>
      <c r="F36" s="186" t="s">
        <v>368</v>
      </c>
      <c r="G36" s="186"/>
      <c r="H36" s="186"/>
    </row>
    <row r="37" spans="1:19" x14ac:dyDescent="0.35">
      <c r="A37" s="185" t="s">
        <v>26</v>
      </c>
      <c r="B37" s="185" t="s">
        <v>28</v>
      </c>
      <c r="C37" s="186" t="s">
        <v>371</v>
      </c>
      <c r="D37" s="186"/>
      <c r="E37" s="186"/>
      <c r="F37" s="186" t="s">
        <v>369</v>
      </c>
      <c r="G37" s="186"/>
      <c r="H37" s="186"/>
    </row>
    <row r="38" spans="1:19" x14ac:dyDescent="0.35">
      <c r="A38" s="162" t="s">
        <v>282</v>
      </c>
      <c r="B38" s="162"/>
      <c r="C38" s="162"/>
      <c r="D38" s="162"/>
      <c r="E38" s="162"/>
      <c r="F38" s="162"/>
      <c r="G38" s="162"/>
      <c r="H38" s="162"/>
    </row>
    <row r="39" spans="1:19" ht="15.75" customHeight="1" x14ac:dyDescent="0.35">
      <c r="A39" s="162" t="s">
        <v>167</v>
      </c>
      <c r="B39" s="162"/>
      <c r="C39" s="188" t="s">
        <v>372</v>
      </c>
      <c r="D39" s="188"/>
      <c r="E39" s="188"/>
      <c r="F39" s="188"/>
      <c r="G39" s="188"/>
      <c r="H39" s="188"/>
    </row>
    <row r="40" spans="1:19" x14ac:dyDescent="0.35">
      <c r="A40" s="162" t="s">
        <v>163</v>
      </c>
      <c r="B40" s="162"/>
      <c r="C40" s="174" t="s">
        <v>373</v>
      </c>
      <c r="D40" s="175"/>
      <c r="E40" s="175"/>
      <c r="F40" s="175"/>
      <c r="G40" s="175"/>
      <c r="H40" s="175"/>
    </row>
    <row r="41" spans="1:19" x14ac:dyDescent="0.35">
      <c r="A41" s="188" t="s">
        <v>32</v>
      </c>
      <c r="B41" s="188"/>
      <c r="C41" s="188"/>
      <c r="D41" s="188"/>
      <c r="E41" s="188"/>
      <c r="F41" s="188"/>
      <c r="G41" s="188"/>
      <c r="H41" s="188"/>
    </row>
    <row r="42" spans="1:19" x14ac:dyDescent="0.35">
      <c r="A42" s="162" t="s">
        <v>33</v>
      </c>
      <c r="B42" s="162"/>
      <c r="C42" s="162"/>
      <c r="D42" s="162"/>
      <c r="E42" s="187">
        <v>37503.21</v>
      </c>
      <c r="F42" s="187"/>
      <c r="G42" s="187"/>
      <c r="H42" s="187"/>
    </row>
    <row r="43" spans="1:19" x14ac:dyDescent="0.35">
      <c r="A43" s="162" t="s">
        <v>34</v>
      </c>
      <c r="B43" s="162"/>
      <c r="C43" s="162"/>
      <c r="D43" s="162"/>
      <c r="E43" s="205">
        <f>41253.53/E42</f>
        <v>1.0999999733356158</v>
      </c>
      <c r="F43" s="205"/>
      <c r="G43" s="205"/>
      <c r="H43" s="205"/>
    </row>
    <row r="44" spans="1:19" x14ac:dyDescent="0.35">
      <c r="A44" s="162" t="s">
        <v>35</v>
      </c>
      <c r="B44" s="162"/>
      <c r="C44" s="162"/>
      <c r="D44" s="162"/>
      <c r="E44" s="205">
        <f>E46/E42-E43</f>
        <v>0.80509508386082129</v>
      </c>
      <c r="F44" s="205"/>
      <c r="G44" s="205"/>
      <c r="H44" s="205"/>
    </row>
    <row r="45" spans="1:19" x14ac:dyDescent="0.35">
      <c r="A45" s="162" t="s">
        <v>36</v>
      </c>
      <c r="B45" s="162"/>
      <c r="C45" s="162"/>
      <c r="D45" s="162"/>
      <c r="E45" s="205">
        <f>E43+E44</f>
        <v>1.9050950571964371</v>
      </c>
      <c r="F45" s="205"/>
      <c r="G45" s="205"/>
      <c r="H45" s="205"/>
    </row>
    <row r="46" spans="1:19" x14ac:dyDescent="0.35">
      <c r="A46" s="162" t="s">
        <v>89</v>
      </c>
      <c r="B46" s="162"/>
      <c r="C46" s="162"/>
      <c r="D46" s="162"/>
      <c r="E46" s="206">
        <v>71447.179999999993</v>
      </c>
      <c r="F46" s="206"/>
      <c r="G46" s="206"/>
      <c r="H46" s="206"/>
    </row>
    <row r="47" spans="1:19" x14ac:dyDescent="0.35">
      <c r="A47" s="203" t="s">
        <v>37</v>
      </c>
      <c r="B47" s="203"/>
      <c r="C47" s="203"/>
      <c r="D47" s="203"/>
      <c r="E47" s="207" t="s">
        <v>376</v>
      </c>
      <c r="F47" s="207"/>
      <c r="G47" s="207"/>
      <c r="H47" s="207"/>
    </row>
    <row r="48" spans="1:19" x14ac:dyDescent="0.35">
      <c r="A48" s="188" t="s">
        <v>38</v>
      </c>
      <c r="B48" s="188"/>
      <c r="C48" s="188"/>
      <c r="D48" s="188"/>
      <c r="E48" s="188"/>
      <c r="F48" s="188"/>
      <c r="G48" s="188"/>
      <c r="H48" s="188"/>
    </row>
    <row r="49" spans="1:24" ht="33.75" customHeight="1" x14ac:dyDescent="0.35">
      <c r="A49" s="190" t="s">
        <v>152</v>
      </c>
      <c r="B49" s="192"/>
      <c r="C49" s="213" t="s">
        <v>266</v>
      </c>
      <c r="D49" s="214"/>
      <c r="E49" s="214"/>
      <c r="F49" s="214"/>
      <c r="G49" s="214"/>
      <c r="H49" s="215"/>
      <c r="R49" t="s">
        <v>255</v>
      </c>
      <c r="S49" s="60" t="s">
        <v>174</v>
      </c>
      <c r="T49" s="60" t="s">
        <v>182</v>
      </c>
      <c r="U49" s="60" t="s">
        <v>196</v>
      </c>
      <c r="V49" s="60" t="s">
        <v>191</v>
      </c>
    </row>
    <row r="50" spans="1:24" ht="15.75" customHeight="1" x14ac:dyDescent="0.35">
      <c r="A50" s="190" t="s">
        <v>39</v>
      </c>
      <c r="B50" s="192"/>
      <c r="C50" s="190" t="s">
        <v>374</v>
      </c>
      <c r="D50" s="191"/>
      <c r="E50" s="192"/>
      <c r="F50" s="17" t="s">
        <v>40</v>
      </c>
      <c r="G50" s="193">
        <v>45246</v>
      </c>
      <c r="H50" s="194"/>
      <c r="R50"/>
      <c r="S50" s="60" t="s">
        <v>256</v>
      </c>
      <c r="T50" s="60" t="s">
        <v>261</v>
      </c>
      <c r="U50" s="60" t="s">
        <v>272</v>
      </c>
      <c r="V50" s="60" t="s">
        <v>277</v>
      </c>
    </row>
    <row r="51" spans="1:24" x14ac:dyDescent="0.35">
      <c r="A51" s="190" t="s">
        <v>41</v>
      </c>
      <c r="B51" s="192"/>
      <c r="C51" s="190" t="str">
        <f>C50</f>
        <v>ABNMCB/0011/[P/C]/2023/AutoDCR</v>
      </c>
      <c r="D51" s="191"/>
      <c r="E51" s="192"/>
      <c r="F51" s="17" t="s">
        <v>40</v>
      </c>
      <c r="G51" s="193">
        <f>G50</f>
        <v>45246</v>
      </c>
      <c r="H51" s="194"/>
      <c r="R51"/>
      <c r="S51" s="60" t="s">
        <v>257</v>
      </c>
      <c r="T51" s="60" t="s">
        <v>262</v>
      </c>
      <c r="U51" s="60" t="s">
        <v>270</v>
      </c>
      <c r="V51" s="60" t="s">
        <v>278</v>
      </c>
    </row>
    <row r="52" spans="1:24" s="22" customFormat="1" ht="15.75" customHeight="1" x14ac:dyDescent="0.35">
      <c r="A52" s="199" t="s">
        <v>156</v>
      </c>
      <c r="B52" s="200"/>
      <c r="C52" s="190" t="str">
        <f>C51</f>
        <v>ABNMCB/0011/[P/C]/2023/AutoDCR</v>
      </c>
      <c r="D52" s="191"/>
      <c r="E52" s="192"/>
      <c r="F52" s="17" t="s">
        <v>40</v>
      </c>
      <c r="G52" s="193">
        <v>45246</v>
      </c>
      <c r="H52" s="194"/>
      <c r="I52" s="21" t="str">
        <f ca="1">IF(G52&gt;EDATE(E3,-48),"NO REMARK","CC REMARK FOR CC")</f>
        <v>NO REMARK</v>
      </c>
      <c r="J52" s="89"/>
      <c r="R52"/>
      <c r="S52" s="60" t="s">
        <v>258</v>
      </c>
      <c r="T52" s="60" t="s">
        <v>263</v>
      </c>
      <c r="U52" s="60" t="s">
        <v>260</v>
      </c>
      <c r="V52" s="60" t="s">
        <v>279</v>
      </c>
    </row>
    <row r="53" spans="1:24" s="22" customFormat="1" ht="63" customHeight="1" x14ac:dyDescent="0.35">
      <c r="A53" s="201"/>
      <c r="B53" s="202"/>
      <c r="C53" s="190" t="s">
        <v>377</v>
      </c>
      <c r="D53" s="191"/>
      <c r="E53" s="191"/>
      <c r="F53" s="191"/>
      <c r="G53" s="191"/>
      <c r="H53" s="192"/>
      <c r="R53"/>
      <c r="S53" s="60" t="s">
        <v>259</v>
      </c>
      <c r="T53" s="60" t="s">
        <v>266</v>
      </c>
      <c r="U53" s="60" t="s">
        <v>273</v>
      </c>
      <c r="V53" s="80" t="s">
        <v>352</v>
      </c>
    </row>
    <row r="54" spans="1:24" s="22" customFormat="1" hidden="1" x14ac:dyDescent="0.35">
      <c r="A54" s="195" t="s">
        <v>283</v>
      </c>
      <c r="B54" s="196"/>
      <c r="C54" s="190" t="str">
        <f>C53</f>
        <v>Building K = St + 1st to 17th Floor
Building O = B + St + 1st to 17th Floor
Building R = St + 1st to 11th Floor
Building S = St + 1st to 12th Floor</v>
      </c>
      <c r="D54" s="191"/>
      <c r="E54" s="192"/>
      <c r="F54" s="17" t="s">
        <v>40</v>
      </c>
      <c r="G54" s="193"/>
      <c r="H54" s="194"/>
      <c r="K54" s="90">
        <f>EDATE(G52,-48)</f>
        <v>43785</v>
      </c>
      <c r="L54" s="22" t="str">
        <f ca="1">IF(G52&gt;EDATE(E3,-48),"NO REMARK","CC REMARK FOR CC")</f>
        <v>NO REMARK</v>
      </c>
      <c r="R54"/>
      <c r="S54" s="60" t="s">
        <v>258</v>
      </c>
      <c r="T54" s="60" t="s">
        <v>263</v>
      </c>
      <c r="U54" s="60" t="s">
        <v>260</v>
      </c>
      <c r="V54" s="60" t="s">
        <v>279</v>
      </c>
    </row>
    <row r="55" spans="1:24" s="22" customFormat="1" ht="32.25" hidden="1" customHeight="1" x14ac:dyDescent="0.35">
      <c r="A55" s="197"/>
      <c r="B55" s="198"/>
      <c r="C55" s="179"/>
      <c r="D55" s="180"/>
      <c r="E55" s="180"/>
      <c r="F55" s="180"/>
      <c r="G55" s="180"/>
      <c r="H55" s="181"/>
      <c r="R55"/>
      <c r="S55" s="60" t="s">
        <v>260</v>
      </c>
      <c r="T55" s="60" t="s">
        <v>264</v>
      </c>
      <c r="U55" s="60" t="s">
        <v>274</v>
      </c>
      <c r="V55" s="81"/>
      <c r="W55" s="20"/>
      <c r="X55" s="20"/>
    </row>
    <row r="56" spans="1:24" s="22" customFormat="1" ht="34.5" hidden="1" customHeight="1" x14ac:dyDescent="0.35">
      <c r="A56" s="195" t="s">
        <v>284</v>
      </c>
      <c r="B56" s="196"/>
      <c r="C56" s="190">
        <f>C55</f>
        <v>0</v>
      </c>
      <c r="D56" s="191"/>
      <c r="E56" s="192"/>
      <c r="F56" s="17" t="s">
        <v>40</v>
      </c>
      <c r="G56" s="193">
        <f>G55</f>
        <v>0</v>
      </c>
      <c r="H56" s="194"/>
      <c r="R56"/>
      <c r="S56" s="81"/>
      <c r="T56" s="60" t="s">
        <v>265</v>
      </c>
      <c r="U56" s="60" t="s">
        <v>275</v>
      </c>
      <c r="V56" s="81"/>
      <c r="W56" s="20"/>
      <c r="X56" s="20"/>
    </row>
    <row r="57" spans="1:24" s="22" customFormat="1" ht="41.25" hidden="1" customHeight="1" x14ac:dyDescent="0.35">
      <c r="A57" s="197"/>
      <c r="B57" s="198"/>
      <c r="C57" s="190"/>
      <c r="D57" s="191"/>
      <c r="E57" s="191"/>
      <c r="F57" s="191"/>
      <c r="G57" s="191"/>
      <c r="H57" s="192"/>
      <c r="R57"/>
      <c r="S57" s="81"/>
      <c r="T57" s="60" t="s">
        <v>267</v>
      </c>
      <c r="U57" s="60" t="s">
        <v>276</v>
      </c>
      <c r="V57" s="81"/>
      <c r="W57" s="20"/>
      <c r="X57" s="20"/>
    </row>
    <row r="58" spans="1:24" s="22" customFormat="1" ht="15.75" hidden="1" customHeight="1" x14ac:dyDescent="0.35">
      <c r="A58" s="195" t="s">
        <v>355</v>
      </c>
      <c r="B58" s="196"/>
      <c r="C58" s="190"/>
      <c r="D58" s="191"/>
      <c r="E58" s="192"/>
      <c r="F58" s="17" t="s">
        <v>40</v>
      </c>
      <c r="G58" s="193"/>
      <c r="H58" s="194"/>
      <c r="R58"/>
      <c r="S58" s="81"/>
      <c r="T58" s="60" t="s">
        <v>268</v>
      </c>
      <c r="U58" s="81" t="s">
        <v>298</v>
      </c>
      <c r="V58" s="81"/>
      <c r="W58" s="20"/>
      <c r="X58" s="20"/>
    </row>
    <row r="59" spans="1:24" s="22" customFormat="1" ht="33.75" hidden="1" customHeight="1" x14ac:dyDescent="0.35">
      <c r="A59" s="197"/>
      <c r="B59" s="198"/>
      <c r="C59" s="228" t="s">
        <v>357</v>
      </c>
      <c r="D59" s="228"/>
      <c r="E59" s="228"/>
      <c r="F59" s="17" t="s">
        <v>356</v>
      </c>
      <c r="G59" s="193"/>
      <c r="H59" s="194"/>
      <c r="R59"/>
      <c r="S59" s="81"/>
      <c r="T59" s="60" t="s">
        <v>269</v>
      </c>
      <c r="U59" s="81"/>
      <c r="V59" s="81"/>
      <c r="W59" s="20"/>
      <c r="X59" s="20"/>
    </row>
    <row r="60" spans="1:24" x14ac:dyDescent="0.35">
      <c r="A60" s="260" t="s">
        <v>42</v>
      </c>
      <c r="B60" s="261"/>
      <c r="C60" s="260" t="s">
        <v>103</v>
      </c>
      <c r="D60" s="262"/>
      <c r="E60" s="261"/>
      <c r="F60" s="44" t="s">
        <v>40</v>
      </c>
      <c r="G60" s="263" t="s">
        <v>28</v>
      </c>
      <c r="H60" s="264"/>
      <c r="R60"/>
      <c r="S60" s="81"/>
      <c r="T60" s="60" t="s">
        <v>271</v>
      </c>
      <c r="U60" s="81"/>
      <c r="V60" s="81"/>
    </row>
    <row r="61" spans="1:24" x14ac:dyDescent="0.35">
      <c r="A61" s="227" t="s">
        <v>44</v>
      </c>
      <c r="B61" s="227"/>
      <c r="C61" s="227"/>
      <c r="D61" s="227"/>
      <c r="E61" s="227"/>
      <c r="F61" s="227"/>
      <c r="G61" s="227"/>
      <c r="H61" s="227"/>
      <c r="S61" s="81"/>
      <c r="T61" s="60" t="s">
        <v>280</v>
      </c>
      <c r="U61" s="81"/>
      <c r="V61" s="81"/>
    </row>
    <row r="62" spans="1:24" x14ac:dyDescent="0.35">
      <c r="A62" s="228" t="s">
        <v>88</v>
      </c>
      <c r="B62" s="228"/>
      <c r="C62" s="228"/>
      <c r="D62" s="162">
        <f>E46</f>
        <v>71447.179999999993</v>
      </c>
      <c r="E62" s="162"/>
      <c r="F62" s="162"/>
      <c r="G62" s="162"/>
      <c r="H62" s="162"/>
      <c r="R62"/>
    </row>
    <row r="63" spans="1:24" x14ac:dyDescent="0.35">
      <c r="A63" s="175" t="s">
        <v>45</v>
      </c>
      <c r="B63" s="203"/>
      <c r="C63" s="203"/>
      <c r="D63" s="203" t="s">
        <v>402</v>
      </c>
      <c r="E63" s="203"/>
      <c r="F63" s="203"/>
      <c r="G63" s="203"/>
      <c r="H63" s="203"/>
      <c r="I63" s="23"/>
      <c r="R63"/>
    </row>
    <row r="64" spans="1:24" ht="63" customHeight="1" x14ac:dyDescent="0.35">
      <c r="A64" s="210" t="s">
        <v>46</v>
      </c>
      <c r="B64" s="211"/>
      <c r="C64" s="212"/>
      <c r="D64" s="208" t="s">
        <v>412</v>
      </c>
      <c r="E64" s="209"/>
      <c r="F64" s="209"/>
      <c r="G64" s="209"/>
      <c r="H64" s="209"/>
      <c r="J64" s="20" t="s">
        <v>375</v>
      </c>
      <c r="R64"/>
    </row>
    <row r="65" spans="1:19" ht="15.75" customHeight="1" x14ac:dyDescent="0.35">
      <c r="A65" s="210" t="s">
        <v>86</v>
      </c>
      <c r="B65" s="211"/>
      <c r="C65" s="211"/>
      <c r="D65" s="221" t="s">
        <v>378</v>
      </c>
      <c r="E65" s="222"/>
      <c r="F65" s="222"/>
      <c r="G65" s="222"/>
      <c r="H65" s="223"/>
      <c r="R65"/>
    </row>
    <row r="66" spans="1:19" ht="15.75" customHeight="1" x14ac:dyDescent="0.35">
      <c r="A66" s="216"/>
      <c r="B66" s="217"/>
      <c r="C66" s="217"/>
      <c r="D66" s="224" t="s">
        <v>411</v>
      </c>
      <c r="E66" s="225"/>
      <c r="F66" s="225"/>
      <c r="G66" s="225"/>
      <c r="H66" s="226"/>
      <c r="R66"/>
    </row>
    <row r="67" spans="1:19" ht="15.75" customHeight="1" x14ac:dyDescent="0.35">
      <c r="A67" s="216"/>
      <c r="B67" s="218"/>
      <c r="C67" s="218"/>
      <c r="D67" s="224" t="s">
        <v>379</v>
      </c>
      <c r="E67" s="225"/>
      <c r="F67" s="225"/>
      <c r="G67" s="225"/>
      <c r="H67" s="226"/>
      <c r="R67"/>
    </row>
    <row r="68" spans="1:19" ht="15.75" customHeight="1" x14ac:dyDescent="0.35">
      <c r="A68" s="219"/>
      <c r="B68" s="220"/>
      <c r="C68" s="220"/>
      <c r="D68" s="265" t="s">
        <v>380</v>
      </c>
      <c r="E68" s="266"/>
      <c r="F68" s="266"/>
      <c r="G68" s="266"/>
      <c r="H68" s="267"/>
      <c r="S68"/>
    </row>
    <row r="69" spans="1:19" ht="15.75" customHeight="1" x14ac:dyDescent="0.35">
      <c r="A69" s="162" t="s">
        <v>43</v>
      </c>
      <c r="B69" s="162"/>
      <c r="C69" s="162"/>
      <c r="D69" s="189" t="s">
        <v>403</v>
      </c>
      <c r="E69" s="189"/>
      <c r="F69" s="189"/>
      <c r="G69" s="189"/>
      <c r="H69" s="189"/>
      <c r="J69" s="24"/>
      <c r="K69" s="23"/>
      <c r="N69" s="23"/>
      <c r="S69"/>
    </row>
    <row r="70" spans="1:19" ht="15.75" customHeight="1" x14ac:dyDescent="0.35">
      <c r="A70" s="162" t="s">
        <v>84</v>
      </c>
      <c r="B70" s="162"/>
      <c r="C70" s="162"/>
      <c r="D70" s="204" t="str">
        <f>(IF(G60="NA","60 Years After Completion",IF(G60&lt;&gt;"NA",""&amp;60-ROUNDDOWN((E3-G60)/360,0)&amp;" Years"," ")))</f>
        <v>60 Years After Completion</v>
      </c>
      <c r="E70" s="204"/>
      <c r="F70" s="204"/>
      <c r="G70" s="204"/>
      <c r="H70" s="204"/>
      <c r="N70" s="23"/>
      <c r="S70"/>
    </row>
    <row r="71" spans="1:19" ht="15.75" customHeight="1" x14ac:dyDescent="0.35">
      <c r="A71" s="162" t="s">
        <v>85</v>
      </c>
      <c r="B71" s="162"/>
      <c r="C71" s="162"/>
      <c r="D71" s="228" t="s">
        <v>23</v>
      </c>
      <c r="E71" s="228"/>
      <c r="F71" s="228"/>
      <c r="G71" s="228"/>
      <c r="H71" s="228"/>
      <c r="J71" s="25"/>
      <c r="K71" s="25"/>
      <c r="S71"/>
    </row>
    <row r="72" spans="1:19" ht="78.75" customHeight="1" x14ac:dyDescent="0.35">
      <c r="A72" s="207" t="s">
        <v>405</v>
      </c>
      <c r="B72" s="207"/>
      <c r="C72" s="207"/>
      <c r="D72" s="175" t="s">
        <v>404</v>
      </c>
      <c r="E72" s="228"/>
      <c r="F72" s="228"/>
      <c r="G72" s="228"/>
      <c r="H72" s="228"/>
      <c r="I72" s="104" t="s">
        <v>415</v>
      </c>
      <c r="S72"/>
    </row>
    <row r="73" spans="1:19" x14ac:dyDescent="0.35">
      <c r="A73" s="228" t="s">
        <v>148</v>
      </c>
      <c r="B73" s="228"/>
      <c r="C73" s="228"/>
      <c r="D73" s="228" t="s">
        <v>28</v>
      </c>
      <c r="E73" s="228"/>
      <c r="F73" s="228"/>
      <c r="G73" s="228"/>
      <c r="H73" s="228"/>
      <c r="I73" s="26"/>
      <c r="J73" s="26"/>
      <c r="K73" s="26"/>
      <c r="L73" s="26"/>
      <c r="M73" s="26"/>
      <c r="N73" s="26"/>
    </row>
    <row r="74" spans="1:19" ht="15.75" customHeight="1" x14ac:dyDescent="0.35">
      <c r="A74" s="162" t="s">
        <v>83</v>
      </c>
      <c r="B74" s="162"/>
      <c r="C74" s="162"/>
      <c r="D74" s="175" t="str">
        <f ca="1">(IF(G80&gt;95%,"Nothing",IF(G80&gt;0%,"Cement, Aggregate, Steel, etc",IF(G80=0%,"Work not yet Started"))))</f>
        <v>Cement, Aggregate, Steel, etc</v>
      </c>
      <c r="E74" s="175"/>
      <c r="F74" s="175"/>
      <c r="G74" s="175"/>
      <c r="H74" s="175"/>
      <c r="J74" s="25"/>
      <c r="S74"/>
    </row>
    <row r="75" spans="1:19" ht="33.75" customHeight="1" thickBot="1" x14ac:dyDescent="0.4">
      <c r="A75" s="228" t="s">
        <v>116</v>
      </c>
      <c r="B75" s="228"/>
      <c r="C75" s="228"/>
      <c r="D75" s="175" t="str">
        <f ca="1">(IF(D74="Nothing","Yes",IF(D74="Cement, Aggregate, Steel, etc","Under Construction",IF(D74="Work not yet Started","Work not yet Started"))))</f>
        <v>Under Construction</v>
      </c>
      <c r="E75" s="175"/>
      <c r="F75" s="175" t="str">
        <f ca="1">(IF(D74="Nothing","Yes",IF(D74="Cement, Aggregate, Steel, etc","Under Construction",IF(D74="Work not yet Started","Work not yet Started"))))</f>
        <v>Under Construction</v>
      </c>
      <c r="G75" s="175"/>
      <c r="H75" s="175"/>
      <c r="S75"/>
    </row>
    <row r="76" spans="1:19" ht="15.75" customHeight="1" x14ac:dyDescent="0.35">
      <c r="A76" s="229" t="s">
        <v>138</v>
      </c>
      <c r="B76" s="229"/>
      <c r="C76" s="229" t="str">
        <f>D65</f>
        <v>Building K = St + 1st to 17th Floor</v>
      </c>
      <c r="D76" s="229"/>
      <c r="E76" s="229"/>
      <c r="F76" s="229"/>
      <c r="G76" s="229"/>
      <c r="H76" s="229"/>
      <c r="I76" s="110" t="str">
        <f ca="1">IF(D89=100%,"All work Completed. Possession granted to the Building.",IF(D88=100%,"All work Completed, Waiting for OC",I77&amp;""&amp;I78&amp;""&amp;J77&amp;""&amp;J76&amp;" "&amp;J78))</f>
        <v xml:space="preserve">Excavation, Plinth Completed </v>
      </c>
      <c r="J76" s="49"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35">
      <c r="A77" s="15" t="s">
        <v>140</v>
      </c>
      <c r="B77" s="52">
        <f>IF(AND(ISNUMBER(SEARCH("1B",C76))),1,IF(AND(ISNUMBER(SEARCH("2B",C76))),2,IF(AND(ISNUMBER(SEARCH("3B",C76))),3,IF(AND(ISNUMBER(SEARCH("4B",C76))),4,IF(ISNUMBER(SEARCH("5B",C76)),5,0)))))</f>
        <v>0</v>
      </c>
      <c r="C77" s="46" t="s">
        <v>69</v>
      </c>
      <c r="D77" s="46">
        <v>1</v>
      </c>
      <c r="E77" s="46" t="s">
        <v>68</v>
      </c>
      <c r="F77" s="101">
        <v>0</v>
      </c>
      <c r="G77" s="47" t="s">
        <v>77</v>
      </c>
      <c r="H77" s="16">
        <f ca="1">--TRIM(RIGHT(SUBSTITUTE(LEFT(C76,_xlfn.AGGREGATE(16,6,FIND({0,1,2,3,4,5,6,7,8,9},C76,ROW(INDIRECT("1:"&amp;LEN(C76)))),1))," ",REPT(" ",LEN(C76))),LEN(C76)))</f>
        <v>17</v>
      </c>
      <c r="I77" s="50" t="str">
        <f ca="1">IF(D80=100%,"Excavation","")&amp;IF(D81=100%,", Plinth","")&amp;IF(D82=100%,", RCC Slab","")&amp;IF(D83=100%,", Brickwork","")&amp;IF(D84=100%,", Internal Plaster","")&amp;IF(D85=100%,", External Plaster","")&amp;IF(D86=100%,", Flooring","")&amp;IF(D87=100%,", Painting","")&amp;IF(D88=100%,", Building common Amenities","")</f>
        <v>Excavation, Plinth</v>
      </c>
      <c r="J77" s="51"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5">
      <c r="A78" s="119" t="s">
        <v>87</v>
      </c>
      <c r="B78" s="120"/>
      <c r="C78" s="121" t="str">
        <f ca="1">I76</f>
        <v xml:space="preserve">Excavation, Plinth Completed </v>
      </c>
      <c r="D78" s="121"/>
      <c r="E78" s="121"/>
      <c r="F78" s="121"/>
      <c r="G78" s="121"/>
      <c r="H78" s="122"/>
      <c r="I78" s="50" t="str">
        <f ca="1">IF(I77&lt;&gt;""," Completed","")</f>
        <v xml:space="preserve"> Completed</v>
      </c>
      <c r="J78" s="51" t="str">
        <f ca="1">IF(J76&lt;&gt;"","Completed","")</f>
        <v/>
      </c>
      <c r="S78"/>
    </row>
    <row r="79" spans="1:19" ht="15.75" customHeight="1" x14ac:dyDescent="0.35">
      <c r="A79" s="123" t="s">
        <v>47</v>
      </c>
      <c r="B79" s="124"/>
      <c r="C79" s="42" t="s">
        <v>137</v>
      </c>
      <c r="D79" s="42" t="s">
        <v>80</v>
      </c>
      <c r="E79" s="124" t="s">
        <v>82</v>
      </c>
      <c r="F79" s="124"/>
      <c r="G79" s="124" t="s">
        <v>81</v>
      </c>
      <c r="H79" s="125"/>
      <c r="I79" s="13" t="s">
        <v>139</v>
      </c>
      <c r="J79" s="27">
        <f ca="1">H77*25%</f>
        <v>4.25</v>
      </c>
      <c r="S79"/>
    </row>
    <row r="80" spans="1:19" x14ac:dyDescent="0.35">
      <c r="A80" s="123" t="s">
        <v>126</v>
      </c>
      <c r="B80" s="124"/>
      <c r="C80" s="94">
        <f ca="1">J81</f>
        <v>17</v>
      </c>
      <c r="D80" s="18">
        <f ca="1">((100/H77)*C80)/100</f>
        <v>1</v>
      </c>
      <c r="E80" s="151">
        <f ca="1">(((C81/H77*10)+(40/(D77+F77+H77)*C82)+(7.5/(H77)*C83)+(7.5/(H77)*C84)+(10/H77*C85)+(10/H77*C86)+(5/H77*C87)+(5/H77*C88)+(5/H77*C89))/100)</f>
        <v>0.1</v>
      </c>
      <c r="F80" s="152"/>
      <c r="G80" s="151">
        <f ca="1">((((C80/H77)*20)+((C81/H77)*25)+(30/(H77+F77+D77)*C82)+(5/H77*C83)+(5/H77*C84)+(5/H77*C85)+(5/H77*C86)+(0/H77*C87)+(0/H77*C88)+(5/H77*C89))/100)</f>
        <v>0.45</v>
      </c>
      <c r="H80" s="159"/>
      <c r="I80" s="13" t="s">
        <v>98</v>
      </c>
      <c r="J80" s="28">
        <f ca="1">H77*50%</f>
        <v>8.5</v>
      </c>
    </row>
    <row r="81" spans="1:19" x14ac:dyDescent="0.35">
      <c r="A81" s="123" t="s">
        <v>48</v>
      </c>
      <c r="B81" s="124"/>
      <c r="C81" s="102">
        <f ca="1">J89</f>
        <v>17</v>
      </c>
      <c r="D81" s="18">
        <f ca="1">((100/H77)*C81)/100</f>
        <v>1</v>
      </c>
      <c r="E81" s="153"/>
      <c r="F81" s="154"/>
      <c r="G81" s="153"/>
      <c r="H81" s="160"/>
      <c r="I81" s="13" t="s">
        <v>99</v>
      </c>
      <c r="J81" s="28">
        <f ca="1">H77</f>
        <v>17</v>
      </c>
      <c r="S81"/>
    </row>
    <row r="82" spans="1:19" ht="15.75" customHeight="1" x14ac:dyDescent="0.35">
      <c r="A82" s="123" t="s">
        <v>127</v>
      </c>
      <c r="B82" s="124"/>
      <c r="C82" s="42">
        <v>0</v>
      </c>
      <c r="D82" s="18">
        <f ca="1">((100/(D77+F77+H77))*C82)/100</f>
        <v>0</v>
      </c>
      <c r="E82" s="153"/>
      <c r="F82" s="154"/>
      <c r="G82" s="153"/>
      <c r="H82" s="160"/>
      <c r="I82" s="13" t="s">
        <v>100</v>
      </c>
      <c r="J82" s="29">
        <f ca="1">(IF(B77&gt;1,(H77/(B77+2)),H77/4))</f>
        <v>4.25</v>
      </c>
      <c r="S82"/>
    </row>
    <row r="83" spans="1:19" ht="15.75" customHeight="1" x14ac:dyDescent="0.35">
      <c r="A83" s="123" t="s">
        <v>134</v>
      </c>
      <c r="B83" s="124" t="s">
        <v>128</v>
      </c>
      <c r="C83" s="42">
        <v>0</v>
      </c>
      <c r="D83" s="18">
        <f ca="1">((100/H77)*C83)/100</f>
        <v>0</v>
      </c>
      <c r="E83" s="153"/>
      <c r="F83" s="154"/>
      <c r="G83" s="153"/>
      <c r="H83" s="160"/>
      <c r="I83" s="13" t="s">
        <v>101</v>
      </c>
      <c r="J83" s="29">
        <f ca="1">(IF(B77&gt;1,(H77/(B77+2)+J82),H77/4+J82))</f>
        <v>8.5</v>
      </c>
    </row>
    <row r="84" spans="1:19" ht="15.75" customHeight="1" x14ac:dyDescent="0.35">
      <c r="A84" s="123" t="s">
        <v>135</v>
      </c>
      <c r="B84" s="124" t="s">
        <v>128</v>
      </c>
      <c r="C84" s="42">
        <v>0</v>
      </c>
      <c r="D84" s="18">
        <f ca="1">((100/H77)*C84)/100</f>
        <v>0</v>
      </c>
      <c r="E84" s="153"/>
      <c r="F84" s="154"/>
      <c r="G84" s="153"/>
      <c r="H84" s="160"/>
      <c r="I84" s="13" t="s">
        <v>146</v>
      </c>
      <c r="J84" s="29">
        <f>(IF(B77&gt;1,(H77/(B77+2)+J83),0))</f>
        <v>0</v>
      </c>
    </row>
    <row r="85" spans="1:19" ht="15" customHeight="1" x14ac:dyDescent="0.35">
      <c r="A85" s="123" t="s">
        <v>133</v>
      </c>
      <c r="B85" s="124" t="s">
        <v>130</v>
      </c>
      <c r="C85" s="64">
        <v>0</v>
      </c>
      <c r="D85" s="18">
        <f ca="1">((100/(H77))*C85)/100</f>
        <v>0</v>
      </c>
      <c r="E85" s="153"/>
      <c r="F85" s="154"/>
      <c r="G85" s="153"/>
      <c r="H85" s="160"/>
      <c r="I85" s="13" t="s">
        <v>141</v>
      </c>
      <c r="J85" s="29">
        <f>(IF(B77&gt;2,(H77/(B77+2)+J84),0))</f>
        <v>0</v>
      </c>
    </row>
    <row r="86" spans="1:19" ht="15.75" customHeight="1" x14ac:dyDescent="0.35">
      <c r="A86" s="123" t="s">
        <v>129</v>
      </c>
      <c r="B86" s="124" t="s">
        <v>129</v>
      </c>
      <c r="C86" s="42">
        <v>0</v>
      </c>
      <c r="D86" s="18">
        <f ca="1">((100/H77)*C86)/100</f>
        <v>0</v>
      </c>
      <c r="E86" s="153"/>
      <c r="F86" s="154"/>
      <c r="G86" s="153"/>
      <c r="H86" s="160"/>
      <c r="I86" s="13" t="s">
        <v>142</v>
      </c>
      <c r="J86" s="30">
        <f>(IF(B77&gt;3,(H77/(B77+2)+J85),0))</f>
        <v>0</v>
      </c>
    </row>
    <row r="87" spans="1:19" ht="15.75" customHeight="1" x14ac:dyDescent="0.35">
      <c r="A87" s="123" t="s">
        <v>136</v>
      </c>
      <c r="B87" s="124"/>
      <c r="C87" s="42">
        <v>0</v>
      </c>
      <c r="D87" s="18">
        <f ca="1">((100/H77)*C87)/100</f>
        <v>0</v>
      </c>
      <c r="E87" s="153"/>
      <c r="F87" s="154"/>
      <c r="G87" s="153"/>
      <c r="H87" s="160"/>
      <c r="I87" s="13" t="s">
        <v>143</v>
      </c>
      <c r="J87" s="29">
        <f>(IF(B77&gt;4,(H77/(B77+2)+J86),0))</f>
        <v>0</v>
      </c>
    </row>
    <row r="88" spans="1:19" ht="15.75" customHeight="1" x14ac:dyDescent="0.35">
      <c r="A88" s="123" t="s">
        <v>131</v>
      </c>
      <c r="B88" s="124" t="s">
        <v>131</v>
      </c>
      <c r="C88" s="42">
        <v>0</v>
      </c>
      <c r="D88" s="18">
        <f ca="1">((100/(H77))*C88)/100</f>
        <v>0</v>
      </c>
      <c r="E88" s="153"/>
      <c r="F88" s="154"/>
      <c r="G88" s="153"/>
      <c r="H88" s="160"/>
      <c r="I88" s="13" t="s">
        <v>147</v>
      </c>
      <c r="J88" s="29">
        <f ca="1">(IF(B77=1,(H77/(B77+3)+J83),IF(B77=0,(H77/4+J83),IF(B77&gt;1,0))))</f>
        <v>12.75</v>
      </c>
    </row>
    <row r="89" spans="1:19" ht="16" thickBot="1" x14ac:dyDescent="0.4">
      <c r="A89" s="145" t="s">
        <v>132</v>
      </c>
      <c r="B89" s="146"/>
      <c r="C89" s="43">
        <v>0</v>
      </c>
      <c r="D89" s="19">
        <f ca="1">((100/(H77))*C89)/100</f>
        <v>0</v>
      </c>
      <c r="E89" s="155"/>
      <c r="F89" s="156"/>
      <c r="G89" s="155"/>
      <c r="H89" s="161"/>
      <c r="I89" s="14" t="s">
        <v>102</v>
      </c>
      <c r="J89" s="31">
        <f ca="1">(IF(B77&gt;1.5,(H77/(B77+2)+J83+MAX(0,J84-J83)+MAX(0,J85-J84)+MAX(0,J86-J85)+MAX(0,J87-J86)+MAX(0,J88-J87)),IF(B77=1,(H77/(B77+3)+J88),IF(B77=0,H77/4+J88))))</f>
        <v>17</v>
      </c>
    </row>
    <row r="90" spans="1:19" ht="15.75" customHeight="1" x14ac:dyDescent="0.35">
      <c r="A90" s="157" t="s">
        <v>138</v>
      </c>
      <c r="B90" s="158"/>
      <c r="C90" s="116" t="s">
        <v>419</v>
      </c>
      <c r="D90" s="117"/>
      <c r="E90" s="117"/>
      <c r="F90" s="117"/>
      <c r="G90" s="117"/>
      <c r="H90" s="118"/>
      <c r="I90" s="48" t="str">
        <f ca="1">IF(D103=100%,"All work Completed. Possession granted to the Building.",IF(D102=100%,"All work Completed, Waiting for OC",I91&amp;""&amp;I92&amp;""&amp;J91&amp;""&amp;J90&amp;" "&amp;J92))</f>
        <v xml:space="preserve">Excavation, Plinth Completed </v>
      </c>
      <c r="J90" s="49"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x14ac:dyDescent="0.35">
      <c r="A91" s="15" t="s">
        <v>140</v>
      </c>
      <c r="B91" s="53">
        <f>IF(AND(ISNUMBER(SEARCH("1B",C90))),1,IF(AND(ISNUMBER(SEARCH("2B",C90))),2,IF(AND(ISNUMBER(SEARCH("3B",C90))),3,IF(AND(ISNUMBER(SEARCH("4B",C90))),4,IF(ISNUMBER(SEARCH("5B",C90)),5,0)))))</f>
        <v>1</v>
      </c>
      <c r="C91" s="53" t="s">
        <v>69</v>
      </c>
      <c r="D91" s="53">
        <v>1</v>
      </c>
      <c r="E91" s="53" t="s">
        <v>68</v>
      </c>
      <c r="F91" s="101">
        <v>0</v>
      </c>
      <c r="G91" s="47" t="s">
        <v>77</v>
      </c>
      <c r="H91" s="16">
        <f ca="1">--TRIM(RIGHT(SUBSTITUTE(LEFT(C90,_xlfn.AGGREGATE(16,6,FIND({0,1,2,3,4,5,6,7,8,9},C90,ROW(INDIRECT("1:"&amp;LEN(C90)))),1))," ",REPT(" ",LEN(C90))),LEN(C90)))</f>
        <v>17</v>
      </c>
      <c r="I91" s="50" t="str">
        <f ca="1">IF(D94=100%,"Excavation","")&amp;IF(D95=100%,", Plinth","")&amp;IF(D96=100%,", RCC Slab","")&amp;IF(D97=100%,", Brickwork","")&amp;IF(D98=100%,", Internal Plaster","")&amp;IF(D99=100%,", External Plaster","")&amp;IF(D100=100%,", Flooring","")&amp;IF(D101=100%,", Painting","")&amp;IF(D102=100%,", Building common Amenities","")</f>
        <v>Excavation, Plinth</v>
      </c>
      <c r="J91" s="51"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x14ac:dyDescent="0.35">
      <c r="A92" s="119" t="s">
        <v>87</v>
      </c>
      <c r="B92" s="120"/>
      <c r="C92" s="121" t="str">
        <f ca="1">I90</f>
        <v xml:space="preserve">Excavation, Plinth Completed </v>
      </c>
      <c r="D92" s="121"/>
      <c r="E92" s="121"/>
      <c r="F92" s="121"/>
      <c r="G92" s="121"/>
      <c r="H92" s="122"/>
      <c r="I92" s="50" t="str">
        <f ca="1">IF(I91&lt;&gt;""," Completed","")</f>
        <v xml:space="preserve"> Completed</v>
      </c>
      <c r="J92" s="51" t="str">
        <f ca="1">IF(J90&lt;&gt;"","Completed","")</f>
        <v/>
      </c>
      <c r="S92"/>
    </row>
    <row r="93" spans="1:19" ht="15.75" customHeight="1" x14ac:dyDescent="0.35">
      <c r="A93" s="123" t="s">
        <v>47</v>
      </c>
      <c r="B93" s="124"/>
      <c r="C93" s="92" t="s">
        <v>137</v>
      </c>
      <c r="D93" s="92" t="s">
        <v>80</v>
      </c>
      <c r="E93" s="124" t="s">
        <v>82</v>
      </c>
      <c r="F93" s="124"/>
      <c r="G93" s="124" t="s">
        <v>81</v>
      </c>
      <c r="H93" s="125"/>
      <c r="I93" s="13" t="s">
        <v>139</v>
      </c>
      <c r="J93" s="27">
        <f ca="1">H91*25%</f>
        <v>4.25</v>
      </c>
      <c r="S93"/>
    </row>
    <row r="94" spans="1:19" x14ac:dyDescent="0.35">
      <c r="A94" s="123" t="s">
        <v>126</v>
      </c>
      <c r="B94" s="124"/>
      <c r="C94" s="94">
        <f ca="1">J95</f>
        <v>17</v>
      </c>
      <c r="D94" s="18">
        <f ca="1">((100/H91)*C94)/100</f>
        <v>1</v>
      </c>
      <c r="E94" s="151">
        <f ca="1">(((C95/H91*10)+(40/(D91+F91+H91)*C96)+(7.5/(H91)*C97)+(7.5/(H91)*C98)+(10/H91*C99)+(10/H91*C100)+(5/H91*C101)+(5/H91*C102)+(5/H91*C103))/100)</f>
        <v>0.1</v>
      </c>
      <c r="F94" s="152"/>
      <c r="G94" s="151">
        <f ca="1">((((C94/H91)*20)+((C95/H91)*25)+(30/(H91+F91+D91)*C96)+(5/H91*C97)+(5/H91*C98)+(5/H91*C99)+(5/H91*C100)+(0/H91*C101)+(0/H91*C102)+(5/H91*C103))/100)</f>
        <v>0.45</v>
      </c>
      <c r="H94" s="159"/>
      <c r="I94" s="13" t="s">
        <v>98</v>
      </c>
      <c r="J94" s="28">
        <f ca="1">H91*50%</f>
        <v>8.5</v>
      </c>
    </row>
    <row r="95" spans="1:19" x14ac:dyDescent="0.35">
      <c r="A95" s="123" t="s">
        <v>48</v>
      </c>
      <c r="B95" s="124"/>
      <c r="C95" s="102">
        <f ca="1">J103</f>
        <v>17</v>
      </c>
      <c r="D95" s="18">
        <f ca="1">((100/H91)*C95)/100</f>
        <v>1</v>
      </c>
      <c r="E95" s="153"/>
      <c r="F95" s="154"/>
      <c r="G95" s="153"/>
      <c r="H95" s="160"/>
      <c r="I95" s="13" t="s">
        <v>99</v>
      </c>
      <c r="J95" s="28">
        <f ca="1">H91</f>
        <v>17</v>
      </c>
      <c r="S95"/>
    </row>
    <row r="96" spans="1:19" ht="15.75" customHeight="1" x14ac:dyDescent="0.35">
      <c r="A96" s="123" t="s">
        <v>127</v>
      </c>
      <c r="B96" s="124"/>
      <c r="C96" s="92">
        <v>0</v>
      </c>
      <c r="D96" s="18">
        <f ca="1">((100/(D91+F91+H91))*C96)/100</f>
        <v>0</v>
      </c>
      <c r="E96" s="153"/>
      <c r="F96" s="154"/>
      <c r="G96" s="153"/>
      <c r="H96" s="160"/>
      <c r="I96" s="13" t="s">
        <v>100</v>
      </c>
      <c r="J96" s="29">
        <f ca="1">(IF(B91&gt;1,(H91/(B91+2)),H91/4))</f>
        <v>4.25</v>
      </c>
      <c r="S96"/>
    </row>
    <row r="97" spans="1:19" ht="15.75" customHeight="1" x14ac:dyDescent="0.35">
      <c r="A97" s="123" t="s">
        <v>134</v>
      </c>
      <c r="B97" s="124" t="s">
        <v>128</v>
      </c>
      <c r="C97" s="92">
        <v>0</v>
      </c>
      <c r="D97" s="18">
        <f ca="1">((100/H91)*C97)/100</f>
        <v>0</v>
      </c>
      <c r="E97" s="153"/>
      <c r="F97" s="154"/>
      <c r="G97" s="153"/>
      <c r="H97" s="160"/>
      <c r="I97" s="13" t="s">
        <v>101</v>
      </c>
      <c r="J97" s="29">
        <f ca="1">(IF(B91&gt;1,(H91/(B91+2)+J96),H91/4+J96))</f>
        <v>8.5</v>
      </c>
    </row>
    <row r="98" spans="1:19" ht="15.75" customHeight="1" x14ac:dyDescent="0.35">
      <c r="A98" s="123" t="s">
        <v>135</v>
      </c>
      <c r="B98" s="124" t="s">
        <v>128</v>
      </c>
      <c r="C98" s="92">
        <v>0</v>
      </c>
      <c r="D98" s="18">
        <f ca="1">((100/H91)*C98)/100</f>
        <v>0</v>
      </c>
      <c r="E98" s="153"/>
      <c r="F98" s="154"/>
      <c r="G98" s="153"/>
      <c r="H98" s="160"/>
      <c r="I98" s="13" t="s">
        <v>146</v>
      </c>
      <c r="J98" s="29">
        <f>(IF(B91&gt;1,(H91/(B91+2)+J97),0))</f>
        <v>0</v>
      </c>
    </row>
    <row r="99" spans="1:19" ht="15" customHeight="1" x14ac:dyDescent="0.35">
      <c r="A99" s="123" t="s">
        <v>133</v>
      </c>
      <c r="B99" s="124" t="s">
        <v>130</v>
      </c>
      <c r="C99" s="92">
        <v>0</v>
      </c>
      <c r="D99" s="18">
        <f ca="1">((100/(H91))*C99)/100</f>
        <v>0</v>
      </c>
      <c r="E99" s="153"/>
      <c r="F99" s="154"/>
      <c r="G99" s="153"/>
      <c r="H99" s="160"/>
      <c r="I99" s="13" t="s">
        <v>141</v>
      </c>
      <c r="J99" s="29">
        <f>(IF(B91&gt;2,(H91/(B91+2)+J98),0))</f>
        <v>0</v>
      </c>
    </row>
    <row r="100" spans="1:19" ht="15.75" customHeight="1" x14ac:dyDescent="0.35">
      <c r="A100" s="123" t="s">
        <v>129</v>
      </c>
      <c r="B100" s="124" t="s">
        <v>129</v>
      </c>
      <c r="C100" s="92">
        <v>0</v>
      </c>
      <c r="D100" s="18">
        <f ca="1">((100/H91)*C100)/100</f>
        <v>0</v>
      </c>
      <c r="E100" s="153"/>
      <c r="F100" s="154"/>
      <c r="G100" s="153"/>
      <c r="H100" s="160"/>
      <c r="I100" s="13" t="s">
        <v>142</v>
      </c>
      <c r="J100" s="30">
        <f>(IF(B91&gt;3,(H91/(B91+2)+J99),0))</f>
        <v>0</v>
      </c>
    </row>
    <row r="101" spans="1:19" ht="15.75" customHeight="1" x14ac:dyDescent="0.35">
      <c r="A101" s="123" t="s">
        <v>136</v>
      </c>
      <c r="B101" s="124"/>
      <c r="C101" s="92">
        <v>0</v>
      </c>
      <c r="D101" s="18">
        <f ca="1">((100/H91)*C101)/100</f>
        <v>0</v>
      </c>
      <c r="E101" s="153"/>
      <c r="F101" s="154"/>
      <c r="G101" s="153"/>
      <c r="H101" s="160"/>
      <c r="I101" s="13" t="s">
        <v>143</v>
      </c>
      <c r="J101" s="29">
        <f>(IF(B91&gt;4,(H91/(B91+2)+J100),0))</f>
        <v>0</v>
      </c>
    </row>
    <row r="102" spans="1:19" ht="15.75" customHeight="1" x14ac:dyDescent="0.35">
      <c r="A102" s="123" t="s">
        <v>131</v>
      </c>
      <c r="B102" s="124" t="s">
        <v>131</v>
      </c>
      <c r="C102" s="92">
        <v>0</v>
      </c>
      <c r="D102" s="18">
        <f ca="1">((100/(H91))*C102)/100</f>
        <v>0</v>
      </c>
      <c r="E102" s="153"/>
      <c r="F102" s="154"/>
      <c r="G102" s="153"/>
      <c r="H102" s="160"/>
      <c r="I102" s="13" t="s">
        <v>147</v>
      </c>
      <c r="J102" s="29">
        <f ca="1">(IF(B91=1,(H91/(B91+3)+J97),IF(B91=0,(H91/4+J97),IF(B91&gt;1,0))))</f>
        <v>12.75</v>
      </c>
    </row>
    <row r="103" spans="1:19" ht="16" thickBot="1" x14ac:dyDescent="0.4">
      <c r="A103" s="145" t="s">
        <v>132</v>
      </c>
      <c r="B103" s="146"/>
      <c r="C103" s="93">
        <v>0</v>
      </c>
      <c r="D103" s="19">
        <f ca="1">((100/(H91))*C103)/100</f>
        <v>0</v>
      </c>
      <c r="E103" s="155"/>
      <c r="F103" s="156"/>
      <c r="G103" s="155"/>
      <c r="H103" s="161"/>
      <c r="I103" s="14" t="s">
        <v>102</v>
      </c>
      <c r="J103" s="31">
        <f ca="1">(IF(B91&gt;1.5,(H91/(B91+2)+J97+MAX(0,J98-J97)+MAX(0,J99-J98)+MAX(0,J100-J99)+MAX(0,J101-J100)+MAX(0,J102-J101)),IF(B91=1,(H91/(B91+3)+J102),IF(B91=0,H91/4+J102))))</f>
        <v>17</v>
      </c>
    </row>
    <row r="104" spans="1:19" ht="15.75" customHeight="1" x14ac:dyDescent="0.35">
      <c r="A104" s="157" t="s">
        <v>138</v>
      </c>
      <c r="B104" s="158"/>
      <c r="C104" s="116" t="s">
        <v>420</v>
      </c>
      <c r="D104" s="117"/>
      <c r="E104" s="117"/>
      <c r="F104" s="117"/>
      <c r="G104" s="117"/>
      <c r="H104" s="118"/>
      <c r="I104" s="48" t="str">
        <f ca="1">IF(D117=100%,"All work Completed. Possession granted to the Building.",IF(D116=100%,"All work Completed, Waiting for OC",I105&amp;""&amp;I106&amp;""&amp;J105&amp;""&amp;J104&amp;" "&amp;J106))</f>
        <v>Excavation, Plinth Completed, RCC upto 4 Slab, Brickwork upto 1 Floor Completed</v>
      </c>
      <c r="J104" s="49"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RCC upto 4 Slab, Brickwork upto 1 Floor</v>
      </c>
      <c r="S104"/>
    </row>
    <row r="105" spans="1:19" x14ac:dyDescent="0.35">
      <c r="A105" s="15" t="s">
        <v>140</v>
      </c>
      <c r="B105" s="53">
        <f>IF(AND(ISNUMBER(SEARCH("1B",C104))),1,IF(AND(ISNUMBER(SEARCH("2B",C104))),2,IF(AND(ISNUMBER(SEARCH("3B",C104))),3,IF(AND(ISNUMBER(SEARCH("4B",C104))),4,IF(ISNUMBER(SEARCH("5B",C104)),5,0)))))</f>
        <v>1</v>
      </c>
      <c r="C105" s="53" t="s">
        <v>69</v>
      </c>
      <c r="D105" s="53">
        <v>1</v>
      </c>
      <c r="E105" s="53" t="s">
        <v>68</v>
      </c>
      <c r="F105" s="101">
        <v>0</v>
      </c>
      <c r="G105" s="47" t="s">
        <v>77</v>
      </c>
      <c r="H105" s="16">
        <f ca="1">--TRIM(RIGHT(SUBSTITUTE(LEFT(C104,_xlfn.AGGREGATE(16,6,FIND({0,1,2,3,4,5,6,7,8,9},C104,ROW(INDIRECT("1:"&amp;LEN(C104)))),1))," ",REPT(" ",LEN(C104))),LEN(C104)))</f>
        <v>17</v>
      </c>
      <c r="I105" s="50" t="str">
        <f ca="1">IF(D108=100%,"Excavation","")&amp;IF(D109=100%,", Plinth","")&amp;IF(D110=100%,", RCC Slab","")&amp;IF(D111=100%,", Brickwork","")&amp;IF(D112=100%,", Internal Plaster","")&amp;IF(D113=100%,", External Plaster","")&amp;IF(D114=100%,", Flooring","")&amp;IF(D115=100%,", Painting","")&amp;IF(D116=100%,", Building common Amenities","")</f>
        <v>Excavation, Plinth</v>
      </c>
      <c r="J105" s="51"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x14ac:dyDescent="0.35">
      <c r="A106" s="119" t="s">
        <v>87</v>
      </c>
      <c r="B106" s="120"/>
      <c r="C106" s="121" t="str">
        <f ca="1">I104</f>
        <v>Excavation, Plinth Completed, RCC upto 4 Slab, Brickwork upto 1 Floor Completed</v>
      </c>
      <c r="D106" s="121"/>
      <c r="E106" s="121"/>
      <c r="F106" s="121"/>
      <c r="G106" s="121"/>
      <c r="H106" s="122"/>
      <c r="I106" s="50" t="str">
        <f ca="1">IF(I105&lt;&gt;""," Completed","")</f>
        <v xml:space="preserve"> Completed</v>
      </c>
      <c r="J106" s="51" t="str">
        <f ca="1">IF(J104&lt;&gt;"","Completed","")</f>
        <v>Completed</v>
      </c>
      <c r="S106"/>
    </row>
    <row r="107" spans="1:19" ht="15.75" customHeight="1" x14ac:dyDescent="0.35">
      <c r="A107" s="123" t="s">
        <v>47</v>
      </c>
      <c r="B107" s="124"/>
      <c r="C107" s="106" t="s">
        <v>137</v>
      </c>
      <c r="D107" s="106" t="s">
        <v>80</v>
      </c>
      <c r="E107" s="124" t="s">
        <v>82</v>
      </c>
      <c r="F107" s="124"/>
      <c r="G107" s="124" t="s">
        <v>81</v>
      </c>
      <c r="H107" s="125"/>
      <c r="I107" s="13" t="s">
        <v>139</v>
      </c>
      <c r="J107" s="27">
        <f ca="1">H105*25%</f>
        <v>4.25</v>
      </c>
      <c r="S107"/>
    </row>
    <row r="108" spans="1:19" x14ac:dyDescent="0.35">
      <c r="A108" s="124" t="s">
        <v>126</v>
      </c>
      <c r="B108" s="124"/>
      <c r="C108" s="109">
        <f ca="1">J109</f>
        <v>17</v>
      </c>
      <c r="D108" s="18">
        <f ca="1">((100/H105)*C108)/100</f>
        <v>1</v>
      </c>
      <c r="E108" s="126">
        <f ca="1">(((C109/H105*10)+(40/(D105+F105+H105)*C110)+(7.5/(H105)*C111)+(7.5/(H105)*C112)+(10/H105*C113)+(10/H105*C114)+(5/H105*C115)+(5/H105*C116)+(5/H105*C117))/100)</f>
        <v>0.19330065359477125</v>
      </c>
      <c r="F108" s="126"/>
      <c r="G108" s="126">
        <f ca="1">((((C108/H105)*20)+((C109/H105)*25)+(30/(H105+F105+D105)*C110)+(5/H105*C111)+(5/H105*C112)+(5/H105*C113)+(5/H105*C114)+(0/H105*C115)+(0/H105*C116)+(5/H105*C117))/100)</f>
        <v>0.51960784313725494</v>
      </c>
      <c r="H108" s="126"/>
      <c r="I108" s="13" t="s">
        <v>98</v>
      </c>
      <c r="J108" s="28">
        <f ca="1">H105*50%</f>
        <v>8.5</v>
      </c>
    </row>
    <row r="109" spans="1:19" x14ac:dyDescent="0.35">
      <c r="A109" s="124" t="s">
        <v>48</v>
      </c>
      <c r="B109" s="124"/>
      <c r="C109" s="102">
        <f ca="1">J117</f>
        <v>17</v>
      </c>
      <c r="D109" s="18">
        <f ca="1">((100/H105)*C109)/100</f>
        <v>1</v>
      </c>
      <c r="E109" s="126"/>
      <c r="F109" s="126"/>
      <c r="G109" s="126"/>
      <c r="H109" s="126"/>
      <c r="I109" s="13" t="s">
        <v>99</v>
      </c>
      <c r="J109" s="28">
        <f ca="1">H105</f>
        <v>17</v>
      </c>
      <c r="S109"/>
    </row>
    <row r="110" spans="1:19" ht="15.75" customHeight="1" x14ac:dyDescent="0.35">
      <c r="A110" s="124" t="s">
        <v>127</v>
      </c>
      <c r="B110" s="124"/>
      <c r="C110" s="109">
        <v>4</v>
      </c>
      <c r="D110" s="18">
        <f ca="1">((100/(D105+F105+H105))*C110)/100</f>
        <v>0.22222222222222221</v>
      </c>
      <c r="E110" s="126"/>
      <c r="F110" s="126"/>
      <c r="G110" s="126"/>
      <c r="H110" s="126"/>
      <c r="I110" s="13" t="s">
        <v>100</v>
      </c>
      <c r="J110" s="29">
        <f ca="1">(IF(B105&gt;1,(H105/(B105+2)),H105/4))</f>
        <v>4.25</v>
      </c>
      <c r="S110"/>
    </row>
    <row r="111" spans="1:19" ht="15.75" customHeight="1" x14ac:dyDescent="0.35">
      <c r="A111" s="124" t="s">
        <v>134</v>
      </c>
      <c r="B111" s="124" t="s">
        <v>128</v>
      </c>
      <c r="C111" s="109">
        <v>1</v>
      </c>
      <c r="D111" s="18">
        <f ca="1">((100/H105)*C111)/100</f>
        <v>5.8823529411764712E-2</v>
      </c>
      <c r="E111" s="126"/>
      <c r="F111" s="126"/>
      <c r="G111" s="126"/>
      <c r="H111" s="126"/>
      <c r="I111" s="13" t="s">
        <v>101</v>
      </c>
      <c r="J111" s="29">
        <f ca="1">(IF(B105&gt;1,(H105/(B105+2)+J110),H105/4+J110))</f>
        <v>8.5</v>
      </c>
    </row>
    <row r="112" spans="1:19" ht="15.75" customHeight="1" x14ac:dyDescent="0.35">
      <c r="A112" s="124" t="s">
        <v>135</v>
      </c>
      <c r="B112" s="124" t="s">
        <v>128</v>
      </c>
      <c r="C112" s="109">
        <v>0</v>
      </c>
      <c r="D112" s="18">
        <f ca="1">((100/H105)*C112)/100</f>
        <v>0</v>
      </c>
      <c r="E112" s="126"/>
      <c r="F112" s="126"/>
      <c r="G112" s="126"/>
      <c r="H112" s="126"/>
      <c r="I112" s="13" t="s">
        <v>146</v>
      </c>
      <c r="J112" s="29">
        <f>(IF(B105&gt;1,(H105/(B105+2)+J111),0))</f>
        <v>0</v>
      </c>
    </row>
    <row r="113" spans="1:19" ht="15" customHeight="1" x14ac:dyDescent="0.35">
      <c r="A113" s="124" t="s">
        <v>133</v>
      </c>
      <c r="B113" s="124" t="s">
        <v>130</v>
      </c>
      <c r="C113" s="109">
        <v>0</v>
      </c>
      <c r="D113" s="18">
        <f ca="1">((100/(H105))*C113)/100</f>
        <v>0</v>
      </c>
      <c r="E113" s="126"/>
      <c r="F113" s="126"/>
      <c r="G113" s="126"/>
      <c r="H113" s="126"/>
      <c r="I113" s="13" t="s">
        <v>141</v>
      </c>
      <c r="J113" s="29">
        <f>(IF(B105&gt;2,(H105/(B105+2)+J112),0))</f>
        <v>0</v>
      </c>
    </row>
    <row r="114" spans="1:19" ht="15.75" customHeight="1" x14ac:dyDescent="0.35">
      <c r="A114" s="124" t="s">
        <v>129</v>
      </c>
      <c r="B114" s="124" t="s">
        <v>129</v>
      </c>
      <c r="C114" s="109">
        <v>0</v>
      </c>
      <c r="D114" s="18">
        <f ca="1">((100/H105)*C114)/100</f>
        <v>0</v>
      </c>
      <c r="E114" s="126"/>
      <c r="F114" s="126"/>
      <c r="G114" s="126"/>
      <c r="H114" s="126"/>
      <c r="I114" s="13" t="s">
        <v>142</v>
      </c>
      <c r="J114" s="30">
        <f>(IF(B105&gt;3,(H105/(B105+2)+J113),0))</f>
        <v>0</v>
      </c>
    </row>
    <row r="115" spans="1:19" ht="15.75" customHeight="1" x14ac:dyDescent="0.35">
      <c r="A115" s="124" t="s">
        <v>136</v>
      </c>
      <c r="B115" s="124"/>
      <c r="C115" s="109">
        <v>0</v>
      </c>
      <c r="D115" s="18">
        <f ca="1">((100/H105)*C115)/100</f>
        <v>0</v>
      </c>
      <c r="E115" s="126"/>
      <c r="F115" s="126"/>
      <c r="G115" s="126"/>
      <c r="H115" s="126"/>
      <c r="I115" s="13" t="s">
        <v>143</v>
      </c>
      <c r="J115" s="29">
        <f>(IF(B105&gt;4,(H105/(B105+2)+J114),0))</f>
        <v>0</v>
      </c>
    </row>
    <row r="116" spans="1:19" ht="16.5" customHeight="1" x14ac:dyDescent="0.35">
      <c r="A116" s="124" t="s">
        <v>131</v>
      </c>
      <c r="B116" s="124" t="s">
        <v>131</v>
      </c>
      <c r="C116" s="109">
        <v>0</v>
      </c>
      <c r="D116" s="18">
        <f ca="1">((100/(H105))*C116)/100</f>
        <v>0</v>
      </c>
      <c r="E116" s="126"/>
      <c r="F116" s="126"/>
      <c r="G116" s="126"/>
      <c r="H116" s="126"/>
      <c r="I116" s="13" t="s">
        <v>147</v>
      </c>
      <c r="J116" s="29">
        <f ca="1">(IF(B105=1,(H105/(B105+3)+J111),IF(B105=0,(H105/4+J111),IF(B105&gt;1,0))))</f>
        <v>12.75</v>
      </c>
    </row>
    <row r="117" spans="1:19" ht="16" thickBot="1" x14ac:dyDescent="0.4">
      <c r="A117" s="124" t="s">
        <v>132</v>
      </c>
      <c r="B117" s="124"/>
      <c r="C117" s="109">
        <v>0</v>
      </c>
      <c r="D117" s="18">
        <f ca="1">((100/(H105))*C117)/100</f>
        <v>0</v>
      </c>
      <c r="E117" s="126"/>
      <c r="F117" s="126"/>
      <c r="G117" s="126"/>
      <c r="H117" s="126"/>
      <c r="I117" s="14" t="s">
        <v>102</v>
      </c>
      <c r="J117" s="31">
        <f ca="1">(IF(B105&gt;1.5,(H105/(B105+2)+J111+MAX(0,J112-J111)+MAX(0,J113-J112)+MAX(0,J114-J113)+MAX(0,J115-J114)+MAX(0,J116-J115)),IF(B105=1,(H105/(B105+3)+J116),IF(B105=0,H105/4+J116))))</f>
        <v>17</v>
      </c>
    </row>
    <row r="118" spans="1:19" ht="15.75" customHeight="1" x14ac:dyDescent="0.35">
      <c r="A118" s="157" t="s">
        <v>138</v>
      </c>
      <c r="B118" s="158"/>
      <c r="C118" s="116" t="s">
        <v>424</v>
      </c>
      <c r="D118" s="117"/>
      <c r="E118" s="117"/>
      <c r="F118" s="117"/>
      <c r="G118" s="117"/>
      <c r="H118" s="118"/>
      <c r="I118" s="48" t="str">
        <f ca="1">IF(D131=100%,"All work Completed. Possession granted to the Building.",IF(D130=100%,"All work Completed, Waiting for OC",I119&amp;""&amp;I120&amp;""&amp;J119&amp;""&amp;J118&amp;" "&amp;J120))</f>
        <v xml:space="preserve">Excavation Completed, Footing work Completed </v>
      </c>
      <c r="J118" s="49"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c r="S118"/>
    </row>
    <row r="119" spans="1:19" x14ac:dyDescent="0.35">
      <c r="A119" s="15" t="s">
        <v>140</v>
      </c>
      <c r="B119" s="53">
        <f>IF(AND(ISNUMBER(SEARCH("1B",C118))),1,IF(AND(ISNUMBER(SEARCH("2B",C118))),2,IF(AND(ISNUMBER(SEARCH("3B",C118))),3,IF(AND(ISNUMBER(SEARCH("4B",C118))),4,IF(ISNUMBER(SEARCH("5B",C118)),5,0)))))</f>
        <v>1</v>
      </c>
      <c r="C119" s="53" t="s">
        <v>69</v>
      </c>
      <c r="D119" s="53">
        <v>1</v>
      </c>
      <c r="E119" s="53" t="s">
        <v>68</v>
      </c>
      <c r="F119" s="101">
        <v>0</v>
      </c>
      <c r="G119" s="47" t="s">
        <v>77</v>
      </c>
      <c r="H119" s="16">
        <f ca="1">--TRIM(RIGHT(SUBSTITUTE(LEFT(C118,_xlfn.AGGREGATE(16,6,FIND({0,1,2,3,4,5,6,7,8,9},C118,ROW(INDIRECT("1:"&amp;LEN(C118)))),1))," ",REPT(" ",LEN(C118))),LEN(C118)))</f>
        <v>17</v>
      </c>
      <c r="I119" s="50" t="str">
        <f ca="1">IF(D122=100%,"Excavation","")&amp;IF(D123=100%,", Plinth","")&amp;IF(D124=100%,", RCC Slab","")&amp;IF(D125=100%,", Brickwork","")&amp;IF(D126=100%,", Internal Plaster","")&amp;IF(D127=100%,", External Plaster","")&amp;IF(D128=100%,", Flooring","")&amp;IF(D129=100%,", Painting","")&amp;IF(D130=100%,", Building common Amenities","")</f>
        <v>Excavation</v>
      </c>
      <c r="J119" s="51"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Footing work Completed</v>
      </c>
      <c r="S119"/>
    </row>
    <row r="120" spans="1:19" x14ac:dyDescent="0.35">
      <c r="A120" s="119" t="s">
        <v>87</v>
      </c>
      <c r="B120" s="120"/>
      <c r="C120" s="121" t="str">
        <f ca="1">I118</f>
        <v xml:space="preserve">Excavation Completed, Footing work Completed </v>
      </c>
      <c r="D120" s="121"/>
      <c r="E120" s="121"/>
      <c r="F120" s="121"/>
      <c r="G120" s="121"/>
      <c r="H120" s="122"/>
      <c r="I120" s="50" t="str">
        <f ca="1">IF(I119&lt;&gt;""," Completed","")</f>
        <v xml:space="preserve"> Completed</v>
      </c>
      <c r="J120" s="51" t="str">
        <f ca="1">IF(J118&lt;&gt;"","Completed","")</f>
        <v/>
      </c>
      <c r="S120"/>
    </row>
    <row r="121" spans="1:19" ht="15.75" customHeight="1" x14ac:dyDescent="0.35">
      <c r="A121" s="123" t="s">
        <v>47</v>
      </c>
      <c r="B121" s="124"/>
      <c r="C121" s="115" t="s">
        <v>137</v>
      </c>
      <c r="D121" s="115" t="s">
        <v>80</v>
      </c>
      <c r="E121" s="124" t="s">
        <v>82</v>
      </c>
      <c r="F121" s="124"/>
      <c r="G121" s="124" t="s">
        <v>81</v>
      </c>
      <c r="H121" s="125"/>
      <c r="I121" s="13" t="s">
        <v>139</v>
      </c>
      <c r="J121" s="27">
        <f ca="1">H119*25%</f>
        <v>4.25</v>
      </c>
      <c r="S121"/>
    </row>
    <row r="122" spans="1:19" x14ac:dyDescent="0.35">
      <c r="A122" s="124" t="s">
        <v>126</v>
      </c>
      <c r="B122" s="124"/>
      <c r="C122" s="115">
        <f ca="1">J123</f>
        <v>17</v>
      </c>
      <c r="D122" s="18">
        <f ca="1">((100/H119)*C122)/100</f>
        <v>1</v>
      </c>
      <c r="E122" s="126">
        <f ca="1">(((C123/H119*10)+(40/(D119+F119+H119)*C124)+(7.5/(H119)*C125)+(7.5/(H119)*C126)+(10/H119*C127)+(10/H119*C128)+(5/H119*C129)+(5/H119*C130)+(5/H119*C131))/100)</f>
        <v>0.05</v>
      </c>
      <c r="F122" s="126"/>
      <c r="G122" s="126">
        <f ca="1">((((C122/H119)*20)+((C123/H119)*25)+(30/(H119+F119+D119)*C124)+(5/H119*C125)+(5/H119*C126)+(5/H119*C127)+(5/H119*C128)+(0/H119*C129)+(0/H119*C130)+(5/H119*C131))/100)</f>
        <v>0.32500000000000001</v>
      </c>
      <c r="H122" s="126"/>
      <c r="I122" s="13" t="s">
        <v>98</v>
      </c>
      <c r="J122" s="28">
        <f ca="1">H119*50%</f>
        <v>8.5</v>
      </c>
    </row>
    <row r="123" spans="1:19" x14ac:dyDescent="0.35">
      <c r="A123" s="124" t="s">
        <v>48</v>
      </c>
      <c r="B123" s="124"/>
      <c r="C123" s="102">
        <f ca="1">J125</f>
        <v>8.5</v>
      </c>
      <c r="D123" s="18">
        <f ca="1">((100/H119)*C123)/100</f>
        <v>0.5</v>
      </c>
      <c r="E123" s="126"/>
      <c r="F123" s="126"/>
      <c r="G123" s="126"/>
      <c r="H123" s="126"/>
      <c r="I123" s="13" t="s">
        <v>99</v>
      </c>
      <c r="J123" s="28">
        <f ca="1">H119</f>
        <v>17</v>
      </c>
      <c r="S123"/>
    </row>
    <row r="124" spans="1:19" ht="15.75" customHeight="1" x14ac:dyDescent="0.35">
      <c r="A124" s="124" t="s">
        <v>127</v>
      </c>
      <c r="B124" s="124"/>
      <c r="C124" s="115">
        <v>0</v>
      </c>
      <c r="D124" s="18">
        <f ca="1">((100/(D119+F119+H119))*C124)/100</f>
        <v>0</v>
      </c>
      <c r="E124" s="126"/>
      <c r="F124" s="126"/>
      <c r="G124" s="126"/>
      <c r="H124" s="126"/>
      <c r="I124" s="13" t="s">
        <v>100</v>
      </c>
      <c r="J124" s="29">
        <f ca="1">(IF(B119&gt;1,(H119/(B119+2)),H119/4))</f>
        <v>4.25</v>
      </c>
      <c r="S124"/>
    </row>
    <row r="125" spans="1:19" ht="15.75" customHeight="1" x14ac:dyDescent="0.35">
      <c r="A125" s="124" t="s">
        <v>134</v>
      </c>
      <c r="B125" s="124" t="s">
        <v>128</v>
      </c>
      <c r="C125" s="115">
        <v>0</v>
      </c>
      <c r="D125" s="18">
        <f ca="1">((100/H119)*C125)/100</f>
        <v>0</v>
      </c>
      <c r="E125" s="126"/>
      <c r="F125" s="126"/>
      <c r="G125" s="126"/>
      <c r="H125" s="126"/>
      <c r="I125" s="13" t="s">
        <v>101</v>
      </c>
      <c r="J125" s="29">
        <f ca="1">(IF(B119&gt;1,(H119/(B119+2)+J124),H119/4+J124))</f>
        <v>8.5</v>
      </c>
    </row>
    <row r="126" spans="1:19" ht="15.75" customHeight="1" x14ac:dyDescent="0.35">
      <c r="A126" s="124" t="s">
        <v>135</v>
      </c>
      <c r="B126" s="124" t="s">
        <v>128</v>
      </c>
      <c r="C126" s="115">
        <v>0</v>
      </c>
      <c r="D126" s="18">
        <f ca="1">((100/H119)*C126)/100</f>
        <v>0</v>
      </c>
      <c r="E126" s="126"/>
      <c r="F126" s="126"/>
      <c r="G126" s="126"/>
      <c r="H126" s="126"/>
      <c r="I126" s="13" t="s">
        <v>146</v>
      </c>
      <c r="J126" s="29">
        <f>(IF(B119&gt;1,(H119/(B119+2)+J125),0))</f>
        <v>0</v>
      </c>
    </row>
    <row r="127" spans="1:19" ht="15" customHeight="1" x14ac:dyDescent="0.35">
      <c r="A127" s="124" t="s">
        <v>133</v>
      </c>
      <c r="B127" s="124" t="s">
        <v>130</v>
      </c>
      <c r="C127" s="115">
        <v>0</v>
      </c>
      <c r="D127" s="18">
        <f ca="1">((100/(H119))*C127)/100</f>
        <v>0</v>
      </c>
      <c r="E127" s="126"/>
      <c r="F127" s="126"/>
      <c r="G127" s="126"/>
      <c r="H127" s="126"/>
      <c r="I127" s="13" t="s">
        <v>141</v>
      </c>
      <c r="J127" s="29">
        <f>(IF(B119&gt;2,(H119/(B119+2)+J126),0))</f>
        <v>0</v>
      </c>
    </row>
    <row r="128" spans="1:19" ht="15.75" customHeight="1" x14ac:dyDescent="0.35">
      <c r="A128" s="124" t="s">
        <v>129</v>
      </c>
      <c r="B128" s="124" t="s">
        <v>129</v>
      </c>
      <c r="C128" s="115">
        <v>0</v>
      </c>
      <c r="D128" s="18">
        <f ca="1">((100/H119)*C128)/100</f>
        <v>0</v>
      </c>
      <c r="E128" s="126"/>
      <c r="F128" s="126"/>
      <c r="G128" s="126"/>
      <c r="H128" s="126"/>
      <c r="I128" s="13" t="s">
        <v>142</v>
      </c>
      <c r="J128" s="30">
        <f>(IF(B119&gt;3,(H119/(B119+2)+J127),0))</f>
        <v>0</v>
      </c>
    </row>
    <row r="129" spans="1:19" ht="15.75" customHeight="1" x14ac:dyDescent="0.35">
      <c r="A129" s="124" t="s">
        <v>136</v>
      </c>
      <c r="B129" s="124"/>
      <c r="C129" s="115">
        <v>0</v>
      </c>
      <c r="D129" s="18">
        <f ca="1">((100/H119)*C129)/100</f>
        <v>0</v>
      </c>
      <c r="E129" s="126"/>
      <c r="F129" s="126"/>
      <c r="G129" s="126"/>
      <c r="H129" s="126"/>
      <c r="I129" s="13" t="s">
        <v>143</v>
      </c>
      <c r="J129" s="29">
        <f>(IF(B119&gt;4,(H119/(B119+2)+J128),0))</f>
        <v>0</v>
      </c>
    </row>
    <row r="130" spans="1:19" ht="16.5" customHeight="1" x14ac:dyDescent="0.35">
      <c r="A130" s="124" t="s">
        <v>131</v>
      </c>
      <c r="B130" s="124" t="s">
        <v>131</v>
      </c>
      <c r="C130" s="115">
        <v>0</v>
      </c>
      <c r="D130" s="18">
        <f ca="1">((100/(H119))*C130)/100</f>
        <v>0</v>
      </c>
      <c r="E130" s="126"/>
      <c r="F130" s="126"/>
      <c r="G130" s="126"/>
      <c r="H130" s="126"/>
      <c r="I130" s="13" t="s">
        <v>147</v>
      </c>
      <c r="J130" s="29">
        <f ca="1">(IF(B119=1,(H119/(B119+3)+J125),IF(B119=0,(H119/4+J125),IF(B119&gt;1,0))))</f>
        <v>12.75</v>
      </c>
    </row>
    <row r="131" spans="1:19" ht="16" thickBot="1" x14ac:dyDescent="0.4">
      <c r="A131" s="124" t="s">
        <v>132</v>
      </c>
      <c r="B131" s="124"/>
      <c r="C131" s="115">
        <v>0</v>
      </c>
      <c r="D131" s="18">
        <f ca="1">((100/(H119))*C131)/100</f>
        <v>0</v>
      </c>
      <c r="E131" s="126"/>
      <c r="F131" s="126"/>
      <c r="G131" s="126"/>
      <c r="H131" s="126"/>
      <c r="I131" s="14" t="s">
        <v>102</v>
      </c>
      <c r="J131" s="31">
        <f ca="1">(IF(B119&gt;1.5,(H119/(B119+2)+J125+MAX(0,J126-J125)+MAX(0,J127-J126)+MAX(0,J128-J127)+MAX(0,J129-J128)+MAX(0,J130-J129)),IF(B119=1,(H119/(B119+3)+J130),IF(B119=0,H119/4+J130))))</f>
        <v>17</v>
      </c>
    </row>
    <row r="132" spans="1:19" ht="29.5" customHeight="1" thickBot="1" x14ac:dyDescent="0.4">
      <c r="A132" s="269" t="s">
        <v>421</v>
      </c>
      <c r="B132" s="270"/>
      <c r="C132" s="271">
        <f ca="1">AVERAGE(E94,E108,E122)</f>
        <v>0.11443355119825709</v>
      </c>
      <c r="D132" s="272"/>
      <c r="E132" s="273" t="s">
        <v>422</v>
      </c>
      <c r="F132" s="272"/>
      <c r="G132" s="271">
        <f ca="1">AVERAGE(G94,G108,G122)</f>
        <v>0.43153594771241832</v>
      </c>
      <c r="H132" s="274"/>
      <c r="I132" s="50"/>
      <c r="J132" s="51"/>
      <c r="S132"/>
    </row>
    <row r="133" spans="1:19" ht="15.75" customHeight="1" x14ac:dyDescent="0.35">
      <c r="A133" s="157" t="s">
        <v>138</v>
      </c>
      <c r="B133" s="158"/>
      <c r="C133" s="116" t="str">
        <f>D67</f>
        <v>Building R = St + 1st to 11th Floor</v>
      </c>
      <c r="D133" s="117"/>
      <c r="E133" s="117"/>
      <c r="F133" s="117"/>
      <c r="G133" s="117"/>
      <c r="H133" s="118"/>
      <c r="I133" s="48" t="str">
        <f ca="1">IF(D146=100%,"All work Completed. Possession granted to the Building.",IF(D145=100%,"All work Completed, Waiting for OC",I134&amp;""&amp;I135&amp;""&amp;J134&amp;""&amp;J133&amp;" "&amp;J135))</f>
        <v xml:space="preserve">Work not yet Started. </v>
      </c>
      <c r="J133" s="49" t="str">
        <f ca="1">(IF(C139=(D134+F134+H134),"",IF(C139&gt;0,", RCC upto "&amp;C139&amp;" Slab","")))&amp;(IF(C140=H134,"",IF(C140&gt;0,", Brickwork upto "&amp;C140&amp;" Floor","")))&amp;(IF(C141=H134,"",IF(C141&gt;0,", Internal Plaster upto "&amp;C141&amp;" Floor","")))&amp;(IF(C142=H134,"",IF(C142&gt;0,", External Plaster upto "&amp;C142&amp;" Floor","")))&amp;(IF(C143=H134,"",IF(C143&gt;0,", Flooring upto "&amp;C143&amp;" Floor","")))&amp;(IF(C144=H134,"",IF(C144&gt;0,", Painting upto "&amp;C144&amp;" Floor","")))&amp;(IF(C145=H134,"",IF(C145&gt;0,", Finishing upto "&amp;C145&amp;" Floor","")))&amp;(IF(C146=H134,"",IF(C146&gt;0,", Possession upto "&amp;C146&amp;" Floor","")))</f>
        <v/>
      </c>
      <c r="S133"/>
    </row>
    <row r="134" spans="1:19" x14ac:dyDescent="0.35">
      <c r="A134" s="15" t="s">
        <v>140</v>
      </c>
      <c r="B134" s="53">
        <f>IF(AND(ISNUMBER(SEARCH("1B",C133))),1,IF(AND(ISNUMBER(SEARCH("2B",C133))),2,IF(AND(ISNUMBER(SEARCH("3B",C133))),3,IF(AND(ISNUMBER(SEARCH("4B",C133))),4,IF(ISNUMBER(SEARCH("5B",C133)),5,0)))))</f>
        <v>0</v>
      </c>
      <c r="C134" s="53" t="s">
        <v>69</v>
      </c>
      <c r="D134" s="53">
        <v>1</v>
      </c>
      <c r="E134" s="53" t="s">
        <v>68</v>
      </c>
      <c r="F134" s="101">
        <v>0</v>
      </c>
      <c r="G134" s="47" t="s">
        <v>77</v>
      </c>
      <c r="H134" s="16">
        <f ca="1">--TRIM(RIGHT(SUBSTITUTE(LEFT(C133,_xlfn.AGGREGATE(16,6,FIND({0,1,2,3,4,5,6,7,8,9},C133,ROW(INDIRECT("1:"&amp;LEN(C133)))),1))," ",REPT(" ",LEN(C133))),LEN(C133)))</f>
        <v>11</v>
      </c>
      <c r="I134" s="50" t="str">
        <f ca="1">IF(D137=100%,"Excavation","")&amp;IF(D138=100%,", Plinth","")&amp;IF(D139=100%,", RCC Slab","")&amp;IF(D140=100%,", Brickwork","")&amp;IF(D141=100%,", Internal Plaster","")&amp;IF(D142=100%,", External Plaster","")&amp;IF(D143=100%,", Flooring","")&amp;IF(D144=100%,", Painting","")&amp;IF(D145=100%,", Building common Amenities","")</f>
        <v/>
      </c>
      <c r="J134" s="51" t="str">
        <f>(IF(C137=0,"Work not yet Started.",IF(D137=25%,"Piling work in process",IF(D137=50%,"Excavation work in process",IF(D137=100%,"","0")))))&amp;(IF(C138=0%,"",IF(C138=J139,", Footing work is process",IF(C138=J140,", Footing work Completed",IF(C138=J141,", 1st Basement Completed",IF(C138=J142,", 1st &amp; 2nd Basement Completed",IF(C138=J143,", 1st to 3rd Basement Completed",IF(C138=J144,", 1st to 4th Basement Completed",IF(C138=J145,", Plinth work is process",IF(C138=J146,"","0"))))))))))</f>
        <v>Work not yet Started.</v>
      </c>
      <c r="S134"/>
    </row>
    <row r="135" spans="1:19" x14ac:dyDescent="0.35">
      <c r="A135" s="119" t="s">
        <v>87</v>
      </c>
      <c r="B135" s="120"/>
      <c r="C135" s="121" t="str">
        <f ca="1">I133</f>
        <v xml:space="preserve">Work not yet Started. </v>
      </c>
      <c r="D135" s="121"/>
      <c r="E135" s="121"/>
      <c r="F135" s="121"/>
      <c r="G135" s="121"/>
      <c r="H135" s="122"/>
      <c r="I135" s="50" t="str">
        <f ca="1">IF(I134&lt;&gt;""," Completed","")</f>
        <v/>
      </c>
      <c r="J135" s="51" t="str">
        <f ca="1">IF(J133&lt;&gt;"","Completed","")</f>
        <v/>
      </c>
      <c r="S135"/>
    </row>
    <row r="136" spans="1:19" ht="15.75" customHeight="1" x14ac:dyDescent="0.35">
      <c r="A136" s="123" t="s">
        <v>47</v>
      </c>
      <c r="B136" s="124"/>
      <c r="C136" s="83" t="s">
        <v>137</v>
      </c>
      <c r="D136" s="83" t="s">
        <v>80</v>
      </c>
      <c r="E136" s="124" t="s">
        <v>82</v>
      </c>
      <c r="F136" s="124"/>
      <c r="G136" s="124" t="s">
        <v>81</v>
      </c>
      <c r="H136" s="125"/>
      <c r="I136" s="13" t="s">
        <v>139</v>
      </c>
      <c r="J136" s="27">
        <f ca="1">H134*25%</f>
        <v>2.75</v>
      </c>
      <c r="S136"/>
    </row>
    <row r="137" spans="1:19" x14ac:dyDescent="0.35">
      <c r="A137" s="123" t="s">
        <v>126</v>
      </c>
      <c r="B137" s="124"/>
      <c r="C137" s="94">
        <v>0</v>
      </c>
      <c r="D137" s="18">
        <f ca="1">((100/H134)*C137)/100</f>
        <v>0</v>
      </c>
      <c r="E137" s="151">
        <f ca="1">(((C138/H134*10)+(40/(D134+F134+H134)*C139)+(7.5/(H134)*C140)+(7.5/(H134)*C141)+(10/H134*C142)+(10/H134*C143)+(5/H134*C144)+(5/H134*C145)+(5/H134*C146))/100)</f>
        <v>0</v>
      </c>
      <c r="F137" s="152"/>
      <c r="G137" s="151">
        <f ca="1">((((C137/H134)*20)+((C138/H134)*25)+(30/(H134+F134+D134)*C139)+(5/H134*C140)+(5/H134*C141)+(5/H134*C142)+(5/H134*C143)+(0/H134*C144)+(0/H134*C145)+(5/H134*C146))/100)</f>
        <v>0</v>
      </c>
      <c r="H137" s="159"/>
      <c r="I137" s="13" t="s">
        <v>98</v>
      </c>
      <c r="J137" s="28">
        <f ca="1">H134*50%</f>
        <v>5.5</v>
      </c>
    </row>
    <row r="138" spans="1:19" x14ac:dyDescent="0.35">
      <c r="A138" s="123" t="s">
        <v>48</v>
      </c>
      <c r="B138" s="124"/>
      <c r="C138" s="83">
        <v>0</v>
      </c>
      <c r="D138" s="18">
        <f ca="1">((100/H134)*C138)/100</f>
        <v>0</v>
      </c>
      <c r="E138" s="153"/>
      <c r="F138" s="154"/>
      <c r="G138" s="153"/>
      <c r="H138" s="160"/>
      <c r="I138" s="13" t="s">
        <v>99</v>
      </c>
      <c r="J138" s="28">
        <f ca="1">H134</f>
        <v>11</v>
      </c>
      <c r="S138"/>
    </row>
    <row r="139" spans="1:19" ht="15.75" customHeight="1" x14ac:dyDescent="0.35">
      <c r="A139" s="123" t="s">
        <v>127</v>
      </c>
      <c r="B139" s="124"/>
      <c r="C139" s="83">
        <v>0</v>
      </c>
      <c r="D139" s="18">
        <f ca="1">((100/(D134+F134+H134))*C139)/100</f>
        <v>0</v>
      </c>
      <c r="E139" s="153"/>
      <c r="F139" s="154"/>
      <c r="G139" s="153"/>
      <c r="H139" s="160"/>
      <c r="I139" s="13" t="s">
        <v>100</v>
      </c>
      <c r="J139" s="29">
        <f ca="1">(IF(B134&gt;1,(H134/(B134+2)),H134/4))</f>
        <v>2.75</v>
      </c>
      <c r="S139"/>
    </row>
    <row r="140" spans="1:19" ht="15.75" customHeight="1" x14ac:dyDescent="0.35">
      <c r="A140" s="123" t="s">
        <v>134</v>
      </c>
      <c r="B140" s="124" t="s">
        <v>128</v>
      </c>
      <c r="C140" s="83">
        <v>0</v>
      </c>
      <c r="D140" s="18">
        <f ca="1">((100/H134)*C140)/100</f>
        <v>0</v>
      </c>
      <c r="E140" s="153"/>
      <c r="F140" s="154"/>
      <c r="G140" s="153"/>
      <c r="H140" s="160"/>
      <c r="I140" s="13" t="s">
        <v>101</v>
      </c>
      <c r="J140" s="29">
        <f ca="1">(IF(B134&gt;1,(H134/(B134+2)+J139),H134/4+J139))</f>
        <v>5.5</v>
      </c>
    </row>
    <row r="141" spans="1:19" ht="15.75" customHeight="1" x14ac:dyDescent="0.35">
      <c r="A141" s="123" t="s">
        <v>135</v>
      </c>
      <c r="B141" s="124" t="s">
        <v>128</v>
      </c>
      <c r="C141" s="83">
        <v>0</v>
      </c>
      <c r="D141" s="18">
        <f ca="1">((100/H134)*C141)/100</f>
        <v>0</v>
      </c>
      <c r="E141" s="153"/>
      <c r="F141" s="154"/>
      <c r="G141" s="153"/>
      <c r="H141" s="160"/>
      <c r="I141" s="13" t="s">
        <v>146</v>
      </c>
      <c r="J141" s="29">
        <f>(IF(B134&gt;1,(H134/(B134+2)+J140),0))</f>
        <v>0</v>
      </c>
    </row>
    <row r="142" spans="1:19" ht="15" customHeight="1" x14ac:dyDescent="0.35">
      <c r="A142" s="123" t="s">
        <v>133</v>
      </c>
      <c r="B142" s="124" t="s">
        <v>130</v>
      </c>
      <c r="C142" s="83">
        <v>0</v>
      </c>
      <c r="D142" s="18">
        <f ca="1">((100/(H134))*C142)/100</f>
        <v>0</v>
      </c>
      <c r="E142" s="153"/>
      <c r="F142" s="154"/>
      <c r="G142" s="153"/>
      <c r="H142" s="160"/>
      <c r="I142" s="13" t="s">
        <v>141</v>
      </c>
      <c r="J142" s="29">
        <f>(IF(B134&gt;2,(H134/(B134+2)+J141),0))</f>
        <v>0</v>
      </c>
    </row>
    <row r="143" spans="1:19" ht="15.75" customHeight="1" x14ac:dyDescent="0.35">
      <c r="A143" s="123" t="s">
        <v>129</v>
      </c>
      <c r="B143" s="124" t="s">
        <v>129</v>
      </c>
      <c r="C143" s="83">
        <v>0</v>
      </c>
      <c r="D143" s="18">
        <f ca="1">((100/H134)*C143)/100</f>
        <v>0</v>
      </c>
      <c r="E143" s="153"/>
      <c r="F143" s="154"/>
      <c r="G143" s="153"/>
      <c r="H143" s="160"/>
      <c r="I143" s="13" t="s">
        <v>142</v>
      </c>
      <c r="J143" s="30">
        <f>(IF(B134&gt;3,(H134/(B134+2)+J142),0))</f>
        <v>0</v>
      </c>
    </row>
    <row r="144" spans="1:19" ht="15.75" customHeight="1" x14ac:dyDescent="0.35">
      <c r="A144" s="123" t="s">
        <v>136</v>
      </c>
      <c r="B144" s="124"/>
      <c r="C144" s="83">
        <v>0</v>
      </c>
      <c r="D144" s="18">
        <f ca="1">((100/H134)*C144)/100</f>
        <v>0</v>
      </c>
      <c r="E144" s="153"/>
      <c r="F144" s="154"/>
      <c r="G144" s="153"/>
      <c r="H144" s="160"/>
      <c r="I144" s="13" t="s">
        <v>143</v>
      </c>
      <c r="J144" s="29">
        <f>(IF(B134&gt;4,(H134/(B134+2)+J143),0))</f>
        <v>0</v>
      </c>
    </row>
    <row r="145" spans="1:19" ht="15.75" customHeight="1" x14ac:dyDescent="0.35">
      <c r="A145" s="123" t="s">
        <v>131</v>
      </c>
      <c r="B145" s="124" t="s">
        <v>131</v>
      </c>
      <c r="C145" s="83">
        <v>0</v>
      </c>
      <c r="D145" s="18">
        <f ca="1">((100/(H134))*C145)/100</f>
        <v>0</v>
      </c>
      <c r="E145" s="153"/>
      <c r="F145" s="154"/>
      <c r="G145" s="153"/>
      <c r="H145" s="160"/>
      <c r="I145" s="13" t="s">
        <v>147</v>
      </c>
      <c r="J145" s="29">
        <f ca="1">(IF(B134=1,(H134/(B134+3)+J140),IF(B134=0,(H134/4+J140),IF(B134&gt;1,0))))</f>
        <v>8.25</v>
      </c>
    </row>
    <row r="146" spans="1:19" ht="16" thickBot="1" x14ac:dyDescent="0.4">
      <c r="A146" s="145" t="s">
        <v>132</v>
      </c>
      <c r="B146" s="146"/>
      <c r="C146" s="82">
        <v>0</v>
      </c>
      <c r="D146" s="19">
        <f ca="1">((100/(H134))*C146)/100</f>
        <v>0</v>
      </c>
      <c r="E146" s="155"/>
      <c r="F146" s="156"/>
      <c r="G146" s="155"/>
      <c r="H146" s="161"/>
      <c r="I146" s="14" t="s">
        <v>102</v>
      </c>
      <c r="J146" s="31">
        <f ca="1">(IF(B134&gt;1.5,(H134/(B134+2)+J140+MAX(0,J141-J140)+MAX(0,J142-J141)+MAX(0,J143-J142)+MAX(0,J144-J143)+MAX(0,J145-J144)),IF(B134=1,(H134/(B134+3)+J145),IF(B134=0,H134/4+J145))))</f>
        <v>11</v>
      </c>
    </row>
    <row r="147" spans="1:19" ht="15.75" customHeight="1" x14ac:dyDescent="0.35">
      <c r="A147" s="157" t="s">
        <v>138</v>
      </c>
      <c r="B147" s="158"/>
      <c r="C147" s="116" t="str">
        <f>D68</f>
        <v>Building S = St + 1st to 12th Floor</v>
      </c>
      <c r="D147" s="117"/>
      <c r="E147" s="117"/>
      <c r="F147" s="117"/>
      <c r="G147" s="117"/>
      <c r="H147" s="118"/>
      <c r="I147" s="48" t="str">
        <f ca="1">IF(D160=100%,"All work Completed. Possession granted to the Building.",IF(D159=100%,"All work Completed, Waiting for OC",I148&amp;""&amp;I149&amp;""&amp;J148&amp;""&amp;J147&amp;" "&amp;J149))</f>
        <v xml:space="preserve">Work not yet Started. </v>
      </c>
      <c r="J147" s="49" t="str">
        <f ca="1">(IF(C153=(D148+F148+H148),"",IF(C153&gt;0,", RCC upto "&amp;C153&amp;" Slab","")))&amp;(IF(C154=H148,"",IF(C154&gt;0,", Brickwork upto "&amp;C154&amp;" Floor","")))&amp;(IF(C155=H148,"",IF(C155&gt;0,", Internal Plaster upto "&amp;C155&amp;" Floor","")))&amp;(IF(C156=H148,"",IF(C156&gt;0,", External Plaster upto "&amp;C156&amp;" Floor","")))&amp;(IF(C157=H148,"",IF(C157&gt;0,", Flooring upto "&amp;C157&amp;" Floor","")))&amp;(IF(C158=H148,"",IF(C158&gt;0,", Painting upto "&amp;C158&amp;" Floor","")))&amp;(IF(C159=H148,"",IF(C159&gt;0,", Finishing upto "&amp;C159&amp;" Floor","")))&amp;(IF(C160=H148,"",IF(C160&gt;0,", Possession upto "&amp;C160&amp;" Floor","")))</f>
        <v/>
      </c>
      <c r="S147"/>
    </row>
    <row r="148" spans="1:19" x14ac:dyDescent="0.35">
      <c r="A148" s="15" t="s">
        <v>140</v>
      </c>
      <c r="B148" s="53">
        <f>IF(AND(ISNUMBER(SEARCH("1B",C147))),1,IF(AND(ISNUMBER(SEARCH("2B",C147))),2,IF(AND(ISNUMBER(SEARCH("3B",C147))),3,IF(AND(ISNUMBER(SEARCH("4B",C147))),4,IF(ISNUMBER(SEARCH("5B",C147)),5,0)))))</f>
        <v>0</v>
      </c>
      <c r="C148" s="53" t="s">
        <v>69</v>
      </c>
      <c r="D148" s="53">
        <v>1</v>
      </c>
      <c r="E148" s="53" t="s">
        <v>68</v>
      </c>
      <c r="F148" s="53">
        <v>0</v>
      </c>
      <c r="G148" s="47" t="s">
        <v>77</v>
      </c>
      <c r="H148" s="16">
        <f ca="1">--TRIM(RIGHT(SUBSTITUTE(LEFT(C147,_xlfn.AGGREGATE(16,6,FIND({0,1,2,3,4,5,6,7,8,9},C147,ROW(INDIRECT("1:"&amp;LEN(C147)))),1))," ",REPT(" ",LEN(C147))),LEN(C147)))</f>
        <v>12</v>
      </c>
      <c r="I148" s="50" t="str">
        <f ca="1">IF(D151=100%,"Excavation","")&amp;IF(D152=100%,", Plinth","")&amp;IF(D153=100%,", RCC Slab","")&amp;IF(D154=100%,", Brickwork","")&amp;IF(D155=100%,", Internal Plaster","")&amp;IF(D156=100%,", External Plaster","")&amp;IF(D157=100%,", Flooring","")&amp;IF(D158=100%,", Painting","")&amp;IF(D159=100%,", Building common Amenities","")</f>
        <v/>
      </c>
      <c r="J148" s="51" t="str">
        <f>(IF(C151=0,"Work not yet Started.",IF(D151=25%,"Piling work in process",IF(D151=50%,"Excavation work in process",IF(D151=100%,"","0")))))&amp;(IF(C152=0%,"",IF(C152=J153,", Footing work is process",IF(C152=J154,", Footing work Completed",IF(C152=J155,", 1st Basement Completed",IF(C152=J156,", 1st &amp; 2nd Basement Completed",IF(C152=J157,", 1st to 3rd Basement Completed",IF(C152=J158,", 1st to 4th Basement Completed",IF(C152=J159,", Plinth work is process",IF(C152=J160,"","0"))))))))))</f>
        <v>Work not yet Started.</v>
      </c>
      <c r="S148"/>
    </row>
    <row r="149" spans="1:19" x14ac:dyDescent="0.35">
      <c r="A149" s="119" t="s">
        <v>87</v>
      </c>
      <c r="B149" s="120"/>
      <c r="C149" s="121" t="str">
        <f ca="1">I147</f>
        <v xml:space="preserve">Work not yet Started. </v>
      </c>
      <c r="D149" s="121"/>
      <c r="E149" s="121"/>
      <c r="F149" s="121"/>
      <c r="G149" s="121"/>
      <c r="H149" s="122"/>
      <c r="I149" s="50" t="str">
        <f ca="1">IF(I148&lt;&gt;""," Completed","")</f>
        <v/>
      </c>
      <c r="J149" s="51" t="str">
        <f ca="1">IF(J147&lt;&gt;"","Completed","")</f>
        <v/>
      </c>
      <c r="S149"/>
    </row>
    <row r="150" spans="1:19" ht="15.75" customHeight="1" x14ac:dyDescent="0.35">
      <c r="A150" s="123" t="s">
        <v>47</v>
      </c>
      <c r="B150" s="124"/>
      <c r="C150" s="83" t="s">
        <v>137</v>
      </c>
      <c r="D150" s="83" t="s">
        <v>80</v>
      </c>
      <c r="E150" s="124" t="s">
        <v>82</v>
      </c>
      <c r="F150" s="124"/>
      <c r="G150" s="124" t="s">
        <v>81</v>
      </c>
      <c r="H150" s="125"/>
      <c r="I150" s="13" t="s">
        <v>139</v>
      </c>
      <c r="J150" s="27">
        <f ca="1">H148*25%</f>
        <v>3</v>
      </c>
      <c r="S150"/>
    </row>
    <row r="151" spans="1:19" x14ac:dyDescent="0.35">
      <c r="A151" s="123" t="s">
        <v>126</v>
      </c>
      <c r="B151" s="124"/>
      <c r="C151" s="94">
        <v>0</v>
      </c>
      <c r="D151" s="18">
        <f ca="1">((100/H148)*C151)/100</f>
        <v>0</v>
      </c>
      <c r="E151" s="151">
        <f ca="1">(((C152/H148*10)+(40/(D148+F148+H148)*C153)+(7.5/(H148)*C154)+(7.5/(H148)*C155)+(10/H148*C156)+(10/H148*C157)+(5/H148*C158)+(5/H148*C159)+(5/H148*C160))/100)</f>
        <v>0</v>
      </c>
      <c r="F151" s="152"/>
      <c r="G151" s="151">
        <f ca="1">((((C151/H148)*20)+((C152/H148)*25)+(30/(H148+F148+D148)*C153)+(5/H148*C154)+(5/H148*C155)+(5/H148*C156)+(5/H148*C157)+(0/H148*C158)+(0/H148*C159)+(5/H148*C160))/100)</f>
        <v>0</v>
      </c>
      <c r="H151" s="159"/>
      <c r="I151" s="13" t="s">
        <v>98</v>
      </c>
      <c r="J151" s="28">
        <f ca="1">H148*50%</f>
        <v>6</v>
      </c>
    </row>
    <row r="152" spans="1:19" x14ac:dyDescent="0.35">
      <c r="A152" s="123" t="s">
        <v>48</v>
      </c>
      <c r="B152" s="124"/>
      <c r="C152" s="83">
        <v>0</v>
      </c>
      <c r="D152" s="18">
        <f ca="1">((100/H148)*C152)/100</f>
        <v>0</v>
      </c>
      <c r="E152" s="153"/>
      <c r="F152" s="154"/>
      <c r="G152" s="153"/>
      <c r="H152" s="160"/>
      <c r="I152" s="13" t="s">
        <v>99</v>
      </c>
      <c r="J152" s="28">
        <f ca="1">H148</f>
        <v>12</v>
      </c>
      <c r="S152"/>
    </row>
    <row r="153" spans="1:19" ht="15.75" customHeight="1" x14ac:dyDescent="0.35">
      <c r="A153" s="123" t="s">
        <v>127</v>
      </c>
      <c r="B153" s="124"/>
      <c r="C153" s="83">
        <v>0</v>
      </c>
      <c r="D153" s="18">
        <f ca="1">((100/(D148+F148+H148))*C153)/100</f>
        <v>0</v>
      </c>
      <c r="E153" s="153"/>
      <c r="F153" s="154"/>
      <c r="G153" s="153"/>
      <c r="H153" s="160"/>
      <c r="I153" s="13" t="s">
        <v>100</v>
      </c>
      <c r="J153" s="29">
        <f ca="1">(IF(B148&gt;1,(H148/(B148+2)),H148/4))</f>
        <v>3</v>
      </c>
      <c r="S153"/>
    </row>
    <row r="154" spans="1:19" ht="15.75" customHeight="1" x14ac:dyDescent="0.35">
      <c r="A154" s="123" t="s">
        <v>134</v>
      </c>
      <c r="B154" s="124" t="s">
        <v>128</v>
      </c>
      <c r="C154" s="83">
        <v>0</v>
      </c>
      <c r="D154" s="18">
        <f ca="1">((100/H148)*C154)/100</f>
        <v>0</v>
      </c>
      <c r="E154" s="153"/>
      <c r="F154" s="154"/>
      <c r="G154" s="153"/>
      <c r="H154" s="160"/>
      <c r="I154" s="13" t="s">
        <v>101</v>
      </c>
      <c r="J154" s="29">
        <f ca="1">(IF(B148&gt;1,(H148/(B148+2)+J153),H148/4+J153))</f>
        <v>6</v>
      </c>
    </row>
    <row r="155" spans="1:19" ht="15.75" customHeight="1" x14ac:dyDescent="0.35">
      <c r="A155" s="123" t="s">
        <v>135</v>
      </c>
      <c r="B155" s="124" t="s">
        <v>128</v>
      </c>
      <c r="C155" s="83">
        <v>0</v>
      </c>
      <c r="D155" s="18">
        <f ca="1">((100/H148)*C155)/100</f>
        <v>0</v>
      </c>
      <c r="E155" s="153"/>
      <c r="F155" s="154"/>
      <c r="G155" s="153"/>
      <c r="H155" s="160"/>
      <c r="I155" s="13" t="s">
        <v>146</v>
      </c>
      <c r="J155" s="29">
        <f>(IF(B148&gt;1,(H148/(B148+2)+J154),0))</f>
        <v>0</v>
      </c>
    </row>
    <row r="156" spans="1:19" ht="15" customHeight="1" x14ac:dyDescent="0.35">
      <c r="A156" s="123" t="s">
        <v>133</v>
      </c>
      <c r="B156" s="124" t="s">
        <v>130</v>
      </c>
      <c r="C156" s="83">
        <v>0</v>
      </c>
      <c r="D156" s="18">
        <f ca="1">((100/(H148))*C156)/100</f>
        <v>0</v>
      </c>
      <c r="E156" s="153"/>
      <c r="F156" s="154"/>
      <c r="G156" s="153"/>
      <c r="H156" s="160"/>
      <c r="I156" s="13" t="s">
        <v>141</v>
      </c>
      <c r="J156" s="29">
        <f>(IF(B148&gt;2,(H148/(B148+2)+J155),0))</f>
        <v>0</v>
      </c>
    </row>
    <row r="157" spans="1:19" ht="15.75" customHeight="1" x14ac:dyDescent="0.35">
      <c r="A157" s="123" t="s">
        <v>129</v>
      </c>
      <c r="B157" s="124" t="s">
        <v>129</v>
      </c>
      <c r="C157" s="83">
        <v>0</v>
      </c>
      <c r="D157" s="18">
        <f ca="1">((100/H148)*C157)/100</f>
        <v>0</v>
      </c>
      <c r="E157" s="153"/>
      <c r="F157" s="154"/>
      <c r="G157" s="153"/>
      <c r="H157" s="160"/>
      <c r="I157" s="13" t="s">
        <v>142</v>
      </c>
      <c r="J157" s="30">
        <f>(IF(B148&gt;3,(H148/(B148+2)+J156),0))</f>
        <v>0</v>
      </c>
    </row>
    <row r="158" spans="1:19" ht="15.75" customHeight="1" x14ac:dyDescent="0.35">
      <c r="A158" s="123" t="s">
        <v>136</v>
      </c>
      <c r="B158" s="124"/>
      <c r="C158" s="83">
        <v>0</v>
      </c>
      <c r="D158" s="18">
        <f ca="1">((100/H148)*C158)/100</f>
        <v>0</v>
      </c>
      <c r="E158" s="153"/>
      <c r="F158" s="154"/>
      <c r="G158" s="153"/>
      <c r="H158" s="160"/>
      <c r="I158" s="13" t="s">
        <v>143</v>
      </c>
      <c r="J158" s="29">
        <f>(IF(B148&gt;4,(H148/(B148+2)+J157),0))</f>
        <v>0</v>
      </c>
    </row>
    <row r="159" spans="1:19" ht="15.75" customHeight="1" x14ac:dyDescent="0.35">
      <c r="A159" s="123" t="s">
        <v>131</v>
      </c>
      <c r="B159" s="124" t="s">
        <v>131</v>
      </c>
      <c r="C159" s="83">
        <v>0</v>
      </c>
      <c r="D159" s="18">
        <f ca="1">((100/(H148))*C159)/100</f>
        <v>0</v>
      </c>
      <c r="E159" s="153"/>
      <c r="F159" s="154"/>
      <c r="G159" s="153"/>
      <c r="H159" s="160"/>
      <c r="I159" s="13" t="s">
        <v>147</v>
      </c>
      <c r="J159" s="29">
        <f ca="1">(IF(B148=1,(H148/(B148+3)+J154),IF(B148=0,(H148/4+J154),IF(B148&gt;1,0))))</f>
        <v>9</v>
      </c>
    </row>
    <row r="160" spans="1:19" ht="16" thickBot="1" x14ac:dyDescent="0.4">
      <c r="A160" s="145" t="s">
        <v>132</v>
      </c>
      <c r="B160" s="146"/>
      <c r="C160" s="82">
        <v>0</v>
      </c>
      <c r="D160" s="19">
        <f ca="1">((100/(H148))*C160)/100</f>
        <v>0</v>
      </c>
      <c r="E160" s="155"/>
      <c r="F160" s="156"/>
      <c r="G160" s="155"/>
      <c r="H160" s="161"/>
      <c r="I160" s="14" t="s">
        <v>102</v>
      </c>
      <c r="J160" s="31">
        <f ca="1">(IF(B148&gt;1.5,(H148/(B148+2)+J154+MAX(0,J155-J154)+MAX(0,J156-J155)+MAX(0,J157-J156)+MAX(0,J158-J157)+MAX(0,J159-J158)),IF(B148=1,(H148/(B148+3)+J159),IF(B148=0,H148/4+J159))))</f>
        <v>12</v>
      </c>
    </row>
    <row r="161" spans="1:22" x14ac:dyDescent="0.35">
      <c r="A161" s="248" t="s">
        <v>158</v>
      </c>
      <c r="B161" s="248"/>
      <c r="C161" s="248"/>
      <c r="D161" s="248"/>
      <c r="E161" s="248"/>
      <c r="F161" s="256" t="s">
        <v>162</v>
      </c>
      <c r="G161" s="256"/>
      <c r="H161" s="256"/>
      <c r="R161" t="s">
        <v>255</v>
      </c>
      <c r="S161" t="s">
        <v>174</v>
      </c>
      <c r="T161" t="s">
        <v>182</v>
      </c>
      <c r="U161" t="s">
        <v>196</v>
      </c>
      <c r="V161" t="s">
        <v>191</v>
      </c>
    </row>
    <row r="162" spans="1:22" x14ac:dyDescent="0.35">
      <c r="A162" s="162" t="s">
        <v>160</v>
      </c>
      <c r="B162" s="162"/>
      <c r="C162" s="162"/>
      <c r="D162" s="162"/>
      <c r="E162" s="162"/>
      <c r="F162" s="184">
        <v>4300</v>
      </c>
      <c r="G162" s="184"/>
      <c r="H162" s="184"/>
      <c r="R162"/>
      <c r="S162">
        <v>800000</v>
      </c>
      <c r="T162">
        <v>150000</v>
      </c>
      <c r="U162">
        <v>100000</v>
      </c>
      <c r="V162">
        <v>100000</v>
      </c>
    </row>
    <row r="163" spans="1:22" x14ac:dyDescent="0.35">
      <c r="A163" s="162" t="s">
        <v>159</v>
      </c>
      <c r="B163" s="162"/>
      <c r="C163" s="162"/>
      <c r="D163" s="162"/>
      <c r="E163" s="162"/>
      <c r="F163" s="184">
        <v>8500</v>
      </c>
      <c r="G163" s="184"/>
      <c r="H163" s="184"/>
      <c r="R163"/>
      <c r="S163">
        <v>900000</v>
      </c>
      <c r="T163">
        <v>200000</v>
      </c>
      <c r="U163">
        <v>150000</v>
      </c>
      <c r="V163">
        <v>150000</v>
      </c>
    </row>
    <row r="164" spans="1:22" hidden="1" x14ac:dyDescent="0.35">
      <c r="A164" s="162" t="s">
        <v>161</v>
      </c>
      <c r="B164" s="162"/>
      <c r="C164" s="162"/>
      <c r="D164" s="162"/>
      <c r="E164" s="162"/>
      <c r="F164" s="184"/>
      <c r="G164" s="184"/>
      <c r="H164" s="184"/>
      <c r="R164"/>
      <c r="S164">
        <v>1000000</v>
      </c>
      <c r="T164">
        <v>250000</v>
      </c>
      <c r="U164">
        <v>200000</v>
      </c>
      <c r="V164">
        <v>200000</v>
      </c>
    </row>
    <row r="165" spans="1:22" s="32" customFormat="1" hidden="1" x14ac:dyDescent="0.35">
      <c r="A165" s="162" t="s">
        <v>177</v>
      </c>
      <c r="B165" s="162"/>
      <c r="C165" s="162"/>
      <c r="D165" s="162"/>
      <c r="E165" s="162"/>
      <c r="F165" s="184"/>
      <c r="G165" s="184"/>
      <c r="H165" s="184"/>
      <c r="R165"/>
      <c r="S165">
        <v>1100000</v>
      </c>
      <c r="T165">
        <v>300000</v>
      </c>
      <c r="U165">
        <v>250000</v>
      </c>
      <c r="V165" s="22">
        <v>250000</v>
      </c>
    </row>
    <row r="166" spans="1:22" s="32" customFormat="1" hidden="1" x14ac:dyDescent="0.35">
      <c r="A166" s="162" t="s">
        <v>92</v>
      </c>
      <c r="B166" s="162"/>
      <c r="C166" s="162"/>
      <c r="D166" s="162"/>
      <c r="E166" s="162"/>
      <c r="F166" s="184"/>
      <c r="G166" s="184"/>
      <c r="H166" s="184"/>
      <c r="R166"/>
      <c r="S166">
        <v>1200000</v>
      </c>
      <c r="T166">
        <v>350000</v>
      </c>
      <c r="U166">
        <v>300000</v>
      </c>
      <c r="V166">
        <v>300000</v>
      </c>
    </row>
    <row r="167" spans="1:22" s="32" customFormat="1" hidden="1" x14ac:dyDescent="0.35">
      <c r="A167" s="162" t="s">
        <v>93</v>
      </c>
      <c r="B167" s="162"/>
      <c r="C167" s="162"/>
      <c r="D167" s="162"/>
      <c r="E167" s="162"/>
      <c r="F167" s="184"/>
      <c r="G167" s="184"/>
      <c r="H167" s="184"/>
      <c r="R167"/>
      <c r="S167">
        <v>1300000</v>
      </c>
      <c r="T167">
        <v>400000</v>
      </c>
      <c r="U167">
        <v>350000</v>
      </c>
      <c r="V167" s="22">
        <v>400000</v>
      </c>
    </row>
    <row r="168" spans="1:22" s="32" customFormat="1" hidden="1" x14ac:dyDescent="0.35">
      <c r="A168" s="162" t="s">
        <v>94</v>
      </c>
      <c r="B168" s="162"/>
      <c r="C168" s="162"/>
      <c r="D168" s="162"/>
      <c r="E168" s="162"/>
      <c r="F168" s="184"/>
      <c r="G168" s="184"/>
      <c r="H168" s="184"/>
      <c r="R168"/>
      <c r="S168">
        <v>1400000</v>
      </c>
      <c r="T168">
        <v>500000</v>
      </c>
      <c r="U168">
        <v>400000</v>
      </c>
      <c r="V168"/>
    </row>
    <row r="169" spans="1:22" s="32" customFormat="1" hidden="1" x14ac:dyDescent="0.35">
      <c r="A169" s="162" t="s">
        <v>95</v>
      </c>
      <c r="B169" s="162"/>
      <c r="C169" s="162"/>
      <c r="D169" s="162"/>
      <c r="E169" s="162"/>
      <c r="F169" s="184"/>
      <c r="G169" s="184"/>
      <c r="H169" s="184"/>
      <c r="R169"/>
      <c r="S169">
        <v>1500000</v>
      </c>
      <c r="T169">
        <v>600000</v>
      </c>
      <c r="U169">
        <v>500000</v>
      </c>
      <c r="V169" s="22"/>
    </row>
    <row r="170" spans="1:22" s="32" customFormat="1" hidden="1" x14ac:dyDescent="0.35">
      <c r="A170" s="162" t="s">
        <v>96</v>
      </c>
      <c r="B170" s="162"/>
      <c r="C170" s="162"/>
      <c r="D170" s="162"/>
      <c r="E170" s="162"/>
      <c r="F170" s="184"/>
      <c r="G170" s="184"/>
      <c r="H170" s="184"/>
      <c r="R170"/>
      <c r="S170">
        <v>1600000</v>
      </c>
      <c r="T170">
        <v>700000</v>
      </c>
      <c r="U170">
        <v>600000</v>
      </c>
      <c r="V170"/>
    </row>
    <row r="171" spans="1:22" s="32" customFormat="1" hidden="1" x14ac:dyDescent="0.35">
      <c r="A171" s="162" t="s">
        <v>97</v>
      </c>
      <c r="B171" s="162"/>
      <c r="C171" s="162"/>
      <c r="D171" s="162"/>
      <c r="E171" s="162"/>
      <c r="F171" s="184"/>
      <c r="G171" s="184"/>
      <c r="H171" s="184"/>
      <c r="R171"/>
      <c r="S171">
        <v>1700000</v>
      </c>
      <c r="T171">
        <v>800000</v>
      </c>
      <c r="U171"/>
      <c r="V171" s="22"/>
    </row>
    <row r="172" spans="1:22" x14ac:dyDescent="0.35">
      <c r="A172" s="162" t="s">
        <v>49</v>
      </c>
      <c r="B172" s="162"/>
      <c r="C172" s="162"/>
      <c r="D172" s="162"/>
      <c r="E172" s="162"/>
      <c r="F172" s="184">
        <v>300000</v>
      </c>
      <c r="G172" s="184"/>
      <c r="H172" s="184"/>
      <c r="R172"/>
      <c r="S172">
        <v>1800000</v>
      </c>
      <c r="T172">
        <v>900000</v>
      </c>
      <c r="U172"/>
    </row>
    <row r="173" spans="1:22" s="33" customFormat="1" x14ac:dyDescent="0.35">
      <c r="A173" s="188" t="s">
        <v>50</v>
      </c>
      <c r="B173" s="188"/>
      <c r="C173" s="188"/>
      <c r="D173" s="188"/>
      <c r="E173" s="188"/>
      <c r="F173" s="184">
        <f>F162*0.8</f>
        <v>3440</v>
      </c>
      <c r="G173" s="184"/>
      <c r="H173" s="184"/>
      <c r="R173" s="20"/>
      <c r="S173" s="20"/>
      <c r="T173">
        <v>1000000</v>
      </c>
      <c r="U173"/>
      <c r="V173" s="20"/>
    </row>
    <row r="174" spans="1:22" s="34" customFormat="1" ht="15.75" customHeight="1" x14ac:dyDescent="0.35">
      <c r="A174" s="167" t="s">
        <v>72</v>
      </c>
      <c r="B174" s="167"/>
      <c r="C174" s="167"/>
      <c r="D174" s="167"/>
      <c r="E174" s="167"/>
      <c r="F174" s="167"/>
      <c r="G174" s="167"/>
      <c r="H174" s="167"/>
      <c r="R174"/>
      <c r="S174" s="20"/>
      <c r="T174"/>
      <c r="U174"/>
      <c r="V174" s="20"/>
    </row>
    <row r="175" spans="1:22" s="34" customFormat="1" ht="15.75" customHeight="1" x14ac:dyDescent="0.35">
      <c r="A175" s="243" t="s">
        <v>51</v>
      </c>
      <c r="B175" s="243"/>
      <c r="C175" s="169" t="s">
        <v>75</v>
      </c>
      <c r="D175" s="169"/>
      <c r="E175" s="253" t="s">
        <v>52</v>
      </c>
      <c r="F175" s="253"/>
      <c r="G175" s="243" t="s">
        <v>53</v>
      </c>
      <c r="H175" s="243"/>
      <c r="R175"/>
      <c r="S175" s="20"/>
      <c r="T175"/>
      <c r="U175" s="20"/>
      <c r="V175" s="20"/>
    </row>
    <row r="176" spans="1:22" s="34" customFormat="1" x14ac:dyDescent="0.35">
      <c r="A176" s="135" t="s">
        <v>391</v>
      </c>
      <c r="B176" s="135"/>
      <c r="C176" s="136">
        <f>COUNT(D193:D202)</f>
        <v>10</v>
      </c>
      <c r="D176" s="166"/>
      <c r="E176" s="136">
        <f t="shared" ref="E176" si="0">SUM(F193:F202)</f>
        <v>2060.98308</v>
      </c>
      <c r="F176" s="166"/>
      <c r="G176" s="136">
        <f t="shared" ref="G176" si="1">SUM(H193:H202)</f>
        <v>3194.5237739999993</v>
      </c>
      <c r="H176" s="166"/>
      <c r="R176"/>
      <c r="S176" s="20"/>
      <c r="T176"/>
      <c r="U176" s="20"/>
      <c r="V176" s="20"/>
    </row>
    <row r="177" spans="1:22" s="34" customFormat="1" x14ac:dyDescent="0.35">
      <c r="A177" s="135" t="s">
        <v>397</v>
      </c>
      <c r="B177" s="135"/>
      <c r="C177" s="136">
        <f>COUNT(D205:D216)</f>
        <v>12</v>
      </c>
      <c r="D177" s="166"/>
      <c r="E177" s="136">
        <f t="shared" ref="E177" si="2">SUM(F205:F216)</f>
        <v>1867.33872</v>
      </c>
      <c r="F177" s="166"/>
      <c r="G177" s="136">
        <f t="shared" ref="G177" si="3">SUM(H205:H216)</f>
        <v>2894.375016</v>
      </c>
      <c r="H177" s="166"/>
      <c r="R177"/>
      <c r="S177" s="20"/>
      <c r="T177"/>
      <c r="U177" s="20"/>
      <c r="V177" s="20"/>
    </row>
    <row r="178" spans="1:22" s="34" customFormat="1" x14ac:dyDescent="0.35">
      <c r="A178" s="167" t="s">
        <v>151</v>
      </c>
      <c r="B178" s="167"/>
      <c r="C178" s="168">
        <f>SUM(C176:D177)</f>
        <v>22</v>
      </c>
      <c r="D178" s="169"/>
      <c r="E178" s="168">
        <f t="shared" ref="E178" si="4">SUM(E176:F177)</f>
        <v>3928.3217999999997</v>
      </c>
      <c r="F178" s="169"/>
      <c r="G178" s="168">
        <f t="shared" ref="G178" si="5">SUM(G176:H177)</f>
        <v>6088.8987899999993</v>
      </c>
      <c r="H178" s="169"/>
      <c r="R178"/>
      <c r="S178" s="20"/>
      <c r="T178"/>
      <c r="U178" s="20"/>
      <c r="V178" s="20"/>
    </row>
    <row r="179" spans="1:22" s="34" customFormat="1" x14ac:dyDescent="0.35">
      <c r="A179" s="167" t="s">
        <v>67</v>
      </c>
      <c r="B179" s="167"/>
      <c r="C179" s="167"/>
      <c r="D179" s="167"/>
      <c r="E179" s="167"/>
      <c r="F179" s="167"/>
      <c r="G179" s="167"/>
      <c r="H179" s="167"/>
      <c r="T179"/>
    </row>
    <row r="180" spans="1:22" s="34" customFormat="1" ht="15.75" customHeight="1" x14ac:dyDescent="0.35">
      <c r="A180" s="243" t="s">
        <v>51</v>
      </c>
      <c r="B180" s="243"/>
      <c r="C180" s="169" t="s">
        <v>75</v>
      </c>
      <c r="D180" s="169"/>
      <c r="E180" s="253" t="s">
        <v>52</v>
      </c>
      <c r="F180" s="253"/>
      <c r="G180" s="243" t="s">
        <v>53</v>
      </c>
      <c r="H180" s="243"/>
      <c r="T180"/>
    </row>
    <row r="181" spans="1:22" s="34" customFormat="1" x14ac:dyDescent="0.35">
      <c r="A181" s="135" t="s">
        <v>381</v>
      </c>
      <c r="B181" s="135"/>
      <c r="C181" s="136">
        <f>COUNT(D223:D228)+COUNT(D230:D235)*7+COUNT(D237:D242)*7+COUNT(D244:D249)*2</f>
        <v>102</v>
      </c>
      <c r="D181" s="136"/>
      <c r="E181" s="136">
        <f t="shared" ref="E181" si="6">SUM(F223:F228)+SUM(F230:F235)*7+SUM(F237:F242)*7+SUM(F244:F249)*2</f>
        <v>55874.094119999994</v>
      </c>
      <c r="F181" s="136"/>
      <c r="G181" s="136">
        <f t="shared" ref="G181" si="7">SUM(H223:H228)+SUM(H230:H235)*7+SUM(H237:H242)*7+SUM(H244:H249)*2</f>
        <v>86604.845885999996</v>
      </c>
      <c r="H181" s="136"/>
      <c r="T181"/>
    </row>
    <row r="182" spans="1:22" s="34" customFormat="1" x14ac:dyDescent="0.35">
      <c r="A182" s="135" t="s">
        <v>388</v>
      </c>
      <c r="B182" s="135"/>
      <c r="C182" s="136">
        <f>COUNT(D254:D265)+COUNT(D267:D278)*14+COUNT(D280:D291)*2</f>
        <v>204</v>
      </c>
      <c r="D182" s="136"/>
      <c r="E182" s="136">
        <f t="shared" ref="E182" si="8">SUM(F254:F265)+SUM(F267:F278)*14+SUM(F280:F291)*2</f>
        <v>110529.81108</v>
      </c>
      <c r="F182" s="136"/>
      <c r="G182" s="136">
        <f t="shared" ref="G182" si="9">SUM(H254:H265)+SUM(H267:H278)*14+SUM(H280:H291)*2</f>
        <v>171321.20717399998</v>
      </c>
      <c r="H182" s="136"/>
      <c r="T182"/>
    </row>
    <row r="183" spans="1:22" s="34" customFormat="1" x14ac:dyDescent="0.35">
      <c r="A183" s="135" t="s">
        <v>391</v>
      </c>
      <c r="B183" s="135"/>
      <c r="C183" s="136">
        <f>COUNT(D294:D298)+COUNT(D300:D304)*9+COUNT(D306:D310)</f>
        <v>55</v>
      </c>
      <c r="D183" s="136"/>
      <c r="E183" s="136">
        <f t="shared" ref="E183" si="10">SUM(F294:F298)+SUM(F300:F304)*9+SUM(F306:F310)</f>
        <v>32454.751679999998</v>
      </c>
      <c r="F183" s="136"/>
      <c r="G183" s="136">
        <f t="shared" ref="G183" si="11">SUM(H294:H298)+SUM(H300:H304)*9+SUM(H306:H310)</f>
        <v>50561.837663999991</v>
      </c>
      <c r="H183" s="136"/>
      <c r="T183"/>
    </row>
    <row r="184" spans="1:22" s="34" customFormat="1" x14ac:dyDescent="0.35">
      <c r="A184" s="135" t="s">
        <v>397</v>
      </c>
      <c r="B184" s="135"/>
      <c r="C184" s="136">
        <f>COUNT(D313:D318)+COUNT(D320:D325)*8+COUNT(D327:D332)+COUNT(D334:D337,D339)+COUNT(D341:D344,D346)</f>
        <v>70</v>
      </c>
      <c r="D184" s="136"/>
      <c r="E184" s="136">
        <f t="shared" ref="E184" si="12">SUM(F313:F318)+SUM(F320:F325)*8+SUM(F327:F332)+SUM(F334:F337,F339)+SUM(F341:F344,F346)</f>
        <v>30803.984639999995</v>
      </c>
      <c r="F184" s="136"/>
      <c r="G184" s="136">
        <f t="shared" ref="G184" si="13">SUM(H313:H318)+SUM(H320:H325)*8+SUM(H327:H332)+SUM(H334:H337,H339)+SUM(H341:H344,H346)</f>
        <v>48077.707392000004</v>
      </c>
      <c r="H184" s="136"/>
      <c r="T184"/>
    </row>
    <row r="185" spans="1:22" s="34" customFormat="1" ht="16" thickBot="1" x14ac:dyDescent="0.4">
      <c r="A185" s="163" t="s">
        <v>151</v>
      </c>
      <c r="B185" s="163"/>
      <c r="C185" s="164">
        <f>SUM(C181:D184)</f>
        <v>431</v>
      </c>
      <c r="D185" s="165"/>
      <c r="E185" s="164">
        <f t="shared" ref="E185" si="14">SUM(E181:F184)</f>
        <v>229662.64151999995</v>
      </c>
      <c r="F185" s="165"/>
      <c r="G185" s="164">
        <f t="shared" ref="G185" si="15">SUM(G181:H184)</f>
        <v>356565.59811599995</v>
      </c>
      <c r="H185" s="165"/>
      <c r="T185"/>
    </row>
    <row r="186" spans="1:22" s="34" customFormat="1" ht="16" thickBot="1" x14ac:dyDescent="0.4">
      <c r="A186" s="246" t="s">
        <v>168</v>
      </c>
      <c r="B186" s="247"/>
      <c r="C186" s="244">
        <f>C178+C185</f>
        <v>453</v>
      </c>
      <c r="D186" s="244"/>
      <c r="E186" s="170">
        <f>E178+E185</f>
        <v>233590.96331999995</v>
      </c>
      <c r="F186" s="170"/>
      <c r="G186" s="177">
        <f>G178+G185</f>
        <v>362654.49690599996</v>
      </c>
      <c r="H186" s="178"/>
      <c r="T186"/>
    </row>
    <row r="187" spans="1:22" s="33" customFormat="1" x14ac:dyDescent="0.35">
      <c r="A187" s="254" t="s">
        <v>54</v>
      </c>
      <c r="B187" s="254"/>
      <c r="C187" s="254"/>
      <c r="D187" s="254"/>
      <c r="E187" s="254"/>
      <c r="F187" s="254"/>
      <c r="G187" s="254"/>
      <c r="H187" s="254"/>
      <c r="T187" s="34"/>
    </row>
    <row r="188" spans="1:22" x14ac:dyDescent="0.35">
      <c r="A188" s="259" t="s">
        <v>176</v>
      </c>
      <c r="B188" s="259"/>
      <c r="C188" s="259"/>
      <c r="D188" s="259"/>
      <c r="E188" s="259"/>
      <c r="F188" s="259"/>
      <c r="G188" s="259"/>
      <c r="H188" s="259"/>
      <c r="T188" s="34"/>
    </row>
    <row r="189" spans="1:22" ht="47.25" customHeight="1" x14ac:dyDescent="0.35">
      <c r="A189" s="147" t="s">
        <v>413</v>
      </c>
      <c r="B189" s="147" t="s">
        <v>178</v>
      </c>
      <c r="C189" s="147" t="s">
        <v>55</v>
      </c>
      <c r="D189" s="147" t="s">
        <v>410</v>
      </c>
      <c r="E189" s="182" t="s">
        <v>157</v>
      </c>
      <c r="F189" s="147" t="s">
        <v>56</v>
      </c>
      <c r="G189" s="182" t="s">
        <v>57</v>
      </c>
      <c r="H189" s="103" t="s">
        <v>149</v>
      </c>
      <c r="T189" s="34"/>
    </row>
    <row r="190" spans="1:22" s="36" customFormat="1" x14ac:dyDescent="0.35">
      <c r="A190" s="148"/>
      <c r="B190" s="148"/>
      <c r="C190" s="148"/>
      <c r="D190" s="148"/>
      <c r="E190" s="183"/>
      <c r="F190" s="148"/>
      <c r="G190" s="183"/>
      <c r="H190" s="105">
        <v>0.55000000000000004</v>
      </c>
      <c r="T190" s="34"/>
    </row>
    <row r="191" spans="1:22" s="95" customFormat="1" x14ac:dyDescent="0.35">
      <c r="A191" s="139" t="s">
        <v>391</v>
      </c>
      <c r="B191" s="140"/>
      <c r="C191" s="140"/>
      <c r="D191" s="140"/>
      <c r="E191" s="140"/>
      <c r="F191" s="140"/>
      <c r="G191" s="140"/>
      <c r="H191" s="141"/>
      <c r="J191" s="35"/>
    </row>
    <row r="192" spans="1:22" s="95" customFormat="1" ht="15.75" customHeight="1" x14ac:dyDescent="0.35">
      <c r="A192" s="139" t="s">
        <v>392</v>
      </c>
      <c r="B192" s="140"/>
      <c r="C192" s="140"/>
      <c r="D192" s="140"/>
      <c r="E192" s="140"/>
      <c r="F192" s="140"/>
      <c r="G192" s="140"/>
      <c r="H192" s="141"/>
      <c r="J192" s="35"/>
      <c r="K192" s="99">
        <f>10.764</f>
        <v>10.763999999999999</v>
      </c>
      <c r="T192" s="34"/>
    </row>
    <row r="193" spans="1:20" s="95" customFormat="1" ht="15.75" customHeight="1" x14ac:dyDescent="0.35">
      <c r="A193" s="132">
        <v>1</v>
      </c>
      <c r="B193" s="134"/>
      <c r="C193" s="96" t="s">
        <v>393</v>
      </c>
      <c r="D193" s="99">
        <f>(23.04)*(10.764)</f>
        <v>248.00255999999999</v>
      </c>
      <c r="E193" s="96">
        <v>0</v>
      </c>
      <c r="F193" s="96">
        <f t="shared" ref="F193:F202" si="16">D193+(IF(E193&lt;201,E193,IF(E193&lt;301,E193/2,E193/3)))</f>
        <v>248.00255999999999</v>
      </c>
      <c r="G193" s="65">
        <v>0</v>
      </c>
      <c r="H193" s="96">
        <f t="shared" ref="H193:H202" si="17">(F193+(IF(G193&lt;101,G193,IF(G193&lt;201,G193/2,IF(G193&lt;=301,G193/3,G193/4)))))*(($H$190)+1)</f>
        <v>384.40396800000002</v>
      </c>
      <c r="I193" s="35">
        <f>3.2*7.2</f>
        <v>23.040000000000003</v>
      </c>
      <c r="L193" s="138"/>
      <c r="M193" s="138"/>
      <c r="N193" s="35"/>
      <c r="T193" s="34"/>
    </row>
    <row r="194" spans="1:20" s="95" customFormat="1" ht="15.75" customHeight="1" x14ac:dyDescent="0.35">
      <c r="A194" s="132">
        <f t="shared" ref="A194:A202" si="18">A193+1</f>
        <v>2</v>
      </c>
      <c r="B194" s="134"/>
      <c r="C194" s="96" t="s">
        <v>393</v>
      </c>
      <c r="D194" s="99">
        <f>(19.8)*(10.764)</f>
        <v>213.12719999999999</v>
      </c>
      <c r="E194" s="96">
        <v>0</v>
      </c>
      <c r="F194" s="96">
        <f t="shared" si="16"/>
        <v>213.12719999999999</v>
      </c>
      <c r="G194" s="96">
        <v>0</v>
      </c>
      <c r="H194" s="96">
        <f t="shared" si="17"/>
        <v>330.34715999999997</v>
      </c>
      <c r="I194" s="35"/>
      <c r="L194" s="138"/>
      <c r="M194" s="138"/>
      <c r="N194" s="35"/>
      <c r="T194" s="33"/>
    </row>
    <row r="195" spans="1:20" s="95" customFormat="1" ht="15.75" customHeight="1" x14ac:dyDescent="0.35">
      <c r="A195" s="132">
        <f t="shared" si="18"/>
        <v>3</v>
      </c>
      <c r="B195" s="134"/>
      <c r="C195" s="96" t="s">
        <v>393</v>
      </c>
      <c r="D195" s="99">
        <f>(20.88)*(10.764)</f>
        <v>224.75231999999997</v>
      </c>
      <c r="E195" s="96">
        <v>0</v>
      </c>
      <c r="F195" s="96">
        <f t="shared" si="16"/>
        <v>224.75231999999997</v>
      </c>
      <c r="G195" s="96">
        <v>0</v>
      </c>
      <c r="H195" s="96">
        <f t="shared" si="17"/>
        <v>348.36609599999997</v>
      </c>
      <c r="I195" s="35"/>
      <c r="L195" s="138"/>
      <c r="M195" s="138"/>
      <c r="N195" s="35"/>
      <c r="T195" s="20"/>
    </row>
    <row r="196" spans="1:20" s="95" customFormat="1" ht="15.75" customHeight="1" x14ac:dyDescent="0.35">
      <c r="A196" s="132">
        <f t="shared" si="18"/>
        <v>4</v>
      </c>
      <c r="B196" s="134"/>
      <c r="C196" s="96" t="s">
        <v>393</v>
      </c>
      <c r="D196" s="99">
        <f>(16.68)*(10.764)</f>
        <v>179.54351999999997</v>
      </c>
      <c r="E196" s="96">
        <v>0</v>
      </c>
      <c r="F196" s="96">
        <f t="shared" si="16"/>
        <v>179.54351999999997</v>
      </c>
      <c r="G196" s="96">
        <v>0</v>
      </c>
      <c r="H196" s="96">
        <f t="shared" si="17"/>
        <v>278.29245599999996</v>
      </c>
      <c r="I196" s="35">
        <f>2.9*5.75</f>
        <v>16.675000000000001</v>
      </c>
      <c r="L196" s="138"/>
      <c r="M196" s="138"/>
      <c r="N196" s="35"/>
      <c r="T196" s="20"/>
    </row>
    <row r="197" spans="1:20" s="95" customFormat="1" ht="15.75" customHeight="1" x14ac:dyDescent="0.35">
      <c r="A197" s="132">
        <f t="shared" si="18"/>
        <v>5</v>
      </c>
      <c r="B197" s="134"/>
      <c r="C197" s="96" t="s">
        <v>393</v>
      </c>
      <c r="D197" s="99">
        <f>(15.81)*(10.764)</f>
        <v>170.17884000000001</v>
      </c>
      <c r="E197" s="96">
        <v>0</v>
      </c>
      <c r="F197" s="96">
        <f t="shared" si="16"/>
        <v>170.17884000000001</v>
      </c>
      <c r="G197" s="65">
        <v>0</v>
      </c>
      <c r="H197" s="96">
        <f t="shared" si="17"/>
        <v>263.77720200000005</v>
      </c>
      <c r="I197" s="35"/>
      <c r="L197" s="138"/>
      <c r="M197" s="138"/>
      <c r="N197" s="35"/>
      <c r="T197" s="34"/>
    </row>
    <row r="198" spans="1:20" s="95" customFormat="1" ht="15.75" customHeight="1" x14ac:dyDescent="0.35">
      <c r="A198" s="132">
        <f t="shared" si="18"/>
        <v>6</v>
      </c>
      <c r="B198" s="134"/>
      <c r="C198" s="96" t="s">
        <v>393</v>
      </c>
      <c r="D198" s="99">
        <f>(20.88)*(10.764)</f>
        <v>224.75231999999997</v>
      </c>
      <c r="E198" s="96">
        <v>0</v>
      </c>
      <c r="F198" s="96">
        <f t="shared" si="16"/>
        <v>224.75231999999997</v>
      </c>
      <c r="G198" s="96">
        <v>0</v>
      </c>
      <c r="H198" s="96">
        <f t="shared" si="17"/>
        <v>348.36609599999997</v>
      </c>
      <c r="I198" s="35"/>
      <c r="L198" s="138"/>
      <c r="M198" s="138"/>
      <c r="N198" s="35"/>
      <c r="T198" s="33"/>
    </row>
    <row r="199" spans="1:20" s="95" customFormat="1" ht="15.75" customHeight="1" x14ac:dyDescent="0.35">
      <c r="A199" s="132">
        <f t="shared" si="18"/>
        <v>7</v>
      </c>
      <c r="B199" s="134"/>
      <c r="C199" s="96" t="s">
        <v>393</v>
      </c>
      <c r="D199" s="99">
        <f>(10.66)*(10.764)</f>
        <v>114.74423999999999</v>
      </c>
      <c r="E199" s="96">
        <v>0</v>
      </c>
      <c r="F199" s="96">
        <f t="shared" si="16"/>
        <v>114.74423999999999</v>
      </c>
      <c r="G199" s="96">
        <v>0</v>
      </c>
      <c r="H199" s="96">
        <f t="shared" si="17"/>
        <v>177.85357199999999</v>
      </c>
      <c r="I199" s="35"/>
      <c r="L199" s="138"/>
      <c r="M199" s="138"/>
      <c r="N199" s="35"/>
      <c r="T199" s="20"/>
    </row>
    <row r="200" spans="1:20" s="95" customFormat="1" ht="15.75" customHeight="1" x14ac:dyDescent="0.35">
      <c r="A200" s="132">
        <f t="shared" si="18"/>
        <v>8</v>
      </c>
      <c r="B200" s="134"/>
      <c r="C200" s="96" t="s">
        <v>393</v>
      </c>
      <c r="D200" s="99">
        <f>(20.88)*(10.764)</f>
        <v>224.75231999999997</v>
      </c>
      <c r="E200" s="96">
        <v>0</v>
      </c>
      <c r="F200" s="96">
        <f t="shared" si="16"/>
        <v>224.75231999999997</v>
      </c>
      <c r="G200" s="96">
        <v>0</v>
      </c>
      <c r="H200" s="96">
        <f t="shared" si="17"/>
        <v>348.36609599999997</v>
      </c>
      <c r="I200" s="35"/>
      <c r="L200" s="138"/>
      <c r="M200" s="138"/>
      <c r="N200" s="35"/>
      <c r="T200" s="20"/>
    </row>
    <row r="201" spans="1:20" s="95" customFormat="1" ht="15.75" customHeight="1" x14ac:dyDescent="0.35">
      <c r="A201" s="132">
        <f t="shared" si="18"/>
        <v>9</v>
      </c>
      <c r="B201" s="134"/>
      <c r="C201" s="96" t="s">
        <v>393</v>
      </c>
      <c r="D201" s="99">
        <f>(19.8)*(10.764)</f>
        <v>213.12719999999999</v>
      </c>
      <c r="E201" s="96">
        <v>0</v>
      </c>
      <c r="F201" s="96">
        <f t="shared" si="16"/>
        <v>213.12719999999999</v>
      </c>
      <c r="G201" s="96">
        <v>0</v>
      </c>
      <c r="H201" s="96">
        <f t="shared" si="17"/>
        <v>330.34715999999997</v>
      </c>
      <c r="I201" s="35"/>
      <c r="L201" s="138"/>
      <c r="M201" s="138"/>
      <c r="N201" s="35"/>
      <c r="T201" s="20"/>
    </row>
    <row r="202" spans="1:20" s="95" customFormat="1" ht="15.75" customHeight="1" x14ac:dyDescent="0.35">
      <c r="A202" s="132">
        <f t="shared" si="18"/>
        <v>10</v>
      </c>
      <c r="B202" s="134"/>
      <c r="C202" s="96" t="s">
        <v>393</v>
      </c>
      <c r="D202" s="99">
        <f>(23.04)*(10.764)</f>
        <v>248.00255999999999</v>
      </c>
      <c r="E202" s="96">
        <v>0</v>
      </c>
      <c r="F202" s="96">
        <f t="shared" si="16"/>
        <v>248.00255999999999</v>
      </c>
      <c r="G202" s="96">
        <v>0</v>
      </c>
      <c r="H202" s="96">
        <f t="shared" si="17"/>
        <v>384.40396800000002</v>
      </c>
      <c r="I202" s="35"/>
      <c r="L202" s="138"/>
      <c r="M202" s="138"/>
      <c r="N202" s="35"/>
      <c r="T202" s="20"/>
    </row>
    <row r="203" spans="1:20" s="95" customFormat="1" x14ac:dyDescent="0.35">
      <c r="A203" s="137" t="s">
        <v>397</v>
      </c>
      <c r="B203" s="137"/>
      <c r="C203" s="137"/>
      <c r="D203" s="137"/>
      <c r="E203" s="137"/>
      <c r="F203" s="137"/>
      <c r="G203" s="137"/>
      <c r="H203" s="137"/>
      <c r="J203" s="35"/>
    </row>
    <row r="204" spans="1:20" s="95" customFormat="1" ht="15.75" customHeight="1" x14ac:dyDescent="0.35">
      <c r="A204" s="137" t="s">
        <v>392</v>
      </c>
      <c r="B204" s="137"/>
      <c r="C204" s="137"/>
      <c r="D204" s="137"/>
      <c r="E204" s="137"/>
      <c r="F204" s="137"/>
      <c r="G204" s="137"/>
      <c r="H204" s="137"/>
      <c r="J204" s="35"/>
      <c r="T204" s="34"/>
    </row>
    <row r="205" spans="1:20" s="36" customFormat="1" ht="15.75" customHeight="1" x14ac:dyDescent="0.35">
      <c r="A205" s="130">
        <v>1</v>
      </c>
      <c r="B205" s="130"/>
      <c r="C205" s="113" t="s">
        <v>393</v>
      </c>
      <c r="D205" s="99">
        <f>(16.94)*(10.764)</f>
        <v>182.34216000000001</v>
      </c>
      <c r="E205" s="113">
        <v>0</v>
      </c>
      <c r="F205" s="113">
        <f t="shared" ref="F205:F216" si="19">D205+(IF(E205&lt;201,E205,IF(E205&lt;301,E205/2,E205/3)))</f>
        <v>182.34216000000001</v>
      </c>
      <c r="G205" s="114">
        <v>0</v>
      </c>
      <c r="H205" s="113">
        <f t="shared" ref="H205:H216" si="20">(F205+(IF(G205&lt;101,G205,IF(G205&lt;201,G205/2,IF(G205&lt;=301,G205/3,G205/4)))))*(($H$190)+1)</f>
        <v>282.63034800000003</v>
      </c>
      <c r="I205" s="35">
        <f>2.9*5.84</f>
        <v>16.936</v>
      </c>
      <c r="L205" s="138"/>
      <c r="M205" s="138"/>
      <c r="N205" s="35"/>
      <c r="T205" s="34"/>
    </row>
    <row r="206" spans="1:20" s="36" customFormat="1" ht="15.75" customHeight="1" x14ac:dyDescent="0.35">
      <c r="A206" s="130">
        <f t="shared" ref="A206:A216" si="21">A205+1</f>
        <v>2</v>
      </c>
      <c r="B206" s="130"/>
      <c r="C206" s="113" t="s">
        <v>393</v>
      </c>
      <c r="D206" s="99">
        <f>(12.1)*(10.764)</f>
        <v>130.24439999999998</v>
      </c>
      <c r="E206" s="113">
        <v>0</v>
      </c>
      <c r="F206" s="113">
        <f t="shared" si="19"/>
        <v>130.24439999999998</v>
      </c>
      <c r="G206" s="113">
        <v>0</v>
      </c>
      <c r="H206" s="113">
        <f t="shared" si="20"/>
        <v>201.87881999999999</v>
      </c>
      <c r="I206" s="35"/>
      <c r="L206" s="138"/>
      <c r="M206" s="138"/>
      <c r="N206" s="35"/>
      <c r="T206" s="33"/>
    </row>
    <row r="207" spans="1:20" s="36" customFormat="1" ht="15.75" customHeight="1" x14ac:dyDescent="0.35">
      <c r="A207" s="130">
        <f t="shared" si="21"/>
        <v>3</v>
      </c>
      <c r="B207" s="130"/>
      <c r="C207" s="113" t="s">
        <v>393</v>
      </c>
      <c r="D207" s="99">
        <f>(14.33)*(10.764)</f>
        <v>154.24812</v>
      </c>
      <c r="E207" s="113">
        <v>0</v>
      </c>
      <c r="F207" s="113">
        <f t="shared" si="19"/>
        <v>154.24812</v>
      </c>
      <c r="G207" s="113">
        <v>0</v>
      </c>
      <c r="H207" s="113">
        <f t="shared" si="20"/>
        <v>239.084586</v>
      </c>
      <c r="I207" s="35">
        <f>2.9*4.94</f>
        <v>14.326000000000001</v>
      </c>
      <c r="L207" s="138"/>
      <c r="M207" s="138"/>
      <c r="N207" s="35"/>
      <c r="T207" s="20"/>
    </row>
    <row r="208" spans="1:20" s="36" customFormat="1" ht="15.75" customHeight="1" x14ac:dyDescent="0.35">
      <c r="A208" s="130">
        <f t="shared" si="21"/>
        <v>4</v>
      </c>
      <c r="B208" s="130"/>
      <c r="C208" s="113" t="s">
        <v>393</v>
      </c>
      <c r="D208" s="99">
        <f>(14.33)*(10.764)</f>
        <v>154.24812</v>
      </c>
      <c r="E208" s="113">
        <v>0</v>
      </c>
      <c r="F208" s="113">
        <f t="shared" si="19"/>
        <v>154.24812</v>
      </c>
      <c r="G208" s="113">
        <v>0</v>
      </c>
      <c r="H208" s="113">
        <f t="shared" si="20"/>
        <v>239.084586</v>
      </c>
      <c r="I208" s="35"/>
      <c r="L208" s="138"/>
      <c r="M208" s="138"/>
      <c r="N208" s="35"/>
      <c r="T208" s="20"/>
    </row>
    <row r="209" spans="1:20" s="95" customFormat="1" ht="15.75" customHeight="1" x14ac:dyDescent="0.35">
      <c r="A209" s="130">
        <f t="shared" si="21"/>
        <v>5</v>
      </c>
      <c r="B209" s="130"/>
      <c r="C209" s="113" t="s">
        <v>393</v>
      </c>
      <c r="D209" s="99">
        <f>(12.1)*(10.764)</f>
        <v>130.24439999999998</v>
      </c>
      <c r="E209" s="113">
        <v>0</v>
      </c>
      <c r="F209" s="113">
        <f t="shared" si="19"/>
        <v>130.24439999999998</v>
      </c>
      <c r="G209" s="114">
        <v>0</v>
      </c>
      <c r="H209" s="113">
        <f t="shared" si="20"/>
        <v>201.87881999999999</v>
      </c>
      <c r="I209" s="35"/>
      <c r="L209" s="138"/>
      <c r="M209" s="138"/>
      <c r="N209" s="35"/>
      <c r="T209" s="34"/>
    </row>
    <row r="210" spans="1:20" s="95" customFormat="1" ht="15.75" customHeight="1" x14ac:dyDescent="0.35">
      <c r="A210" s="130">
        <f t="shared" si="21"/>
        <v>6</v>
      </c>
      <c r="B210" s="130"/>
      <c r="C210" s="113" t="s">
        <v>393</v>
      </c>
      <c r="D210" s="99">
        <f>(16.94)*(10.764)</f>
        <v>182.34216000000001</v>
      </c>
      <c r="E210" s="113">
        <v>0</v>
      </c>
      <c r="F210" s="113">
        <f t="shared" si="19"/>
        <v>182.34216000000001</v>
      </c>
      <c r="G210" s="113">
        <v>0</v>
      </c>
      <c r="H210" s="113">
        <f t="shared" si="20"/>
        <v>282.63034800000003</v>
      </c>
      <c r="I210" s="35"/>
      <c r="L210" s="138"/>
      <c r="M210" s="138"/>
      <c r="N210" s="35"/>
      <c r="T210" s="33"/>
    </row>
    <row r="211" spans="1:20" s="95" customFormat="1" ht="15.75" customHeight="1" x14ac:dyDescent="0.35">
      <c r="A211" s="130">
        <f t="shared" si="21"/>
        <v>7</v>
      </c>
      <c r="B211" s="130"/>
      <c r="C211" s="113" t="s">
        <v>393</v>
      </c>
      <c r="D211" s="99">
        <f>(16.94)*(10.764)</f>
        <v>182.34216000000001</v>
      </c>
      <c r="E211" s="113">
        <v>0</v>
      </c>
      <c r="F211" s="113">
        <f t="shared" si="19"/>
        <v>182.34216000000001</v>
      </c>
      <c r="G211" s="113">
        <v>0</v>
      </c>
      <c r="H211" s="113">
        <f t="shared" si="20"/>
        <v>282.63034800000003</v>
      </c>
      <c r="I211" s="35"/>
      <c r="L211" s="138"/>
      <c r="M211" s="138"/>
      <c r="N211" s="35"/>
      <c r="T211" s="20"/>
    </row>
    <row r="212" spans="1:20" s="95" customFormat="1" ht="15.75" customHeight="1" x14ac:dyDescent="0.35">
      <c r="A212" s="130">
        <f t="shared" si="21"/>
        <v>8</v>
      </c>
      <c r="B212" s="130"/>
      <c r="C212" s="113" t="s">
        <v>393</v>
      </c>
      <c r="D212" s="99">
        <f>(12.1)*(10.764)</f>
        <v>130.24439999999998</v>
      </c>
      <c r="E212" s="113">
        <v>0</v>
      </c>
      <c r="F212" s="113">
        <f t="shared" si="19"/>
        <v>130.24439999999998</v>
      </c>
      <c r="G212" s="113">
        <v>0</v>
      </c>
      <c r="H212" s="113">
        <f t="shared" si="20"/>
        <v>201.87881999999999</v>
      </c>
      <c r="I212" s="35"/>
      <c r="L212" s="138"/>
      <c r="M212" s="138"/>
      <c r="N212" s="35"/>
      <c r="T212" s="20"/>
    </row>
    <row r="213" spans="1:20" s="95" customFormat="1" ht="15.75" customHeight="1" x14ac:dyDescent="0.35">
      <c r="A213" s="130">
        <f t="shared" si="21"/>
        <v>9</v>
      </c>
      <c r="B213" s="130"/>
      <c r="C213" s="113" t="s">
        <v>393</v>
      </c>
      <c r="D213" s="99">
        <f>(14.33)*(10.764)</f>
        <v>154.24812</v>
      </c>
      <c r="E213" s="113">
        <v>0</v>
      </c>
      <c r="F213" s="113">
        <f t="shared" si="19"/>
        <v>154.24812</v>
      </c>
      <c r="G213" s="114">
        <v>0</v>
      </c>
      <c r="H213" s="113">
        <f t="shared" si="20"/>
        <v>239.084586</v>
      </c>
      <c r="I213" s="35"/>
      <c r="L213" s="138"/>
      <c r="M213" s="138"/>
      <c r="N213" s="35"/>
      <c r="T213" s="34"/>
    </row>
    <row r="214" spans="1:20" s="95" customFormat="1" ht="15.75" customHeight="1" x14ac:dyDescent="0.35">
      <c r="A214" s="132">
        <f t="shared" si="21"/>
        <v>10</v>
      </c>
      <c r="B214" s="134"/>
      <c r="C214" s="96" t="s">
        <v>393</v>
      </c>
      <c r="D214" s="99">
        <f>(14.33)*(10.764)</f>
        <v>154.24812</v>
      </c>
      <c r="E214" s="96">
        <v>0</v>
      </c>
      <c r="F214" s="96">
        <f t="shared" si="19"/>
        <v>154.24812</v>
      </c>
      <c r="G214" s="96">
        <v>0</v>
      </c>
      <c r="H214" s="96">
        <f t="shared" si="20"/>
        <v>239.084586</v>
      </c>
      <c r="I214" s="35"/>
      <c r="L214" s="138"/>
      <c r="M214" s="138"/>
      <c r="N214" s="35"/>
      <c r="T214" s="33"/>
    </row>
    <row r="215" spans="1:20" s="95" customFormat="1" ht="15.75" customHeight="1" x14ac:dyDescent="0.35">
      <c r="A215" s="132">
        <f t="shared" si="21"/>
        <v>11</v>
      </c>
      <c r="B215" s="134"/>
      <c r="C215" s="96" t="s">
        <v>393</v>
      </c>
      <c r="D215" s="99">
        <f>(12.1)*(10.764)</f>
        <v>130.24439999999998</v>
      </c>
      <c r="E215" s="96">
        <v>0</v>
      </c>
      <c r="F215" s="96">
        <f t="shared" si="19"/>
        <v>130.24439999999998</v>
      </c>
      <c r="G215" s="96">
        <v>0</v>
      </c>
      <c r="H215" s="96">
        <f t="shared" si="20"/>
        <v>201.87881999999999</v>
      </c>
      <c r="I215" s="35">
        <f>2.45*4.94</f>
        <v>12.103000000000002</v>
      </c>
      <c r="L215" s="138"/>
      <c r="M215" s="138"/>
      <c r="N215" s="35"/>
      <c r="T215" s="20"/>
    </row>
    <row r="216" spans="1:20" s="95" customFormat="1" ht="15.75" customHeight="1" x14ac:dyDescent="0.35">
      <c r="A216" s="130">
        <f t="shared" si="21"/>
        <v>12</v>
      </c>
      <c r="B216" s="130"/>
      <c r="C216" s="107" t="s">
        <v>393</v>
      </c>
      <c r="D216" s="99">
        <f>(16.94)*(10.764)</f>
        <v>182.34216000000001</v>
      </c>
      <c r="E216" s="107">
        <v>0</v>
      </c>
      <c r="F216" s="107">
        <f t="shared" si="19"/>
        <v>182.34216000000001</v>
      </c>
      <c r="G216" s="107">
        <v>0</v>
      </c>
      <c r="H216" s="107">
        <f t="shared" si="20"/>
        <v>282.63034800000003</v>
      </c>
      <c r="I216" s="35"/>
      <c r="L216" s="138"/>
      <c r="M216" s="138"/>
      <c r="N216" s="35"/>
      <c r="T216" s="20"/>
    </row>
    <row r="217" spans="1:20" s="36" customFormat="1" x14ac:dyDescent="0.35">
      <c r="A217" s="130"/>
      <c r="B217" s="130"/>
      <c r="C217" s="130"/>
      <c r="D217" s="130"/>
      <c r="E217" s="130"/>
      <c r="F217" s="130"/>
      <c r="G217" s="130"/>
      <c r="H217" s="130"/>
      <c r="I217" s="35"/>
      <c r="N217" s="35"/>
    </row>
    <row r="218" spans="1:20" ht="47.25" customHeight="1" x14ac:dyDescent="0.35">
      <c r="A218" s="245" t="s">
        <v>119</v>
      </c>
      <c r="B218" s="149" t="s">
        <v>179</v>
      </c>
      <c r="C218" s="149" t="s">
        <v>55</v>
      </c>
      <c r="D218" s="149" t="s">
        <v>410</v>
      </c>
      <c r="E218" s="149" t="s">
        <v>234</v>
      </c>
      <c r="F218" s="245" t="s">
        <v>56</v>
      </c>
      <c r="G218" s="176" t="s">
        <v>57</v>
      </c>
      <c r="H218" s="111" t="s">
        <v>149</v>
      </c>
      <c r="I218" s="35"/>
      <c r="T218" s="36"/>
    </row>
    <row r="219" spans="1:20" s="36" customFormat="1" x14ac:dyDescent="0.35">
      <c r="A219" s="245"/>
      <c r="B219" s="149"/>
      <c r="C219" s="149"/>
      <c r="D219" s="149"/>
      <c r="E219" s="149"/>
      <c r="F219" s="245"/>
      <c r="G219" s="176"/>
      <c r="H219" s="112">
        <v>0.55000000000000004</v>
      </c>
      <c r="I219" s="35"/>
    </row>
    <row r="220" spans="1:20" s="95" customFormat="1" x14ac:dyDescent="0.35">
      <c r="A220" s="137" t="s">
        <v>381</v>
      </c>
      <c r="B220" s="137"/>
      <c r="C220" s="137"/>
      <c r="D220" s="137"/>
      <c r="E220" s="137"/>
      <c r="F220" s="137"/>
      <c r="G220" s="137"/>
      <c r="H220" s="137"/>
      <c r="J220" s="35"/>
    </row>
    <row r="221" spans="1:20" s="95" customFormat="1" x14ac:dyDescent="0.35">
      <c r="A221" s="137" t="s">
        <v>382</v>
      </c>
      <c r="B221" s="137"/>
      <c r="C221" s="137"/>
      <c r="D221" s="137"/>
      <c r="E221" s="137"/>
      <c r="F221" s="137"/>
      <c r="G221" s="137"/>
      <c r="H221" s="137"/>
      <c r="J221" s="35"/>
    </row>
    <row r="222" spans="1:20" s="95" customFormat="1" x14ac:dyDescent="0.35">
      <c r="A222" s="137" t="s">
        <v>383</v>
      </c>
      <c r="B222" s="137"/>
      <c r="C222" s="137"/>
      <c r="D222" s="137"/>
      <c r="E222" s="137"/>
      <c r="F222" s="137"/>
      <c r="G222" s="137"/>
      <c r="H222" s="137"/>
      <c r="I222" s="35"/>
      <c r="L222" s="138"/>
      <c r="M222" s="138"/>
    </row>
    <row r="223" spans="1:20" s="95" customFormat="1" x14ac:dyDescent="0.35">
      <c r="A223" s="130">
        <f>LEFT(A222,SUM(LEN(A222)-LEN(SUBSTITUTE(A222,{"0","1","2","3","4","5","6","7","8","9"},""))))*100+1</f>
        <v>101</v>
      </c>
      <c r="B223" s="130"/>
      <c r="C223" s="107" t="s">
        <v>384</v>
      </c>
      <c r="D223" s="99">
        <f>(51.85)*(10.764)</f>
        <v>558.11339999999996</v>
      </c>
      <c r="E223" s="99">
        <f>(5.8)*(10.764)</f>
        <v>62.431199999999997</v>
      </c>
      <c r="F223" s="107">
        <f t="shared" ref="F223:F228" si="22">D223+E223</f>
        <v>620.54459999999995</v>
      </c>
      <c r="G223" s="107">
        <v>0</v>
      </c>
      <c r="H223" s="107">
        <f t="shared" ref="H223:H228" si="23">F223*(($H$219)+1)+(IF(G223&lt;101,G223,IF(G223&lt;201,G223/2,IF(G223&lt;=301,G223/3,G223/4))))</f>
        <v>961.84412999999995</v>
      </c>
      <c r="I223" s="35"/>
      <c r="K223" s="99">
        <f>10.764</f>
        <v>10.763999999999999</v>
      </c>
      <c r="N223" s="35"/>
    </row>
    <row r="224" spans="1:20" s="95" customFormat="1" x14ac:dyDescent="0.35">
      <c r="A224" s="130">
        <f>A223+1</f>
        <v>102</v>
      </c>
      <c r="B224" s="130"/>
      <c r="C224" s="96" t="s">
        <v>384</v>
      </c>
      <c r="D224" s="99">
        <f>(47.94)*(10.764)</f>
        <v>516.02615999999989</v>
      </c>
      <c r="E224" s="99">
        <f>(6.1)*(10.764)</f>
        <v>65.660399999999996</v>
      </c>
      <c r="F224" s="96">
        <f t="shared" si="22"/>
        <v>581.68655999999987</v>
      </c>
      <c r="G224" s="96">
        <v>0</v>
      </c>
      <c r="H224" s="96">
        <f t="shared" si="23"/>
        <v>901.61416799999984</v>
      </c>
      <c r="I224" s="35"/>
      <c r="N224" s="35"/>
    </row>
    <row r="225" spans="1:14" s="95" customFormat="1" x14ac:dyDescent="0.35">
      <c r="A225" s="130">
        <f>A224+1</f>
        <v>103</v>
      </c>
      <c r="B225" s="130"/>
      <c r="C225" s="96" t="s">
        <v>385</v>
      </c>
      <c r="D225" s="99">
        <f>(36.4)*(10.764)</f>
        <v>391.80959999999999</v>
      </c>
      <c r="E225" s="99">
        <f>(5.8)*(10.764)</f>
        <v>62.431199999999997</v>
      </c>
      <c r="F225" s="96">
        <f t="shared" si="22"/>
        <v>454.24079999999998</v>
      </c>
      <c r="G225" s="96">
        <v>0</v>
      </c>
      <c r="H225" s="96">
        <f t="shared" si="23"/>
        <v>704.07323999999994</v>
      </c>
      <c r="I225" s="35"/>
      <c r="N225" s="35"/>
    </row>
    <row r="226" spans="1:14" s="95" customFormat="1" x14ac:dyDescent="0.35">
      <c r="A226" s="130">
        <f>A225+1</f>
        <v>104</v>
      </c>
      <c r="B226" s="130"/>
      <c r="C226" s="96" t="s">
        <v>385</v>
      </c>
      <c r="D226" s="99">
        <f>(33.22)*(10.764)</f>
        <v>357.58007999999995</v>
      </c>
      <c r="E226" s="99">
        <f>(8.84)*(10.764)</f>
        <v>95.153759999999991</v>
      </c>
      <c r="F226" s="96">
        <f t="shared" si="22"/>
        <v>452.73383999999993</v>
      </c>
      <c r="G226" s="96">
        <v>0</v>
      </c>
      <c r="H226" s="96">
        <f t="shared" si="23"/>
        <v>701.73745199999996</v>
      </c>
      <c r="I226" s="35">
        <f>(2.91*3.96+2.59*2.29+2.9*2.25+2.15*1.22*2+2.65*0.9)</f>
        <v>31.610699999999994</v>
      </c>
      <c r="J226" s="35">
        <f>2.97*2+2.9*0.8</f>
        <v>8.26</v>
      </c>
      <c r="N226" s="35"/>
    </row>
    <row r="227" spans="1:14" s="95" customFormat="1" x14ac:dyDescent="0.35">
      <c r="A227" s="130">
        <f>A226+1</f>
        <v>105</v>
      </c>
      <c r="B227" s="130"/>
      <c r="C227" s="96" t="s">
        <v>384</v>
      </c>
      <c r="D227" s="99">
        <f>(46.94)*(10.764)</f>
        <v>505.26215999999994</v>
      </c>
      <c r="E227" s="99">
        <f>(5.95)*(10.764)</f>
        <v>64.0458</v>
      </c>
      <c r="F227" s="96">
        <f t="shared" si="22"/>
        <v>569.30795999999998</v>
      </c>
      <c r="G227" s="96">
        <v>0</v>
      </c>
      <c r="H227" s="96">
        <f t="shared" si="23"/>
        <v>882.42733799999996</v>
      </c>
      <c r="I227" s="35">
        <f>(2.9*3.96+2.59*2.29+2.75*2.9+2.75*3.1+1.4*0.9+2.3*1.22+2.14*1.22+0.9*4.35)</f>
        <v>44.506899999999987</v>
      </c>
      <c r="J227" s="35">
        <f>2.97*2</f>
        <v>5.94</v>
      </c>
      <c r="N227" s="35"/>
    </row>
    <row r="228" spans="1:14" s="95" customFormat="1" x14ac:dyDescent="0.35">
      <c r="A228" s="130">
        <f>A227+1</f>
        <v>106</v>
      </c>
      <c r="B228" s="130"/>
      <c r="C228" s="96" t="s">
        <v>384</v>
      </c>
      <c r="D228" s="99">
        <f>(49.57)*(10.764)</f>
        <v>533.57147999999995</v>
      </c>
      <c r="E228" s="99">
        <f>(6.1+2.9*0.75)*(10.764)</f>
        <v>89.072099999999978</v>
      </c>
      <c r="F228" s="96">
        <f t="shared" si="22"/>
        <v>622.64357999999993</v>
      </c>
      <c r="G228" s="96">
        <v>0</v>
      </c>
      <c r="H228" s="96">
        <f t="shared" si="23"/>
        <v>965.09754899999996</v>
      </c>
      <c r="I228" s="35"/>
      <c r="N228" s="35"/>
    </row>
    <row r="229" spans="1:14" s="95" customFormat="1" ht="15.75" customHeight="1" x14ac:dyDescent="0.35">
      <c r="A229" s="139" t="s">
        <v>417</v>
      </c>
      <c r="B229" s="140"/>
      <c r="C229" s="140"/>
      <c r="D229" s="140"/>
      <c r="E229" s="140"/>
      <c r="F229" s="140"/>
      <c r="G229" s="140"/>
      <c r="H229" s="141"/>
      <c r="I229" s="35"/>
    </row>
    <row r="230" spans="1:14" s="95" customFormat="1" ht="15.75" customHeight="1" x14ac:dyDescent="0.35">
      <c r="A230" s="132" t="str">
        <f ca="1">(SUMPRODUCT(MID(0&amp;(LEFT(A229,SUM(LEN(A229)-LEN(SUBSTITUTE(A229,{"0","1","2"},""))))), LARGE(INDEX(ISNUMBER(--MID((LEFT(A229,SUM(LEN(A229)-LEN(SUBSTITUTE(A229,{"0","1","2"},""))))), ROW(INDIRECT("1:"&amp;LEN((LEFT(A229,SUM(LEN(A229)-LEN(SUBSTITUTE(A229,{"0","1","2"},"")))))))), 1)) * ROW(INDIRECT("1:"&amp;LEN((LEFT(A229,SUM(LEN(A229)-LEN(SUBSTITUTE(A229,{"0","1","2"},"")))))))), 0), ROW(INDIRECT("1:"&amp;LEN((LEFT(A229,SUM(LEN(A229)-LEN(SUBSTITUTE(A229,{"0","1","2"},"")))))))))+1, 1) * 10^ROW(INDIRECT("1:"&amp;LEN((LEFT(A229,SUM(LEN(A229)-LEN(SUBSTITUTE(A229,{"0","1","2"},""))))))))/10))*100+1&amp;""&amp;" ,.., "&amp;""&amp;(SUMPRODUCT(MID(0&amp;(--TRIM(RIGHT(SUBSTITUTE(LEFT(A229,_xlfn.AGGREGATE(16,6,FIND({0,1,2,3,4,5,6,7,8,9},A229,ROW(INDIRECT("1:"&amp;LEN(A229)))),1))," ",REPT(" ",LEN(A229))),LEN(A229)))), LARGE(INDEX(ISNUMBER(--MID((--TRIM(RIGHT(SUBSTITUTE(LEFT(A229,_xlfn.AGGREGATE(16,6,FIND({0,1,2,3,4,5,6,7,8,9},A229,ROW(INDIRECT("1:"&amp;LEN(A229)))),1))," ",REPT(" ",LEN(A229))),LEN(A229)))), ROW(INDIRECT("1:"&amp;LEN((--TRIM(RIGHT(SUBSTITUTE(LEFT(A229,_xlfn.AGGREGATE(16,6,FIND({0,1,2,3,4,5,6,7,8,9},A229,ROW(INDIRECT("1:"&amp;LEN(A229)))),1))," ",REPT(" ",LEN(A229))),LEN(A229))))))), 1)) * ROW(INDIRECT("1:"&amp;LEN((--TRIM(RIGHT(SUBSTITUTE(LEFT(A229,_xlfn.AGGREGATE(16,6,FIND({0,1,2,3,4,5,6,7,8,9},A229,ROW(INDIRECT("1:"&amp;LEN(A229)))),1))," ",REPT(" ",LEN(A229))),LEN(A229))))))), 0), ROW(INDIRECT("1:"&amp;LEN((--TRIM(RIGHT(SUBSTITUTE(LEFT(A229,_xlfn.AGGREGATE(16,6,FIND({0,1,2,3,4,5,6,7,8,9},A229,ROW(INDIRECT("1:"&amp;LEN(A229)))),1))," ",REPT(" ",LEN(A229))),LEN(A229))))))))+1, 1) * 10^ROW(INDIRECT("1:"&amp;LEN((--TRIM(RIGHT(SUBSTITUTE(LEFT(A229,_xlfn.AGGREGATE(16,6,FIND({0,1,2,3,4,5,6,7,8,9},A229,ROW(INDIRECT("1:"&amp;LEN(A229)))),1))," ",REPT(" ",LEN(A229))),LEN(A229)))))))/10))*100+1</f>
        <v>2401 ,.., 1601</v>
      </c>
      <c r="B230" s="134"/>
      <c r="C230" s="96" t="s">
        <v>384</v>
      </c>
      <c r="D230" s="99">
        <f>(51.85)*(10.764)</f>
        <v>558.11339999999996</v>
      </c>
      <c r="E230" s="99">
        <f>(6.1)*(10.764)</f>
        <v>65.660399999999996</v>
      </c>
      <c r="F230" s="96">
        <f t="shared" ref="F230:F235" si="24">D230+E230</f>
        <v>623.77379999999994</v>
      </c>
      <c r="G230" s="96">
        <v>0</v>
      </c>
      <c r="H230" s="96">
        <f t="shared" ref="H230:H235" si="25">F230*(($H$219)+1)+(IF(G230&lt;101,G230,IF(G230&lt;201,G230/2,IF(G230&lt;=301,G230/3,G230/4))))</f>
        <v>966.84938999999997</v>
      </c>
      <c r="I230" s="35"/>
    </row>
    <row r="231" spans="1:14" s="95" customFormat="1" ht="15.75" customHeight="1" x14ac:dyDescent="0.35">
      <c r="A231" s="132" t="str">
        <f ca="1">(SUMPRODUCT(MID(0&amp;(LEFT(A230,SUM(LEN(A230)-LEN(SUBSTITUTE(A230,{"0","1","2"},""))))), LARGE(INDEX(ISNUMBER(--MID((LEFT(A230,SUM(LEN(A230)-LEN(SUBSTITUTE(A230,{"0","1","2"},""))))), ROW(INDIRECT("1:"&amp;LEN((LEFT(A230,SUM(LEN(A230)-LEN(SUBSTITUTE(A230,{"0","1","2"},"")))))))), 1)) * ROW(INDIRECT("1:"&amp;LEN((LEFT(A230,SUM(LEN(A230)-LEN(SUBSTITUTE(A230,{"0","1","2"},"")))))))), 0), ROW(INDIRECT("1:"&amp;LEN((LEFT(A230,SUM(LEN(A230)-LEN(SUBSTITUTE(A230,{"0","1","2"},"")))))))))+1, 1) * 10^ROW(INDIRECT("1:"&amp;LEN((LEFT(A230,SUM(LEN(A230)-LEN(SUBSTITUTE(A230,{"0","1","2"},""))))))))/10))*1+1&amp;""&amp;" ,.., "&amp;""&amp;(SUMPRODUCT(MID(0&amp;(--TRIM(RIGHT(SUBSTITUTE(LEFT(A230,_xlfn.AGGREGATE(16,6,FIND({0,1,2,3,4,5,6,7,8,9},A230,ROW(INDIRECT("1:"&amp;LEN(A230)))),1))," ",REPT(" ",LEN(A230))),LEN(A230)))), LARGE(INDEX(ISNUMBER(--MID((--TRIM(RIGHT(SUBSTITUTE(LEFT(A230,_xlfn.AGGREGATE(16,6,FIND({0,1,2,3,4,5,6,7,8,9},A230,ROW(INDIRECT("1:"&amp;LEN(A230)))),1))," ",REPT(" ",LEN(A230))),LEN(A230)))), ROW(INDIRECT("1:"&amp;LEN((--TRIM(RIGHT(SUBSTITUTE(LEFT(A230,_xlfn.AGGREGATE(16,6,FIND({0,1,2,3,4,5,6,7,8,9},A230,ROW(INDIRECT("1:"&amp;LEN(A230)))),1))," ",REPT(" ",LEN(A230))),LEN(A230))))))), 1)) * ROW(INDIRECT("1:"&amp;LEN((--TRIM(RIGHT(SUBSTITUTE(LEFT(A230,_xlfn.AGGREGATE(16,6,FIND({0,1,2,3,4,5,6,7,8,9},A230,ROW(INDIRECT("1:"&amp;LEN(A230)))),1))," ",REPT(" ",LEN(A230))),LEN(A230))))))), 0), ROW(INDIRECT("1:"&amp;LEN((--TRIM(RIGHT(SUBSTITUTE(LEFT(A230,_xlfn.AGGREGATE(16,6,FIND({0,1,2,3,4,5,6,7,8,9},A230,ROW(INDIRECT("1:"&amp;LEN(A230)))),1))," ",REPT(" ",LEN(A230))),LEN(A230))))))))+1, 1) * 10^ROW(INDIRECT("1:"&amp;LEN((--TRIM(RIGHT(SUBSTITUTE(LEFT(A230,_xlfn.AGGREGATE(16,6,FIND({0,1,2,3,4,5,6,7,8,9},A230,ROW(INDIRECT("1:"&amp;LEN(A230)))),1))," ",REPT(" ",LEN(A230))),LEN(A230)))))))/10))*1+1</f>
        <v>2402 ,.., 1602</v>
      </c>
      <c r="B231" s="134"/>
      <c r="C231" s="96" t="s">
        <v>384</v>
      </c>
      <c r="D231" s="99">
        <f>(47.94)*(10.764)</f>
        <v>516.02615999999989</v>
      </c>
      <c r="E231" s="99">
        <f>(6.1)*(10.764)</f>
        <v>65.660399999999996</v>
      </c>
      <c r="F231" s="96">
        <f t="shared" si="24"/>
        <v>581.68655999999987</v>
      </c>
      <c r="G231" s="96">
        <v>0</v>
      </c>
      <c r="H231" s="96">
        <f t="shared" si="25"/>
        <v>901.61416799999984</v>
      </c>
      <c r="I231" s="35"/>
    </row>
    <row r="232" spans="1:14" s="95" customFormat="1" ht="15.75" customHeight="1" x14ac:dyDescent="0.35">
      <c r="A232" s="132" t="str">
        <f ca="1">(SUMPRODUCT(MID(0&amp;(LEFT(A231,SUM(LEN(A231)-LEN(SUBSTITUTE(A231,{"0","1","2"},""))))), LARGE(INDEX(ISNUMBER(--MID((LEFT(A231,SUM(LEN(A231)-LEN(SUBSTITUTE(A231,{"0","1","2"},""))))), ROW(INDIRECT("1:"&amp;LEN((LEFT(A231,SUM(LEN(A231)-LEN(SUBSTITUTE(A231,{"0","1","2"},"")))))))), 1)) * ROW(INDIRECT("1:"&amp;LEN((LEFT(A231,SUM(LEN(A231)-LEN(SUBSTITUTE(A231,{"0","1","2"},"")))))))), 0), ROW(INDIRECT("1:"&amp;LEN((LEFT(A231,SUM(LEN(A231)-LEN(SUBSTITUTE(A231,{"0","1","2"},"")))))))))+1, 1) * 10^ROW(INDIRECT("1:"&amp;LEN((LEFT(A231,SUM(LEN(A231)-LEN(SUBSTITUTE(A231,{"0","1","2"},""))))))))/10))*1+1&amp;""&amp;" ,.., "&amp;""&amp;(SUMPRODUCT(MID(0&amp;(--TRIM(RIGHT(SUBSTITUTE(LEFT(A231,_xlfn.AGGREGATE(16,6,FIND({0,1,2,3,4,5,6,7,8,9},A231,ROW(INDIRECT("1:"&amp;LEN(A231)))),1))," ",REPT(" ",LEN(A231))),LEN(A231)))), LARGE(INDEX(ISNUMBER(--MID((--TRIM(RIGHT(SUBSTITUTE(LEFT(A231,_xlfn.AGGREGATE(16,6,FIND({0,1,2,3,4,5,6,7,8,9},A231,ROW(INDIRECT("1:"&amp;LEN(A231)))),1))," ",REPT(" ",LEN(A231))),LEN(A231)))), ROW(INDIRECT("1:"&amp;LEN((--TRIM(RIGHT(SUBSTITUTE(LEFT(A231,_xlfn.AGGREGATE(16,6,FIND({0,1,2,3,4,5,6,7,8,9},A231,ROW(INDIRECT("1:"&amp;LEN(A231)))),1))," ",REPT(" ",LEN(A231))),LEN(A231))))))), 1)) * ROW(INDIRECT("1:"&amp;LEN((--TRIM(RIGHT(SUBSTITUTE(LEFT(A231,_xlfn.AGGREGATE(16,6,FIND({0,1,2,3,4,5,6,7,8,9},A231,ROW(INDIRECT("1:"&amp;LEN(A231)))),1))," ",REPT(" ",LEN(A231))),LEN(A231))))))), 0), ROW(INDIRECT("1:"&amp;LEN((--TRIM(RIGHT(SUBSTITUTE(LEFT(A231,_xlfn.AGGREGATE(16,6,FIND({0,1,2,3,4,5,6,7,8,9},A231,ROW(INDIRECT("1:"&amp;LEN(A231)))),1))," ",REPT(" ",LEN(A231))),LEN(A231))))))))+1, 1) * 10^ROW(INDIRECT("1:"&amp;LEN((--TRIM(RIGHT(SUBSTITUTE(LEFT(A231,_xlfn.AGGREGATE(16,6,FIND({0,1,2,3,4,5,6,7,8,9},A231,ROW(INDIRECT("1:"&amp;LEN(A231)))),1))," ",REPT(" ",LEN(A231))),LEN(A231)))))))/10))*1+1</f>
        <v>2403 ,.., 1603</v>
      </c>
      <c r="B232" s="134"/>
      <c r="C232" s="96" t="s">
        <v>385</v>
      </c>
      <c r="D232" s="99">
        <f>(36.39)*(10.764)</f>
        <v>391.70195999999999</v>
      </c>
      <c r="E232" s="99">
        <f>(6.1)*(10.764)</f>
        <v>65.660399999999996</v>
      </c>
      <c r="F232" s="96">
        <f t="shared" si="24"/>
        <v>457.36235999999997</v>
      </c>
      <c r="G232" s="96">
        <v>0</v>
      </c>
      <c r="H232" s="96">
        <f t="shared" si="25"/>
        <v>708.91165799999999</v>
      </c>
      <c r="I232" s="35"/>
    </row>
    <row r="233" spans="1:14" s="95" customFormat="1" ht="15.75" customHeight="1" x14ac:dyDescent="0.35">
      <c r="A233" s="132" t="str">
        <f ca="1">(SUMPRODUCT(MID(0&amp;(LEFT(A232,SUM(LEN(A232)-LEN(SUBSTITUTE(A232,{"0","1","2"},""))))), LARGE(INDEX(ISNUMBER(--MID((LEFT(A232,SUM(LEN(A232)-LEN(SUBSTITUTE(A232,{"0","1","2"},""))))), ROW(INDIRECT("1:"&amp;LEN((LEFT(A232,SUM(LEN(A232)-LEN(SUBSTITUTE(A232,{"0","1","2"},"")))))))), 1)) * ROW(INDIRECT("1:"&amp;LEN((LEFT(A232,SUM(LEN(A232)-LEN(SUBSTITUTE(A232,{"0","1","2"},"")))))))), 0), ROW(INDIRECT("1:"&amp;LEN((LEFT(A232,SUM(LEN(A232)-LEN(SUBSTITUTE(A232,{"0","1","2"},"")))))))))+1, 1) * 10^ROW(INDIRECT("1:"&amp;LEN((LEFT(A232,SUM(LEN(A232)-LEN(SUBSTITUTE(A232,{"0","1","2"},""))))))))/10))*1+1&amp;""&amp;" ,.., "&amp;""&amp;(SUMPRODUCT(MID(0&amp;(--TRIM(RIGHT(SUBSTITUTE(LEFT(A232,_xlfn.AGGREGATE(16,6,FIND({0,1,2,3,4,5,6,7,8,9},A232,ROW(INDIRECT("1:"&amp;LEN(A232)))),1))," ",REPT(" ",LEN(A232))),LEN(A232)))), LARGE(INDEX(ISNUMBER(--MID((--TRIM(RIGHT(SUBSTITUTE(LEFT(A232,_xlfn.AGGREGATE(16,6,FIND({0,1,2,3,4,5,6,7,8,9},A232,ROW(INDIRECT("1:"&amp;LEN(A232)))),1))," ",REPT(" ",LEN(A232))),LEN(A232)))), ROW(INDIRECT("1:"&amp;LEN((--TRIM(RIGHT(SUBSTITUTE(LEFT(A232,_xlfn.AGGREGATE(16,6,FIND({0,1,2,3,4,5,6,7,8,9},A232,ROW(INDIRECT("1:"&amp;LEN(A232)))),1))," ",REPT(" ",LEN(A232))),LEN(A232))))))), 1)) * ROW(INDIRECT("1:"&amp;LEN((--TRIM(RIGHT(SUBSTITUTE(LEFT(A232,_xlfn.AGGREGATE(16,6,FIND({0,1,2,3,4,5,6,7,8,9},A232,ROW(INDIRECT("1:"&amp;LEN(A232)))),1))," ",REPT(" ",LEN(A232))),LEN(A232))))))), 0), ROW(INDIRECT("1:"&amp;LEN((--TRIM(RIGHT(SUBSTITUTE(LEFT(A232,_xlfn.AGGREGATE(16,6,FIND({0,1,2,3,4,5,6,7,8,9},A232,ROW(INDIRECT("1:"&amp;LEN(A232)))),1))," ",REPT(" ",LEN(A232))),LEN(A232))))))))+1, 1) * 10^ROW(INDIRECT("1:"&amp;LEN((--TRIM(RIGHT(SUBSTITUTE(LEFT(A232,_xlfn.AGGREGATE(16,6,FIND({0,1,2,3,4,5,6,7,8,9},A232,ROW(INDIRECT("1:"&amp;LEN(A232)))),1))," ",REPT(" ",LEN(A232))),LEN(A232)))))))/10))*1+1</f>
        <v>2404 ,.., 1604</v>
      </c>
      <c r="B233" s="134"/>
      <c r="C233" s="96" t="s">
        <v>385</v>
      </c>
      <c r="D233" s="99">
        <f>(35.68)*(10.764)</f>
        <v>384.05951999999996</v>
      </c>
      <c r="E233" s="99">
        <f>(5.8)*(10.764)</f>
        <v>62.431199999999997</v>
      </c>
      <c r="F233" s="96">
        <f t="shared" si="24"/>
        <v>446.49071999999995</v>
      </c>
      <c r="G233" s="96">
        <v>0</v>
      </c>
      <c r="H233" s="96">
        <f t="shared" si="25"/>
        <v>692.06061599999998</v>
      </c>
      <c r="I233" s="35">
        <f>(2.91*3.96+2.59*2.29+2.9*3.1+2.15*1.22*2+2.8*0.9)</f>
        <v>34.210699999999996</v>
      </c>
    </row>
    <row r="234" spans="1:14" s="95" customFormat="1" ht="15.75" customHeight="1" x14ac:dyDescent="0.35">
      <c r="A234" s="132" t="str">
        <f ca="1">(SUMPRODUCT(MID(0&amp;(LEFT(A233,SUM(LEN(A233)-LEN(SUBSTITUTE(A233,{"0","1","2"},""))))), LARGE(INDEX(ISNUMBER(--MID((LEFT(A233,SUM(LEN(A233)-LEN(SUBSTITUTE(A233,{"0","1","2"},""))))), ROW(INDIRECT("1:"&amp;LEN((LEFT(A233,SUM(LEN(A233)-LEN(SUBSTITUTE(A233,{"0","1","2"},"")))))))), 1)) * ROW(INDIRECT("1:"&amp;LEN((LEFT(A233,SUM(LEN(A233)-LEN(SUBSTITUTE(A233,{"0","1","2"},"")))))))), 0), ROW(INDIRECT("1:"&amp;LEN((LEFT(A233,SUM(LEN(A233)-LEN(SUBSTITUTE(A233,{"0","1","2"},"")))))))))+1, 1) * 10^ROW(INDIRECT("1:"&amp;LEN((LEFT(A233,SUM(LEN(A233)-LEN(SUBSTITUTE(A233,{"0","1","2"},""))))))))/10))*1+1&amp;""&amp;" ,.., "&amp;""&amp;(SUMPRODUCT(MID(0&amp;(--TRIM(RIGHT(SUBSTITUTE(LEFT(A233,_xlfn.AGGREGATE(16,6,FIND({0,1,2,3,4,5,6,7,8,9},A233,ROW(INDIRECT("1:"&amp;LEN(A233)))),1))," ",REPT(" ",LEN(A233))),LEN(A233)))), LARGE(INDEX(ISNUMBER(--MID((--TRIM(RIGHT(SUBSTITUTE(LEFT(A233,_xlfn.AGGREGATE(16,6,FIND({0,1,2,3,4,5,6,7,8,9},A233,ROW(INDIRECT("1:"&amp;LEN(A233)))),1))," ",REPT(" ",LEN(A233))),LEN(A233)))), ROW(INDIRECT("1:"&amp;LEN((--TRIM(RIGHT(SUBSTITUTE(LEFT(A233,_xlfn.AGGREGATE(16,6,FIND({0,1,2,3,4,5,6,7,8,9},A233,ROW(INDIRECT("1:"&amp;LEN(A233)))),1))," ",REPT(" ",LEN(A233))),LEN(A233))))))), 1)) * ROW(INDIRECT("1:"&amp;LEN((--TRIM(RIGHT(SUBSTITUTE(LEFT(A233,_xlfn.AGGREGATE(16,6,FIND({0,1,2,3,4,5,6,7,8,9},A233,ROW(INDIRECT("1:"&amp;LEN(A233)))),1))," ",REPT(" ",LEN(A233))),LEN(A233))))))), 0), ROW(INDIRECT("1:"&amp;LEN((--TRIM(RIGHT(SUBSTITUTE(LEFT(A233,_xlfn.AGGREGATE(16,6,FIND({0,1,2,3,4,5,6,7,8,9},A233,ROW(INDIRECT("1:"&amp;LEN(A233)))),1))," ",REPT(" ",LEN(A233))),LEN(A233))))))))+1, 1) * 10^ROW(INDIRECT("1:"&amp;LEN((--TRIM(RIGHT(SUBSTITUTE(LEFT(A233,_xlfn.AGGREGATE(16,6,FIND({0,1,2,3,4,5,6,7,8,9},A233,ROW(INDIRECT("1:"&amp;LEN(A233)))),1))," ",REPT(" ",LEN(A233))),LEN(A233)))))))/10))*1+1</f>
        <v>2405 ,.., 1605</v>
      </c>
      <c r="B234" s="134"/>
      <c r="C234" s="96" t="s">
        <v>384</v>
      </c>
      <c r="D234" s="99">
        <f>(46.94)*(10.764)</f>
        <v>505.26215999999994</v>
      </c>
      <c r="E234" s="99">
        <f>(5.8)*(10.764)</f>
        <v>62.431199999999997</v>
      </c>
      <c r="F234" s="96">
        <f t="shared" si="24"/>
        <v>567.69335999999998</v>
      </c>
      <c r="G234" s="96">
        <v>0</v>
      </c>
      <c r="H234" s="96">
        <f t="shared" si="25"/>
        <v>879.92470800000001</v>
      </c>
      <c r="I234" s="35"/>
    </row>
    <row r="235" spans="1:14" s="95" customFormat="1" ht="15.75" customHeight="1" x14ac:dyDescent="0.35">
      <c r="A235" s="132" t="str">
        <f ca="1">(SUMPRODUCT(MID(0&amp;(LEFT(A234,SUM(LEN(A234)-LEN(SUBSTITUTE(A234,{"0","1","2"},""))))), LARGE(INDEX(ISNUMBER(--MID((LEFT(A234,SUM(LEN(A234)-LEN(SUBSTITUTE(A234,{"0","1","2"},""))))), ROW(INDIRECT("1:"&amp;LEN((LEFT(A234,SUM(LEN(A234)-LEN(SUBSTITUTE(A234,{"0","1","2"},"")))))))), 1)) * ROW(INDIRECT("1:"&amp;LEN((LEFT(A234,SUM(LEN(A234)-LEN(SUBSTITUTE(A234,{"0","1","2"},"")))))))), 0), ROW(INDIRECT("1:"&amp;LEN((LEFT(A234,SUM(LEN(A234)-LEN(SUBSTITUTE(A234,{"0","1","2"},"")))))))))+1, 1) * 10^ROW(INDIRECT("1:"&amp;LEN((LEFT(A234,SUM(LEN(A234)-LEN(SUBSTITUTE(A234,{"0","1","2"},""))))))))/10))*1+1&amp;""&amp;" ,.., "&amp;""&amp;(SUMPRODUCT(MID(0&amp;(--TRIM(RIGHT(SUBSTITUTE(LEFT(A234,_xlfn.AGGREGATE(16,6,FIND({0,1,2,3,4,5,6,7,8,9},A234,ROW(INDIRECT("1:"&amp;LEN(A234)))),1))," ",REPT(" ",LEN(A234))),LEN(A234)))), LARGE(INDEX(ISNUMBER(--MID((--TRIM(RIGHT(SUBSTITUTE(LEFT(A234,_xlfn.AGGREGATE(16,6,FIND({0,1,2,3,4,5,6,7,8,9},A234,ROW(INDIRECT("1:"&amp;LEN(A234)))),1))," ",REPT(" ",LEN(A234))),LEN(A234)))), ROW(INDIRECT("1:"&amp;LEN((--TRIM(RIGHT(SUBSTITUTE(LEFT(A234,_xlfn.AGGREGATE(16,6,FIND({0,1,2,3,4,5,6,7,8,9},A234,ROW(INDIRECT("1:"&amp;LEN(A234)))),1))," ",REPT(" ",LEN(A234))),LEN(A234))))))), 1)) * ROW(INDIRECT("1:"&amp;LEN((--TRIM(RIGHT(SUBSTITUTE(LEFT(A234,_xlfn.AGGREGATE(16,6,FIND({0,1,2,3,4,5,6,7,8,9},A234,ROW(INDIRECT("1:"&amp;LEN(A234)))),1))," ",REPT(" ",LEN(A234))),LEN(A234))))))), 0), ROW(INDIRECT("1:"&amp;LEN((--TRIM(RIGHT(SUBSTITUTE(LEFT(A234,_xlfn.AGGREGATE(16,6,FIND({0,1,2,3,4,5,6,7,8,9},A234,ROW(INDIRECT("1:"&amp;LEN(A234)))),1))," ",REPT(" ",LEN(A234))),LEN(A234))))))))+1, 1) * 10^ROW(INDIRECT("1:"&amp;LEN((--TRIM(RIGHT(SUBSTITUTE(LEFT(A234,_xlfn.AGGREGATE(16,6,FIND({0,1,2,3,4,5,6,7,8,9},A234,ROW(INDIRECT("1:"&amp;LEN(A234)))),1))," ",REPT(" ",LEN(A234))),LEN(A234)))))))/10))*1+1</f>
        <v>2406 ,.., 1606</v>
      </c>
      <c r="B235" s="134"/>
      <c r="C235" s="96" t="s">
        <v>384</v>
      </c>
      <c r="D235" s="99">
        <f>(49.57)*(10.764)</f>
        <v>533.57147999999995</v>
      </c>
      <c r="E235" s="99">
        <f>(6.1)*(10.764)</f>
        <v>65.660399999999996</v>
      </c>
      <c r="F235" s="96">
        <f t="shared" si="24"/>
        <v>599.23187999999993</v>
      </c>
      <c r="G235" s="96">
        <v>0</v>
      </c>
      <c r="H235" s="96">
        <f t="shared" si="25"/>
        <v>928.80941399999995</v>
      </c>
      <c r="I235" s="35"/>
    </row>
    <row r="236" spans="1:14" s="95" customFormat="1" ht="15.75" customHeight="1" x14ac:dyDescent="0.35">
      <c r="A236" s="139" t="s">
        <v>386</v>
      </c>
      <c r="B236" s="140"/>
      <c r="C236" s="140"/>
      <c r="D236" s="140"/>
      <c r="E236" s="140"/>
      <c r="F236" s="140"/>
      <c r="G236" s="140"/>
      <c r="H236" s="141"/>
      <c r="I236" s="35"/>
    </row>
    <row r="237" spans="1:14" s="95" customFormat="1" ht="15.75" customHeight="1" x14ac:dyDescent="0.35">
      <c r="A237" s="132" t="str">
        <f ca="1">(SUMPRODUCT(MID(0&amp;(LEFT(A236,SUM(LEN(A236)-LEN(SUBSTITUTE(A236,{"0","1","2"},""))))), LARGE(INDEX(ISNUMBER(--MID((LEFT(A236,SUM(LEN(A236)-LEN(SUBSTITUTE(A236,{"0","1","2"},""))))), ROW(INDIRECT("1:"&amp;LEN((LEFT(A236,SUM(LEN(A236)-LEN(SUBSTITUTE(A236,{"0","1","2"},"")))))))), 1)) * ROW(INDIRECT("1:"&amp;LEN((LEFT(A236,SUM(LEN(A236)-LEN(SUBSTITUTE(A236,{"0","1","2"},"")))))))), 0), ROW(INDIRECT("1:"&amp;LEN((LEFT(A236,SUM(LEN(A236)-LEN(SUBSTITUTE(A236,{"0","1","2"},"")))))))))+1, 1) * 10^ROW(INDIRECT("1:"&amp;LEN((LEFT(A236,SUM(LEN(A236)-LEN(SUBSTITUTE(A236,{"0","1","2"},""))))))))/10))*100+1&amp;""&amp;" ,.., "&amp;""&amp;(SUMPRODUCT(MID(0&amp;(--TRIM(RIGHT(SUBSTITUTE(LEFT(A236,_xlfn.AGGREGATE(16,6,FIND({0,1,2,3,4,5,6,7,8,9},A236,ROW(INDIRECT("1:"&amp;LEN(A236)))),1))," ",REPT(" ",LEN(A236))),LEN(A236)))), LARGE(INDEX(ISNUMBER(--MID((--TRIM(RIGHT(SUBSTITUTE(LEFT(A236,_xlfn.AGGREGATE(16,6,FIND({0,1,2,3,4,5,6,7,8,9},A236,ROW(INDIRECT("1:"&amp;LEN(A236)))),1))," ",REPT(" ",LEN(A236))),LEN(A236)))), ROW(INDIRECT("1:"&amp;LEN((--TRIM(RIGHT(SUBSTITUTE(LEFT(A236,_xlfn.AGGREGATE(16,6,FIND({0,1,2,3,4,5,6,7,8,9},A236,ROW(INDIRECT("1:"&amp;LEN(A236)))),1))," ",REPT(" ",LEN(A236))),LEN(A236))))))), 1)) * ROW(INDIRECT("1:"&amp;LEN((--TRIM(RIGHT(SUBSTITUTE(LEFT(A236,_xlfn.AGGREGATE(16,6,FIND({0,1,2,3,4,5,6,7,8,9},A236,ROW(INDIRECT("1:"&amp;LEN(A236)))),1))," ",REPT(" ",LEN(A236))),LEN(A236))))))), 0), ROW(INDIRECT("1:"&amp;LEN((--TRIM(RIGHT(SUBSTITUTE(LEFT(A236,_xlfn.AGGREGATE(16,6,FIND({0,1,2,3,4,5,6,7,8,9},A236,ROW(INDIRECT("1:"&amp;LEN(A236)))),1))," ",REPT(" ",LEN(A236))),LEN(A236))))))))+1, 1) * 10^ROW(INDIRECT("1:"&amp;LEN((--TRIM(RIGHT(SUBSTITUTE(LEFT(A236,_xlfn.AGGREGATE(16,6,FIND({0,1,2,3,4,5,6,7,8,9},A236,ROW(INDIRECT("1:"&amp;LEN(A236)))),1))," ",REPT(" ",LEN(A236))),LEN(A236)))))))/10))*100+1</f>
        <v>301 ,.., 1701</v>
      </c>
      <c r="B237" s="134"/>
      <c r="C237" s="96" t="s">
        <v>384</v>
      </c>
      <c r="D237" s="99">
        <f>(51.85)*(10.764)</f>
        <v>558.11339999999996</v>
      </c>
      <c r="E237" s="99">
        <f>(5.8)*(10.764)</f>
        <v>62.431199999999997</v>
      </c>
      <c r="F237" s="96">
        <f t="shared" ref="F237:F242" si="26">D237+E237</f>
        <v>620.54459999999995</v>
      </c>
      <c r="G237" s="96">
        <v>0</v>
      </c>
      <c r="H237" s="96">
        <f t="shared" ref="H237:H242" si="27">F237*(($H$219)+1)+(IF(G237&lt;101,G237,IF(G237&lt;201,G237/2,IF(G237&lt;=301,G237/3,G237/4))))</f>
        <v>961.84412999999995</v>
      </c>
      <c r="I237" s="35"/>
    </row>
    <row r="238" spans="1:14" s="95" customFormat="1" ht="15.75" customHeight="1" x14ac:dyDescent="0.35">
      <c r="A238" s="132" t="str">
        <f ca="1">(SUMPRODUCT(MID(0&amp;(LEFT(A237,SUM(LEN(A237)-LEN(SUBSTITUTE(A237,{"0","1","2"},""))))), LARGE(INDEX(ISNUMBER(--MID((LEFT(A237,SUM(LEN(A237)-LEN(SUBSTITUTE(A237,{"0","1","2"},""))))), ROW(INDIRECT("1:"&amp;LEN((LEFT(A237,SUM(LEN(A237)-LEN(SUBSTITUTE(A237,{"0","1","2"},"")))))))), 1)) * ROW(INDIRECT("1:"&amp;LEN((LEFT(A237,SUM(LEN(A237)-LEN(SUBSTITUTE(A237,{"0","1","2"},"")))))))), 0), ROW(INDIRECT("1:"&amp;LEN((LEFT(A237,SUM(LEN(A237)-LEN(SUBSTITUTE(A237,{"0","1","2"},"")))))))))+1, 1) * 10^ROW(INDIRECT("1:"&amp;LEN((LEFT(A237,SUM(LEN(A237)-LEN(SUBSTITUTE(A237,{"0","1","2"},""))))))))/10))*1+1&amp;""&amp;" ,.., "&amp;""&amp;(SUMPRODUCT(MID(0&amp;(--TRIM(RIGHT(SUBSTITUTE(LEFT(A237,_xlfn.AGGREGATE(16,6,FIND({0,1,2,3,4,5,6,7,8,9},A237,ROW(INDIRECT("1:"&amp;LEN(A237)))),1))," ",REPT(" ",LEN(A237))),LEN(A237)))), LARGE(INDEX(ISNUMBER(--MID((--TRIM(RIGHT(SUBSTITUTE(LEFT(A237,_xlfn.AGGREGATE(16,6,FIND({0,1,2,3,4,5,6,7,8,9},A237,ROW(INDIRECT("1:"&amp;LEN(A237)))),1))," ",REPT(" ",LEN(A237))),LEN(A237)))), ROW(INDIRECT("1:"&amp;LEN((--TRIM(RIGHT(SUBSTITUTE(LEFT(A237,_xlfn.AGGREGATE(16,6,FIND({0,1,2,3,4,5,6,7,8,9},A237,ROW(INDIRECT("1:"&amp;LEN(A237)))),1))," ",REPT(" ",LEN(A237))),LEN(A237))))))), 1)) * ROW(INDIRECT("1:"&amp;LEN((--TRIM(RIGHT(SUBSTITUTE(LEFT(A237,_xlfn.AGGREGATE(16,6,FIND({0,1,2,3,4,5,6,7,8,9},A237,ROW(INDIRECT("1:"&amp;LEN(A237)))),1))," ",REPT(" ",LEN(A237))),LEN(A237))))))), 0), ROW(INDIRECT("1:"&amp;LEN((--TRIM(RIGHT(SUBSTITUTE(LEFT(A237,_xlfn.AGGREGATE(16,6,FIND({0,1,2,3,4,5,6,7,8,9},A237,ROW(INDIRECT("1:"&amp;LEN(A237)))),1))," ",REPT(" ",LEN(A237))),LEN(A237))))))))+1, 1) * 10^ROW(INDIRECT("1:"&amp;LEN((--TRIM(RIGHT(SUBSTITUTE(LEFT(A237,_xlfn.AGGREGATE(16,6,FIND({0,1,2,3,4,5,6,7,8,9},A237,ROW(INDIRECT("1:"&amp;LEN(A237)))),1))," ",REPT(" ",LEN(A237))),LEN(A237)))))))/10))*1+1</f>
        <v>302 ,.., 1702</v>
      </c>
      <c r="B238" s="134"/>
      <c r="C238" s="96" t="s">
        <v>384</v>
      </c>
      <c r="D238" s="99">
        <f>(47.94)*(10.764)</f>
        <v>516.02615999999989</v>
      </c>
      <c r="E238" s="99">
        <f>(6.1)*(10.764)</f>
        <v>65.660399999999996</v>
      </c>
      <c r="F238" s="96">
        <f t="shared" si="26"/>
        <v>581.68655999999987</v>
      </c>
      <c r="G238" s="96">
        <v>0</v>
      </c>
      <c r="H238" s="96">
        <f t="shared" si="27"/>
        <v>901.61416799999984</v>
      </c>
      <c r="I238" s="35"/>
    </row>
    <row r="239" spans="1:14" s="95" customFormat="1" ht="15.75" customHeight="1" x14ac:dyDescent="0.35">
      <c r="A239" s="132" t="str">
        <f ca="1">(SUMPRODUCT(MID(0&amp;(LEFT(A238,SUM(LEN(A238)-LEN(SUBSTITUTE(A238,{"0","1","2"},""))))), LARGE(INDEX(ISNUMBER(--MID((LEFT(A238,SUM(LEN(A238)-LEN(SUBSTITUTE(A238,{"0","1","2"},""))))), ROW(INDIRECT("1:"&amp;LEN((LEFT(A238,SUM(LEN(A238)-LEN(SUBSTITUTE(A238,{"0","1","2"},"")))))))), 1)) * ROW(INDIRECT("1:"&amp;LEN((LEFT(A238,SUM(LEN(A238)-LEN(SUBSTITUTE(A238,{"0","1","2"},"")))))))), 0), ROW(INDIRECT("1:"&amp;LEN((LEFT(A238,SUM(LEN(A238)-LEN(SUBSTITUTE(A238,{"0","1","2"},"")))))))))+1, 1) * 10^ROW(INDIRECT("1:"&amp;LEN((LEFT(A238,SUM(LEN(A238)-LEN(SUBSTITUTE(A238,{"0","1","2"},""))))))))/10))*1+1&amp;""&amp;" ,.., "&amp;""&amp;(SUMPRODUCT(MID(0&amp;(--TRIM(RIGHT(SUBSTITUTE(LEFT(A238,_xlfn.AGGREGATE(16,6,FIND({0,1,2,3,4,5,6,7,8,9},A238,ROW(INDIRECT("1:"&amp;LEN(A238)))),1))," ",REPT(" ",LEN(A238))),LEN(A238)))), LARGE(INDEX(ISNUMBER(--MID((--TRIM(RIGHT(SUBSTITUTE(LEFT(A238,_xlfn.AGGREGATE(16,6,FIND({0,1,2,3,4,5,6,7,8,9},A238,ROW(INDIRECT("1:"&amp;LEN(A238)))),1))," ",REPT(" ",LEN(A238))),LEN(A238)))), ROW(INDIRECT("1:"&amp;LEN((--TRIM(RIGHT(SUBSTITUTE(LEFT(A238,_xlfn.AGGREGATE(16,6,FIND({0,1,2,3,4,5,6,7,8,9},A238,ROW(INDIRECT("1:"&amp;LEN(A238)))),1))," ",REPT(" ",LEN(A238))),LEN(A238))))))), 1)) * ROW(INDIRECT("1:"&amp;LEN((--TRIM(RIGHT(SUBSTITUTE(LEFT(A238,_xlfn.AGGREGATE(16,6,FIND({0,1,2,3,4,5,6,7,8,9},A238,ROW(INDIRECT("1:"&amp;LEN(A238)))),1))," ",REPT(" ",LEN(A238))),LEN(A238))))))), 0), ROW(INDIRECT("1:"&amp;LEN((--TRIM(RIGHT(SUBSTITUTE(LEFT(A238,_xlfn.AGGREGATE(16,6,FIND({0,1,2,3,4,5,6,7,8,9},A238,ROW(INDIRECT("1:"&amp;LEN(A238)))),1))," ",REPT(" ",LEN(A238))),LEN(A238))))))))+1, 1) * 10^ROW(INDIRECT("1:"&amp;LEN((--TRIM(RIGHT(SUBSTITUTE(LEFT(A238,_xlfn.AGGREGATE(16,6,FIND({0,1,2,3,4,5,6,7,8,9},A238,ROW(INDIRECT("1:"&amp;LEN(A238)))),1))," ",REPT(" ",LEN(A238))),LEN(A238)))))))/10))*1+1</f>
        <v>303 ,.., 1703</v>
      </c>
      <c r="B239" s="134"/>
      <c r="C239" s="96" t="s">
        <v>385</v>
      </c>
      <c r="D239" s="99">
        <f>(36.4)*(10.764)</f>
        <v>391.80959999999999</v>
      </c>
      <c r="E239" s="99">
        <f>(5.8)*(10.764)</f>
        <v>62.431199999999997</v>
      </c>
      <c r="F239" s="96">
        <f t="shared" si="26"/>
        <v>454.24079999999998</v>
      </c>
      <c r="G239" s="96">
        <v>0</v>
      </c>
      <c r="H239" s="96">
        <f t="shared" si="27"/>
        <v>704.07323999999994</v>
      </c>
      <c r="I239" s="35"/>
    </row>
    <row r="240" spans="1:14" s="95" customFormat="1" ht="15.75" customHeight="1" x14ac:dyDescent="0.35">
      <c r="A240" s="132" t="str">
        <f ca="1">(SUMPRODUCT(MID(0&amp;(LEFT(A239,SUM(LEN(A239)-LEN(SUBSTITUTE(A239,{"0","1","2"},""))))), LARGE(INDEX(ISNUMBER(--MID((LEFT(A239,SUM(LEN(A239)-LEN(SUBSTITUTE(A239,{"0","1","2"},""))))), ROW(INDIRECT("1:"&amp;LEN((LEFT(A239,SUM(LEN(A239)-LEN(SUBSTITUTE(A239,{"0","1","2"},"")))))))), 1)) * ROW(INDIRECT("1:"&amp;LEN((LEFT(A239,SUM(LEN(A239)-LEN(SUBSTITUTE(A239,{"0","1","2"},"")))))))), 0), ROW(INDIRECT("1:"&amp;LEN((LEFT(A239,SUM(LEN(A239)-LEN(SUBSTITUTE(A239,{"0","1","2"},"")))))))))+1, 1) * 10^ROW(INDIRECT("1:"&amp;LEN((LEFT(A239,SUM(LEN(A239)-LEN(SUBSTITUTE(A239,{"0","1","2"},""))))))))/10))*1+1&amp;""&amp;" ,.., "&amp;""&amp;(SUMPRODUCT(MID(0&amp;(--TRIM(RIGHT(SUBSTITUTE(LEFT(A239,_xlfn.AGGREGATE(16,6,FIND({0,1,2,3,4,5,6,7,8,9},A239,ROW(INDIRECT("1:"&amp;LEN(A239)))),1))," ",REPT(" ",LEN(A239))),LEN(A239)))), LARGE(INDEX(ISNUMBER(--MID((--TRIM(RIGHT(SUBSTITUTE(LEFT(A239,_xlfn.AGGREGATE(16,6,FIND({0,1,2,3,4,5,6,7,8,9},A239,ROW(INDIRECT("1:"&amp;LEN(A239)))),1))," ",REPT(" ",LEN(A239))),LEN(A239)))), ROW(INDIRECT("1:"&amp;LEN((--TRIM(RIGHT(SUBSTITUTE(LEFT(A239,_xlfn.AGGREGATE(16,6,FIND({0,1,2,3,4,5,6,7,8,9},A239,ROW(INDIRECT("1:"&amp;LEN(A239)))),1))," ",REPT(" ",LEN(A239))),LEN(A239))))))), 1)) * ROW(INDIRECT("1:"&amp;LEN((--TRIM(RIGHT(SUBSTITUTE(LEFT(A239,_xlfn.AGGREGATE(16,6,FIND({0,1,2,3,4,5,6,7,8,9},A239,ROW(INDIRECT("1:"&amp;LEN(A239)))),1))," ",REPT(" ",LEN(A239))),LEN(A239))))))), 0), ROW(INDIRECT("1:"&amp;LEN((--TRIM(RIGHT(SUBSTITUTE(LEFT(A239,_xlfn.AGGREGATE(16,6,FIND({0,1,2,3,4,5,6,7,8,9},A239,ROW(INDIRECT("1:"&amp;LEN(A239)))),1))," ",REPT(" ",LEN(A239))),LEN(A239))))))))+1, 1) * 10^ROW(INDIRECT("1:"&amp;LEN((--TRIM(RIGHT(SUBSTITUTE(LEFT(A239,_xlfn.AGGREGATE(16,6,FIND({0,1,2,3,4,5,6,7,8,9},A239,ROW(INDIRECT("1:"&amp;LEN(A239)))),1))," ",REPT(" ",LEN(A239))),LEN(A239)))))))/10))*1+1</f>
        <v>304 ,.., 1704</v>
      </c>
      <c r="B240" s="134"/>
      <c r="C240" s="96" t="s">
        <v>385</v>
      </c>
      <c r="D240" s="99">
        <f>(33.22)*(10.764)</f>
        <v>357.58007999999995</v>
      </c>
      <c r="E240" s="99">
        <f>(8.84)*(10.764)</f>
        <v>95.153759999999991</v>
      </c>
      <c r="F240" s="96">
        <f t="shared" si="26"/>
        <v>452.73383999999993</v>
      </c>
      <c r="G240" s="96">
        <v>0</v>
      </c>
      <c r="H240" s="96">
        <f t="shared" si="27"/>
        <v>701.73745199999996</v>
      </c>
      <c r="I240" s="35"/>
    </row>
    <row r="241" spans="1:14" s="95" customFormat="1" ht="15.75" customHeight="1" x14ac:dyDescent="0.35">
      <c r="A241" s="132"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",LEN(A240))),LEN(A240)))))))/10))*1+1</f>
        <v>305 ,.., 1705</v>
      </c>
      <c r="B241" s="134"/>
      <c r="C241" s="96" t="s">
        <v>384</v>
      </c>
      <c r="D241" s="99">
        <f>(46.94)*(10.764)</f>
        <v>505.26215999999994</v>
      </c>
      <c r="E241" s="99">
        <f>(5.95)*(10.764)</f>
        <v>64.0458</v>
      </c>
      <c r="F241" s="96">
        <f t="shared" si="26"/>
        <v>569.30795999999998</v>
      </c>
      <c r="G241" s="96">
        <v>0</v>
      </c>
      <c r="H241" s="96">
        <f t="shared" si="27"/>
        <v>882.42733799999996</v>
      </c>
      <c r="I241" s="35"/>
    </row>
    <row r="242" spans="1:14" s="95" customFormat="1" ht="15.75" customHeight="1" x14ac:dyDescent="0.35">
      <c r="A242" s="130"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306 ,.., 1706</v>
      </c>
      <c r="B242" s="130"/>
      <c r="C242" s="113" t="s">
        <v>384</v>
      </c>
      <c r="D242" s="99">
        <f>(49.57)*(10.764)</f>
        <v>533.57147999999995</v>
      </c>
      <c r="E242" s="99">
        <f>(6.1+2.9*0.75)*(10.764)</f>
        <v>89.072099999999978</v>
      </c>
      <c r="F242" s="113">
        <f t="shared" si="26"/>
        <v>622.64357999999993</v>
      </c>
      <c r="G242" s="113">
        <v>0</v>
      </c>
      <c r="H242" s="113">
        <f t="shared" si="27"/>
        <v>965.09754899999996</v>
      </c>
      <c r="I242" s="35">
        <f>(2.95*3.96+0.8*3.4+2.59*2.29+2.75*3.1+2.75*3.15+2.15*1.22*2+1.85*0.9+0.9*3.1)</f>
        <v>47.221600000000002</v>
      </c>
      <c r="J242" s="35">
        <f>3.05*2</f>
        <v>6.1</v>
      </c>
      <c r="K242" s="35">
        <f>2.9*0.75</f>
        <v>2.1749999999999998</v>
      </c>
    </row>
    <row r="243" spans="1:14" s="95" customFormat="1" x14ac:dyDescent="0.35">
      <c r="A243" s="137" t="s">
        <v>387</v>
      </c>
      <c r="B243" s="137"/>
      <c r="C243" s="137"/>
      <c r="D243" s="137"/>
      <c r="E243" s="137"/>
      <c r="F243" s="137"/>
      <c r="G243" s="137"/>
      <c r="H243" s="137"/>
      <c r="I243" s="35"/>
    </row>
    <row r="244" spans="1:14" s="95" customFormat="1" ht="15.75" customHeight="1" x14ac:dyDescent="0.35">
      <c r="A244" s="130"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10^ROW(INDIRECT("1:"&amp;LEN((LEFT(A243,SUM(LEN(A243)-LEN(SUBSTITUTE(A243,{"0","1","2"},""))))))))/10))*100+1&amp;""&amp;" &amp;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",LEN(A243))),LEN(A243)))))))/10))*100+1</f>
        <v>801 &amp; 1301</v>
      </c>
      <c r="B244" s="130"/>
      <c r="C244" s="113" t="s">
        <v>384</v>
      </c>
      <c r="D244" s="99">
        <f>(51.85)*(10.764)</f>
        <v>558.11339999999996</v>
      </c>
      <c r="E244" s="99">
        <f>(5.8)*(10.764)</f>
        <v>62.431199999999997</v>
      </c>
      <c r="F244" s="113">
        <f t="shared" ref="F244:F249" si="28">D244+E244</f>
        <v>620.54459999999995</v>
      </c>
      <c r="G244" s="113">
        <v>0</v>
      </c>
      <c r="H244" s="113">
        <f t="shared" ref="H244:H249" si="29">F244*(($H$219)+1)+(IF(G244&lt;101,G244,IF(G244&lt;201,G244/2,IF(G244&lt;=301,G244/3,G244/4))))</f>
        <v>961.84412999999995</v>
      </c>
      <c r="I244" s="35"/>
    </row>
    <row r="245" spans="1:14" s="95" customFormat="1" ht="15.75" customHeight="1" x14ac:dyDescent="0.35">
      <c r="A245" s="130"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&amp;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802 &amp; 1302</v>
      </c>
      <c r="B245" s="130"/>
      <c r="C245" s="113" t="s">
        <v>384</v>
      </c>
      <c r="D245" s="99">
        <f>(47.94)*(10.764)</f>
        <v>516.02615999999989</v>
      </c>
      <c r="E245" s="99">
        <f>(6.1)*(10.764)</f>
        <v>65.660399999999996</v>
      </c>
      <c r="F245" s="113">
        <f t="shared" si="28"/>
        <v>581.68655999999987</v>
      </c>
      <c r="G245" s="113">
        <v>0</v>
      </c>
      <c r="H245" s="113">
        <f t="shared" si="29"/>
        <v>901.61416799999984</v>
      </c>
      <c r="I245" s="35"/>
    </row>
    <row r="246" spans="1:14" s="95" customFormat="1" ht="15.75" customHeight="1" x14ac:dyDescent="0.35">
      <c r="A246" s="130" t="str">
        <f ca="1">(SUMPRODUCT(MID(0&amp;(LEFT(A245,SUM(LEN(A245)-LEN(SUBSTITUTE(A245,{"0","1","2"},""))))), LARGE(INDEX(ISNUMBER(--MID((LEFT(A245,SUM(LEN(A245)-LEN(SUBSTITUTE(A245,{"0","1","2"},""))))), ROW(INDIRECT("1:"&amp;LEN((LEFT(A245,SUM(LEN(A245)-LEN(SUBSTITUTE(A245,{"0","1","2"},"")))))))), 1)) * ROW(INDIRECT("1:"&amp;LEN((LEFT(A245,SUM(LEN(A245)-LEN(SUBSTITUTE(A245,{"0","1","2"},"")))))))), 0), ROW(INDIRECT("1:"&amp;LEN((LEFT(A245,SUM(LEN(A245)-LEN(SUBSTITUTE(A245,{"0","1","2"},"")))))))))+1, 1) * 10^ROW(INDIRECT("1:"&amp;LEN((LEFT(A245,SUM(LEN(A245)-LEN(SUBSTITUTE(A245,{"0","1","2"},""))))))))/10))*1+1&amp;""&amp;" &amp; "&amp;""&amp;(SUMPRODUCT(MID(0&amp;(--TRIM(RIGHT(SUBSTITUTE(LEFT(A245,_xlfn.AGGREGATE(16,6,FIND({0,1,2,3,4,5,6,7,8,9},A245,ROW(INDIRECT("1:"&amp;LEN(A245)))),1))," ",REPT(" ",LEN(A245))),LEN(A245)))), LARGE(INDEX(ISNUMBER(--MID((--TRIM(RIGHT(SUBSTITUTE(LEFT(A245,_xlfn.AGGREGATE(16,6,FIND({0,1,2,3,4,5,6,7,8,9},A245,ROW(INDIRECT("1:"&amp;LEN(A245)))),1))," ",REPT(" ",LEN(A245))),LEN(A245)))), ROW(INDIRECT("1:"&amp;LEN((--TRIM(RIGHT(SUBSTITUTE(LEFT(A245,_xlfn.AGGREGATE(16,6,FIND({0,1,2,3,4,5,6,7,8,9},A245,ROW(INDIRECT("1:"&amp;LEN(A245)))),1))," ",REPT(" ",LEN(A245))),LEN(A245))))))), 1)) * ROW(INDIRECT("1:"&amp;LEN((--TRIM(RIGHT(SUBSTITUTE(LEFT(A245,_xlfn.AGGREGATE(16,6,FIND({0,1,2,3,4,5,6,7,8,9},A245,ROW(INDIRECT("1:"&amp;LEN(A245)))),1))," ",REPT(" ",LEN(A245))),LEN(A245))))))), 0), ROW(INDIRECT("1:"&amp;LEN((--TRIM(RIGHT(SUBSTITUTE(LEFT(A245,_xlfn.AGGREGATE(16,6,FIND({0,1,2,3,4,5,6,7,8,9},A245,ROW(INDIRECT("1:"&amp;LEN(A245)))),1))," ",REPT(" ",LEN(A245))),LEN(A245))))))))+1, 1) * 10^ROW(INDIRECT("1:"&amp;LEN((--TRIM(RIGHT(SUBSTITUTE(LEFT(A245,_xlfn.AGGREGATE(16,6,FIND({0,1,2,3,4,5,6,7,8,9},A245,ROW(INDIRECT("1:"&amp;LEN(A245)))),1))," ",REPT(" ",LEN(A245))),LEN(A245)))))))/10))*1+1</f>
        <v>803 &amp; 1303</v>
      </c>
      <c r="B246" s="130"/>
      <c r="C246" s="113" t="s">
        <v>385</v>
      </c>
      <c r="D246" s="99">
        <f>(36.39)*(10.764)</f>
        <v>391.70195999999999</v>
      </c>
      <c r="E246" s="99">
        <f>(6.1)*(10.764)</f>
        <v>65.660399999999996</v>
      </c>
      <c r="F246" s="113">
        <f t="shared" si="28"/>
        <v>457.36235999999997</v>
      </c>
      <c r="G246" s="113">
        <v>0</v>
      </c>
      <c r="H246" s="113">
        <f t="shared" si="29"/>
        <v>708.91165799999999</v>
      </c>
      <c r="I246" s="35"/>
    </row>
    <row r="247" spans="1:14" s="95" customFormat="1" ht="15.75" customHeight="1" x14ac:dyDescent="0.35">
      <c r="A247" s="130"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10^ROW(INDIRECT("1:"&amp;LEN((LEFT(A246,SUM(LEN(A246)-LEN(SUBSTITUTE(A246,{"0","1","2"},""))))))))/10))*1+1&amp;""&amp;" &amp;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",LEN(A246))),LEN(A246)))))))/10))*1+1</f>
        <v>804 &amp; 1304</v>
      </c>
      <c r="B247" s="130"/>
      <c r="C247" s="113" t="s">
        <v>385</v>
      </c>
      <c r="D247" s="99">
        <f>(35.72)*(10.764)</f>
        <v>384.49007999999998</v>
      </c>
      <c r="E247" s="99">
        <f>(5.37)*(10.764)</f>
        <v>57.802679999999995</v>
      </c>
      <c r="F247" s="113">
        <f t="shared" si="28"/>
        <v>442.29275999999999</v>
      </c>
      <c r="G247" s="113">
        <v>0</v>
      </c>
      <c r="H247" s="113">
        <f t="shared" si="29"/>
        <v>685.55377799999997</v>
      </c>
      <c r="I247" s="35"/>
    </row>
    <row r="248" spans="1:14" s="95" customFormat="1" ht="15.75" customHeight="1" x14ac:dyDescent="0.35">
      <c r="A248" s="130"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&amp;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805 &amp; 1305</v>
      </c>
      <c r="B248" s="130"/>
      <c r="C248" s="113" t="s">
        <v>384</v>
      </c>
      <c r="D248" s="99">
        <f>(46.94)*(10.764)</f>
        <v>505.26215999999994</v>
      </c>
      <c r="E248" s="99">
        <f>(5.8)*(10.764)</f>
        <v>62.431199999999997</v>
      </c>
      <c r="F248" s="113">
        <f t="shared" si="28"/>
        <v>567.69335999999998</v>
      </c>
      <c r="G248" s="113">
        <v>0</v>
      </c>
      <c r="H248" s="113">
        <f t="shared" si="29"/>
        <v>879.92470800000001</v>
      </c>
      <c r="I248" s="35"/>
    </row>
    <row r="249" spans="1:14" s="95" customFormat="1" ht="15.75" customHeight="1" x14ac:dyDescent="0.35">
      <c r="A249" s="130"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&amp;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806 &amp; 1306</v>
      </c>
      <c r="B249" s="130"/>
      <c r="C249" s="113" t="s">
        <v>384</v>
      </c>
      <c r="D249" s="99">
        <f>(49.57)*(10.764)</f>
        <v>533.57147999999995</v>
      </c>
      <c r="E249" s="99">
        <f>(5.8)*(10.764)</f>
        <v>62.431199999999997</v>
      </c>
      <c r="F249" s="113">
        <f t="shared" si="28"/>
        <v>596.00267999999994</v>
      </c>
      <c r="G249" s="113">
        <v>0</v>
      </c>
      <c r="H249" s="113">
        <f t="shared" si="29"/>
        <v>923.80415399999993</v>
      </c>
      <c r="I249" s="35"/>
    </row>
    <row r="250" spans="1:14" s="95" customFormat="1" x14ac:dyDescent="0.35">
      <c r="A250" s="137" t="s">
        <v>388</v>
      </c>
      <c r="B250" s="137"/>
      <c r="C250" s="137"/>
      <c r="D250" s="137"/>
      <c r="E250" s="137"/>
      <c r="F250" s="137"/>
      <c r="G250" s="137"/>
      <c r="H250" s="137"/>
      <c r="J250" s="35"/>
    </row>
    <row r="251" spans="1:14" s="95" customFormat="1" x14ac:dyDescent="0.35">
      <c r="A251" s="137" t="s">
        <v>389</v>
      </c>
      <c r="B251" s="137"/>
      <c r="C251" s="137"/>
      <c r="D251" s="137"/>
      <c r="E251" s="137"/>
      <c r="F251" s="137"/>
      <c r="G251" s="137"/>
      <c r="H251" s="137"/>
      <c r="J251" s="35"/>
    </row>
    <row r="252" spans="1:14" s="95" customFormat="1" x14ac:dyDescent="0.35">
      <c r="A252" s="137" t="s">
        <v>382</v>
      </c>
      <c r="B252" s="137"/>
      <c r="C252" s="137"/>
      <c r="D252" s="137"/>
      <c r="E252" s="137"/>
      <c r="F252" s="137"/>
      <c r="G252" s="137"/>
      <c r="H252" s="137"/>
      <c r="J252" s="35"/>
    </row>
    <row r="253" spans="1:14" s="95" customFormat="1" x14ac:dyDescent="0.35">
      <c r="A253" s="137" t="s">
        <v>383</v>
      </c>
      <c r="B253" s="137"/>
      <c r="C253" s="137"/>
      <c r="D253" s="137"/>
      <c r="E253" s="137"/>
      <c r="F253" s="137"/>
      <c r="G253" s="137"/>
      <c r="H253" s="137"/>
      <c r="I253" s="35"/>
      <c r="L253" s="138"/>
      <c r="M253" s="138"/>
    </row>
    <row r="254" spans="1:14" s="95" customFormat="1" x14ac:dyDescent="0.35">
      <c r="A254" s="130">
        <f>LEFT(A253,SUM(LEN(A253)-LEN(SUBSTITUTE(A253,{"0","1","2","3","4","5","6","7","8","9"},""))))*100+1</f>
        <v>101</v>
      </c>
      <c r="B254" s="130"/>
      <c r="C254" s="107" t="s">
        <v>384</v>
      </c>
      <c r="D254" s="99">
        <f>(51.29)*(10.764)</f>
        <v>552.08555999999999</v>
      </c>
      <c r="E254" s="99">
        <f>(4.2)*(10.764)</f>
        <v>45.208799999999997</v>
      </c>
      <c r="F254" s="107">
        <f t="shared" ref="F254:F265" si="30">D254+E254</f>
        <v>597.29435999999998</v>
      </c>
      <c r="G254" s="107">
        <v>0</v>
      </c>
      <c r="H254" s="107">
        <f t="shared" ref="H254:H265" si="31">F254*(($H$219)+1)+(IF(G254&lt;101,G254,IF(G254&lt;201,G254/2,IF(G254&lt;=301,G254/3,G254/4))))</f>
        <v>925.80625799999996</v>
      </c>
      <c r="I254" s="35">
        <f>(5.16*2.9+2.29*2.45+2.8*2.75+3.1*3.2+1*1.55+1.22*2.1*2+1*3.85)</f>
        <v>48.718500000000006</v>
      </c>
      <c r="J254" s="35">
        <f>1.2*3.5</f>
        <v>4.2</v>
      </c>
      <c r="N254" s="35"/>
    </row>
    <row r="255" spans="1:14" s="95" customFormat="1" x14ac:dyDescent="0.35">
      <c r="A255" s="130">
        <f t="shared" ref="A255:A265" si="32">A254+1</f>
        <v>102</v>
      </c>
      <c r="B255" s="130"/>
      <c r="C255" s="107" t="s">
        <v>385</v>
      </c>
      <c r="D255" s="99">
        <f>(37.23)*(10.764)</f>
        <v>400.74371999999994</v>
      </c>
      <c r="E255" s="99">
        <f>(4.39)*(10.764)</f>
        <v>47.253959999999992</v>
      </c>
      <c r="F255" s="107">
        <f t="shared" si="30"/>
        <v>447.99767999999995</v>
      </c>
      <c r="G255" s="107">
        <v>0</v>
      </c>
      <c r="H255" s="107">
        <f t="shared" si="31"/>
        <v>694.39640399999996</v>
      </c>
      <c r="I255" s="35"/>
      <c r="N255" s="35"/>
    </row>
    <row r="256" spans="1:14" s="95" customFormat="1" x14ac:dyDescent="0.35">
      <c r="A256" s="130">
        <f t="shared" si="32"/>
        <v>103</v>
      </c>
      <c r="B256" s="130"/>
      <c r="C256" s="107" t="s">
        <v>384</v>
      </c>
      <c r="D256" s="99">
        <f>(47.67)*(10.764)</f>
        <v>513.11987999999997</v>
      </c>
      <c r="E256" s="99">
        <f>(4.2)*(10.764)</f>
        <v>45.208799999999997</v>
      </c>
      <c r="F256" s="107">
        <f t="shared" si="30"/>
        <v>558.32867999999996</v>
      </c>
      <c r="G256" s="107">
        <v>0</v>
      </c>
      <c r="H256" s="107">
        <f t="shared" si="31"/>
        <v>865.40945399999998</v>
      </c>
      <c r="I256" s="35"/>
      <c r="N256" s="35"/>
    </row>
    <row r="257" spans="1:14" s="95" customFormat="1" x14ac:dyDescent="0.35">
      <c r="A257" s="130">
        <f t="shared" si="32"/>
        <v>104</v>
      </c>
      <c r="B257" s="130"/>
      <c r="C257" s="107" t="s">
        <v>385</v>
      </c>
      <c r="D257" s="99">
        <f>(38.1)*(10.764)</f>
        <v>410.10840000000002</v>
      </c>
      <c r="E257" s="99">
        <f>0*(10.764)</f>
        <v>0</v>
      </c>
      <c r="F257" s="107">
        <f t="shared" si="30"/>
        <v>410.10840000000002</v>
      </c>
      <c r="G257" s="107">
        <v>0</v>
      </c>
      <c r="H257" s="107">
        <f t="shared" si="31"/>
        <v>635.66802000000007</v>
      </c>
      <c r="I257" s="35">
        <f>(2.9*3.96+2.45*2.29+2.9*3.95+2.25*1.2+2.3*1.2+1*2.7)</f>
        <v>36.709500000000006</v>
      </c>
      <c r="N257" s="35"/>
    </row>
    <row r="258" spans="1:14" s="95" customFormat="1" x14ac:dyDescent="0.35">
      <c r="A258" s="130">
        <f t="shared" si="32"/>
        <v>105</v>
      </c>
      <c r="B258" s="130"/>
      <c r="C258" s="107" t="s">
        <v>385</v>
      </c>
      <c r="D258" s="99">
        <f>(38.1)*(10.764)</f>
        <v>410.10840000000002</v>
      </c>
      <c r="E258" s="99">
        <f>0*(10.764)</f>
        <v>0</v>
      </c>
      <c r="F258" s="107">
        <f t="shared" si="30"/>
        <v>410.10840000000002</v>
      </c>
      <c r="G258" s="107">
        <v>0</v>
      </c>
      <c r="H258" s="107">
        <f t="shared" si="31"/>
        <v>635.66802000000007</v>
      </c>
      <c r="I258" s="35"/>
      <c r="N258" s="35"/>
    </row>
    <row r="259" spans="1:14" s="95" customFormat="1" x14ac:dyDescent="0.35">
      <c r="A259" s="130">
        <f t="shared" si="32"/>
        <v>106</v>
      </c>
      <c r="B259" s="130"/>
      <c r="C259" s="107" t="s">
        <v>384</v>
      </c>
      <c r="D259" s="99">
        <f>(48.61)*(10.764)</f>
        <v>523.23803999999996</v>
      </c>
      <c r="E259" s="99">
        <f>(4.2)*(10.764)</f>
        <v>45.208799999999997</v>
      </c>
      <c r="F259" s="107">
        <f t="shared" si="30"/>
        <v>568.44683999999995</v>
      </c>
      <c r="G259" s="107">
        <v>0</v>
      </c>
      <c r="H259" s="107">
        <f t="shared" si="31"/>
        <v>881.09260199999994</v>
      </c>
      <c r="I259" s="35"/>
      <c r="N259" s="35"/>
    </row>
    <row r="260" spans="1:14" s="95" customFormat="1" x14ac:dyDescent="0.35">
      <c r="A260" s="130">
        <f t="shared" si="32"/>
        <v>107</v>
      </c>
      <c r="B260" s="130"/>
      <c r="C260" s="107" t="s">
        <v>385</v>
      </c>
      <c r="D260" s="99">
        <f>(36.39)*(10.764)</f>
        <v>391.70195999999999</v>
      </c>
      <c r="E260" s="99">
        <f>(3.57)*(10.764)</f>
        <v>38.427479999999996</v>
      </c>
      <c r="F260" s="107">
        <f t="shared" si="30"/>
        <v>430.12943999999999</v>
      </c>
      <c r="G260" s="107">
        <v>0</v>
      </c>
      <c r="H260" s="107">
        <f t="shared" si="31"/>
        <v>666.70063200000004</v>
      </c>
      <c r="I260" s="35"/>
      <c r="N260" s="35"/>
    </row>
    <row r="261" spans="1:14" s="95" customFormat="1" x14ac:dyDescent="0.35">
      <c r="A261" s="130">
        <f t="shared" si="32"/>
        <v>108</v>
      </c>
      <c r="B261" s="130"/>
      <c r="C261" s="107" t="s">
        <v>384</v>
      </c>
      <c r="D261" s="99">
        <f>(50.99)*(10.764)</f>
        <v>548.85636</v>
      </c>
      <c r="E261" s="99">
        <f>(3.57)*(10.764)</f>
        <v>38.427479999999996</v>
      </c>
      <c r="F261" s="107">
        <f t="shared" si="30"/>
        <v>587.28383999999994</v>
      </c>
      <c r="G261" s="107">
        <v>0</v>
      </c>
      <c r="H261" s="107">
        <f t="shared" si="31"/>
        <v>910.28995199999997</v>
      </c>
      <c r="I261" s="35"/>
      <c r="N261" s="35"/>
    </row>
    <row r="262" spans="1:14" s="95" customFormat="1" x14ac:dyDescent="0.35">
      <c r="A262" s="130">
        <f t="shared" si="32"/>
        <v>109</v>
      </c>
      <c r="B262" s="130"/>
      <c r="C262" s="107" t="s">
        <v>384</v>
      </c>
      <c r="D262" s="99">
        <f>(48.17)*(10.764)</f>
        <v>518.50188000000003</v>
      </c>
      <c r="E262" s="99">
        <f>(3.66)*(10.764)</f>
        <v>39.396239999999999</v>
      </c>
      <c r="F262" s="107">
        <f t="shared" si="30"/>
        <v>557.89812000000006</v>
      </c>
      <c r="G262" s="107">
        <v>0</v>
      </c>
      <c r="H262" s="107">
        <f t="shared" si="31"/>
        <v>864.74208600000009</v>
      </c>
      <c r="I262" s="35"/>
      <c r="N262" s="35"/>
    </row>
    <row r="263" spans="1:14" s="95" customFormat="1" x14ac:dyDescent="0.35">
      <c r="A263" s="130">
        <f t="shared" si="32"/>
        <v>110</v>
      </c>
      <c r="B263" s="130"/>
      <c r="C263" s="107" t="s">
        <v>384</v>
      </c>
      <c r="D263" s="99">
        <f>(47.71)*(10.764)</f>
        <v>513.55043999999998</v>
      </c>
      <c r="E263" s="99">
        <f>(3.66)*(10.764)</f>
        <v>39.396239999999999</v>
      </c>
      <c r="F263" s="107">
        <f t="shared" si="30"/>
        <v>552.94668000000001</v>
      </c>
      <c r="G263" s="107">
        <v>0</v>
      </c>
      <c r="H263" s="107">
        <f t="shared" si="31"/>
        <v>857.06735400000002</v>
      </c>
      <c r="I263" s="35"/>
      <c r="N263" s="35"/>
    </row>
    <row r="264" spans="1:14" s="95" customFormat="1" x14ac:dyDescent="0.35">
      <c r="A264" s="130">
        <f t="shared" si="32"/>
        <v>111</v>
      </c>
      <c r="B264" s="130"/>
      <c r="C264" s="107" t="s">
        <v>384</v>
      </c>
      <c r="D264" s="99">
        <f>(47.55)*(10.764)</f>
        <v>511.82819999999992</v>
      </c>
      <c r="E264" s="99">
        <f>(3.66)*(10.764)</f>
        <v>39.396239999999999</v>
      </c>
      <c r="F264" s="107">
        <f t="shared" si="30"/>
        <v>551.22443999999996</v>
      </c>
      <c r="G264" s="107">
        <v>0</v>
      </c>
      <c r="H264" s="107">
        <f t="shared" si="31"/>
        <v>854.39788199999998</v>
      </c>
      <c r="I264" s="35"/>
      <c r="N264" s="35"/>
    </row>
    <row r="265" spans="1:14" s="95" customFormat="1" x14ac:dyDescent="0.35">
      <c r="A265" s="130">
        <f t="shared" si="32"/>
        <v>112</v>
      </c>
      <c r="B265" s="130"/>
      <c r="C265" s="107" t="s">
        <v>384</v>
      </c>
      <c r="D265" s="99">
        <f>(48.61)*(10.764)</f>
        <v>523.23803999999996</v>
      </c>
      <c r="E265" s="99">
        <f>(3.66)*(10.764)</f>
        <v>39.396239999999999</v>
      </c>
      <c r="F265" s="107">
        <f t="shared" si="30"/>
        <v>562.63427999999999</v>
      </c>
      <c r="G265" s="107">
        <v>0</v>
      </c>
      <c r="H265" s="107">
        <f t="shared" si="31"/>
        <v>872.08313399999997</v>
      </c>
      <c r="I265" s="35"/>
      <c r="N265" s="35"/>
    </row>
    <row r="266" spans="1:14" s="95" customFormat="1" ht="15.75" customHeight="1" x14ac:dyDescent="0.35">
      <c r="A266" s="139" t="s">
        <v>390</v>
      </c>
      <c r="B266" s="140"/>
      <c r="C266" s="140"/>
      <c r="D266" s="140"/>
      <c r="E266" s="140"/>
      <c r="F266" s="140"/>
      <c r="G266" s="140"/>
      <c r="H266" s="141"/>
      <c r="I266" s="35"/>
    </row>
    <row r="267" spans="1:14" s="95" customFormat="1" ht="15.75" customHeight="1" x14ac:dyDescent="0.35">
      <c r="A267" s="132"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10^ROW(INDIRECT("1:"&amp;LEN((LEFT(A266,SUM(LEN(A266)-LEN(SUBSTITUTE(A266,{"0","1","2"},""))))))))/10))*100+1&amp;""&amp;" ,..,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",LEN(A266))),LEN(A266)))))))/10))*100+1</f>
        <v>201 ,.., 1701</v>
      </c>
      <c r="B267" s="134"/>
      <c r="C267" s="96" t="s">
        <v>384</v>
      </c>
      <c r="D267" s="99">
        <f>(51.29)*(10.764)</f>
        <v>552.08555999999999</v>
      </c>
      <c r="E267" s="99">
        <f>(4.19)*(10.764)</f>
        <v>45.10116</v>
      </c>
      <c r="F267" s="96">
        <f t="shared" ref="F267:F278" si="33">D267+E267</f>
        <v>597.18672000000004</v>
      </c>
      <c r="G267" s="96">
        <v>0</v>
      </c>
      <c r="H267" s="96">
        <f t="shared" ref="H267:H278" si="34">F267*(($H$219)+1)+(IF(G267&lt;101,G267,IF(G267&lt;201,G267/2,IF(G267&lt;=301,G267/3,G267/4))))</f>
        <v>925.6394160000001</v>
      </c>
      <c r="I267" s="35"/>
    </row>
    <row r="268" spans="1:14" s="95" customFormat="1" ht="15.75" customHeight="1" x14ac:dyDescent="0.35">
      <c r="A268" s="132"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202 ,.., 1702</v>
      </c>
      <c r="B268" s="134"/>
      <c r="C268" s="96" t="s">
        <v>385</v>
      </c>
      <c r="D268" s="99">
        <f>(37.23)*(10.764)</f>
        <v>400.74371999999994</v>
      </c>
      <c r="E268" s="99">
        <f>(4.39)*(10.764)</f>
        <v>47.253959999999992</v>
      </c>
      <c r="F268" s="96">
        <f t="shared" si="33"/>
        <v>447.99767999999995</v>
      </c>
      <c r="G268" s="96">
        <v>0</v>
      </c>
      <c r="H268" s="96">
        <f t="shared" si="34"/>
        <v>694.39640399999996</v>
      </c>
      <c r="I268" s="35"/>
    </row>
    <row r="269" spans="1:14" s="95" customFormat="1" ht="15.75" customHeight="1" x14ac:dyDescent="0.35">
      <c r="A269" s="132"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203 ,.., 1703</v>
      </c>
      <c r="B269" s="134"/>
      <c r="C269" s="96" t="s">
        <v>384</v>
      </c>
      <c r="D269" s="99">
        <f>(47.67)*(10.764)</f>
        <v>513.11987999999997</v>
      </c>
      <c r="E269" s="99">
        <f>(4.2)*(10.764)</f>
        <v>45.208799999999997</v>
      </c>
      <c r="F269" s="96">
        <f t="shared" si="33"/>
        <v>558.32867999999996</v>
      </c>
      <c r="G269" s="96">
        <v>0</v>
      </c>
      <c r="H269" s="96">
        <f t="shared" si="34"/>
        <v>865.40945399999998</v>
      </c>
      <c r="I269" s="35"/>
    </row>
    <row r="270" spans="1:14" s="95" customFormat="1" ht="15.75" customHeight="1" x14ac:dyDescent="0.35">
      <c r="A270" s="132" t="str">
        <f ca="1">(SUMPRODUCT(MID(0&amp;(LEFT(A269,SUM(LEN(A269)-LEN(SUBSTITUTE(A269,{"0","1","2"},""))))), LARGE(INDEX(ISNUMBER(--MID((LEFT(A269,SUM(LEN(A269)-LEN(SUBSTITUTE(A269,{"0","1","2"},""))))), ROW(INDIRECT("1:"&amp;LEN((LEFT(A269,SUM(LEN(A269)-LEN(SUBSTITUTE(A269,{"0","1","2"},"")))))))), 1)) * ROW(INDIRECT("1:"&amp;LEN((LEFT(A269,SUM(LEN(A269)-LEN(SUBSTITUTE(A269,{"0","1","2"},"")))))))), 0), ROW(INDIRECT("1:"&amp;LEN((LEFT(A269,SUM(LEN(A269)-LEN(SUBSTITUTE(A269,{"0","1","2"},"")))))))))+1, 1) * 10^ROW(INDIRECT("1:"&amp;LEN((LEFT(A269,SUM(LEN(A269)-LEN(SUBSTITUTE(A269,{"0","1","2"},""))))))))/10))*1+1&amp;""&amp;" ,.., "&amp;""&amp;(SUMPRODUCT(MID(0&amp;(--TRIM(RIGHT(SUBSTITUTE(LEFT(A269,_xlfn.AGGREGATE(16,6,FIND({0,1,2,3,4,5,6,7,8,9},A269,ROW(INDIRECT("1:"&amp;LEN(A269)))),1))," ",REPT(" ",LEN(A269))),LEN(A269)))), LARGE(INDEX(ISNUMBER(--MID((--TRIM(RIGHT(SUBSTITUTE(LEFT(A269,_xlfn.AGGREGATE(16,6,FIND({0,1,2,3,4,5,6,7,8,9},A269,ROW(INDIRECT("1:"&amp;LEN(A269)))),1))," ",REPT(" ",LEN(A269))),LEN(A269)))), ROW(INDIRECT("1:"&amp;LEN((--TRIM(RIGHT(SUBSTITUTE(LEFT(A269,_xlfn.AGGREGATE(16,6,FIND({0,1,2,3,4,5,6,7,8,9},A269,ROW(INDIRECT("1:"&amp;LEN(A269)))),1))," ",REPT(" ",LEN(A269))),LEN(A269))))))), 1)) * ROW(INDIRECT("1:"&amp;LEN((--TRIM(RIGHT(SUBSTITUTE(LEFT(A269,_xlfn.AGGREGATE(16,6,FIND({0,1,2,3,4,5,6,7,8,9},A269,ROW(INDIRECT("1:"&amp;LEN(A269)))),1))," ",REPT(" ",LEN(A269))),LEN(A269))))))), 0), ROW(INDIRECT("1:"&amp;LEN((--TRIM(RIGHT(SUBSTITUTE(LEFT(A269,_xlfn.AGGREGATE(16,6,FIND({0,1,2,3,4,5,6,7,8,9},A269,ROW(INDIRECT("1:"&amp;LEN(A269)))),1))," ",REPT(" ",LEN(A269))),LEN(A269))))))))+1, 1) * 10^ROW(INDIRECT("1:"&amp;LEN((--TRIM(RIGHT(SUBSTITUTE(LEFT(A269,_xlfn.AGGREGATE(16,6,FIND({0,1,2,3,4,5,6,7,8,9},A269,ROW(INDIRECT("1:"&amp;LEN(A269)))),1))," ",REPT(" ",LEN(A269))),LEN(A269)))))))/10))*1+1</f>
        <v>204 ,.., 1704</v>
      </c>
      <c r="B270" s="134"/>
      <c r="C270" s="96" t="s">
        <v>384</v>
      </c>
      <c r="D270" s="99">
        <f>(47.55)*(10.764)</f>
        <v>511.82819999999992</v>
      </c>
      <c r="E270" s="99">
        <f>(3.75)*(10.764)</f>
        <v>40.364999999999995</v>
      </c>
      <c r="F270" s="96">
        <f t="shared" si="33"/>
        <v>552.19319999999993</v>
      </c>
      <c r="G270" s="96">
        <v>0</v>
      </c>
      <c r="H270" s="96">
        <f t="shared" si="34"/>
        <v>855.89945999999998</v>
      </c>
      <c r="I270" s="35">
        <f>(2.9*3.96+2.45*2.29+2.75*2.8+2.9*3.1+2.25*1.2+2.3*1.2+1*1.55+1*4.2)</f>
        <v>44.994500000000002</v>
      </c>
      <c r="J270" s="35">
        <f>3.13*1.2</f>
        <v>3.7559999999999998</v>
      </c>
    </row>
    <row r="271" spans="1:14" s="95" customFormat="1" ht="15.75" customHeight="1" x14ac:dyDescent="0.35">
      <c r="A271" s="132" t="str">
        <f ca="1">(SUMPRODUCT(MID(0&amp;(LEFT(A270,SUM(LEN(A270)-LEN(SUBSTITUTE(A270,{"0","1","2"},""))))), LARGE(INDEX(ISNUMBER(--MID((LEFT(A270,SUM(LEN(A270)-LEN(SUBSTITUTE(A270,{"0","1","2"},""))))), ROW(INDIRECT("1:"&amp;LEN((LEFT(A270,SUM(LEN(A270)-LEN(SUBSTITUTE(A270,{"0","1","2"},"")))))))), 1)) * ROW(INDIRECT("1:"&amp;LEN((LEFT(A270,SUM(LEN(A270)-LEN(SUBSTITUTE(A270,{"0","1","2"},"")))))))), 0), ROW(INDIRECT("1:"&amp;LEN((LEFT(A270,SUM(LEN(A270)-LEN(SUBSTITUTE(A270,{"0","1","2"},"")))))))))+1, 1) * 10^ROW(INDIRECT("1:"&amp;LEN((LEFT(A270,SUM(LEN(A270)-LEN(SUBSTITUTE(A270,{"0","1","2"},""))))))))/10))*1+1&amp;""&amp;" ,.., "&amp;""&amp;(SUMPRODUCT(MID(0&amp;(--TRIM(RIGHT(SUBSTITUTE(LEFT(A270,_xlfn.AGGREGATE(16,6,FIND({0,1,2,3,4,5,6,7,8,9},A270,ROW(INDIRECT("1:"&amp;LEN(A270)))),1))," ",REPT(" ",LEN(A270))),LEN(A270)))), LARGE(INDEX(ISNUMBER(--MID((--TRIM(RIGHT(SUBSTITUTE(LEFT(A270,_xlfn.AGGREGATE(16,6,FIND({0,1,2,3,4,5,6,7,8,9},A270,ROW(INDIRECT("1:"&amp;LEN(A270)))),1))," ",REPT(" ",LEN(A270))),LEN(A270)))), ROW(INDIRECT("1:"&amp;LEN((--TRIM(RIGHT(SUBSTITUTE(LEFT(A270,_xlfn.AGGREGATE(16,6,FIND({0,1,2,3,4,5,6,7,8,9},A270,ROW(INDIRECT("1:"&amp;LEN(A270)))),1))," ",REPT(" ",LEN(A270))),LEN(A270))))))), 1)) * ROW(INDIRECT("1:"&amp;LEN((--TRIM(RIGHT(SUBSTITUTE(LEFT(A270,_xlfn.AGGREGATE(16,6,FIND({0,1,2,3,4,5,6,7,8,9},A270,ROW(INDIRECT("1:"&amp;LEN(A270)))),1))," ",REPT(" ",LEN(A270))),LEN(A270))))))), 0), ROW(INDIRECT("1:"&amp;LEN((--TRIM(RIGHT(SUBSTITUTE(LEFT(A270,_xlfn.AGGREGATE(16,6,FIND({0,1,2,3,4,5,6,7,8,9},A270,ROW(INDIRECT("1:"&amp;LEN(A270)))),1))," ",REPT(" ",LEN(A270))),LEN(A270))))))))+1, 1) * 10^ROW(INDIRECT("1:"&amp;LEN((--TRIM(RIGHT(SUBSTITUTE(LEFT(A270,_xlfn.AGGREGATE(16,6,FIND({0,1,2,3,4,5,6,7,8,9},A270,ROW(INDIRECT("1:"&amp;LEN(A270)))),1))," ",REPT(" ",LEN(A270))),LEN(A270)))))))/10))*1+1</f>
        <v>205 ,.., 1705</v>
      </c>
      <c r="B271" s="134"/>
      <c r="C271" s="96" t="s">
        <v>384</v>
      </c>
      <c r="D271" s="99">
        <f>(47.55)*(10.764)</f>
        <v>511.82819999999992</v>
      </c>
      <c r="E271" s="99">
        <f>(3.75)*(10.764)</f>
        <v>40.364999999999995</v>
      </c>
      <c r="F271" s="96">
        <f t="shared" si="33"/>
        <v>552.19319999999993</v>
      </c>
      <c r="G271" s="96">
        <v>0</v>
      </c>
      <c r="H271" s="96">
        <f t="shared" si="34"/>
        <v>855.89945999999998</v>
      </c>
      <c r="I271" s="35"/>
    </row>
    <row r="272" spans="1:14" s="95" customFormat="1" ht="15.75" customHeight="1" x14ac:dyDescent="0.35">
      <c r="A272" s="132" t="str">
        <f ca="1">(SUMPRODUCT(MID(0&amp;(LEFT(A271,SUM(LEN(A271)-LEN(SUBSTITUTE(A271,{"0","1","2"},""))))), LARGE(INDEX(ISNUMBER(--MID((LEFT(A271,SUM(LEN(A271)-LEN(SUBSTITUTE(A271,{"0","1","2"},""))))), ROW(INDIRECT("1:"&amp;LEN((LEFT(A271,SUM(LEN(A271)-LEN(SUBSTITUTE(A271,{"0","1","2"},"")))))))), 1)) * ROW(INDIRECT("1:"&amp;LEN((LEFT(A271,SUM(LEN(A271)-LEN(SUBSTITUTE(A271,{"0","1","2"},"")))))))), 0), ROW(INDIRECT("1:"&amp;LEN((LEFT(A271,SUM(LEN(A271)-LEN(SUBSTITUTE(A271,{"0","1","2"},"")))))))))+1, 1) * 10^ROW(INDIRECT("1:"&amp;LEN((LEFT(A271,SUM(LEN(A271)-LEN(SUBSTITUTE(A271,{"0","1","2"},""))))))))/10))*1+1&amp;""&amp;" ,.., "&amp;""&amp;(SUMPRODUCT(MID(0&amp;(--TRIM(RIGHT(SUBSTITUTE(LEFT(A271,_xlfn.AGGREGATE(16,6,FIND({0,1,2,3,4,5,6,7,8,9},A271,ROW(INDIRECT("1:"&amp;LEN(A271)))),1))," ",REPT(" ",LEN(A271))),LEN(A271)))), LARGE(INDEX(ISNUMBER(--MID((--TRIM(RIGHT(SUBSTITUTE(LEFT(A271,_xlfn.AGGREGATE(16,6,FIND({0,1,2,3,4,5,6,7,8,9},A271,ROW(INDIRECT("1:"&amp;LEN(A271)))),1))," ",REPT(" ",LEN(A271))),LEN(A271)))), ROW(INDIRECT("1:"&amp;LEN((--TRIM(RIGHT(SUBSTITUTE(LEFT(A271,_xlfn.AGGREGATE(16,6,FIND({0,1,2,3,4,5,6,7,8,9},A271,ROW(INDIRECT("1:"&amp;LEN(A271)))),1))," ",REPT(" ",LEN(A271))),LEN(A271))))))), 1)) * ROW(INDIRECT("1:"&amp;LEN((--TRIM(RIGHT(SUBSTITUTE(LEFT(A271,_xlfn.AGGREGATE(16,6,FIND({0,1,2,3,4,5,6,7,8,9},A271,ROW(INDIRECT("1:"&amp;LEN(A271)))),1))," ",REPT(" ",LEN(A271))),LEN(A271))))))), 0), ROW(INDIRECT("1:"&amp;LEN((--TRIM(RIGHT(SUBSTITUTE(LEFT(A271,_xlfn.AGGREGATE(16,6,FIND({0,1,2,3,4,5,6,7,8,9},A271,ROW(INDIRECT("1:"&amp;LEN(A271)))),1))," ",REPT(" ",LEN(A271))),LEN(A271))))))))+1, 1) * 10^ROW(INDIRECT("1:"&amp;LEN((--TRIM(RIGHT(SUBSTITUTE(LEFT(A271,_xlfn.AGGREGATE(16,6,FIND({0,1,2,3,4,5,6,7,8,9},A271,ROW(INDIRECT("1:"&amp;LEN(A271)))),1))," ",REPT(" ",LEN(A271))),LEN(A271)))))))/10))*1+1</f>
        <v>206 ,.., 1706</v>
      </c>
      <c r="B272" s="134"/>
      <c r="C272" s="96" t="s">
        <v>384</v>
      </c>
      <c r="D272" s="99">
        <f>(48.61)*(10.764)</f>
        <v>523.23803999999996</v>
      </c>
      <c r="E272" s="99">
        <f>(4.2)*(10.764)</f>
        <v>45.208799999999997</v>
      </c>
      <c r="F272" s="96">
        <f t="shared" si="33"/>
        <v>568.44683999999995</v>
      </c>
      <c r="G272" s="96">
        <v>0</v>
      </c>
      <c r="H272" s="96">
        <f t="shared" si="34"/>
        <v>881.09260199999994</v>
      </c>
      <c r="I272" s="35"/>
    </row>
    <row r="273" spans="1:12" s="95" customFormat="1" ht="15.75" customHeight="1" x14ac:dyDescent="0.35">
      <c r="A273" s="132" t="str">
        <f ca="1">(SUMPRODUCT(MID(0&amp;(LEFT(A272,SUM(LEN(A272)-LEN(SUBSTITUTE(A272,{"0","1","2"},""))))), LARGE(INDEX(ISNUMBER(--MID((LEFT(A272,SUM(LEN(A272)-LEN(SUBSTITUTE(A272,{"0","1","2"},""))))), ROW(INDIRECT("1:"&amp;LEN((LEFT(A272,SUM(LEN(A272)-LEN(SUBSTITUTE(A272,{"0","1","2"},"")))))))), 1)) * ROW(INDIRECT("1:"&amp;LEN((LEFT(A272,SUM(LEN(A272)-LEN(SUBSTITUTE(A272,{"0","1","2"},"")))))))), 0), ROW(INDIRECT("1:"&amp;LEN((LEFT(A272,SUM(LEN(A272)-LEN(SUBSTITUTE(A272,{"0","1","2"},"")))))))))+1, 1) * 10^ROW(INDIRECT("1:"&amp;LEN((LEFT(A272,SUM(LEN(A272)-LEN(SUBSTITUTE(A272,{"0","1","2"},""))))))))/10))*1+1&amp;""&amp;" ,.., "&amp;""&amp;(SUMPRODUCT(MID(0&amp;(--TRIM(RIGHT(SUBSTITUTE(LEFT(A272,_xlfn.AGGREGATE(16,6,FIND({0,1,2,3,4,5,6,7,8,9},A272,ROW(INDIRECT("1:"&amp;LEN(A272)))),1))," ",REPT(" ",LEN(A272))),LEN(A272)))), LARGE(INDEX(ISNUMBER(--MID((--TRIM(RIGHT(SUBSTITUTE(LEFT(A272,_xlfn.AGGREGATE(16,6,FIND({0,1,2,3,4,5,6,7,8,9},A272,ROW(INDIRECT("1:"&amp;LEN(A272)))),1))," ",REPT(" ",LEN(A272))),LEN(A272)))), ROW(INDIRECT("1:"&amp;LEN((--TRIM(RIGHT(SUBSTITUTE(LEFT(A272,_xlfn.AGGREGATE(16,6,FIND({0,1,2,3,4,5,6,7,8,9},A272,ROW(INDIRECT("1:"&amp;LEN(A272)))),1))," ",REPT(" ",LEN(A272))),LEN(A272))))))), 1)) * ROW(INDIRECT("1:"&amp;LEN((--TRIM(RIGHT(SUBSTITUTE(LEFT(A272,_xlfn.AGGREGATE(16,6,FIND({0,1,2,3,4,5,6,7,8,9},A272,ROW(INDIRECT("1:"&amp;LEN(A272)))),1))," ",REPT(" ",LEN(A272))),LEN(A272))))))), 0), ROW(INDIRECT("1:"&amp;LEN((--TRIM(RIGHT(SUBSTITUTE(LEFT(A272,_xlfn.AGGREGATE(16,6,FIND({0,1,2,3,4,5,6,7,8,9},A272,ROW(INDIRECT("1:"&amp;LEN(A272)))),1))," ",REPT(" ",LEN(A272))),LEN(A272))))))))+1, 1) * 10^ROW(INDIRECT("1:"&amp;LEN((--TRIM(RIGHT(SUBSTITUTE(LEFT(A272,_xlfn.AGGREGATE(16,6,FIND({0,1,2,3,4,5,6,7,8,9},A272,ROW(INDIRECT("1:"&amp;LEN(A272)))),1))," ",REPT(" ",LEN(A272))),LEN(A272)))))))/10))*1+1</f>
        <v>207 ,.., 1707</v>
      </c>
      <c r="B273" s="134"/>
      <c r="C273" s="96" t="s">
        <v>385</v>
      </c>
      <c r="D273" s="99">
        <f>(36.39)*(10.764)</f>
        <v>391.70195999999999</v>
      </c>
      <c r="E273" s="99">
        <f>(3.57)*(10.764)</f>
        <v>38.427479999999996</v>
      </c>
      <c r="F273" s="96">
        <f t="shared" si="33"/>
        <v>430.12943999999999</v>
      </c>
      <c r="G273" s="96">
        <v>0</v>
      </c>
      <c r="H273" s="96">
        <f t="shared" si="34"/>
        <v>666.70063200000004</v>
      </c>
      <c r="I273" s="35"/>
    </row>
    <row r="274" spans="1:12" s="95" customFormat="1" ht="15.75" customHeight="1" x14ac:dyDescent="0.35">
      <c r="A274" s="132" t="str">
        <f ca="1">(SUMPRODUCT(MID(0&amp;(LEFT(A273,SUM(LEN(A273)-LEN(SUBSTITUTE(A273,{"0","1","2"},""))))), LARGE(INDEX(ISNUMBER(--MID((LEFT(A273,SUM(LEN(A273)-LEN(SUBSTITUTE(A273,{"0","1","2"},""))))), ROW(INDIRECT("1:"&amp;LEN((LEFT(A273,SUM(LEN(A273)-LEN(SUBSTITUTE(A273,{"0","1","2"},"")))))))), 1)) * ROW(INDIRECT("1:"&amp;LEN((LEFT(A273,SUM(LEN(A273)-LEN(SUBSTITUTE(A273,{"0","1","2"},"")))))))), 0), ROW(INDIRECT("1:"&amp;LEN((LEFT(A273,SUM(LEN(A273)-LEN(SUBSTITUTE(A273,{"0","1","2"},"")))))))))+1, 1) * 10^ROW(INDIRECT("1:"&amp;LEN((LEFT(A273,SUM(LEN(A273)-LEN(SUBSTITUTE(A273,{"0","1","2"},""))))))))/10))*1+1&amp;""&amp;" ,.., "&amp;""&amp;(SUMPRODUCT(MID(0&amp;(--TRIM(RIGHT(SUBSTITUTE(LEFT(A273,_xlfn.AGGREGATE(16,6,FIND({0,1,2,3,4,5,6,7,8,9},A273,ROW(INDIRECT("1:"&amp;LEN(A273)))),1))," ",REPT(" ",LEN(A273))),LEN(A273)))), LARGE(INDEX(ISNUMBER(--MID((--TRIM(RIGHT(SUBSTITUTE(LEFT(A273,_xlfn.AGGREGATE(16,6,FIND({0,1,2,3,4,5,6,7,8,9},A273,ROW(INDIRECT("1:"&amp;LEN(A273)))),1))," ",REPT(" ",LEN(A273))),LEN(A273)))), ROW(INDIRECT("1:"&amp;LEN((--TRIM(RIGHT(SUBSTITUTE(LEFT(A273,_xlfn.AGGREGATE(16,6,FIND({0,1,2,3,4,5,6,7,8,9},A273,ROW(INDIRECT("1:"&amp;LEN(A273)))),1))," ",REPT(" ",LEN(A273))),LEN(A273))))))), 1)) * ROW(INDIRECT("1:"&amp;LEN((--TRIM(RIGHT(SUBSTITUTE(LEFT(A273,_xlfn.AGGREGATE(16,6,FIND({0,1,2,3,4,5,6,7,8,9},A273,ROW(INDIRECT("1:"&amp;LEN(A273)))),1))," ",REPT(" ",LEN(A273))),LEN(A273))))))), 0), ROW(INDIRECT("1:"&amp;LEN((--TRIM(RIGHT(SUBSTITUTE(LEFT(A273,_xlfn.AGGREGATE(16,6,FIND({0,1,2,3,4,5,6,7,8,9},A273,ROW(INDIRECT("1:"&amp;LEN(A273)))),1))," ",REPT(" ",LEN(A273))),LEN(A273))))))))+1, 1) * 10^ROW(INDIRECT("1:"&amp;LEN((--TRIM(RIGHT(SUBSTITUTE(LEFT(A273,_xlfn.AGGREGATE(16,6,FIND({0,1,2,3,4,5,6,7,8,9},A273,ROW(INDIRECT("1:"&amp;LEN(A273)))),1))," ",REPT(" ",LEN(A273))),LEN(A273)))))))/10))*1+1</f>
        <v>208 ,.., 1708</v>
      </c>
      <c r="B274" s="134"/>
      <c r="C274" s="96" t="s">
        <v>384</v>
      </c>
      <c r="D274" s="99">
        <f>(50.99)*(10.764)</f>
        <v>548.85636</v>
      </c>
      <c r="E274" s="99">
        <f>(3.57)*(10.764)</f>
        <v>38.427479999999996</v>
      </c>
      <c r="F274" s="96">
        <f t="shared" si="33"/>
        <v>587.28383999999994</v>
      </c>
      <c r="G274" s="96">
        <v>0</v>
      </c>
      <c r="H274" s="96">
        <f t="shared" si="34"/>
        <v>910.28995199999997</v>
      </c>
      <c r="I274" s="35"/>
    </row>
    <row r="275" spans="1:12" s="95" customFormat="1" ht="15.75" customHeight="1" x14ac:dyDescent="0.35">
      <c r="A275" s="132" t="str">
        <f ca="1">(SUMPRODUCT(MID(0&amp;(LEFT(A274,SUM(LEN(A274)-LEN(SUBSTITUTE(A274,{"0","1","2"},""))))), LARGE(INDEX(ISNUMBER(--MID((LEFT(A274,SUM(LEN(A274)-LEN(SUBSTITUTE(A274,{"0","1","2"},""))))), ROW(INDIRECT("1:"&amp;LEN((LEFT(A274,SUM(LEN(A274)-LEN(SUBSTITUTE(A274,{"0","1","2"},"")))))))), 1)) * ROW(INDIRECT("1:"&amp;LEN((LEFT(A274,SUM(LEN(A274)-LEN(SUBSTITUTE(A274,{"0","1","2"},"")))))))), 0), ROW(INDIRECT("1:"&amp;LEN((LEFT(A274,SUM(LEN(A274)-LEN(SUBSTITUTE(A274,{"0","1","2"},"")))))))))+1, 1) * 10^ROW(INDIRECT("1:"&amp;LEN((LEFT(A274,SUM(LEN(A274)-LEN(SUBSTITUTE(A274,{"0","1","2"},""))))))))/10))*1+1&amp;""&amp;" ,.., "&amp;""&amp;(SUMPRODUCT(MID(0&amp;(--TRIM(RIGHT(SUBSTITUTE(LEFT(A274,_xlfn.AGGREGATE(16,6,FIND({0,1,2,3,4,5,6,7,8,9},A274,ROW(INDIRECT("1:"&amp;LEN(A274)))),1))," ",REPT(" ",LEN(A274))),LEN(A274)))), LARGE(INDEX(ISNUMBER(--MID((--TRIM(RIGHT(SUBSTITUTE(LEFT(A274,_xlfn.AGGREGATE(16,6,FIND({0,1,2,3,4,5,6,7,8,9},A274,ROW(INDIRECT("1:"&amp;LEN(A274)))),1))," ",REPT(" ",LEN(A274))),LEN(A274)))), ROW(INDIRECT("1:"&amp;LEN((--TRIM(RIGHT(SUBSTITUTE(LEFT(A274,_xlfn.AGGREGATE(16,6,FIND({0,1,2,3,4,5,6,7,8,9},A274,ROW(INDIRECT("1:"&amp;LEN(A274)))),1))," ",REPT(" ",LEN(A274))),LEN(A274))))))), 1)) * ROW(INDIRECT("1:"&amp;LEN((--TRIM(RIGHT(SUBSTITUTE(LEFT(A274,_xlfn.AGGREGATE(16,6,FIND({0,1,2,3,4,5,6,7,8,9},A274,ROW(INDIRECT("1:"&amp;LEN(A274)))),1))," ",REPT(" ",LEN(A274))),LEN(A274))))))), 0), ROW(INDIRECT("1:"&amp;LEN((--TRIM(RIGHT(SUBSTITUTE(LEFT(A274,_xlfn.AGGREGATE(16,6,FIND({0,1,2,3,4,5,6,7,8,9},A274,ROW(INDIRECT("1:"&amp;LEN(A274)))),1))," ",REPT(" ",LEN(A274))),LEN(A274))))))))+1, 1) * 10^ROW(INDIRECT("1:"&amp;LEN((--TRIM(RIGHT(SUBSTITUTE(LEFT(A274,_xlfn.AGGREGATE(16,6,FIND({0,1,2,3,4,5,6,7,8,9},A274,ROW(INDIRECT("1:"&amp;LEN(A274)))),1))," ",REPT(" ",LEN(A274))),LEN(A274)))))))/10))*1+1</f>
        <v>209 ,.., 1709</v>
      </c>
      <c r="B275" s="134"/>
      <c r="C275" s="96" t="s">
        <v>384</v>
      </c>
      <c r="D275" s="99">
        <f>(48.17)*(10.764)</f>
        <v>518.50188000000003</v>
      </c>
      <c r="E275" s="99">
        <f>(3.66)*(10.764)</f>
        <v>39.396239999999999</v>
      </c>
      <c r="F275" s="96">
        <f t="shared" si="33"/>
        <v>557.89812000000006</v>
      </c>
      <c r="G275" s="96">
        <v>0</v>
      </c>
      <c r="H275" s="96">
        <f t="shared" si="34"/>
        <v>864.74208600000009</v>
      </c>
      <c r="I275" s="35"/>
    </row>
    <row r="276" spans="1:12" s="95" customFormat="1" ht="15.75" customHeight="1" x14ac:dyDescent="0.35">
      <c r="A276" s="132" t="str">
        <f ca="1">(SUMPRODUCT(MID(0&amp;(LEFT(A275,SUM(LEN(A275)-LEN(SUBSTITUTE(A275,{"0","1","2"},""))))), LARGE(INDEX(ISNUMBER(--MID((LEFT(A275,SUM(LEN(A275)-LEN(SUBSTITUTE(A275,{"0","1","2"},""))))), ROW(INDIRECT("1:"&amp;LEN((LEFT(A275,SUM(LEN(A275)-LEN(SUBSTITUTE(A275,{"0","1","2"},"")))))))), 1)) * ROW(INDIRECT("1:"&amp;LEN((LEFT(A275,SUM(LEN(A275)-LEN(SUBSTITUTE(A275,{"0","1","2"},"")))))))), 0), ROW(INDIRECT("1:"&amp;LEN((LEFT(A275,SUM(LEN(A275)-LEN(SUBSTITUTE(A275,{"0","1","2"},"")))))))))+1, 1) * 10^ROW(INDIRECT("1:"&amp;LEN((LEFT(A275,SUM(LEN(A275)-LEN(SUBSTITUTE(A275,{"0","1","2"},""))))))))/10))*1+1&amp;""&amp;" ,.., "&amp;""&amp;(SUMPRODUCT(MID(0&amp;(--TRIM(RIGHT(SUBSTITUTE(LEFT(A275,_xlfn.AGGREGATE(16,6,FIND({0,1,2,3,4,5,6,7,8,9},A275,ROW(INDIRECT("1:"&amp;LEN(A275)))),1))," ",REPT(" ",LEN(A275))),LEN(A275)))), LARGE(INDEX(ISNUMBER(--MID((--TRIM(RIGHT(SUBSTITUTE(LEFT(A275,_xlfn.AGGREGATE(16,6,FIND({0,1,2,3,4,5,6,7,8,9},A275,ROW(INDIRECT("1:"&amp;LEN(A275)))),1))," ",REPT(" ",LEN(A275))),LEN(A275)))), ROW(INDIRECT("1:"&amp;LEN((--TRIM(RIGHT(SUBSTITUTE(LEFT(A275,_xlfn.AGGREGATE(16,6,FIND({0,1,2,3,4,5,6,7,8,9},A275,ROW(INDIRECT("1:"&amp;LEN(A275)))),1))," ",REPT(" ",LEN(A275))),LEN(A275))))))), 1)) * ROW(INDIRECT("1:"&amp;LEN((--TRIM(RIGHT(SUBSTITUTE(LEFT(A275,_xlfn.AGGREGATE(16,6,FIND({0,1,2,3,4,5,6,7,8,9},A275,ROW(INDIRECT("1:"&amp;LEN(A275)))),1))," ",REPT(" ",LEN(A275))),LEN(A275))))))), 0), ROW(INDIRECT("1:"&amp;LEN((--TRIM(RIGHT(SUBSTITUTE(LEFT(A275,_xlfn.AGGREGATE(16,6,FIND({0,1,2,3,4,5,6,7,8,9},A275,ROW(INDIRECT("1:"&amp;LEN(A275)))),1))," ",REPT(" ",LEN(A275))),LEN(A275))))))))+1, 1) * 10^ROW(INDIRECT("1:"&amp;LEN((--TRIM(RIGHT(SUBSTITUTE(LEFT(A275,_xlfn.AGGREGATE(16,6,FIND({0,1,2,3,4,5,6,7,8,9},A275,ROW(INDIRECT("1:"&amp;LEN(A275)))),1))," ",REPT(" ",LEN(A275))),LEN(A275)))))))/10))*1+1</f>
        <v>210 ,.., 1710</v>
      </c>
      <c r="B276" s="134"/>
      <c r="C276" s="96" t="s">
        <v>384</v>
      </c>
      <c r="D276" s="99">
        <f>(47.71)*(10.764)</f>
        <v>513.55043999999998</v>
      </c>
      <c r="E276" s="99">
        <f>(3.66)*(10.764)</f>
        <v>39.396239999999999</v>
      </c>
      <c r="F276" s="96">
        <f t="shared" si="33"/>
        <v>552.94668000000001</v>
      </c>
      <c r="G276" s="96">
        <v>0</v>
      </c>
      <c r="H276" s="96">
        <f t="shared" si="34"/>
        <v>857.06735400000002</v>
      </c>
      <c r="I276" s="35">
        <f>(2.9*3.96+2.45*2.29+2.75*2.8+2.9*3.1+1.55*1+2.3*1.2+2.25*1.2+1*4.2)</f>
        <v>44.994500000000002</v>
      </c>
      <c r="J276" s="35">
        <f>3.05*1.2</f>
        <v>3.6599999999999997</v>
      </c>
    </row>
    <row r="277" spans="1:12" s="95" customFormat="1" ht="15.75" customHeight="1" x14ac:dyDescent="0.35">
      <c r="A277" s="132" t="str">
        <f ca="1">(SUMPRODUCT(MID(0&amp;(LEFT(A276,SUM(LEN(A276)-LEN(SUBSTITUTE(A276,{"0","1","2"},""))))), LARGE(INDEX(ISNUMBER(--MID((LEFT(A276,SUM(LEN(A276)-LEN(SUBSTITUTE(A276,{"0","1","2"},""))))), ROW(INDIRECT("1:"&amp;LEN((LEFT(A276,SUM(LEN(A276)-LEN(SUBSTITUTE(A276,{"0","1","2"},"")))))))), 1)) * ROW(INDIRECT("1:"&amp;LEN((LEFT(A276,SUM(LEN(A276)-LEN(SUBSTITUTE(A276,{"0","1","2"},"")))))))), 0), ROW(INDIRECT("1:"&amp;LEN((LEFT(A276,SUM(LEN(A276)-LEN(SUBSTITUTE(A276,{"0","1","2"},"")))))))))+1, 1) * 10^ROW(INDIRECT("1:"&amp;LEN((LEFT(A276,SUM(LEN(A276)-LEN(SUBSTITUTE(A276,{"0","1","2"},""))))))))/10))*1+1&amp;""&amp;" ,.., "&amp;""&amp;(SUMPRODUCT(MID(0&amp;(--TRIM(RIGHT(SUBSTITUTE(LEFT(A276,_xlfn.AGGREGATE(16,6,FIND({0,1,2,3,4,5,6,7,8,9},A276,ROW(INDIRECT("1:"&amp;LEN(A276)))),1))," ",REPT(" ",LEN(A276))),LEN(A276)))), LARGE(INDEX(ISNUMBER(--MID((--TRIM(RIGHT(SUBSTITUTE(LEFT(A276,_xlfn.AGGREGATE(16,6,FIND({0,1,2,3,4,5,6,7,8,9},A276,ROW(INDIRECT("1:"&amp;LEN(A276)))),1))," ",REPT(" ",LEN(A276))),LEN(A276)))), ROW(INDIRECT("1:"&amp;LEN((--TRIM(RIGHT(SUBSTITUTE(LEFT(A276,_xlfn.AGGREGATE(16,6,FIND({0,1,2,3,4,5,6,7,8,9},A276,ROW(INDIRECT("1:"&amp;LEN(A276)))),1))," ",REPT(" ",LEN(A276))),LEN(A276))))))), 1)) * ROW(INDIRECT("1:"&amp;LEN((--TRIM(RIGHT(SUBSTITUTE(LEFT(A276,_xlfn.AGGREGATE(16,6,FIND({0,1,2,3,4,5,6,7,8,9},A276,ROW(INDIRECT("1:"&amp;LEN(A276)))),1))," ",REPT(" ",LEN(A276))),LEN(A276))))))), 0), ROW(INDIRECT("1:"&amp;LEN((--TRIM(RIGHT(SUBSTITUTE(LEFT(A276,_xlfn.AGGREGATE(16,6,FIND({0,1,2,3,4,5,6,7,8,9},A276,ROW(INDIRECT("1:"&amp;LEN(A276)))),1))," ",REPT(" ",LEN(A276))),LEN(A276))))))))+1, 1) * 10^ROW(INDIRECT("1:"&amp;LEN((--TRIM(RIGHT(SUBSTITUTE(LEFT(A276,_xlfn.AGGREGATE(16,6,FIND({0,1,2,3,4,5,6,7,8,9},A276,ROW(INDIRECT("1:"&amp;LEN(A276)))),1))," ",REPT(" ",LEN(A276))),LEN(A276)))))))/10))*1+1</f>
        <v>211 ,.., 1711</v>
      </c>
      <c r="B277" s="134"/>
      <c r="C277" s="96" t="s">
        <v>384</v>
      </c>
      <c r="D277" s="99">
        <f>(47.55)*(10.764)</f>
        <v>511.82819999999992</v>
      </c>
      <c r="E277" s="99">
        <f>(3.66)*(10.764)</f>
        <v>39.396239999999999</v>
      </c>
      <c r="F277" s="96">
        <f t="shared" si="33"/>
        <v>551.22443999999996</v>
      </c>
      <c r="G277" s="96">
        <v>0</v>
      </c>
      <c r="H277" s="96">
        <f t="shared" si="34"/>
        <v>854.39788199999998</v>
      </c>
      <c r="I277" s="35"/>
    </row>
    <row r="278" spans="1:12" s="95" customFormat="1" ht="15.75" customHeight="1" x14ac:dyDescent="0.35">
      <c r="A278" s="132" t="str">
        <f ca="1">(SUMPRODUCT(MID(0&amp;(LEFT(A277,SUM(LEN(A277)-LEN(SUBSTITUTE(A277,{"0","1","2"},""))))), LARGE(INDEX(ISNUMBER(--MID((LEFT(A277,SUM(LEN(A277)-LEN(SUBSTITUTE(A277,{"0","1","2"},""))))), ROW(INDIRECT("1:"&amp;LEN((LEFT(A277,SUM(LEN(A277)-LEN(SUBSTITUTE(A277,{"0","1","2"},"")))))))), 1)) * ROW(INDIRECT("1:"&amp;LEN((LEFT(A277,SUM(LEN(A277)-LEN(SUBSTITUTE(A277,{"0","1","2"},"")))))))), 0), ROW(INDIRECT("1:"&amp;LEN((LEFT(A277,SUM(LEN(A277)-LEN(SUBSTITUTE(A277,{"0","1","2"},"")))))))))+1, 1) * 10^ROW(INDIRECT("1:"&amp;LEN((LEFT(A277,SUM(LEN(A277)-LEN(SUBSTITUTE(A277,{"0","1","2"},""))))))))/10))*1+1&amp;""&amp;" ,.., "&amp;""&amp;(SUMPRODUCT(MID(0&amp;(--TRIM(RIGHT(SUBSTITUTE(LEFT(A277,_xlfn.AGGREGATE(16,6,FIND({0,1,2,3,4,5,6,7,8,9},A277,ROW(INDIRECT("1:"&amp;LEN(A277)))),1))," ",REPT(" ",LEN(A277))),LEN(A277)))), LARGE(INDEX(ISNUMBER(--MID((--TRIM(RIGHT(SUBSTITUTE(LEFT(A277,_xlfn.AGGREGATE(16,6,FIND({0,1,2,3,4,5,6,7,8,9},A277,ROW(INDIRECT("1:"&amp;LEN(A277)))),1))," ",REPT(" ",LEN(A277))),LEN(A277)))), ROW(INDIRECT("1:"&amp;LEN((--TRIM(RIGHT(SUBSTITUTE(LEFT(A277,_xlfn.AGGREGATE(16,6,FIND({0,1,2,3,4,5,6,7,8,9},A277,ROW(INDIRECT("1:"&amp;LEN(A277)))),1))," ",REPT(" ",LEN(A277))),LEN(A277))))))), 1)) * ROW(INDIRECT("1:"&amp;LEN((--TRIM(RIGHT(SUBSTITUTE(LEFT(A277,_xlfn.AGGREGATE(16,6,FIND({0,1,2,3,4,5,6,7,8,9},A277,ROW(INDIRECT("1:"&amp;LEN(A277)))),1))," ",REPT(" ",LEN(A277))),LEN(A277))))))), 0), ROW(INDIRECT("1:"&amp;LEN((--TRIM(RIGHT(SUBSTITUTE(LEFT(A277,_xlfn.AGGREGATE(16,6,FIND({0,1,2,3,4,5,6,7,8,9},A277,ROW(INDIRECT("1:"&amp;LEN(A277)))),1))," ",REPT(" ",LEN(A277))),LEN(A277))))))))+1, 1) * 10^ROW(INDIRECT("1:"&amp;LEN((--TRIM(RIGHT(SUBSTITUTE(LEFT(A277,_xlfn.AGGREGATE(16,6,FIND({0,1,2,3,4,5,6,7,8,9},A277,ROW(INDIRECT("1:"&amp;LEN(A277)))),1))," ",REPT(" ",LEN(A277))),LEN(A277)))))))/10))*1+1</f>
        <v>212 ,.., 1712</v>
      </c>
      <c r="B278" s="134"/>
      <c r="C278" s="96" t="s">
        <v>384</v>
      </c>
      <c r="D278" s="99">
        <f>(48.61)*(10.764)</f>
        <v>523.23803999999996</v>
      </c>
      <c r="E278" s="99">
        <f>(3.66)*(10.764)</f>
        <v>39.396239999999999</v>
      </c>
      <c r="F278" s="96">
        <f t="shared" si="33"/>
        <v>562.63427999999999</v>
      </c>
      <c r="G278" s="96">
        <v>0</v>
      </c>
      <c r="H278" s="96">
        <f t="shared" si="34"/>
        <v>872.08313399999997</v>
      </c>
      <c r="I278" s="35"/>
    </row>
    <row r="279" spans="1:12" s="95" customFormat="1" x14ac:dyDescent="0.35">
      <c r="A279" s="137" t="s">
        <v>387</v>
      </c>
      <c r="B279" s="137"/>
      <c r="C279" s="137"/>
      <c r="D279" s="137"/>
      <c r="E279" s="137"/>
      <c r="F279" s="137"/>
      <c r="G279" s="137"/>
      <c r="H279" s="137"/>
      <c r="I279" s="35"/>
    </row>
    <row r="280" spans="1:12" s="95" customFormat="1" ht="15.75" customHeight="1" x14ac:dyDescent="0.35">
      <c r="A280" s="130" t="str">
        <f ca="1">(SUMPRODUCT(MID(0&amp;(LEFT(A279,SUM(LEN(A279)-LEN(SUBSTITUTE(A279,{"0","1","2"},""))))), LARGE(INDEX(ISNUMBER(--MID((LEFT(A279,SUM(LEN(A279)-LEN(SUBSTITUTE(A279,{"0","1","2"},""))))), ROW(INDIRECT("1:"&amp;LEN((LEFT(A279,SUM(LEN(A279)-LEN(SUBSTITUTE(A279,{"0","1","2"},"")))))))), 1)) * ROW(INDIRECT("1:"&amp;LEN((LEFT(A279,SUM(LEN(A279)-LEN(SUBSTITUTE(A279,{"0","1","2"},"")))))))), 0), ROW(INDIRECT("1:"&amp;LEN((LEFT(A279,SUM(LEN(A279)-LEN(SUBSTITUTE(A279,{"0","1","2"},"")))))))))+1, 1) * 10^ROW(INDIRECT("1:"&amp;LEN((LEFT(A279,SUM(LEN(A279)-LEN(SUBSTITUTE(A279,{"0","1","2"},""))))))))/10))*100+1&amp;""&amp;" &amp; "&amp;""&amp;(SUMPRODUCT(MID(0&amp;(--TRIM(RIGHT(SUBSTITUTE(LEFT(A279,_xlfn.AGGREGATE(16,6,FIND({0,1,2,3,4,5,6,7,8,9},A279,ROW(INDIRECT("1:"&amp;LEN(A279)))),1))," ",REPT(" ",LEN(A279))),LEN(A279)))), LARGE(INDEX(ISNUMBER(--MID((--TRIM(RIGHT(SUBSTITUTE(LEFT(A279,_xlfn.AGGREGATE(16,6,FIND({0,1,2,3,4,5,6,7,8,9},A279,ROW(INDIRECT("1:"&amp;LEN(A279)))),1))," ",REPT(" ",LEN(A279))),LEN(A279)))), ROW(INDIRECT("1:"&amp;LEN((--TRIM(RIGHT(SUBSTITUTE(LEFT(A279,_xlfn.AGGREGATE(16,6,FIND({0,1,2,3,4,5,6,7,8,9},A279,ROW(INDIRECT("1:"&amp;LEN(A279)))),1))," ",REPT(" ",LEN(A279))),LEN(A279))))))), 1)) * ROW(INDIRECT("1:"&amp;LEN((--TRIM(RIGHT(SUBSTITUTE(LEFT(A279,_xlfn.AGGREGATE(16,6,FIND({0,1,2,3,4,5,6,7,8,9},A279,ROW(INDIRECT("1:"&amp;LEN(A279)))),1))," ",REPT(" ",LEN(A279))),LEN(A279))))))), 0), ROW(INDIRECT("1:"&amp;LEN((--TRIM(RIGHT(SUBSTITUTE(LEFT(A279,_xlfn.AGGREGATE(16,6,FIND({0,1,2,3,4,5,6,7,8,9},A279,ROW(INDIRECT("1:"&amp;LEN(A279)))),1))," ",REPT(" ",LEN(A279))),LEN(A279))))))))+1, 1) * 10^ROW(INDIRECT("1:"&amp;LEN((--TRIM(RIGHT(SUBSTITUTE(LEFT(A279,_xlfn.AGGREGATE(16,6,FIND({0,1,2,3,4,5,6,7,8,9},A279,ROW(INDIRECT("1:"&amp;LEN(A279)))),1))," ",REPT(" ",LEN(A279))),LEN(A279)))))))/10))*100+1</f>
        <v>801 &amp; 1301</v>
      </c>
      <c r="B280" s="130"/>
      <c r="C280" s="113" t="s">
        <v>384</v>
      </c>
      <c r="D280" s="99">
        <f>(51.29)*(10.764)</f>
        <v>552.08555999999999</v>
      </c>
      <c r="E280" s="99">
        <f>(4.19)*(10.764)</f>
        <v>45.10116</v>
      </c>
      <c r="F280" s="113">
        <f t="shared" ref="F280:F291" si="35">D280+E280</f>
        <v>597.18672000000004</v>
      </c>
      <c r="G280" s="113">
        <v>0</v>
      </c>
      <c r="H280" s="113">
        <f t="shared" ref="H280:H291" si="36">F280*(($H$219)+1)+(IF(G280&lt;101,G280,IF(G280&lt;201,G280/2,IF(G280&lt;=301,G280/3,G280/4))))</f>
        <v>925.6394160000001</v>
      </c>
      <c r="I280" s="35"/>
    </row>
    <row r="281" spans="1:12" s="95" customFormat="1" ht="15.75" customHeight="1" x14ac:dyDescent="0.35">
      <c r="A281" s="130" t="str">
        <f ca="1">(SUMPRODUCT(MID(0&amp;(LEFT(A280,SUM(LEN(A280)-LEN(SUBSTITUTE(A280,{"0","1","2"},""))))), LARGE(INDEX(ISNUMBER(--MID((LEFT(A280,SUM(LEN(A280)-LEN(SUBSTITUTE(A280,{"0","1","2"},""))))), ROW(INDIRECT("1:"&amp;LEN((LEFT(A280,SUM(LEN(A280)-LEN(SUBSTITUTE(A280,{"0","1","2"},"")))))))), 1)) * ROW(INDIRECT("1:"&amp;LEN((LEFT(A280,SUM(LEN(A280)-LEN(SUBSTITUTE(A280,{"0","1","2"},"")))))))), 0), ROW(INDIRECT("1:"&amp;LEN((LEFT(A280,SUM(LEN(A280)-LEN(SUBSTITUTE(A280,{"0","1","2"},"")))))))))+1, 1) * 10^ROW(INDIRECT("1:"&amp;LEN((LEFT(A280,SUM(LEN(A280)-LEN(SUBSTITUTE(A280,{"0","1","2"},""))))))))/10))*1+1&amp;""&amp;" &amp; "&amp;""&amp;(SUMPRODUCT(MID(0&amp;(--TRIM(RIGHT(SUBSTITUTE(LEFT(A280,_xlfn.AGGREGATE(16,6,FIND({0,1,2,3,4,5,6,7,8,9},A280,ROW(INDIRECT("1:"&amp;LEN(A280)))),1))," ",REPT(" ",LEN(A280))),LEN(A280)))), LARGE(INDEX(ISNUMBER(--MID((--TRIM(RIGHT(SUBSTITUTE(LEFT(A280,_xlfn.AGGREGATE(16,6,FIND({0,1,2,3,4,5,6,7,8,9},A280,ROW(INDIRECT("1:"&amp;LEN(A280)))),1))," ",REPT(" ",LEN(A280))),LEN(A280)))), ROW(INDIRECT("1:"&amp;LEN((--TRIM(RIGHT(SUBSTITUTE(LEFT(A280,_xlfn.AGGREGATE(16,6,FIND({0,1,2,3,4,5,6,7,8,9},A280,ROW(INDIRECT("1:"&amp;LEN(A280)))),1))," ",REPT(" ",LEN(A280))),LEN(A280))))))), 1)) * ROW(INDIRECT("1:"&amp;LEN((--TRIM(RIGHT(SUBSTITUTE(LEFT(A280,_xlfn.AGGREGATE(16,6,FIND({0,1,2,3,4,5,6,7,8,9},A280,ROW(INDIRECT("1:"&amp;LEN(A280)))),1))," ",REPT(" ",LEN(A280))),LEN(A280))))))), 0), ROW(INDIRECT("1:"&amp;LEN((--TRIM(RIGHT(SUBSTITUTE(LEFT(A280,_xlfn.AGGREGATE(16,6,FIND({0,1,2,3,4,5,6,7,8,9},A280,ROW(INDIRECT("1:"&amp;LEN(A280)))),1))," ",REPT(" ",LEN(A280))),LEN(A280))))))))+1, 1) * 10^ROW(INDIRECT("1:"&amp;LEN((--TRIM(RIGHT(SUBSTITUTE(LEFT(A280,_xlfn.AGGREGATE(16,6,FIND({0,1,2,3,4,5,6,7,8,9},A280,ROW(INDIRECT("1:"&amp;LEN(A280)))),1))," ",REPT(" ",LEN(A280))),LEN(A280)))))))/10))*1+1</f>
        <v>802 &amp; 1302</v>
      </c>
      <c r="B281" s="130"/>
      <c r="C281" s="113" t="s">
        <v>385</v>
      </c>
      <c r="D281" s="99">
        <f>(37.23)*(10.764)</f>
        <v>400.74371999999994</v>
      </c>
      <c r="E281" s="99">
        <f>(4.39)*(10.764)</f>
        <v>47.253959999999992</v>
      </c>
      <c r="F281" s="113">
        <f t="shared" si="35"/>
        <v>447.99767999999995</v>
      </c>
      <c r="G281" s="113">
        <v>0</v>
      </c>
      <c r="H281" s="113">
        <f t="shared" si="36"/>
        <v>694.39640399999996</v>
      </c>
      <c r="I281" s="35"/>
    </row>
    <row r="282" spans="1:12" s="95" customFormat="1" ht="15.75" customHeight="1" x14ac:dyDescent="0.35">
      <c r="A282" s="130" t="str">
        <f ca="1">(SUMPRODUCT(MID(0&amp;(LEFT(A281,SUM(LEN(A281)-LEN(SUBSTITUTE(A281,{"0","1","2"},""))))), LARGE(INDEX(ISNUMBER(--MID((LEFT(A281,SUM(LEN(A281)-LEN(SUBSTITUTE(A281,{"0","1","2"},""))))), ROW(INDIRECT("1:"&amp;LEN((LEFT(A281,SUM(LEN(A281)-LEN(SUBSTITUTE(A281,{"0","1","2"},"")))))))), 1)) * ROW(INDIRECT("1:"&amp;LEN((LEFT(A281,SUM(LEN(A281)-LEN(SUBSTITUTE(A281,{"0","1","2"},"")))))))), 0), ROW(INDIRECT("1:"&amp;LEN((LEFT(A281,SUM(LEN(A281)-LEN(SUBSTITUTE(A281,{"0","1","2"},"")))))))))+1, 1) * 10^ROW(INDIRECT("1:"&amp;LEN((LEFT(A281,SUM(LEN(A281)-LEN(SUBSTITUTE(A281,{"0","1","2"},""))))))))/10))*1+1&amp;""&amp;" &amp; "&amp;""&amp;(SUMPRODUCT(MID(0&amp;(--TRIM(RIGHT(SUBSTITUTE(LEFT(A281,_xlfn.AGGREGATE(16,6,FIND({0,1,2,3,4,5,6,7,8,9},A281,ROW(INDIRECT("1:"&amp;LEN(A281)))),1))," ",REPT(" ",LEN(A281))),LEN(A281)))), LARGE(INDEX(ISNUMBER(--MID((--TRIM(RIGHT(SUBSTITUTE(LEFT(A281,_xlfn.AGGREGATE(16,6,FIND({0,1,2,3,4,5,6,7,8,9},A281,ROW(INDIRECT("1:"&amp;LEN(A281)))),1))," ",REPT(" ",LEN(A281))),LEN(A281)))), ROW(INDIRECT("1:"&amp;LEN((--TRIM(RIGHT(SUBSTITUTE(LEFT(A281,_xlfn.AGGREGATE(16,6,FIND({0,1,2,3,4,5,6,7,8,9},A281,ROW(INDIRECT("1:"&amp;LEN(A281)))),1))," ",REPT(" ",LEN(A281))),LEN(A281))))))), 1)) * ROW(INDIRECT("1:"&amp;LEN((--TRIM(RIGHT(SUBSTITUTE(LEFT(A281,_xlfn.AGGREGATE(16,6,FIND({0,1,2,3,4,5,6,7,8,9},A281,ROW(INDIRECT("1:"&amp;LEN(A281)))),1))," ",REPT(" ",LEN(A281))),LEN(A281))))))), 0), ROW(INDIRECT("1:"&amp;LEN((--TRIM(RIGHT(SUBSTITUTE(LEFT(A281,_xlfn.AGGREGATE(16,6,FIND({0,1,2,3,4,5,6,7,8,9},A281,ROW(INDIRECT("1:"&amp;LEN(A281)))),1))," ",REPT(" ",LEN(A281))),LEN(A281))))))))+1, 1) * 10^ROW(INDIRECT("1:"&amp;LEN((--TRIM(RIGHT(SUBSTITUTE(LEFT(A281,_xlfn.AGGREGATE(16,6,FIND({0,1,2,3,4,5,6,7,8,9},A281,ROW(INDIRECT("1:"&amp;LEN(A281)))),1))," ",REPT(" ",LEN(A281))),LEN(A281)))))))/10))*1+1</f>
        <v>803 &amp; 1303</v>
      </c>
      <c r="B282" s="130"/>
      <c r="C282" s="113" t="s">
        <v>384</v>
      </c>
      <c r="D282" s="99">
        <f>(47.67)*(10.764)</f>
        <v>513.11987999999997</v>
      </c>
      <c r="E282" s="99">
        <f>(4.2)*(10.764)</f>
        <v>45.208799999999997</v>
      </c>
      <c r="F282" s="113">
        <f t="shared" si="35"/>
        <v>558.32867999999996</v>
      </c>
      <c r="G282" s="113">
        <v>0</v>
      </c>
      <c r="H282" s="113">
        <f t="shared" si="36"/>
        <v>865.40945399999998</v>
      </c>
      <c r="I282" s="35"/>
    </row>
    <row r="283" spans="1:12" s="95" customFormat="1" ht="15.75" customHeight="1" x14ac:dyDescent="0.35">
      <c r="A283" s="130"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10^ROW(INDIRECT("1:"&amp;LEN((LEFT(A282,SUM(LEN(A282)-LEN(SUBSTITUTE(A282,{"0","1","2"},""))))))))/10))*1+1&amp;""&amp;" &amp;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",LEN(A282))),LEN(A282)))))))/10))*1+1</f>
        <v>804 &amp; 1304</v>
      </c>
      <c r="B283" s="130"/>
      <c r="C283" s="113" t="s">
        <v>384</v>
      </c>
      <c r="D283" s="99">
        <f>(47.55)*(10.764)</f>
        <v>511.82819999999992</v>
      </c>
      <c r="E283" s="99">
        <f>(3.75)*(10.764)</f>
        <v>40.364999999999995</v>
      </c>
      <c r="F283" s="113">
        <f t="shared" si="35"/>
        <v>552.19319999999993</v>
      </c>
      <c r="G283" s="113">
        <v>0</v>
      </c>
      <c r="H283" s="113">
        <f t="shared" si="36"/>
        <v>855.89945999999998</v>
      </c>
      <c r="I283" s="35"/>
    </row>
    <row r="284" spans="1:12" s="95" customFormat="1" ht="15.75" customHeight="1" x14ac:dyDescent="0.35">
      <c r="A284" s="130"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&amp;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805 &amp; 1305</v>
      </c>
      <c r="B284" s="130"/>
      <c r="C284" s="113" t="s">
        <v>384</v>
      </c>
      <c r="D284" s="99">
        <f>(47.55)*(10.764)</f>
        <v>511.82819999999992</v>
      </c>
      <c r="E284" s="99">
        <f>(3.75)*(10.764)</f>
        <v>40.364999999999995</v>
      </c>
      <c r="F284" s="113">
        <f t="shared" si="35"/>
        <v>552.19319999999993</v>
      </c>
      <c r="G284" s="113">
        <v>0</v>
      </c>
      <c r="H284" s="113">
        <f t="shared" si="36"/>
        <v>855.89945999999998</v>
      </c>
      <c r="I284" s="35"/>
    </row>
    <row r="285" spans="1:12" s="95" customFormat="1" ht="15.75" customHeight="1" x14ac:dyDescent="0.35">
      <c r="A285" s="130"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&amp;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806 &amp; 1306</v>
      </c>
      <c r="B285" s="130"/>
      <c r="C285" s="113" t="s">
        <v>384</v>
      </c>
      <c r="D285" s="99">
        <f>(48.61)*(10.764)</f>
        <v>523.23803999999996</v>
      </c>
      <c r="E285" s="99">
        <f>(4.2)*(10.764)</f>
        <v>45.208799999999997</v>
      </c>
      <c r="F285" s="113">
        <f t="shared" si="35"/>
        <v>568.44683999999995</v>
      </c>
      <c r="G285" s="113">
        <v>0</v>
      </c>
      <c r="H285" s="113">
        <f t="shared" si="36"/>
        <v>881.09260199999994</v>
      </c>
      <c r="I285" s="35"/>
    </row>
    <row r="286" spans="1:12" s="95" customFormat="1" ht="15.75" customHeight="1" x14ac:dyDescent="0.35">
      <c r="A286" s="130"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&amp;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807 &amp; 1307</v>
      </c>
      <c r="B286" s="130"/>
      <c r="C286" s="113" t="s">
        <v>385</v>
      </c>
      <c r="D286" s="99">
        <f>(36.39)*(10.764)</f>
        <v>391.70195999999999</v>
      </c>
      <c r="E286" s="99">
        <f>(3.57)*(10.764)</f>
        <v>38.427479999999996</v>
      </c>
      <c r="F286" s="113">
        <f t="shared" si="35"/>
        <v>430.12943999999999</v>
      </c>
      <c r="G286" s="113">
        <v>0</v>
      </c>
      <c r="H286" s="113">
        <f t="shared" si="36"/>
        <v>666.70063200000004</v>
      </c>
      <c r="I286" s="35"/>
    </row>
    <row r="287" spans="1:12" s="95" customFormat="1" ht="15.75" customHeight="1" x14ac:dyDescent="0.35">
      <c r="A287" s="130"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10^ROW(INDIRECT("1:"&amp;LEN((LEFT(A286,SUM(LEN(A286)-LEN(SUBSTITUTE(A286,{"0","1","2"},""))))))))/10))*1+1&amp;""&amp;" &amp;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",LEN(A286))),LEN(A286)))))))/10))*1+1</f>
        <v>808 &amp; 1308</v>
      </c>
      <c r="B287" s="130"/>
      <c r="C287" s="113" t="s">
        <v>384</v>
      </c>
      <c r="D287" s="99">
        <f>(50.99)*(10.764)</f>
        <v>548.85636</v>
      </c>
      <c r="E287" s="99">
        <f>(3.57)*(10.764)</f>
        <v>38.427479999999996</v>
      </c>
      <c r="F287" s="113">
        <f t="shared" si="35"/>
        <v>587.28383999999994</v>
      </c>
      <c r="G287" s="113">
        <v>0</v>
      </c>
      <c r="H287" s="113">
        <f t="shared" si="36"/>
        <v>910.28995199999997</v>
      </c>
      <c r="I287" s="35"/>
      <c r="L287" s="99">
        <f>10.764</f>
        <v>10.763999999999999</v>
      </c>
    </row>
    <row r="288" spans="1:12" s="95" customFormat="1" ht="15.75" customHeight="1" x14ac:dyDescent="0.35">
      <c r="A288" s="130" t="str">
        <f ca="1">(SUMPRODUCT(MID(0&amp;(LEFT(A287,SUM(LEN(A287)-LEN(SUBSTITUTE(A287,{"0","1","2"},""))))), LARGE(INDEX(ISNUMBER(--MID((LEFT(A287,SUM(LEN(A287)-LEN(SUBSTITUTE(A287,{"0","1","2"},""))))), ROW(INDIRECT("1:"&amp;LEN((LEFT(A287,SUM(LEN(A287)-LEN(SUBSTITUTE(A287,{"0","1","2"},"")))))))), 1)) * ROW(INDIRECT("1:"&amp;LEN((LEFT(A287,SUM(LEN(A287)-LEN(SUBSTITUTE(A287,{"0","1","2"},"")))))))), 0), ROW(INDIRECT("1:"&amp;LEN((LEFT(A287,SUM(LEN(A287)-LEN(SUBSTITUTE(A287,{"0","1","2"},"")))))))))+1, 1) * 10^ROW(INDIRECT("1:"&amp;LEN((LEFT(A287,SUM(LEN(A287)-LEN(SUBSTITUTE(A287,{"0","1","2"},""))))))))/10))*1+1&amp;""&amp;" &amp; "&amp;""&amp;(SUMPRODUCT(MID(0&amp;(--TRIM(RIGHT(SUBSTITUTE(LEFT(A287,_xlfn.AGGREGATE(16,6,FIND({0,1,2,3,4,5,6,7,8,9},A287,ROW(INDIRECT("1:"&amp;LEN(A287)))),1))," ",REPT(" ",LEN(A287))),LEN(A287)))), LARGE(INDEX(ISNUMBER(--MID((--TRIM(RIGHT(SUBSTITUTE(LEFT(A287,_xlfn.AGGREGATE(16,6,FIND({0,1,2,3,4,5,6,7,8,9},A287,ROW(INDIRECT("1:"&amp;LEN(A287)))),1))," ",REPT(" ",LEN(A287))),LEN(A287)))), ROW(INDIRECT("1:"&amp;LEN((--TRIM(RIGHT(SUBSTITUTE(LEFT(A287,_xlfn.AGGREGATE(16,6,FIND({0,1,2,3,4,5,6,7,8,9},A287,ROW(INDIRECT("1:"&amp;LEN(A287)))),1))," ",REPT(" ",LEN(A287))),LEN(A287))))))), 1)) * ROW(INDIRECT("1:"&amp;LEN((--TRIM(RIGHT(SUBSTITUTE(LEFT(A287,_xlfn.AGGREGATE(16,6,FIND({0,1,2,3,4,5,6,7,8,9},A287,ROW(INDIRECT("1:"&amp;LEN(A287)))),1))," ",REPT(" ",LEN(A287))),LEN(A287))))))), 0), ROW(INDIRECT("1:"&amp;LEN((--TRIM(RIGHT(SUBSTITUTE(LEFT(A287,_xlfn.AGGREGATE(16,6,FIND({0,1,2,3,4,5,6,7,8,9},A287,ROW(INDIRECT("1:"&amp;LEN(A287)))),1))," ",REPT(" ",LEN(A287))),LEN(A287))))))))+1, 1) * 10^ROW(INDIRECT("1:"&amp;LEN((--TRIM(RIGHT(SUBSTITUTE(LEFT(A287,_xlfn.AGGREGATE(16,6,FIND({0,1,2,3,4,5,6,7,8,9},A287,ROW(INDIRECT("1:"&amp;LEN(A287)))),1))," ",REPT(" ",LEN(A287))),LEN(A287)))))))/10))*1+1</f>
        <v>809 &amp; 1309</v>
      </c>
      <c r="B288" s="130"/>
      <c r="C288" s="113" t="s">
        <v>384</v>
      </c>
      <c r="D288" s="99">
        <f>(48.17)*(10.764)</f>
        <v>518.50188000000003</v>
      </c>
      <c r="E288" s="99">
        <f>(3.66)*(10.764)</f>
        <v>39.396239999999999</v>
      </c>
      <c r="F288" s="113">
        <f t="shared" si="35"/>
        <v>557.89812000000006</v>
      </c>
      <c r="G288" s="113">
        <v>0</v>
      </c>
      <c r="H288" s="113">
        <f t="shared" si="36"/>
        <v>864.74208600000009</v>
      </c>
      <c r="I288" s="35"/>
    </row>
    <row r="289" spans="1:14" s="95" customFormat="1" ht="15.75" customHeight="1" x14ac:dyDescent="0.35">
      <c r="A289" s="130" t="str">
        <f ca="1">(SUMPRODUCT(MID(0&amp;(LEFT(A288,SUM(LEN(A288)-LEN(SUBSTITUTE(A288,{"0","1","2"},""))))), LARGE(INDEX(ISNUMBER(--MID((LEFT(A288,SUM(LEN(A288)-LEN(SUBSTITUTE(A288,{"0","1","2"},""))))), ROW(INDIRECT("1:"&amp;LEN((LEFT(A288,SUM(LEN(A288)-LEN(SUBSTITUTE(A288,{"0","1","2"},"")))))))), 1)) * ROW(INDIRECT("1:"&amp;LEN((LEFT(A288,SUM(LEN(A288)-LEN(SUBSTITUTE(A288,{"0","1","2"},"")))))))), 0), ROW(INDIRECT("1:"&amp;LEN((LEFT(A288,SUM(LEN(A288)-LEN(SUBSTITUTE(A288,{"0","1","2"},"")))))))))+1, 1) * 10^ROW(INDIRECT("1:"&amp;LEN((LEFT(A288,SUM(LEN(A288)-LEN(SUBSTITUTE(A288,{"0","1","2"},""))))))))/10))*1+1&amp;""&amp;" &amp; "&amp;""&amp;(SUMPRODUCT(MID(0&amp;(--TRIM(RIGHT(SUBSTITUTE(LEFT(A288,_xlfn.AGGREGATE(16,6,FIND({0,1,2,3,4,5,6,7,8,9},A288,ROW(INDIRECT("1:"&amp;LEN(A288)))),1))," ",REPT(" ",LEN(A288))),LEN(A288)))), LARGE(INDEX(ISNUMBER(--MID((--TRIM(RIGHT(SUBSTITUTE(LEFT(A288,_xlfn.AGGREGATE(16,6,FIND({0,1,2,3,4,5,6,7,8,9},A288,ROW(INDIRECT("1:"&amp;LEN(A288)))),1))," ",REPT(" ",LEN(A288))),LEN(A288)))), ROW(INDIRECT("1:"&amp;LEN((--TRIM(RIGHT(SUBSTITUTE(LEFT(A288,_xlfn.AGGREGATE(16,6,FIND({0,1,2,3,4,5,6,7,8,9},A288,ROW(INDIRECT("1:"&amp;LEN(A288)))),1))," ",REPT(" ",LEN(A288))),LEN(A288))))))), 1)) * ROW(INDIRECT("1:"&amp;LEN((--TRIM(RIGHT(SUBSTITUTE(LEFT(A288,_xlfn.AGGREGATE(16,6,FIND({0,1,2,3,4,5,6,7,8,9},A288,ROW(INDIRECT("1:"&amp;LEN(A288)))),1))," ",REPT(" ",LEN(A288))),LEN(A288))))))), 0), ROW(INDIRECT("1:"&amp;LEN((--TRIM(RIGHT(SUBSTITUTE(LEFT(A288,_xlfn.AGGREGATE(16,6,FIND({0,1,2,3,4,5,6,7,8,9},A288,ROW(INDIRECT("1:"&amp;LEN(A288)))),1))," ",REPT(" ",LEN(A288))),LEN(A288))))))))+1, 1) * 10^ROW(INDIRECT("1:"&amp;LEN((--TRIM(RIGHT(SUBSTITUTE(LEFT(A288,_xlfn.AGGREGATE(16,6,FIND({0,1,2,3,4,5,6,7,8,9},A288,ROW(INDIRECT("1:"&amp;LEN(A288)))),1))," ",REPT(" ",LEN(A288))),LEN(A288)))))))/10))*1+1</f>
        <v>810 &amp; 1310</v>
      </c>
      <c r="B289" s="130"/>
      <c r="C289" s="113" t="s">
        <v>384</v>
      </c>
      <c r="D289" s="99">
        <f>(47.71)*(10.764)</f>
        <v>513.55043999999998</v>
      </c>
      <c r="E289" s="99">
        <f>(3.66)*(10.764)</f>
        <v>39.396239999999999</v>
      </c>
      <c r="F289" s="113">
        <f t="shared" si="35"/>
        <v>552.94668000000001</v>
      </c>
      <c r="G289" s="113">
        <v>0</v>
      </c>
      <c r="H289" s="113">
        <f t="shared" si="36"/>
        <v>857.06735400000002</v>
      </c>
      <c r="I289" s="35">
        <f>(2.9*3.96+2.45*2.29+2.75*2.8+2.9*3.1+1.55*1+2.3*1.2+2.25*1.2+1*4.2)</f>
        <v>44.994500000000002</v>
      </c>
    </row>
    <row r="290" spans="1:14" s="95" customFormat="1" ht="15.75" customHeight="1" x14ac:dyDescent="0.35">
      <c r="A290" s="130" t="str">
        <f ca="1">(SUMPRODUCT(MID(0&amp;(LEFT(A289,SUM(LEN(A289)-LEN(SUBSTITUTE(A289,{"0","1","2"},""))))), LARGE(INDEX(ISNUMBER(--MID((LEFT(A289,SUM(LEN(A289)-LEN(SUBSTITUTE(A289,{"0","1","2"},""))))), ROW(INDIRECT("1:"&amp;LEN((LEFT(A289,SUM(LEN(A289)-LEN(SUBSTITUTE(A289,{"0","1","2"},"")))))))), 1)) * ROW(INDIRECT("1:"&amp;LEN((LEFT(A289,SUM(LEN(A289)-LEN(SUBSTITUTE(A289,{"0","1","2"},"")))))))), 0), ROW(INDIRECT("1:"&amp;LEN((LEFT(A289,SUM(LEN(A289)-LEN(SUBSTITUTE(A289,{"0","1","2"},"")))))))))+1, 1) * 10^ROW(INDIRECT("1:"&amp;LEN((LEFT(A289,SUM(LEN(A289)-LEN(SUBSTITUTE(A289,{"0","1","2"},""))))))))/10))*1+1&amp;""&amp;" &amp; "&amp;""&amp;(SUMPRODUCT(MID(0&amp;(--TRIM(RIGHT(SUBSTITUTE(LEFT(A289,_xlfn.AGGREGATE(16,6,FIND({0,1,2,3,4,5,6,7,8,9},A289,ROW(INDIRECT("1:"&amp;LEN(A289)))),1))," ",REPT(" ",LEN(A289))),LEN(A289)))), LARGE(INDEX(ISNUMBER(--MID((--TRIM(RIGHT(SUBSTITUTE(LEFT(A289,_xlfn.AGGREGATE(16,6,FIND({0,1,2,3,4,5,6,7,8,9},A289,ROW(INDIRECT("1:"&amp;LEN(A289)))),1))," ",REPT(" ",LEN(A289))),LEN(A289)))), ROW(INDIRECT("1:"&amp;LEN((--TRIM(RIGHT(SUBSTITUTE(LEFT(A289,_xlfn.AGGREGATE(16,6,FIND({0,1,2,3,4,5,6,7,8,9},A289,ROW(INDIRECT("1:"&amp;LEN(A289)))),1))," ",REPT(" ",LEN(A289))),LEN(A289))))))), 1)) * ROW(INDIRECT("1:"&amp;LEN((--TRIM(RIGHT(SUBSTITUTE(LEFT(A289,_xlfn.AGGREGATE(16,6,FIND({0,1,2,3,4,5,6,7,8,9},A289,ROW(INDIRECT("1:"&amp;LEN(A289)))),1))," ",REPT(" ",LEN(A289))),LEN(A289))))))), 0), ROW(INDIRECT("1:"&amp;LEN((--TRIM(RIGHT(SUBSTITUTE(LEFT(A289,_xlfn.AGGREGATE(16,6,FIND({0,1,2,3,4,5,6,7,8,9},A289,ROW(INDIRECT("1:"&amp;LEN(A289)))),1))," ",REPT(" ",LEN(A289))),LEN(A289))))))))+1, 1) * 10^ROW(INDIRECT("1:"&amp;LEN((--TRIM(RIGHT(SUBSTITUTE(LEFT(A289,_xlfn.AGGREGATE(16,6,FIND({0,1,2,3,4,5,6,7,8,9},A289,ROW(INDIRECT("1:"&amp;LEN(A289)))),1))," ",REPT(" ",LEN(A289))),LEN(A289)))))))/10))*1+1</f>
        <v>811 &amp; 1311</v>
      </c>
      <c r="B290" s="130"/>
      <c r="C290" s="113" t="s">
        <v>384</v>
      </c>
      <c r="D290" s="99">
        <f>(47.55)*(10.764)</f>
        <v>511.82819999999992</v>
      </c>
      <c r="E290" s="99">
        <f>(3.66)*(10.764)</f>
        <v>39.396239999999999</v>
      </c>
      <c r="F290" s="113">
        <f t="shared" si="35"/>
        <v>551.22443999999996</v>
      </c>
      <c r="G290" s="113">
        <v>0</v>
      </c>
      <c r="H290" s="113">
        <f t="shared" si="36"/>
        <v>854.39788199999998</v>
      </c>
      <c r="I290" s="35"/>
    </row>
    <row r="291" spans="1:14" s="95" customFormat="1" ht="15.75" customHeight="1" x14ac:dyDescent="0.35">
      <c r="A291" s="130"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10^ROW(INDIRECT("1:"&amp;LEN((LEFT(A290,SUM(LEN(A290)-LEN(SUBSTITUTE(A290,{"0","1","2"},""))))))))/10))*1+1&amp;""&amp;" &amp;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",LEN(A290))),LEN(A290)))))))/10))*1+1</f>
        <v>812 &amp; 1312</v>
      </c>
      <c r="B291" s="130"/>
      <c r="C291" s="113" t="s">
        <v>384</v>
      </c>
      <c r="D291" s="99">
        <f>(48.61)*(10.764)</f>
        <v>523.23803999999996</v>
      </c>
      <c r="E291" s="99">
        <f>(3.66)*(10.764)</f>
        <v>39.396239999999999</v>
      </c>
      <c r="F291" s="113">
        <f t="shared" si="35"/>
        <v>562.63427999999999</v>
      </c>
      <c r="G291" s="113">
        <v>0</v>
      </c>
      <c r="H291" s="113">
        <f t="shared" si="36"/>
        <v>872.08313399999997</v>
      </c>
      <c r="I291" s="35"/>
    </row>
    <row r="292" spans="1:14" s="95" customFormat="1" x14ac:dyDescent="0.35">
      <c r="A292" s="137" t="s">
        <v>391</v>
      </c>
      <c r="B292" s="137"/>
      <c r="C292" s="137"/>
      <c r="D292" s="137"/>
      <c r="E292" s="137"/>
      <c r="F292" s="137"/>
      <c r="G292" s="137"/>
      <c r="H292" s="137"/>
      <c r="J292" s="35"/>
    </row>
    <row r="293" spans="1:14" s="95" customFormat="1" x14ac:dyDescent="0.35">
      <c r="A293" s="137" t="s">
        <v>383</v>
      </c>
      <c r="B293" s="137"/>
      <c r="C293" s="137"/>
      <c r="D293" s="137"/>
      <c r="E293" s="137"/>
      <c r="F293" s="137"/>
      <c r="G293" s="137"/>
      <c r="H293" s="137"/>
      <c r="I293" s="35"/>
      <c r="L293" s="138"/>
      <c r="M293" s="138"/>
    </row>
    <row r="294" spans="1:14" s="95" customFormat="1" x14ac:dyDescent="0.35">
      <c r="A294" s="130">
        <f>LEFT(A293,SUM(LEN(A293)-LEN(SUBSTITUTE(A293,{"0","1","2","3","4","5","6","7","8","9"},""))))*100+1</f>
        <v>101</v>
      </c>
      <c r="B294" s="130"/>
      <c r="C294" s="96" t="s">
        <v>384</v>
      </c>
      <c r="D294" s="99">
        <f>(45.17)*(10.764)</f>
        <v>486.20988</v>
      </c>
      <c r="E294" s="99">
        <f>(3.48)*(10.764)</f>
        <v>37.45872</v>
      </c>
      <c r="F294" s="96">
        <f>D294+E294</f>
        <v>523.66859999999997</v>
      </c>
      <c r="G294" s="98">
        <v>0</v>
      </c>
      <c r="H294" s="96">
        <f>F294*(($H$219)+1)+(IF(G294&lt;101,G294,IF(G294&lt;201,G294/2,IF(G294&lt;=301,G294/3,G294/4))))</f>
        <v>811.68633</v>
      </c>
      <c r="I294" s="35">
        <f>(2.9*4+1.1*1.5+2.45*2.29+2.9*3.1+2.9*3.1+2.1*1.2*2+1*2.8)</f>
        <v>44.680500000000002</v>
      </c>
      <c r="N294" s="35"/>
    </row>
    <row r="295" spans="1:14" s="95" customFormat="1" x14ac:dyDescent="0.35">
      <c r="A295" s="130">
        <f>A294+1</f>
        <v>102</v>
      </c>
      <c r="B295" s="130"/>
      <c r="C295" s="96" t="s">
        <v>385</v>
      </c>
      <c r="D295" s="99">
        <f>(36.05)*(10.764)</f>
        <v>388.04219999999992</v>
      </c>
      <c r="E295" s="99">
        <f>(3.48)*(10.764)</f>
        <v>37.45872</v>
      </c>
      <c r="F295" s="96">
        <f>D295+E295</f>
        <v>425.50091999999995</v>
      </c>
      <c r="G295" s="98">
        <v>0</v>
      </c>
      <c r="H295" s="96">
        <f>F295*(($H$219)+1)+(IF(G295&lt;101,G295,IF(G295&lt;201,G295/2,IF(G295&lt;=301,G295/3,G295/4))))</f>
        <v>659.5264259999999</v>
      </c>
      <c r="I295" s="35">
        <f>(2.9*4+1*1.5+2.45*2.29+2.9*3.1+2.1*1.2*2+0.89*2.24+0.7*0.89)</f>
        <v>35.357099999999996</v>
      </c>
      <c r="N295" s="35"/>
    </row>
    <row r="296" spans="1:14" s="95" customFormat="1" x14ac:dyDescent="0.35">
      <c r="A296" s="130">
        <f>A295+1</f>
        <v>103</v>
      </c>
      <c r="B296" s="130"/>
      <c r="C296" s="96" t="s">
        <v>384</v>
      </c>
      <c r="D296" s="99">
        <f>(47.76)*(10.764)</f>
        <v>514.08863999999994</v>
      </c>
      <c r="E296" s="99">
        <f>0*(10.764)</f>
        <v>0</v>
      </c>
      <c r="F296" s="96">
        <f>D296+E296</f>
        <v>514.08863999999994</v>
      </c>
      <c r="G296" s="99">
        <f>(2.25*3.35+2.5*0.75+2.9*3.7+3*0.7+3.5*0.5)*(10.764)</f>
        <v>258.25527</v>
      </c>
      <c r="H296" s="96">
        <f>F296*(($H$219)+1)+(IF(G296&lt;101,G296,IF(G296&lt;201,G296/2,IF(G296&lt;=301,G296/3,G296/4))))</f>
        <v>882.92248199999995</v>
      </c>
      <c r="I296" s="35">
        <f>(2.9*3.5+5.8*1.05+2.75*2.8+3.2*2.9+2.29*2.45+2.15*1.2+1.25*1.98+1.25*1.4+0.9*1.35)</f>
        <v>46.850500000000004</v>
      </c>
      <c r="N296" s="35"/>
    </row>
    <row r="297" spans="1:14" s="95" customFormat="1" x14ac:dyDescent="0.35">
      <c r="A297" s="130">
        <f>A296+1</f>
        <v>104</v>
      </c>
      <c r="B297" s="130"/>
      <c r="C297" s="96" t="s">
        <v>384</v>
      </c>
      <c r="D297" s="99">
        <f>(43.22)*(10.764)</f>
        <v>465.22007999999994</v>
      </c>
      <c r="E297" s="99">
        <f>0*(10.764)</f>
        <v>0</v>
      </c>
      <c r="F297" s="96">
        <f>D297+E297</f>
        <v>465.22007999999994</v>
      </c>
      <c r="G297" s="99">
        <f>(5.6*3.1+2.9*0.9+6*1.5+2.9*0.8)*(10.764)</f>
        <v>336.80555999999996</v>
      </c>
      <c r="H297" s="96">
        <f>F297*(($H$219)+1)+(IF(G297&lt;101,G297,IF(G297&lt;201,G297/2,IF(G297&lt;=301,G297/3,G297/4))))</f>
        <v>805.29251399999987</v>
      </c>
      <c r="I297" s="35"/>
      <c r="N297" s="35"/>
    </row>
    <row r="298" spans="1:14" s="95" customFormat="1" x14ac:dyDescent="0.35">
      <c r="A298" s="130">
        <f>A297+1</f>
        <v>105</v>
      </c>
      <c r="B298" s="130"/>
      <c r="C298" s="96" t="s">
        <v>384</v>
      </c>
      <c r="D298" s="99">
        <f>(47.76)*(10.764)</f>
        <v>514.08863999999994</v>
      </c>
      <c r="E298" s="99">
        <f>0*(10.764)</f>
        <v>0</v>
      </c>
      <c r="F298" s="96">
        <f>D298+E298</f>
        <v>514.08863999999994</v>
      </c>
      <c r="G298" s="99">
        <f>(2.3*3.35+2.5*0.75+2.9*3.7+3*0.7+3.5*0.5)*(10.764)</f>
        <v>260.05823999999996</v>
      </c>
      <c r="H298" s="96">
        <f>F298*(($H$219)+1)+(IF(G298&lt;101,G298,IF(G298&lt;201,G298/2,IF(G298&lt;=301,G298/3,G298/4))))</f>
        <v>883.52347199999986</v>
      </c>
      <c r="I298" s="35"/>
      <c r="N298" s="35"/>
    </row>
    <row r="299" spans="1:14" s="95" customFormat="1" ht="15.75" customHeight="1" x14ac:dyDescent="0.35">
      <c r="A299" s="137" t="s">
        <v>394</v>
      </c>
      <c r="B299" s="137"/>
      <c r="C299" s="137"/>
      <c r="D299" s="137"/>
      <c r="E299" s="137"/>
      <c r="F299" s="137"/>
      <c r="G299" s="137"/>
      <c r="H299" s="137"/>
      <c r="I299" s="35"/>
    </row>
    <row r="300" spans="1:14" s="95" customFormat="1" ht="15.75" customHeight="1" x14ac:dyDescent="0.35">
      <c r="A300" s="130" t="str">
        <f ca="1">(SUMPRODUCT(MID(0&amp;(LEFT(A299,SUM(LEN(A299)-LEN(SUBSTITUTE(A299,{"0","1","2"},""))))), LARGE(INDEX(ISNUMBER(--MID((LEFT(A299,SUM(LEN(A299)-LEN(SUBSTITUTE(A299,{"0","1","2"},""))))), ROW(INDIRECT("1:"&amp;LEN((LEFT(A299,SUM(LEN(A299)-LEN(SUBSTITUTE(A299,{"0","1","2"},"")))))))), 1)) * ROW(INDIRECT("1:"&amp;LEN((LEFT(A299,SUM(LEN(A299)-LEN(SUBSTITUTE(A299,{"0","1","2"},"")))))))), 0), ROW(INDIRECT("1:"&amp;LEN((LEFT(A299,SUM(LEN(A299)-LEN(SUBSTITUTE(A299,{"0","1","2"},"")))))))))+1, 1) * 10^ROW(INDIRECT("1:"&amp;LEN((LEFT(A299,SUM(LEN(A299)-LEN(SUBSTITUTE(A299,{"0","1","2"},""))))))))/10))*100+1&amp;""&amp;" ,.., "&amp;""&amp;(SUMPRODUCT(MID(0&amp;(--TRIM(RIGHT(SUBSTITUTE(LEFT(A299,_xlfn.AGGREGATE(16,6,FIND({0,1,2,3,4,5,6,7,8,9},A299,ROW(INDIRECT("1:"&amp;LEN(A299)))),1))," ",REPT(" ",LEN(A299))),LEN(A299)))), LARGE(INDEX(ISNUMBER(--MID((--TRIM(RIGHT(SUBSTITUTE(LEFT(A299,_xlfn.AGGREGATE(16,6,FIND({0,1,2,3,4,5,6,7,8,9},A299,ROW(INDIRECT("1:"&amp;LEN(A299)))),1))," ",REPT(" ",LEN(A299))),LEN(A299)))), ROW(INDIRECT("1:"&amp;LEN((--TRIM(RIGHT(SUBSTITUTE(LEFT(A299,_xlfn.AGGREGATE(16,6,FIND({0,1,2,3,4,5,6,7,8,9},A299,ROW(INDIRECT("1:"&amp;LEN(A299)))),1))," ",REPT(" ",LEN(A299))),LEN(A299))))))), 1)) * ROW(INDIRECT("1:"&amp;LEN((--TRIM(RIGHT(SUBSTITUTE(LEFT(A299,_xlfn.AGGREGATE(16,6,FIND({0,1,2,3,4,5,6,7,8,9},A299,ROW(INDIRECT("1:"&amp;LEN(A299)))),1))," ",REPT(" ",LEN(A299))),LEN(A299))))))), 0), ROW(INDIRECT("1:"&amp;LEN((--TRIM(RIGHT(SUBSTITUTE(LEFT(A299,_xlfn.AGGREGATE(16,6,FIND({0,1,2,3,4,5,6,7,8,9},A299,ROW(INDIRECT("1:"&amp;LEN(A299)))),1))," ",REPT(" ",LEN(A299))),LEN(A299))))))))+1, 1) * 10^ROW(INDIRECT("1:"&amp;LEN((--TRIM(RIGHT(SUBSTITUTE(LEFT(A299,_xlfn.AGGREGATE(16,6,FIND({0,1,2,3,4,5,6,7,8,9},A299,ROW(INDIRECT("1:"&amp;LEN(A299)))),1))," ",REPT(" ",LEN(A299))),LEN(A299)))))))/10))*100+1</f>
        <v>201 ,.., 1101</v>
      </c>
      <c r="B300" s="130"/>
      <c r="C300" s="107" t="s">
        <v>396</v>
      </c>
      <c r="D300" s="99">
        <f>(82.97)*(10.764)</f>
        <v>893.08907999999997</v>
      </c>
      <c r="E300" s="99">
        <f>(7.05)*(10.764)</f>
        <v>75.886199999999988</v>
      </c>
      <c r="F300" s="107">
        <f>D300+E300</f>
        <v>968.97528</v>
      </c>
      <c r="G300" s="107">
        <v>0</v>
      </c>
      <c r="H300" s="107">
        <f>F300*(($H$219)+1)+(IF(G300&lt;101,G300,IF(G300&lt;201,G300/2,IF(G300&lt;=301,G300/3,G300/4))))</f>
        <v>1501.9116840000002</v>
      </c>
      <c r="I300" s="35">
        <f>((2.9*4+1.1*1.5+2.45*2.29+2.9*3.1+2.9*3.1+2.1*1.2*2+1*2.8)+(2.9*4+1.1*1.5+2.45*2.26+2.75*2.8+2.1*1.2*2+5.5*1))</f>
        <v>81.70750000000001</v>
      </c>
    </row>
    <row r="301" spans="1:14" s="95" customFormat="1" ht="15.75" customHeight="1" x14ac:dyDescent="0.35">
      <c r="A301" s="130" t="str">
        <f ca="1">(SUMPRODUCT(MID(0&amp;(LEFT(A300,SUM(LEN(A300)-LEN(SUBSTITUTE(A300,{"0","1","2"},""))))), LARGE(INDEX(ISNUMBER(--MID((LEFT(A300,SUM(LEN(A300)-LEN(SUBSTITUTE(A300,{"0","1","2"},""))))), ROW(INDIRECT("1:"&amp;LEN((LEFT(A300,SUM(LEN(A300)-LEN(SUBSTITUTE(A300,{"0","1","2"},"")))))))), 1)) * ROW(INDIRECT("1:"&amp;LEN((LEFT(A300,SUM(LEN(A300)-LEN(SUBSTITUTE(A300,{"0","1","2"},"")))))))), 0), ROW(INDIRECT("1:"&amp;LEN((LEFT(A300,SUM(LEN(A300)-LEN(SUBSTITUTE(A300,{"0","1","2"},"")))))))))+1, 1) * 10^ROW(INDIRECT("1:"&amp;LEN((LEFT(A300,SUM(LEN(A300)-LEN(SUBSTITUTE(A300,{"0","1","2"},""))))))))/10))*1+1&amp;""&amp;" ,.., "&amp;""&amp;(SUMPRODUCT(MID(0&amp;(--TRIM(RIGHT(SUBSTITUTE(LEFT(A300,_xlfn.AGGREGATE(16,6,FIND({0,1,2,3,4,5,6,7,8,9},A300,ROW(INDIRECT("1:"&amp;LEN(A300)))),1))," ",REPT(" ",LEN(A300))),LEN(A300)))), LARGE(INDEX(ISNUMBER(--MID((--TRIM(RIGHT(SUBSTITUTE(LEFT(A300,_xlfn.AGGREGATE(16,6,FIND({0,1,2,3,4,5,6,7,8,9},A300,ROW(INDIRECT("1:"&amp;LEN(A300)))),1))," ",REPT(" ",LEN(A300))),LEN(A300)))), ROW(INDIRECT("1:"&amp;LEN((--TRIM(RIGHT(SUBSTITUTE(LEFT(A300,_xlfn.AGGREGATE(16,6,FIND({0,1,2,3,4,5,6,7,8,9},A300,ROW(INDIRECT("1:"&amp;LEN(A300)))),1))," ",REPT(" ",LEN(A300))),LEN(A300))))))), 1)) * ROW(INDIRECT("1:"&amp;LEN((--TRIM(RIGHT(SUBSTITUTE(LEFT(A300,_xlfn.AGGREGATE(16,6,FIND({0,1,2,3,4,5,6,7,8,9},A300,ROW(INDIRECT("1:"&amp;LEN(A300)))),1))," ",REPT(" ",LEN(A300))),LEN(A300))))))), 0), ROW(INDIRECT("1:"&amp;LEN((--TRIM(RIGHT(SUBSTITUTE(LEFT(A300,_xlfn.AGGREGATE(16,6,FIND({0,1,2,3,4,5,6,7,8,9},A300,ROW(INDIRECT("1:"&amp;LEN(A300)))),1))," ",REPT(" ",LEN(A300))),LEN(A300))))))))+1, 1) * 10^ROW(INDIRECT("1:"&amp;LEN((--TRIM(RIGHT(SUBSTITUTE(LEFT(A300,_xlfn.AGGREGATE(16,6,FIND({0,1,2,3,4,5,6,7,8,9},A300,ROW(INDIRECT("1:"&amp;LEN(A300)))),1))," ",REPT(" ",LEN(A300))),LEN(A300)))))))/10))*1+1</f>
        <v>202 ,.., 1102</v>
      </c>
      <c r="B301" s="130"/>
      <c r="C301" s="107" t="s">
        <v>385</v>
      </c>
      <c r="D301" s="99">
        <f>(36.05)*(10.764)</f>
        <v>388.04219999999992</v>
      </c>
      <c r="E301" s="99">
        <f>(3.57)*(10.764)</f>
        <v>38.427479999999996</v>
      </c>
      <c r="F301" s="107">
        <f>D301+E301</f>
        <v>426.46967999999993</v>
      </c>
      <c r="G301" s="107">
        <v>0</v>
      </c>
      <c r="H301" s="107">
        <f>F301*(($H$219)+1)+(IF(G301&lt;101,G301,IF(G301&lt;201,G301/2,IF(G301&lt;=301,G301/3,G301/4))))</f>
        <v>661.0280039999999</v>
      </c>
      <c r="I301" s="35"/>
      <c r="J301" s="35">
        <f>2.97*1.2</f>
        <v>3.5640000000000001</v>
      </c>
    </row>
    <row r="302" spans="1:14" s="95" customFormat="1" ht="15.75" customHeight="1" x14ac:dyDescent="0.35">
      <c r="A302" s="130" t="str">
        <f ca="1">(SUMPRODUCT(MID(0&amp;(LEFT(A301,SUM(LEN(A301)-LEN(SUBSTITUTE(A301,{"0","1","2"},""))))), LARGE(INDEX(ISNUMBER(--MID((LEFT(A301,SUM(LEN(A301)-LEN(SUBSTITUTE(A301,{"0","1","2"},""))))), ROW(INDIRECT("1:"&amp;LEN((LEFT(A301,SUM(LEN(A301)-LEN(SUBSTITUTE(A301,{"0","1","2"},"")))))))), 1)) * ROW(INDIRECT("1:"&amp;LEN((LEFT(A301,SUM(LEN(A301)-LEN(SUBSTITUTE(A301,{"0","1","2"},"")))))))), 0), ROW(INDIRECT("1:"&amp;LEN((LEFT(A301,SUM(LEN(A301)-LEN(SUBSTITUTE(A301,{"0","1","2"},"")))))))))+1, 1) * 10^ROW(INDIRECT("1:"&amp;LEN((LEFT(A301,SUM(LEN(A301)-LEN(SUBSTITUTE(A301,{"0","1","2"},""))))))))/10))*1+1&amp;""&amp;" ,.., "&amp;""&amp;(SUMPRODUCT(MID(0&amp;(--TRIM(RIGHT(SUBSTITUTE(LEFT(A301,_xlfn.AGGREGATE(16,6,FIND({0,1,2,3,4,5,6,7,8,9},A301,ROW(INDIRECT("1:"&amp;LEN(A301)))),1))," ",REPT(" ",LEN(A301))),LEN(A301)))), LARGE(INDEX(ISNUMBER(--MID((--TRIM(RIGHT(SUBSTITUTE(LEFT(A301,_xlfn.AGGREGATE(16,6,FIND({0,1,2,3,4,5,6,7,8,9},A301,ROW(INDIRECT("1:"&amp;LEN(A301)))),1))," ",REPT(" ",LEN(A301))),LEN(A301)))), ROW(INDIRECT("1:"&amp;LEN((--TRIM(RIGHT(SUBSTITUTE(LEFT(A301,_xlfn.AGGREGATE(16,6,FIND({0,1,2,3,4,5,6,7,8,9},A301,ROW(INDIRECT("1:"&amp;LEN(A301)))),1))," ",REPT(" ",LEN(A301))),LEN(A301))))))), 1)) * ROW(INDIRECT("1:"&amp;LEN((--TRIM(RIGHT(SUBSTITUTE(LEFT(A301,_xlfn.AGGREGATE(16,6,FIND({0,1,2,3,4,5,6,7,8,9},A301,ROW(INDIRECT("1:"&amp;LEN(A301)))),1))," ",REPT(" ",LEN(A301))),LEN(A301))))))), 0), ROW(INDIRECT("1:"&amp;LEN((--TRIM(RIGHT(SUBSTITUTE(LEFT(A301,_xlfn.AGGREGATE(16,6,FIND({0,1,2,3,4,5,6,7,8,9},A301,ROW(INDIRECT("1:"&amp;LEN(A301)))),1))," ",REPT(" ",LEN(A301))),LEN(A301))))))))+1, 1) * 10^ROW(INDIRECT("1:"&amp;LEN((--TRIM(RIGHT(SUBSTITUTE(LEFT(A301,_xlfn.AGGREGATE(16,6,FIND({0,1,2,3,4,5,6,7,8,9},A301,ROW(INDIRECT("1:"&amp;LEN(A301)))),1))," ",REPT(" ",LEN(A301))),LEN(A301)))))))/10))*1+1</f>
        <v>203 ,.., 1103</v>
      </c>
      <c r="B302" s="130"/>
      <c r="C302" s="107" t="s">
        <v>384</v>
      </c>
      <c r="D302" s="99">
        <f>(47.76)*(10.764)</f>
        <v>514.08863999999994</v>
      </c>
      <c r="E302" s="99">
        <f>(3.48)*(10.764)</f>
        <v>37.45872</v>
      </c>
      <c r="F302" s="107">
        <f>D302+E302</f>
        <v>551.54735999999991</v>
      </c>
      <c r="G302" s="107">
        <v>0</v>
      </c>
      <c r="H302" s="107">
        <f>F302*(($H$219)+1)+(IF(G302&lt;101,G302,IF(G302&lt;201,G302/2,IF(G302&lt;=301,G302/3,G302/4))))</f>
        <v>854.8984079999999</v>
      </c>
      <c r="I302" s="35"/>
    </row>
    <row r="303" spans="1:14" s="95" customFormat="1" ht="15.75" customHeight="1" x14ac:dyDescent="0.35">
      <c r="A303" s="130"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10^ROW(INDIRECT("1:"&amp;LEN((LEFT(A302,SUM(LEN(A302)-LEN(SUBSTITUTE(A302,{"0","1","2"},""))))))))/10))*1+1&amp;""&amp;" ,..,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",LEN(A302))),LEN(A302)))))))/10))*1+1</f>
        <v>204 ,.., 1104</v>
      </c>
      <c r="B303" s="130"/>
      <c r="C303" s="107" t="s">
        <v>384</v>
      </c>
      <c r="D303" s="99">
        <f>(43.22)*(10.764)</f>
        <v>465.22007999999994</v>
      </c>
      <c r="E303" s="99">
        <f>(3.48)*(10.764)</f>
        <v>37.45872</v>
      </c>
      <c r="F303" s="107">
        <f>D303+E303</f>
        <v>502.67879999999991</v>
      </c>
      <c r="G303" s="107">
        <v>0</v>
      </c>
      <c r="H303" s="107">
        <f>F303*(($H$219)+1)+(IF(G303&lt;101,G303,IF(G303&lt;201,G303/2,IF(G303&lt;=301,G303/3,G303/4))))</f>
        <v>779.15213999999992</v>
      </c>
      <c r="I303" s="35">
        <f>(2.9*4.35+2.45*2.29+2.75*2.8+2.9*3.1+2.1*1.2*2+2.9*1)</f>
        <v>42.855499999999999</v>
      </c>
      <c r="J303" s="35">
        <f>2.9*1.2</f>
        <v>3.48</v>
      </c>
    </row>
    <row r="304" spans="1:14" s="95" customFormat="1" ht="15.75" customHeight="1" x14ac:dyDescent="0.35">
      <c r="A304" s="130"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10^ROW(INDIRECT("1:"&amp;LEN((LEFT(A303,SUM(LEN(A303)-LEN(SUBSTITUTE(A303,{"0","1","2"},""))))))))/10))*1+1&amp;""&amp;" ,..,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",LEN(A303))),LEN(A303)))))))/10))*1+1</f>
        <v>205 ,.., 1105</v>
      </c>
      <c r="B304" s="130"/>
      <c r="C304" s="107" t="s">
        <v>384</v>
      </c>
      <c r="D304" s="99">
        <f>(47.76)*(10.764)</f>
        <v>514.08863999999994</v>
      </c>
      <c r="E304" s="99">
        <f>(3.48)*(10.764)</f>
        <v>37.45872</v>
      </c>
      <c r="F304" s="107">
        <f>D304+E304</f>
        <v>551.54735999999991</v>
      </c>
      <c r="G304" s="107">
        <v>0</v>
      </c>
      <c r="H304" s="107">
        <f>F304*(($H$219)+1)+(IF(G304&lt;101,G304,IF(G304&lt;201,G304/2,IF(G304&lt;=301,G304/3,G304/4))))</f>
        <v>854.8984079999999</v>
      </c>
      <c r="I304" s="35">
        <f>(2.9*4.55+2.75*2.8+3.2*2.9+2.29*2.45+2.15*1.2+1.25*1.98+1.25*2.4+1.08*1.35+1.31*1)</f>
        <v>46.608499999999999</v>
      </c>
    </row>
    <row r="305" spans="1:14" s="95" customFormat="1" x14ac:dyDescent="0.35">
      <c r="A305" s="137" t="s">
        <v>395</v>
      </c>
      <c r="B305" s="137"/>
      <c r="C305" s="137"/>
      <c r="D305" s="137"/>
      <c r="E305" s="137"/>
      <c r="F305" s="137"/>
      <c r="G305" s="137"/>
      <c r="H305" s="137"/>
      <c r="I305" s="35"/>
      <c r="L305" s="138"/>
      <c r="M305" s="138"/>
    </row>
    <row r="306" spans="1:14" s="95" customFormat="1" x14ac:dyDescent="0.35">
      <c r="A306" s="130">
        <f>LEFT(A305,SUM(LEN(A305)-LEN(SUBSTITUTE(A305,{"0","1","2","3","4","5","6","7","8","9"},""))))*100+1</f>
        <v>701</v>
      </c>
      <c r="B306" s="130"/>
      <c r="C306" s="107" t="s">
        <v>396</v>
      </c>
      <c r="D306" s="99">
        <f>(82.97)*(10.764)</f>
        <v>893.08907999999997</v>
      </c>
      <c r="E306" s="99">
        <f>(7.05)*(10.764)</f>
        <v>75.886199999999988</v>
      </c>
      <c r="F306" s="107">
        <f>D306+E306</f>
        <v>968.97528</v>
      </c>
      <c r="G306" s="107">
        <v>0</v>
      </c>
      <c r="H306" s="107">
        <f>F306*(($H$219)+1)+(IF(G306&lt;101,G306,IF(G306&lt;201,G306/2,IF(G306&lt;=301,G306/3,G306/4))))</f>
        <v>1501.9116840000002</v>
      </c>
      <c r="I306" s="35"/>
      <c r="N306" s="35"/>
    </row>
    <row r="307" spans="1:14" s="95" customFormat="1" x14ac:dyDescent="0.35">
      <c r="A307" s="130">
        <f>A306+1</f>
        <v>702</v>
      </c>
      <c r="B307" s="130"/>
      <c r="C307" s="107" t="s">
        <v>385</v>
      </c>
      <c r="D307" s="99">
        <f>(36.05)*(10.764)</f>
        <v>388.04219999999992</v>
      </c>
      <c r="E307" s="99">
        <f>(3.57)*(10.764)</f>
        <v>38.427479999999996</v>
      </c>
      <c r="F307" s="107">
        <f>D307+E307</f>
        <v>426.46967999999993</v>
      </c>
      <c r="G307" s="107">
        <v>0</v>
      </c>
      <c r="H307" s="107">
        <f>F307*(($H$219)+1)+(IF(G307&lt;101,G307,IF(G307&lt;201,G307/2,IF(G307&lt;=301,G307/3,G307/4))))</f>
        <v>661.0280039999999</v>
      </c>
      <c r="I307" s="35"/>
      <c r="N307" s="35"/>
    </row>
    <row r="308" spans="1:14" s="95" customFormat="1" x14ac:dyDescent="0.35">
      <c r="A308" s="130">
        <f>A307+1</f>
        <v>703</v>
      </c>
      <c r="B308" s="130"/>
      <c r="C308" s="107" t="s">
        <v>384</v>
      </c>
      <c r="D308" s="99">
        <f>(47.76)*(10.764)</f>
        <v>514.08863999999994</v>
      </c>
      <c r="E308" s="99">
        <f>(3.48)*(10.764)</f>
        <v>37.45872</v>
      </c>
      <c r="F308" s="107">
        <f>D308+E308</f>
        <v>551.54735999999991</v>
      </c>
      <c r="G308" s="107">
        <v>0</v>
      </c>
      <c r="H308" s="107">
        <f>F308*(($H$219)+1)+(IF(G308&lt;101,G308,IF(G308&lt;201,G308/2,IF(G308&lt;=301,G308/3,G308/4))))</f>
        <v>854.8984079999999</v>
      </c>
      <c r="I308" s="35"/>
      <c r="N308" s="35"/>
    </row>
    <row r="309" spans="1:14" s="95" customFormat="1" x14ac:dyDescent="0.35">
      <c r="A309" s="130">
        <f>A308+1</f>
        <v>704</v>
      </c>
      <c r="B309" s="130"/>
      <c r="C309" s="96" t="s">
        <v>384</v>
      </c>
      <c r="D309" s="99">
        <f>(47.76)*(10.764)</f>
        <v>514.08863999999994</v>
      </c>
      <c r="E309" s="99">
        <f>(3.48)*(10.764)</f>
        <v>37.45872</v>
      </c>
      <c r="F309" s="96">
        <f>D309+E309</f>
        <v>551.54735999999991</v>
      </c>
      <c r="G309" s="96">
        <v>0</v>
      </c>
      <c r="H309" s="96">
        <f>F309*(($H$219)+1)+(IF(G309&lt;101,G309,IF(G309&lt;201,G309/2,IF(G309&lt;=301,G309/3,G309/4))))</f>
        <v>854.8984079999999</v>
      </c>
      <c r="I309" s="35"/>
      <c r="N309" s="35"/>
    </row>
    <row r="310" spans="1:14" s="95" customFormat="1" x14ac:dyDescent="0.35">
      <c r="A310" s="130">
        <f>A309+1</f>
        <v>705</v>
      </c>
      <c r="B310" s="130"/>
      <c r="C310" s="96" t="s">
        <v>384</v>
      </c>
      <c r="D310" s="99">
        <f>(43.22)*(10.764)</f>
        <v>465.22007999999994</v>
      </c>
      <c r="E310" s="99">
        <f>(3.48)*(10.764)</f>
        <v>37.45872</v>
      </c>
      <c r="F310" s="96">
        <f>D310+E310</f>
        <v>502.67879999999991</v>
      </c>
      <c r="G310" s="96">
        <v>0</v>
      </c>
      <c r="H310" s="96">
        <f>F310*(($H$219)+1)+(IF(G310&lt;101,G310,IF(G310&lt;201,G310/2,IF(G310&lt;=301,G310/3,G310/4))))</f>
        <v>779.15213999999992</v>
      </c>
      <c r="I310" s="35"/>
      <c r="N310" s="35"/>
    </row>
    <row r="311" spans="1:14" s="95" customFormat="1" x14ac:dyDescent="0.35">
      <c r="A311" s="139" t="s">
        <v>397</v>
      </c>
      <c r="B311" s="140"/>
      <c r="C311" s="140"/>
      <c r="D311" s="140"/>
      <c r="E311" s="140"/>
      <c r="F311" s="140"/>
      <c r="G311" s="140"/>
      <c r="H311" s="141"/>
      <c r="J311" s="35"/>
    </row>
    <row r="312" spans="1:14" s="95" customFormat="1" x14ac:dyDescent="0.35">
      <c r="A312" s="137" t="s">
        <v>383</v>
      </c>
      <c r="B312" s="137"/>
      <c r="C312" s="137"/>
      <c r="D312" s="137"/>
      <c r="E312" s="137"/>
      <c r="F312" s="137"/>
      <c r="G312" s="137"/>
      <c r="H312" s="137"/>
      <c r="I312" s="35"/>
      <c r="L312" s="138"/>
      <c r="M312" s="138"/>
    </row>
    <row r="313" spans="1:14" s="95" customFormat="1" x14ac:dyDescent="0.35">
      <c r="A313" s="130">
        <f>LEFT(A312,SUM(LEN(A312)-LEN(SUBSTITUTE(A312,{"0","1","2","3","4","5","6","7","8","9"},""))))*100+1</f>
        <v>101</v>
      </c>
      <c r="B313" s="130"/>
      <c r="C313" s="96" t="s">
        <v>385</v>
      </c>
      <c r="D313" s="99">
        <f>(31.52)*(10.764)</f>
        <v>339.28127999999998</v>
      </c>
      <c r="E313" s="99">
        <f>(9.65)*(10.764)</f>
        <v>103.87259999999999</v>
      </c>
      <c r="F313" s="96">
        <f t="shared" ref="F313:F318" si="37">D313+E313</f>
        <v>443.15387999999996</v>
      </c>
      <c r="G313" s="98">
        <v>0</v>
      </c>
      <c r="H313" s="96">
        <f t="shared" ref="H313:H318" si="38">F313*(($H$219)+1)+(IF(G313&lt;101,G313,IF(G313&lt;201,G313/2,IF(G313&lt;=301,G313/3,G313/4))))</f>
        <v>686.88851399999999</v>
      </c>
      <c r="I313" s="35">
        <f>(2.9*3.96+2.45*2.45+3.05*2.25+2.1*1.2*2)</f>
        <v>29.388999999999999</v>
      </c>
      <c r="J313" s="35">
        <f>2.97*1.2+2.75*1.1+3.05*1</f>
        <v>9.6389999999999993</v>
      </c>
      <c r="N313" s="35"/>
    </row>
    <row r="314" spans="1:14" s="95" customFormat="1" x14ac:dyDescent="0.35">
      <c r="A314" s="130">
        <f>A313+1</f>
        <v>102</v>
      </c>
      <c r="B314" s="130"/>
      <c r="C314" s="96" t="s">
        <v>385</v>
      </c>
      <c r="D314" s="99">
        <f>(31.52)*(10.764)</f>
        <v>339.28127999999998</v>
      </c>
      <c r="E314" s="99">
        <f>(9.65)*(10.764)</f>
        <v>103.87259999999999</v>
      </c>
      <c r="F314" s="96">
        <f t="shared" si="37"/>
        <v>443.15387999999996</v>
      </c>
      <c r="G314" s="98">
        <v>0</v>
      </c>
      <c r="H314" s="96">
        <f t="shared" si="38"/>
        <v>686.88851399999999</v>
      </c>
      <c r="I314" s="35"/>
      <c r="N314" s="35"/>
    </row>
    <row r="315" spans="1:14" s="95" customFormat="1" x14ac:dyDescent="0.35">
      <c r="A315" s="130">
        <f>A314+1</f>
        <v>103</v>
      </c>
      <c r="B315" s="130"/>
      <c r="C315" s="96" t="s">
        <v>385</v>
      </c>
      <c r="D315" s="99">
        <f>(30.97)*(10.764)</f>
        <v>333.36107999999996</v>
      </c>
      <c r="E315" s="99">
        <f>(6)*(10.764)</f>
        <v>64.584000000000003</v>
      </c>
      <c r="F315" s="96">
        <f t="shared" si="37"/>
        <v>397.94507999999996</v>
      </c>
      <c r="G315" s="99">
        <f>(3*2.8+2.8*1.05+2.9*1.4)*(10.764)</f>
        <v>165.76559999999998</v>
      </c>
      <c r="H315" s="96">
        <f t="shared" si="38"/>
        <v>699.69767399999989</v>
      </c>
      <c r="I315" s="35"/>
      <c r="J315" s="35">
        <f>2.75*1.1+2.97*1</f>
        <v>5.995000000000001</v>
      </c>
      <c r="N315" s="35"/>
    </row>
    <row r="316" spans="1:14" s="95" customFormat="1" x14ac:dyDescent="0.35">
      <c r="A316" s="130">
        <f>A315+1</f>
        <v>104</v>
      </c>
      <c r="B316" s="130"/>
      <c r="C316" s="96" t="s">
        <v>385</v>
      </c>
      <c r="D316" s="99">
        <f>(30.97)*(10.764)</f>
        <v>333.36107999999996</v>
      </c>
      <c r="E316" s="99">
        <f>(6)*(10.764)</f>
        <v>64.584000000000003</v>
      </c>
      <c r="F316" s="96">
        <f t="shared" si="37"/>
        <v>397.94507999999996</v>
      </c>
      <c r="G316" s="99">
        <f>(3*2.8+2.8*1.05+2.9*1.4)*(10.764)</f>
        <v>165.76559999999998</v>
      </c>
      <c r="H316" s="96">
        <f t="shared" si="38"/>
        <v>699.69767399999989</v>
      </c>
      <c r="I316" s="35"/>
      <c r="N316" s="35"/>
    </row>
    <row r="317" spans="1:14" s="95" customFormat="1" x14ac:dyDescent="0.35">
      <c r="A317" s="130">
        <f>A316+1</f>
        <v>105</v>
      </c>
      <c r="B317" s="130"/>
      <c r="C317" s="96" t="s">
        <v>385</v>
      </c>
      <c r="D317" s="99">
        <f>(30.97)*(10.764)</f>
        <v>333.36107999999996</v>
      </c>
      <c r="E317" s="99">
        <f>(6)*(10.764)</f>
        <v>64.584000000000003</v>
      </c>
      <c r="F317" s="96">
        <f t="shared" si="37"/>
        <v>397.94507999999996</v>
      </c>
      <c r="G317" s="99">
        <f>(3*2.8+2.8*1.05+2.9*1.4)*(10.764)</f>
        <v>165.76559999999998</v>
      </c>
      <c r="H317" s="96">
        <f t="shared" si="38"/>
        <v>699.69767399999989</v>
      </c>
      <c r="I317" s="97"/>
      <c r="N317" s="35"/>
    </row>
    <row r="318" spans="1:14" s="95" customFormat="1" x14ac:dyDescent="0.35">
      <c r="A318" s="130">
        <f>A317+1</f>
        <v>106</v>
      </c>
      <c r="B318" s="130"/>
      <c r="C318" s="96" t="s">
        <v>385</v>
      </c>
      <c r="D318" s="99">
        <f>(30.97)*(10.764)</f>
        <v>333.36107999999996</v>
      </c>
      <c r="E318" s="99">
        <f>(6)*(10.764)</f>
        <v>64.584000000000003</v>
      </c>
      <c r="F318" s="96">
        <f t="shared" si="37"/>
        <v>397.94507999999996</v>
      </c>
      <c r="G318" s="99">
        <f>(3*2.8+2.8*1.05+2.9*1.4)*(10.764)</f>
        <v>165.76559999999998</v>
      </c>
      <c r="H318" s="96">
        <f t="shared" si="38"/>
        <v>699.69767399999989</v>
      </c>
      <c r="I318" s="35"/>
      <c r="N318" s="35"/>
    </row>
    <row r="319" spans="1:14" s="95" customFormat="1" ht="15.75" customHeight="1" x14ac:dyDescent="0.35">
      <c r="A319" s="139" t="s">
        <v>398</v>
      </c>
      <c r="B319" s="140"/>
      <c r="C319" s="140"/>
      <c r="D319" s="140"/>
      <c r="E319" s="140"/>
      <c r="F319" s="140"/>
      <c r="G319" s="140"/>
      <c r="H319" s="141"/>
      <c r="I319" s="35"/>
    </row>
    <row r="320" spans="1:14" s="95" customFormat="1" ht="15.75" customHeight="1" x14ac:dyDescent="0.35">
      <c r="A320" s="132" t="str">
        <f ca="1">(SUMPRODUCT(MID(0&amp;(LEFT(A319,SUM(LEN(A319)-LEN(SUBSTITUTE(A319,{"0","1","2"},""))))), LARGE(INDEX(ISNUMBER(--MID((LEFT(A319,SUM(LEN(A319)-LEN(SUBSTITUTE(A319,{"0","1","2"},""))))), ROW(INDIRECT("1:"&amp;LEN((LEFT(A319,SUM(LEN(A319)-LEN(SUBSTITUTE(A319,{"0","1","2"},"")))))))), 1)) * ROW(INDIRECT("1:"&amp;LEN((LEFT(A319,SUM(LEN(A319)-LEN(SUBSTITUTE(A319,{"0","1","2"},"")))))))), 0), ROW(INDIRECT("1:"&amp;LEN((LEFT(A319,SUM(LEN(A319)-LEN(SUBSTITUTE(A319,{"0","1","2"},"")))))))))+1, 1) * 10^ROW(INDIRECT("1:"&amp;LEN((LEFT(A319,SUM(LEN(A319)-LEN(SUBSTITUTE(A319,{"0","1","2"},""))))))))/10))*100+1&amp;""&amp;" ,.., "&amp;""&amp;(SUMPRODUCT(MID(0&amp;(--TRIM(RIGHT(SUBSTITUTE(LEFT(A319,_xlfn.AGGREGATE(16,6,FIND({0,1,2,3,4,5,6,7,8,9},A319,ROW(INDIRECT("1:"&amp;LEN(A319)))),1))," ",REPT(" ",LEN(A319))),LEN(A319)))), LARGE(INDEX(ISNUMBER(--MID((--TRIM(RIGHT(SUBSTITUTE(LEFT(A319,_xlfn.AGGREGATE(16,6,FIND({0,1,2,3,4,5,6,7,8,9},A319,ROW(INDIRECT("1:"&amp;LEN(A319)))),1))," ",REPT(" ",LEN(A319))),LEN(A319)))), ROW(INDIRECT("1:"&amp;LEN((--TRIM(RIGHT(SUBSTITUTE(LEFT(A319,_xlfn.AGGREGATE(16,6,FIND({0,1,2,3,4,5,6,7,8,9},A319,ROW(INDIRECT("1:"&amp;LEN(A319)))),1))," ",REPT(" ",LEN(A319))),LEN(A319))))))), 1)) * ROW(INDIRECT("1:"&amp;LEN((--TRIM(RIGHT(SUBSTITUTE(LEFT(A319,_xlfn.AGGREGATE(16,6,FIND({0,1,2,3,4,5,6,7,8,9},A319,ROW(INDIRECT("1:"&amp;LEN(A319)))),1))," ",REPT(" ",LEN(A319))),LEN(A319))))))), 0), ROW(INDIRECT("1:"&amp;LEN((--TRIM(RIGHT(SUBSTITUTE(LEFT(A319,_xlfn.AGGREGATE(16,6,FIND({0,1,2,3,4,5,6,7,8,9},A319,ROW(INDIRECT("1:"&amp;LEN(A319)))),1))," ",REPT(" ",LEN(A319))),LEN(A319))))))))+1, 1) * 10^ROW(INDIRECT("1:"&amp;LEN((--TRIM(RIGHT(SUBSTITUTE(LEFT(A319,_xlfn.AGGREGATE(16,6,FIND({0,1,2,3,4,5,6,7,8,9},A319,ROW(INDIRECT("1:"&amp;LEN(A319)))),1))," ",REPT(" ",LEN(A319))),LEN(A319)))))))/10))*100+1</f>
        <v>201 ,.., 1001</v>
      </c>
      <c r="B320" s="134"/>
      <c r="C320" s="96" t="s">
        <v>385</v>
      </c>
      <c r="D320" s="99">
        <f t="shared" ref="D320:D325" si="39">(31.52)*(10.764)</f>
        <v>339.28127999999998</v>
      </c>
      <c r="E320" s="99">
        <f>(9.66)*(10.764)</f>
        <v>103.98023999999999</v>
      </c>
      <c r="F320" s="96">
        <f t="shared" ref="F320:F325" si="40">D320+E320</f>
        <v>443.26151999999996</v>
      </c>
      <c r="G320" s="96">
        <v>0</v>
      </c>
      <c r="H320" s="96">
        <f t="shared" ref="H320:H325" si="41">F320*(($H$219)+1)+(IF(G320&lt;101,G320,IF(G320&lt;201,G320/2,IF(G320&lt;=301,G320/3,G320/4))))</f>
        <v>687.05535599999996</v>
      </c>
      <c r="I320" s="35"/>
    </row>
    <row r="321" spans="1:14" s="95" customFormat="1" ht="15.75" customHeight="1" x14ac:dyDescent="0.35">
      <c r="A321" s="132" t="str">
        <f ca="1">(SUMPRODUCT(MID(0&amp;(LEFT(A320,SUM(LEN(A320)-LEN(SUBSTITUTE(A320,{"0","1","2"},""))))), LARGE(INDEX(ISNUMBER(--MID((LEFT(A320,SUM(LEN(A320)-LEN(SUBSTITUTE(A320,{"0","1","2"},""))))), ROW(INDIRECT("1:"&amp;LEN((LEFT(A320,SUM(LEN(A320)-LEN(SUBSTITUTE(A320,{"0","1","2"},"")))))))), 1)) * ROW(INDIRECT("1:"&amp;LEN((LEFT(A320,SUM(LEN(A320)-LEN(SUBSTITUTE(A320,{"0","1","2"},"")))))))), 0), ROW(INDIRECT("1:"&amp;LEN((LEFT(A320,SUM(LEN(A320)-LEN(SUBSTITUTE(A320,{"0","1","2"},"")))))))))+1, 1) * 10^ROW(INDIRECT("1:"&amp;LEN((LEFT(A320,SUM(LEN(A320)-LEN(SUBSTITUTE(A320,{"0","1","2"},""))))))))/10))*1+1&amp;""&amp;" ,.., "&amp;""&amp;(SUMPRODUCT(MID(0&amp;(--TRIM(RIGHT(SUBSTITUTE(LEFT(A320,_xlfn.AGGREGATE(16,6,FIND({0,1,2,3,4,5,6,7,8,9},A320,ROW(INDIRECT("1:"&amp;LEN(A320)))),1))," ",REPT(" ",LEN(A320))),LEN(A320)))), LARGE(INDEX(ISNUMBER(--MID((--TRIM(RIGHT(SUBSTITUTE(LEFT(A320,_xlfn.AGGREGATE(16,6,FIND({0,1,2,3,4,5,6,7,8,9},A320,ROW(INDIRECT("1:"&amp;LEN(A320)))),1))," ",REPT(" ",LEN(A320))),LEN(A320)))), ROW(INDIRECT("1:"&amp;LEN((--TRIM(RIGHT(SUBSTITUTE(LEFT(A320,_xlfn.AGGREGATE(16,6,FIND({0,1,2,3,4,5,6,7,8,9},A320,ROW(INDIRECT("1:"&amp;LEN(A320)))),1))," ",REPT(" ",LEN(A320))),LEN(A320))))))), 1)) * ROW(INDIRECT("1:"&amp;LEN((--TRIM(RIGHT(SUBSTITUTE(LEFT(A320,_xlfn.AGGREGATE(16,6,FIND({0,1,2,3,4,5,6,7,8,9},A320,ROW(INDIRECT("1:"&amp;LEN(A320)))),1))," ",REPT(" ",LEN(A320))),LEN(A320))))))), 0), ROW(INDIRECT("1:"&amp;LEN((--TRIM(RIGHT(SUBSTITUTE(LEFT(A320,_xlfn.AGGREGATE(16,6,FIND({0,1,2,3,4,5,6,7,8,9},A320,ROW(INDIRECT("1:"&amp;LEN(A320)))),1))," ",REPT(" ",LEN(A320))),LEN(A320))))))))+1, 1) * 10^ROW(INDIRECT("1:"&amp;LEN((--TRIM(RIGHT(SUBSTITUTE(LEFT(A320,_xlfn.AGGREGATE(16,6,FIND({0,1,2,3,4,5,6,7,8,9},A320,ROW(INDIRECT("1:"&amp;LEN(A320)))),1))," ",REPT(" ",LEN(A320))),LEN(A320)))))))/10))*1+1</f>
        <v>202 ,.., 1002</v>
      </c>
      <c r="B321" s="134"/>
      <c r="C321" s="96" t="s">
        <v>385</v>
      </c>
      <c r="D321" s="99">
        <f t="shared" si="39"/>
        <v>339.28127999999998</v>
      </c>
      <c r="E321" s="99">
        <f>(9.48)*(10.764)</f>
        <v>102.04272</v>
      </c>
      <c r="F321" s="96">
        <f t="shared" si="40"/>
        <v>441.32399999999996</v>
      </c>
      <c r="G321" s="96">
        <v>0</v>
      </c>
      <c r="H321" s="96">
        <f t="shared" si="41"/>
        <v>684.05219999999997</v>
      </c>
      <c r="I321" s="35"/>
    </row>
    <row r="322" spans="1:14" s="95" customFormat="1" ht="15.75" customHeight="1" x14ac:dyDescent="0.35">
      <c r="A322" s="132" t="str">
        <f ca="1">(SUMPRODUCT(MID(0&amp;(LEFT(A321,SUM(LEN(A321)-LEN(SUBSTITUTE(A321,{"0","1","2"},""))))), LARGE(INDEX(ISNUMBER(--MID((LEFT(A321,SUM(LEN(A321)-LEN(SUBSTITUTE(A321,{"0","1","2"},""))))), ROW(INDIRECT("1:"&amp;LEN((LEFT(A321,SUM(LEN(A321)-LEN(SUBSTITUTE(A321,{"0","1","2"},"")))))))), 1)) * ROW(INDIRECT("1:"&amp;LEN((LEFT(A321,SUM(LEN(A321)-LEN(SUBSTITUTE(A321,{"0","1","2"},"")))))))), 0), ROW(INDIRECT("1:"&amp;LEN((LEFT(A321,SUM(LEN(A321)-LEN(SUBSTITUTE(A321,{"0","1","2"},"")))))))))+1, 1) * 10^ROW(INDIRECT("1:"&amp;LEN((LEFT(A321,SUM(LEN(A321)-LEN(SUBSTITUTE(A321,{"0","1","2"},""))))))))/10))*1+1&amp;""&amp;" ,.., "&amp;""&amp;(SUMPRODUCT(MID(0&amp;(--TRIM(RIGHT(SUBSTITUTE(LEFT(A321,_xlfn.AGGREGATE(16,6,FIND({0,1,2,3,4,5,6,7,8,9},A321,ROW(INDIRECT("1:"&amp;LEN(A321)))),1))," ",REPT(" ",LEN(A321))),LEN(A321)))), LARGE(INDEX(ISNUMBER(--MID((--TRIM(RIGHT(SUBSTITUTE(LEFT(A321,_xlfn.AGGREGATE(16,6,FIND({0,1,2,3,4,5,6,7,8,9},A321,ROW(INDIRECT("1:"&amp;LEN(A321)))),1))," ",REPT(" ",LEN(A321))),LEN(A321)))), ROW(INDIRECT("1:"&amp;LEN((--TRIM(RIGHT(SUBSTITUTE(LEFT(A321,_xlfn.AGGREGATE(16,6,FIND({0,1,2,3,4,5,6,7,8,9},A321,ROW(INDIRECT("1:"&amp;LEN(A321)))),1))," ",REPT(" ",LEN(A321))),LEN(A321))))))), 1)) * ROW(INDIRECT("1:"&amp;LEN((--TRIM(RIGHT(SUBSTITUTE(LEFT(A321,_xlfn.AGGREGATE(16,6,FIND({0,1,2,3,4,5,6,7,8,9},A321,ROW(INDIRECT("1:"&amp;LEN(A321)))),1))," ",REPT(" ",LEN(A321))),LEN(A321))))))), 0), ROW(INDIRECT("1:"&amp;LEN((--TRIM(RIGHT(SUBSTITUTE(LEFT(A321,_xlfn.AGGREGATE(16,6,FIND({0,1,2,3,4,5,6,7,8,9},A321,ROW(INDIRECT("1:"&amp;LEN(A321)))),1))," ",REPT(" ",LEN(A321))),LEN(A321))))))))+1, 1) * 10^ROW(INDIRECT("1:"&amp;LEN((--TRIM(RIGHT(SUBSTITUTE(LEFT(A321,_xlfn.AGGREGATE(16,6,FIND({0,1,2,3,4,5,6,7,8,9},A321,ROW(INDIRECT("1:"&amp;LEN(A321)))),1))," ",REPT(" ",LEN(A321))),LEN(A321)))))))/10))*1+1</f>
        <v>203 ,.., 1003</v>
      </c>
      <c r="B322" s="134"/>
      <c r="C322" s="96" t="s">
        <v>385</v>
      </c>
      <c r="D322" s="99">
        <f t="shared" si="39"/>
        <v>339.28127999999998</v>
      </c>
      <c r="E322" s="99">
        <f>(9.48)*(10.764)</f>
        <v>102.04272</v>
      </c>
      <c r="F322" s="96">
        <f t="shared" si="40"/>
        <v>441.32399999999996</v>
      </c>
      <c r="G322" s="96">
        <v>0</v>
      </c>
      <c r="H322" s="96">
        <f t="shared" si="41"/>
        <v>684.05219999999997</v>
      </c>
      <c r="I322" s="35"/>
      <c r="J322" s="35">
        <f>(2.9*1.2+2.75*1.1+2.97*1)</f>
        <v>9.4750000000000014</v>
      </c>
    </row>
    <row r="323" spans="1:14" s="95" customFormat="1" ht="15.75" customHeight="1" x14ac:dyDescent="0.35">
      <c r="A323" s="132" t="str">
        <f ca="1">(SUMPRODUCT(MID(0&amp;(LEFT(A322,SUM(LEN(A322)-LEN(SUBSTITUTE(A322,{"0","1","2"},""))))), LARGE(INDEX(ISNUMBER(--MID((LEFT(A322,SUM(LEN(A322)-LEN(SUBSTITUTE(A322,{"0","1","2"},""))))), ROW(INDIRECT("1:"&amp;LEN((LEFT(A322,SUM(LEN(A322)-LEN(SUBSTITUTE(A322,{"0","1","2"},"")))))))), 1)) * ROW(INDIRECT("1:"&amp;LEN((LEFT(A322,SUM(LEN(A322)-LEN(SUBSTITUTE(A322,{"0","1","2"},"")))))))), 0), ROW(INDIRECT("1:"&amp;LEN((LEFT(A322,SUM(LEN(A322)-LEN(SUBSTITUTE(A322,{"0","1","2"},"")))))))))+1, 1) * 10^ROW(INDIRECT("1:"&amp;LEN((LEFT(A322,SUM(LEN(A322)-LEN(SUBSTITUTE(A322,{"0","1","2"},""))))))))/10))*1+1&amp;""&amp;" ,.., "&amp;""&amp;(SUMPRODUCT(MID(0&amp;(--TRIM(RIGHT(SUBSTITUTE(LEFT(A322,_xlfn.AGGREGATE(16,6,FIND({0,1,2,3,4,5,6,7,8,9},A322,ROW(INDIRECT("1:"&amp;LEN(A322)))),1))," ",REPT(" ",LEN(A322))),LEN(A322)))), LARGE(INDEX(ISNUMBER(--MID((--TRIM(RIGHT(SUBSTITUTE(LEFT(A322,_xlfn.AGGREGATE(16,6,FIND({0,1,2,3,4,5,6,7,8,9},A322,ROW(INDIRECT("1:"&amp;LEN(A322)))),1))," ",REPT(" ",LEN(A322))),LEN(A322)))), ROW(INDIRECT("1:"&amp;LEN((--TRIM(RIGHT(SUBSTITUTE(LEFT(A322,_xlfn.AGGREGATE(16,6,FIND({0,1,2,3,4,5,6,7,8,9},A322,ROW(INDIRECT("1:"&amp;LEN(A322)))),1))," ",REPT(" ",LEN(A322))),LEN(A322))))))), 1)) * ROW(INDIRECT("1:"&amp;LEN((--TRIM(RIGHT(SUBSTITUTE(LEFT(A322,_xlfn.AGGREGATE(16,6,FIND({0,1,2,3,4,5,6,7,8,9},A322,ROW(INDIRECT("1:"&amp;LEN(A322)))),1))," ",REPT(" ",LEN(A322))),LEN(A322))))))), 0), ROW(INDIRECT("1:"&amp;LEN((--TRIM(RIGHT(SUBSTITUTE(LEFT(A322,_xlfn.AGGREGATE(16,6,FIND({0,1,2,3,4,5,6,7,8,9},A322,ROW(INDIRECT("1:"&amp;LEN(A322)))),1))," ",REPT(" ",LEN(A322))),LEN(A322))))))))+1, 1) * 10^ROW(INDIRECT("1:"&amp;LEN((--TRIM(RIGHT(SUBSTITUTE(LEFT(A322,_xlfn.AGGREGATE(16,6,FIND({0,1,2,3,4,5,6,7,8,9},A322,ROW(INDIRECT("1:"&amp;LEN(A322)))),1))," ",REPT(" ",LEN(A322))),LEN(A322)))))))/10))*1+1</f>
        <v>204 ,.., 1004</v>
      </c>
      <c r="B323" s="134"/>
      <c r="C323" s="96" t="s">
        <v>385</v>
      </c>
      <c r="D323" s="99">
        <f t="shared" si="39"/>
        <v>339.28127999999998</v>
      </c>
      <c r="E323" s="99">
        <f>(9.66)*(10.764)</f>
        <v>103.98023999999999</v>
      </c>
      <c r="F323" s="96">
        <f t="shared" si="40"/>
        <v>443.26151999999996</v>
      </c>
      <c r="G323" s="96">
        <v>0</v>
      </c>
      <c r="H323" s="96">
        <f t="shared" si="41"/>
        <v>687.05535599999996</v>
      </c>
      <c r="I323" s="35"/>
    </row>
    <row r="324" spans="1:14" s="95" customFormat="1" ht="15.75" customHeight="1" x14ac:dyDescent="0.35">
      <c r="A324" s="132" t="str">
        <f ca="1">(SUMPRODUCT(MID(0&amp;(LEFT(A323,SUM(LEN(A323)-LEN(SUBSTITUTE(A323,{"0","1","2"},""))))), LARGE(INDEX(ISNUMBER(--MID((LEFT(A323,SUM(LEN(A323)-LEN(SUBSTITUTE(A323,{"0","1","2"},""))))), ROW(INDIRECT("1:"&amp;LEN((LEFT(A323,SUM(LEN(A323)-LEN(SUBSTITUTE(A323,{"0","1","2"},"")))))))), 1)) * ROW(INDIRECT("1:"&amp;LEN((LEFT(A323,SUM(LEN(A323)-LEN(SUBSTITUTE(A323,{"0","1","2"},"")))))))), 0), ROW(INDIRECT("1:"&amp;LEN((LEFT(A323,SUM(LEN(A323)-LEN(SUBSTITUTE(A323,{"0","1","2"},"")))))))))+1, 1) * 10^ROW(INDIRECT("1:"&amp;LEN((LEFT(A323,SUM(LEN(A323)-LEN(SUBSTITUTE(A323,{"0","1","2"},""))))))))/10))*1+1&amp;""&amp;" ,.., "&amp;""&amp;(SUMPRODUCT(MID(0&amp;(--TRIM(RIGHT(SUBSTITUTE(LEFT(A323,_xlfn.AGGREGATE(16,6,FIND({0,1,2,3,4,5,6,7,8,9},A323,ROW(INDIRECT("1:"&amp;LEN(A323)))),1))," ",REPT(" ",LEN(A323))),LEN(A323)))), LARGE(INDEX(ISNUMBER(--MID((--TRIM(RIGHT(SUBSTITUTE(LEFT(A323,_xlfn.AGGREGATE(16,6,FIND({0,1,2,3,4,5,6,7,8,9},A323,ROW(INDIRECT("1:"&amp;LEN(A323)))),1))," ",REPT(" ",LEN(A323))),LEN(A323)))), ROW(INDIRECT("1:"&amp;LEN((--TRIM(RIGHT(SUBSTITUTE(LEFT(A323,_xlfn.AGGREGATE(16,6,FIND({0,1,2,3,4,5,6,7,8,9},A323,ROW(INDIRECT("1:"&amp;LEN(A323)))),1))," ",REPT(" ",LEN(A323))),LEN(A323))))))), 1)) * ROW(INDIRECT("1:"&amp;LEN((--TRIM(RIGHT(SUBSTITUTE(LEFT(A323,_xlfn.AGGREGATE(16,6,FIND({0,1,2,3,4,5,6,7,8,9},A323,ROW(INDIRECT("1:"&amp;LEN(A323)))),1))," ",REPT(" ",LEN(A323))),LEN(A323))))))), 0), ROW(INDIRECT("1:"&amp;LEN((--TRIM(RIGHT(SUBSTITUTE(LEFT(A323,_xlfn.AGGREGATE(16,6,FIND({0,1,2,3,4,5,6,7,8,9},A323,ROW(INDIRECT("1:"&amp;LEN(A323)))),1))," ",REPT(" ",LEN(A323))),LEN(A323))))))))+1, 1) * 10^ROW(INDIRECT("1:"&amp;LEN((--TRIM(RIGHT(SUBSTITUTE(LEFT(A323,_xlfn.AGGREGATE(16,6,FIND({0,1,2,3,4,5,6,7,8,9},A323,ROW(INDIRECT("1:"&amp;LEN(A323)))),1))," ",REPT(" ",LEN(A323))),LEN(A323)))))))/10))*1+1</f>
        <v>205 ,.., 1005</v>
      </c>
      <c r="B324" s="134"/>
      <c r="C324" s="96" t="s">
        <v>385</v>
      </c>
      <c r="D324" s="99">
        <f t="shared" si="39"/>
        <v>339.28127999999998</v>
      </c>
      <c r="E324" s="99">
        <f>(9.65)*(10.764)</f>
        <v>103.87259999999999</v>
      </c>
      <c r="F324" s="96">
        <f t="shared" si="40"/>
        <v>443.15387999999996</v>
      </c>
      <c r="G324" s="96">
        <v>0</v>
      </c>
      <c r="H324" s="96">
        <f t="shared" si="41"/>
        <v>686.88851399999999</v>
      </c>
      <c r="I324" s="35"/>
    </row>
    <row r="325" spans="1:14" s="95" customFormat="1" ht="15.75" customHeight="1" x14ac:dyDescent="0.35">
      <c r="A325" s="132" t="str">
        <f ca="1">(SUMPRODUCT(MID(0&amp;(LEFT(A324,SUM(LEN(A324)-LEN(SUBSTITUTE(A324,{"0","1","2"},""))))), LARGE(INDEX(ISNUMBER(--MID((LEFT(A324,SUM(LEN(A324)-LEN(SUBSTITUTE(A324,{"0","1","2"},""))))), ROW(INDIRECT("1:"&amp;LEN((LEFT(A324,SUM(LEN(A324)-LEN(SUBSTITUTE(A324,{"0","1","2"},"")))))))), 1)) * ROW(INDIRECT("1:"&amp;LEN((LEFT(A324,SUM(LEN(A324)-LEN(SUBSTITUTE(A324,{"0","1","2"},"")))))))), 0), ROW(INDIRECT("1:"&amp;LEN((LEFT(A324,SUM(LEN(A324)-LEN(SUBSTITUTE(A324,{"0","1","2"},"")))))))))+1, 1) * 10^ROW(INDIRECT("1:"&amp;LEN((LEFT(A324,SUM(LEN(A324)-LEN(SUBSTITUTE(A324,{"0","1","2"},""))))))))/10))*1+1&amp;""&amp;" ,.., "&amp;""&amp;(SUMPRODUCT(MID(0&amp;(--TRIM(RIGHT(SUBSTITUTE(LEFT(A324,_xlfn.AGGREGATE(16,6,FIND({0,1,2,3,4,5,6,7,8,9},A324,ROW(INDIRECT("1:"&amp;LEN(A324)))),1))," ",REPT(" ",LEN(A324))),LEN(A324)))), LARGE(INDEX(ISNUMBER(--MID((--TRIM(RIGHT(SUBSTITUTE(LEFT(A324,_xlfn.AGGREGATE(16,6,FIND({0,1,2,3,4,5,6,7,8,9},A324,ROW(INDIRECT("1:"&amp;LEN(A324)))),1))," ",REPT(" ",LEN(A324))),LEN(A324)))), ROW(INDIRECT("1:"&amp;LEN((--TRIM(RIGHT(SUBSTITUTE(LEFT(A324,_xlfn.AGGREGATE(16,6,FIND({0,1,2,3,4,5,6,7,8,9},A324,ROW(INDIRECT("1:"&amp;LEN(A324)))),1))," ",REPT(" ",LEN(A324))),LEN(A324))))))), 1)) * ROW(INDIRECT("1:"&amp;LEN((--TRIM(RIGHT(SUBSTITUTE(LEFT(A324,_xlfn.AGGREGATE(16,6,FIND({0,1,2,3,4,5,6,7,8,9},A324,ROW(INDIRECT("1:"&amp;LEN(A324)))),1))," ",REPT(" ",LEN(A324))),LEN(A324))))))), 0), ROW(INDIRECT("1:"&amp;LEN((--TRIM(RIGHT(SUBSTITUTE(LEFT(A324,_xlfn.AGGREGATE(16,6,FIND({0,1,2,3,4,5,6,7,8,9},A324,ROW(INDIRECT("1:"&amp;LEN(A324)))),1))," ",REPT(" ",LEN(A324))),LEN(A324))))))))+1, 1) * 10^ROW(INDIRECT("1:"&amp;LEN((--TRIM(RIGHT(SUBSTITUTE(LEFT(A324,_xlfn.AGGREGATE(16,6,FIND({0,1,2,3,4,5,6,7,8,9},A324,ROW(INDIRECT("1:"&amp;LEN(A324)))),1))," ",REPT(" ",LEN(A324))),LEN(A324)))))))/10))*1+1</f>
        <v>206 ,.., 1006</v>
      </c>
      <c r="B325" s="134"/>
      <c r="C325" s="96" t="s">
        <v>385</v>
      </c>
      <c r="D325" s="99">
        <f t="shared" si="39"/>
        <v>339.28127999999998</v>
      </c>
      <c r="E325" s="99">
        <f>(9.65)*(10.764)</f>
        <v>103.87259999999999</v>
      </c>
      <c r="F325" s="96">
        <f t="shared" si="40"/>
        <v>443.15387999999996</v>
      </c>
      <c r="G325" s="96">
        <v>0</v>
      </c>
      <c r="H325" s="96">
        <f t="shared" si="41"/>
        <v>686.88851399999999</v>
      </c>
      <c r="I325" s="35"/>
    </row>
    <row r="326" spans="1:14" s="95" customFormat="1" x14ac:dyDescent="0.35">
      <c r="A326" s="137" t="s">
        <v>395</v>
      </c>
      <c r="B326" s="137"/>
      <c r="C326" s="137"/>
      <c r="D326" s="137"/>
      <c r="E326" s="137"/>
      <c r="F326" s="137"/>
      <c r="G326" s="137"/>
      <c r="H326" s="137"/>
      <c r="I326" s="35"/>
      <c r="L326" s="138"/>
      <c r="M326" s="138"/>
    </row>
    <row r="327" spans="1:14" s="95" customFormat="1" x14ac:dyDescent="0.35">
      <c r="A327" s="130">
        <f>LEFT(A326,SUM(LEN(A326)-LEN(SUBSTITUTE(A326,{"0","1","2","3","4","5","6","7","8","9"},""))))*100+1</f>
        <v>701</v>
      </c>
      <c r="B327" s="130"/>
      <c r="C327" s="96" t="s">
        <v>385</v>
      </c>
      <c r="D327" s="99">
        <f t="shared" ref="D327:D332" si="42">(31.52)*(10.764)</f>
        <v>339.28127999999998</v>
      </c>
      <c r="E327" s="99">
        <f>(9.66)*(10.764)</f>
        <v>103.98023999999999</v>
      </c>
      <c r="F327" s="96">
        <f t="shared" ref="F327:F332" si="43">D327+E327</f>
        <v>443.26151999999996</v>
      </c>
      <c r="G327" s="96">
        <v>0</v>
      </c>
      <c r="H327" s="96">
        <f t="shared" ref="H327:H332" si="44">F327*(($H$219)+1)+(IF(G327&lt;101,G327,IF(G327&lt;201,G327/2,IF(G327&lt;=301,G327/3,G327/4))))</f>
        <v>687.05535599999996</v>
      </c>
      <c r="I327" s="35"/>
      <c r="J327" s="95">
        <f>2580000/H328</f>
        <v>3771.6419887254219</v>
      </c>
      <c r="N327" s="35"/>
    </row>
    <row r="328" spans="1:14" s="95" customFormat="1" x14ac:dyDescent="0.35">
      <c r="A328" s="130">
        <f>A327+1</f>
        <v>702</v>
      </c>
      <c r="B328" s="130"/>
      <c r="C328" s="96" t="s">
        <v>385</v>
      </c>
      <c r="D328" s="99">
        <f t="shared" si="42"/>
        <v>339.28127999999998</v>
      </c>
      <c r="E328" s="99">
        <f>(9.48)*(10.764)</f>
        <v>102.04272</v>
      </c>
      <c r="F328" s="96">
        <f t="shared" si="43"/>
        <v>441.32399999999996</v>
      </c>
      <c r="G328" s="96">
        <v>0</v>
      </c>
      <c r="H328" s="96">
        <f t="shared" si="44"/>
        <v>684.05219999999997</v>
      </c>
      <c r="I328" s="35"/>
      <c r="N328" s="35"/>
    </row>
    <row r="329" spans="1:14" s="95" customFormat="1" x14ac:dyDescent="0.35">
      <c r="A329" s="130">
        <f>A328+1</f>
        <v>703</v>
      </c>
      <c r="B329" s="130"/>
      <c r="C329" s="96" t="s">
        <v>385</v>
      </c>
      <c r="D329" s="99">
        <f t="shared" si="42"/>
        <v>339.28127999999998</v>
      </c>
      <c r="E329" s="99">
        <f>(9.48)*(10.764)</f>
        <v>102.04272</v>
      </c>
      <c r="F329" s="96">
        <f t="shared" si="43"/>
        <v>441.32399999999996</v>
      </c>
      <c r="G329" s="96">
        <v>0</v>
      </c>
      <c r="H329" s="96">
        <f t="shared" si="44"/>
        <v>684.05219999999997</v>
      </c>
      <c r="I329" s="35"/>
      <c r="N329" s="35"/>
    </row>
    <row r="330" spans="1:14" s="95" customFormat="1" x14ac:dyDescent="0.35">
      <c r="A330" s="130">
        <f>A329+1</f>
        <v>704</v>
      </c>
      <c r="B330" s="130"/>
      <c r="C330" s="96" t="s">
        <v>385</v>
      </c>
      <c r="D330" s="99">
        <f t="shared" si="42"/>
        <v>339.28127999999998</v>
      </c>
      <c r="E330" s="99">
        <f>(9.66)*(10.764)</f>
        <v>103.98023999999999</v>
      </c>
      <c r="F330" s="96">
        <f t="shared" si="43"/>
        <v>443.26151999999996</v>
      </c>
      <c r="G330" s="96">
        <v>0</v>
      </c>
      <c r="H330" s="96">
        <f t="shared" si="44"/>
        <v>687.05535599999996</v>
      </c>
      <c r="I330" s="35"/>
      <c r="N330" s="35"/>
    </row>
    <row r="331" spans="1:14" s="95" customFormat="1" x14ac:dyDescent="0.35">
      <c r="A331" s="130">
        <f t="shared" ref="A331:A332" si="45">A330+1</f>
        <v>705</v>
      </c>
      <c r="B331" s="130"/>
      <c r="C331" s="96" t="s">
        <v>385</v>
      </c>
      <c r="D331" s="99">
        <f t="shared" si="42"/>
        <v>339.28127999999998</v>
      </c>
      <c r="E331" s="99">
        <f>(9.65)*(10.764)</f>
        <v>103.87259999999999</v>
      </c>
      <c r="F331" s="96">
        <f t="shared" si="43"/>
        <v>443.15387999999996</v>
      </c>
      <c r="G331" s="96">
        <v>0</v>
      </c>
      <c r="H331" s="96">
        <f t="shared" si="44"/>
        <v>686.88851399999999</v>
      </c>
      <c r="I331" s="35"/>
      <c r="N331" s="35"/>
    </row>
    <row r="332" spans="1:14" s="95" customFormat="1" x14ac:dyDescent="0.35">
      <c r="A332" s="130">
        <f t="shared" si="45"/>
        <v>706</v>
      </c>
      <c r="B332" s="130"/>
      <c r="C332" s="96" t="s">
        <v>385</v>
      </c>
      <c r="D332" s="99">
        <f t="shared" si="42"/>
        <v>339.28127999999998</v>
      </c>
      <c r="E332" s="99">
        <f>(9.65)*(10.764)</f>
        <v>103.87259999999999</v>
      </c>
      <c r="F332" s="96">
        <f t="shared" si="43"/>
        <v>443.15387999999996</v>
      </c>
      <c r="G332" s="96">
        <v>0</v>
      </c>
      <c r="H332" s="96">
        <f t="shared" si="44"/>
        <v>686.88851399999999</v>
      </c>
      <c r="I332" s="35"/>
      <c r="N332" s="35"/>
    </row>
    <row r="333" spans="1:14" s="95" customFormat="1" x14ac:dyDescent="0.35">
      <c r="A333" s="137" t="s">
        <v>401</v>
      </c>
      <c r="B333" s="137"/>
      <c r="C333" s="137"/>
      <c r="D333" s="137"/>
      <c r="E333" s="137"/>
      <c r="F333" s="137"/>
      <c r="G333" s="137"/>
      <c r="H333" s="137"/>
      <c r="I333" s="35"/>
      <c r="L333" s="138"/>
      <c r="M333" s="138"/>
    </row>
    <row r="334" spans="1:14" s="95" customFormat="1" x14ac:dyDescent="0.35">
      <c r="A334" s="130">
        <f>LEFT(A333,SUM(LEN(A333)-LEN(SUBSTITUTE(A333,{"0","1","2","3","4","5","6","7","8","9"},""))))*100+1</f>
        <v>1101</v>
      </c>
      <c r="B334" s="130"/>
      <c r="C334" s="113" t="s">
        <v>385</v>
      </c>
      <c r="D334" s="99">
        <f>(31.52)*(10.764)</f>
        <v>339.28127999999998</v>
      </c>
      <c r="E334" s="99">
        <f>(9.66)*(10.764)</f>
        <v>103.98023999999999</v>
      </c>
      <c r="F334" s="113">
        <f>D334+E334</f>
        <v>443.26151999999996</v>
      </c>
      <c r="G334" s="113">
        <v>0</v>
      </c>
      <c r="H334" s="113">
        <f>F334*(($H$219)+1)+(IF(G334&lt;101,G334,IF(G334&lt;201,G334/2,IF(G334&lt;=301,G334/3,G334/4))))</f>
        <v>687.05535599999996</v>
      </c>
      <c r="I334" s="35"/>
      <c r="N334" s="35"/>
    </row>
    <row r="335" spans="1:14" s="95" customFormat="1" x14ac:dyDescent="0.35">
      <c r="A335" s="130">
        <f>A334+1</f>
        <v>1102</v>
      </c>
      <c r="B335" s="130"/>
      <c r="C335" s="113" t="s">
        <v>385</v>
      </c>
      <c r="D335" s="99">
        <f>(31.52)*(10.764)</f>
        <v>339.28127999999998</v>
      </c>
      <c r="E335" s="99">
        <f>(9.48)*(10.764)</f>
        <v>102.04272</v>
      </c>
      <c r="F335" s="113">
        <f>D335+E335</f>
        <v>441.32399999999996</v>
      </c>
      <c r="G335" s="113">
        <v>0</v>
      </c>
      <c r="H335" s="113">
        <f>F335*(($H$219)+1)+(IF(G335&lt;101,G335,IF(G335&lt;201,G335/2,IF(G335&lt;=301,G335/3,G335/4))))</f>
        <v>684.05219999999997</v>
      </c>
      <c r="I335" s="35"/>
      <c r="N335" s="35"/>
    </row>
    <row r="336" spans="1:14" s="95" customFormat="1" x14ac:dyDescent="0.35">
      <c r="A336" s="130">
        <f>A335+1</f>
        <v>1103</v>
      </c>
      <c r="B336" s="130"/>
      <c r="C336" s="113" t="s">
        <v>385</v>
      </c>
      <c r="D336" s="99">
        <f>(31.52)*(10.764)</f>
        <v>339.28127999999998</v>
      </c>
      <c r="E336" s="99">
        <f>(9.48)*(10.764)</f>
        <v>102.04272</v>
      </c>
      <c r="F336" s="113">
        <f>D336+E336</f>
        <v>441.32399999999996</v>
      </c>
      <c r="G336" s="113">
        <v>0</v>
      </c>
      <c r="H336" s="113">
        <f>F336*(($H$219)+1)+(IF(G336&lt;101,G336,IF(G336&lt;201,G336/2,IF(G336&lt;=301,G336/3,G336/4))))</f>
        <v>684.05219999999997</v>
      </c>
      <c r="I336" s="35"/>
      <c r="N336" s="35"/>
    </row>
    <row r="337" spans="1:20" s="95" customFormat="1" x14ac:dyDescent="0.35">
      <c r="A337" s="130">
        <f>A336+1</f>
        <v>1104</v>
      </c>
      <c r="B337" s="130"/>
      <c r="C337" s="113" t="s">
        <v>385</v>
      </c>
      <c r="D337" s="99">
        <f>(31.52)*(10.764)</f>
        <v>339.28127999999998</v>
      </c>
      <c r="E337" s="99">
        <f>(9.66)*(10.764)</f>
        <v>103.98023999999999</v>
      </c>
      <c r="F337" s="113">
        <f>D337+E337</f>
        <v>443.26151999999996</v>
      </c>
      <c r="G337" s="113">
        <v>0</v>
      </c>
      <c r="H337" s="113">
        <f>F337*(($H$219)+1)+(IF(G337&lt;101,G337,IF(G337&lt;201,G337/2,IF(G337&lt;=301,G337/3,G337/4))))</f>
        <v>687.05535599999996</v>
      </c>
      <c r="I337" s="35"/>
      <c r="N337" s="35"/>
    </row>
    <row r="338" spans="1:20" s="95" customFormat="1" x14ac:dyDescent="0.35">
      <c r="A338" s="131">
        <f t="shared" ref="A338:A339" si="46">A337+1</f>
        <v>1105</v>
      </c>
      <c r="B338" s="131"/>
      <c r="C338" s="130" t="s">
        <v>400</v>
      </c>
      <c r="D338" s="130"/>
      <c r="E338" s="130"/>
      <c r="F338" s="130"/>
      <c r="G338" s="130"/>
      <c r="H338" s="130"/>
      <c r="I338" s="35"/>
      <c r="N338" s="35"/>
    </row>
    <row r="339" spans="1:20" s="95" customFormat="1" x14ac:dyDescent="0.35">
      <c r="A339" s="130">
        <f t="shared" si="46"/>
        <v>1106</v>
      </c>
      <c r="B339" s="130"/>
      <c r="C339" s="113" t="s">
        <v>385</v>
      </c>
      <c r="D339" s="99">
        <f>(31.52)*(10.764)</f>
        <v>339.28127999999998</v>
      </c>
      <c r="E339" s="99">
        <f>(9.74)*(10.764)</f>
        <v>104.84135999999999</v>
      </c>
      <c r="F339" s="113">
        <f>D339+E339</f>
        <v>444.12263999999999</v>
      </c>
      <c r="G339" s="113">
        <v>0</v>
      </c>
      <c r="H339" s="113">
        <f>F339*(($H$219)+1)+(IF(G339&lt;101,G339,IF(G339&lt;201,G339/2,IF(G339&lt;=301,G339/3,G339/4))))</f>
        <v>688.39009199999998</v>
      </c>
      <c r="I339" s="35"/>
      <c r="N339" s="35"/>
    </row>
    <row r="340" spans="1:20" s="95" customFormat="1" x14ac:dyDescent="0.35">
      <c r="A340" s="137" t="s">
        <v>399</v>
      </c>
      <c r="B340" s="137"/>
      <c r="C340" s="137"/>
      <c r="D340" s="137"/>
      <c r="E340" s="137"/>
      <c r="F340" s="137"/>
      <c r="G340" s="137"/>
      <c r="H340" s="137"/>
      <c r="I340" s="35"/>
      <c r="L340" s="138"/>
      <c r="M340" s="138"/>
    </row>
    <row r="341" spans="1:20" s="95" customFormat="1" x14ac:dyDescent="0.35">
      <c r="A341" s="130">
        <f>LEFT(A340,SUM(LEN(A340)-LEN(SUBSTITUTE(A340,{"0","1","2","3","4","5","6","7","8","9"},""))))*100+1</f>
        <v>1201</v>
      </c>
      <c r="B341" s="130"/>
      <c r="C341" s="96" t="s">
        <v>385</v>
      </c>
      <c r="D341" s="99">
        <f>(31.52)*(10.764)</f>
        <v>339.28127999999998</v>
      </c>
      <c r="E341" s="99">
        <f>(9.66)*(10.764)</f>
        <v>103.98023999999999</v>
      </c>
      <c r="F341" s="96">
        <f>D341+E341</f>
        <v>443.26151999999996</v>
      </c>
      <c r="G341" s="96">
        <v>0</v>
      </c>
      <c r="H341" s="96">
        <f>F341*(($H$219)+1)+(IF(G341&lt;101,G341,IF(G341&lt;201,G341/2,IF(G341&lt;=301,G341/3,G341/4))))</f>
        <v>687.05535599999996</v>
      </c>
      <c r="I341" s="35"/>
      <c r="N341" s="35"/>
    </row>
    <row r="342" spans="1:20" s="95" customFormat="1" x14ac:dyDescent="0.35">
      <c r="A342" s="130">
        <f>A341+1</f>
        <v>1202</v>
      </c>
      <c r="B342" s="130"/>
      <c r="C342" s="96" t="s">
        <v>385</v>
      </c>
      <c r="D342" s="99">
        <f>(31.52)*(10.764)</f>
        <v>339.28127999999998</v>
      </c>
      <c r="E342" s="99">
        <f>(9.48)*(10.764)</f>
        <v>102.04272</v>
      </c>
      <c r="F342" s="96">
        <f>D342+E342</f>
        <v>441.32399999999996</v>
      </c>
      <c r="G342" s="96">
        <v>0</v>
      </c>
      <c r="H342" s="96">
        <f>F342*(($H$219)+1)+(IF(G342&lt;101,G342,IF(G342&lt;201,G342/2,IF(G342&lt;=301,G342/3,G342/4))))</f>
        <v>684.05219999999997</v>
      </c>
      <c r="I342" s="35"/>
      <c r="N342" s="35"/>
    </row>
    <row r="343" spans="1:20" s="95" customFormat="1" x14ac:dyDescent="0.35">
      <c r="A343" s="130">
        <f>A342+1</f>
        <v>1203</v>
      </c>
      <c r="B343" s="130"/>
      <c r="C343" s="96" t="s">
        <v>385</v>
      </c>
      <c r="D343" s="99">
        <f>(31.52)*(10.764)</f>
        <v>339.28127999999998</v>
      </c>
      <c r="E343" s="99">
        <f>(9.48)*(10.764)</f>
        <v>102.04272</v>
      </c>
      <c r="F343" s="96">
        <f>D343+E343</f>
        <v>441.32399999999996</v>
      </c>
      <c r="G343" s="96">
        <v>0</v>
      </c>
      <c r="H343" s="96">
        <f>F343*(($H$219)+1)+(IF(G343&lt;101,G343,IF(G343&lt;201,G343/2,IF(G343&lt;=301,G343/3,G343/4))))</f>
        <v>684.05219999999997</v>
      </c>
      <c r="I343" s="35"/>
      <c r="N343" s="35"/>
    </row>
    <row r="344" spans="1:20" s="95" customFormat="1" x14ac:dyDescent="0.35">
      <c r="A344" s="130">
        <f>A343+1</f>
        <v>1204</v>
      </c>
      <c r="B344" s="130"/>
      <c r="C344" s="96" t="s">
        <v>385</v>
      </c>
      <c r="D344" s="99">
        <f>(31.52)*(10.764)</f>
        <v>339.28127999999998</v>
      </c>
      <c r="E344" s="99">
        <f>(9.66)*(10.764)</f>
        <v>103.98023999999999</v>
      </c>
      <c r="F344" s="96">
        <f>D344+E344</f>
        <v>443.26151999999996</v>
      </c>
      <c r="G344" s="96">
        <v>0</v>
      </c>
      <c r="H344" s="96">
        <f>F344*(($H$219)+1)+(IF(G344&lt;101,G344,IF(G344&lt;201,G344/2,IF(G344&lt;=301,G344/3,G344/4))))</f>
        <v>687.05535599999996</v>
      </c>
      <c r="I344" s="35"/>
      <c r="N344" s="35"/>
    </row>
    <row r="345" spans="1:20" s="95" customFormat="1" x14ac:dyDescent="0.35">
      <c r="A345" s="131">
        <f t="shared" ref="A345:A346" si="47">A344+1</f>
        <v>1205</v>
      </c>
      <c r="B345" s="131"/>
      <c r="C345" s="132" t="s">
        <v>400</v>
      </c>
      <c r="D345" s="133"/>
      <c r="E345" s="133"/>
      <c r="F345" s="133"/>
      <c r="G345" s="133"/>
      <c r="H345" s="134"/>
      <c r="I345" s="35"/>
      <c r="N345" s="35"/>
    </row>
    <row r="346" spans="1:20" s="95" customFormat="1" x14ac:dyDescent="0.35">
      <c r="A346" s="130">
        <f t="shared" si="47"/>
        <v>1206</v>
      </c>
      <c r="B346" s="130"/>
      <c r="C346" s="96" t="s">
        <v>385</v>
      </c>
      <c r="D346" s="99">
        <f>(31.52)*(10.764)</f>
        <v>339.28127999999998</v>
      </c>
      <c r="E346" s="99">
        <f>(9.74)*(10.764)</f>
        <v>104.84135999999999</v>
      </c>
      <c r="F346" s="96">
        <f>D346+E346</f>
        <v>444.12263999999999</v>
      </c>
      <c r="G346" s="96">
        <v>0</v>
      </c>
      <c r="H346" s="96">
        <f>F346*(($H$219)+1)+(IF(G346&lt;101,G346,IF(G346&lt;201,G346/2,IF(G346&lt;=301,G346/3,G346/4))))</f>
        <v>688.39009199999998</v>
      </c>
      <c r="I346" s="35"/>
      <c r="N346" s="35"/>
    </row>
    <row r="347" spans="1:20" s="36" customFormat="1" ht="15.75" hidden="1" customHeight="1" x14ac:dyDescent="0.35">
      <c r="A347" s="139" t="s">
        <v>117</v>
      </c>
      <c r="B347" s="140"/>
      <c r="C347" s="140"/>
      <c r="D347" s="140"/>
      <c r="E347" s="140"/>
      <c r="F347" s="140"/>
      <c r="G347" s="140"/>
      <c r="H347" s="141"/>
      <c r="J347" s="35"/>
    </row>
    <row r="348" spans="1:20" s="36" customFormat="1" ht="15.75" hidden="1" customHeight="1" x14ac:dyDescent="0.35">
      <c r="A348" s="132">
        <v>1</v>
      </c>
      <c r="B348" s="134"/>
      <c r="C348" s="41"/>
      <c r="D348" s="41"/>
      <c r="E348" s="41">
        <v>0</v>
      </c>
      <c r="F348" s="41">
        <f>D348+E348</f>
        <v>0</v>
      </c>
      <c r="G348" s="57">
        <v>0</v>
      </c>
      <c r="H348" s="57">
        <f>F348*(($H$219)+1)+(IF(G348&lt;101,G348,IF(G348&lt;201,G348/2,IF(G348&lt;=301,G348/3,G348/4))))</f>
        <v>0</v>
      </c>
      <c r="I348" s="35"/>
      <c r="L348" s="138"/>
      <c r="M348" s="138"/>
      <c r="N348" s="35"/>
    </row>
    <row r="349" spans="1:20" s="36" customFormat="1" ht="15.75" hidden="1" customHeight="1" x14ac:dyDescent="0.35">
      <c r="A349" s="132">
        <f>A348+1</f>
        <v>2</v>
      </c>
      <c r="B349" s="134"/>
      <c r="C349" s="41"/>
      <c r="D349" s="41"/>
      <c r="E349" s="41">
        <v>0</v>
      </c>
      <c r="F349" s="57">
        <f>D349+E349</f>
        <v>0</v>
      </c>
      <c r="G349" s="57">
        <v>0</v>
      </c>
      <c r="H349" s="57">
        <f>F349*(($H$219)+1)+(IF(G349&lt;101,G349,IF(G349&lt;201,G349/2,IF(G349&lt;=301,G349/3,G349/4))))</f>
        <v>0</v>
      </c>
      <c r="I349" s="35"/>
      <c r="L349" s="138"/>
      <c r="M349" s="138"/>
      <c r="N349" s="35"/>
    </row>
    <row r="350" spans="1:20" s="36" customFormat="1" ht="15.75" hidden="1" customHeight="1" x14ac:dyDescent="0.35">
      <c r="A350" s="132">
        <f>A349+1</f>
        <v>3</v>
      </c>
      <c r="B350" s="134"/>
      <c r="C350" s="41"/>
      <c r="D350" s="41"/>
      <c r="E350" s="41">
        <v>0</v>
      </c>
      <c r="F350" s="57">
        <f>D350+E350</f>
        <v>0</v>
      </c>
      <c r="G350" s="57">
        <v>0</v>
      </c>
      <c r="H350" s="57">
        <f>F350*(($H$219)+1)+(IF(G350&lt;101,G350,IF(G350&lt;201,G350/2,IF(G350&lt;=301,G350/3,G350/4))))</f>
        <v>0</v>
      </c>
      <c r="I350" s="35"/>
      <c r="L350" s="138"/>
      <c r="M350" s="138"/>
      <c r="N350" s="35"/>
    </row>
    <row r="351" spans="1:20" s="36" customFormat="1" ht="15.75" hidden="1" customHeight="1" x14ac:dyDescent="0.35">
      <c r="A351" s="132">
        <f>A350+1</f>
        <v>4</v>
      </c>
      <c r="B351" s="134"/>
      <c r="C351" s="41"/>
      <c r="D351" s="41"/>
      <c r="E351" s="41">
        <v>0</v>
      </c>
      <c r="F351" s="57">
        <f>D351+E351</f>
        <v>0</v>
      </c>
      <c r="G351" s="57">
        <v>0</v>
      </c>
      <c r="H351" s="57">
        <f>F351*(($H$219)+1)+(IF(G351&lt;101,G351,IF(G351&lt;201,G351/2,IF(G351&lt;=301,G351/3,G351/4))))</f>
        <v>0</v>
      </c>
      <c r="I351" s="35"/>
      <c r="L351" s="138"/>
      <c r="M351" s="138"/>
      <c r="N351" s="35"/>
      <c r="T351" s="20"/>
    </row>
    <row r="352" spans="1:20" s="36" customFormat="1" hidden="1" x14ac:dyDescent="0.35">
      <c r="A352" s="137" t="s">
        <v>118</v>
      </c>
      <c r="B352" s="137"/>
      <c r="C352" s="137"/>
      <c r="D352" s="137"/>
      <c r="E352" s="137"/>
      <c r="F352" s="137"/>
      <c r="G352" s="137"/>
      <c r="H352" s="137"/>
      <c r="I352" s="35"/>
      <c r="L352" s="138"/>
      <c r="M352" s="138"/>
    </row>
    <row r="353" spans="1:14" s="36" customFormat="1" hidden="1" x14ac:dyDescent="0.35">
      <c r="A353" s="130">
        <f>LEFT(A352,SUM(LEN(A352)-LEN(SUBSTITUTE(A352,{"0","1","2","3","4","5","6","7","8","9"},""))))*100+1</f>
        <v>201</v>
      </c>
      <c r="B353" s="130"/>
      <c r="C353" s="41"/>
      <c r="D353" s="41"/>
      <c r="E353" s="57">
        <v>0</v>
      </c>
      <c r="F353" s="57">
        <f>D353+E353</f>
        <v>0</v>
      </c>
      <c r="G353" s="57">
        <v>0</v>
      </c>
      <c r="H353" s="57">
        <f>F353*(($H$219)+1)+(IF(G353&lt;101,G353,IF(G353&lt;201,G353/2,IF(G353&lt;=301,G353/3,G353/4))))</f>
        <v>0</v>
      </c>
      <c r="I353" s="35"/>
      <c r="N353" s="35"/>
    </row>
    <row r="354" spans="1:14" s="36" customFormat="1" hidden="1" x14ac:dyDescent="0.35">
      <c r="A354" s="130">
        <f>A353+1</f>
        <v>202</v>
      </c>
      <c r="B354" s="130"/>
      <c r="C354" s="41"/>
      <c r="D354" s="41"/>
      <c r="E354" s="57">
        <v>0</v>
      </c>
      <c r="F354" s="57">
        <f>D354+E354</f>
        <v>0</v>
      </c>
      <c r="G354" s="57">
        <v>0</v>
      </c>
      <c r="H354" s="57">
        <f>F354*(($H$219)+1)+(IF(G354&lt;101,G354,IF(G354&lt;201,G354/2,IF(G354&lt;=301,G354/3,G354/4))))</f>
        <v>0</v>
      </c>
      <c r="I354" s="35"/>
      <c r="N354" s="35"/>
    </row>
    <row r="355" spans="1:14" s="36" customFormat="1" hidden="1" x14ac:dyDescent="0.35">
      <c r="A355" s="130">
        <f>A354+1</f>
        <v>203</v>
      </c>
      <c r="B355" s="130"/>
      <c r="C355" s="41"/>
      <c r="D355" s="41"/>
      <c r="E355" s="57">
        <v>0</v>
      </c>
      <c r="F355" s="57">
        <f>D355+E355</f>
        <v>0</v>
      </c>
      <c r="G355" s="57">
        <v>0</v>
      </c>
      <c r="H355" s="57">
        <f>F355*(($H$219)+1)+(IF(G355&lt;101,G355,IF(G355&lt;201,G355/2,IF(G355&lt;=301,G355/3,G355/4))))</f>
        <v>0</v>
      </c>
      <c r="I355" s="35"/>
      <c r="N355" s="35"/>
    </row>
    <row r="356" spans="1:14" s="36" customFormat="1" hidden="1" x14ac:dyDescent="0.35">
      <c r="A356" s="130">
        <f>A355+1</f>
        <v>204</v>
      </c>
      <c r="B356" s="130"/>
      <c r="C356" s="41"/>
      <c r="D356" s="41"/>
      <c r="E356" s="57">
        <v>0</v>
      </c>
      <c r="F356" s="57">
        <f>D356+E356</f>
        <v>0</v>
      </c>
      <c r="G356" s="57">
        <v>0</v>
      </c>
      <c r="H356" s="57">
        <f>F356*(($H$219)+1)+(IF(G356&lt;101,G356,IF(G356&lt;201,G356/2,IF(G356&lt;=301,G356/3,G356/4))))</f>
        <v>0</v>
      </c>
      <c r="I356" s="35"/>
      <c r="N356" s="35"/>
    </row>
    <row r="357" spans="1:14" s="36" customFormat="1" hidden="1" x14ac:dyDescent="0.35">
      <c r="A357" s="130">
        <f>A356+1</f>
        <v>205</v>
      </c>
      <c r="B357" s="130"/>
      <c r="C357" s="41"/>
      <c r="D357" s="41"/>
      <c r="E357" s="57">
        <v>0</v>
      </c>
      <c r="F357" s="57">
        <f>D357+E357</f>
        <v>0</v>
      </c>
      <c r="G357" s="57">
        <v>0</v>
      </c>
      <c r="H357" s="57">
        <f>F357*(($H$219)+1)+(IF(G357&lt;101,G357,IF(G357&lt;201,G357/2,IF(G357&lt;=301,G357/3,G357/4))))</f>
        <v>0</v>
      </c>
      <c r="I357" s="35"/>
      <c r="N357" s="35"/>
    </row>
    <row r="358" spans="1:14" s="36" customFormat="1" ht="15.75" hidden="1" customHeight="1" x14ac:dyDescent="0.35">
      <c r="A358" s="139" t="s">
        <v>150</v>
      </c>
      <c r="B358" s="140"/>
      <c r="C358" s="140"/>
      <c r="D358" s="140"/>
      <c r="E358" s="140"/>
      <c r="F358" s="140"/>
      <c r="G358" s="140"/>
      <c r="H358" s="141"/>
      <c r="I358" s="35"/>
    </row>
    <row r="359" spans="1:14" s="36" customFormat="1" ht="15.75" hidden="1" customHeight="1" x14ac:dyDescent="0.35">
      <c r="A359" s="132" t="str">
        <f ca="1">(SUMPRODUCT(MID(0&amp;(LEFT(A358,SUM(LEN(A358)-LEN(SUBSTITUTE(A358,{"0","1","2"},""))))), LARGE(INDEX(ISNUMBER(--MID((LEFT(A358,SUM(LEN(A358)-LEN(SUBSTITUTE(A358,{"0","1","2"},""))))), ROW(INDIRECT("1:"&amp;LEN((LEFT(A358,SUM(LEN(A358)-LEN(SUBSTITUTE(A358,{"0","1","2"},"")))))))), 1)) * ROW(INDIRECT("1:"&amp;LEN((LEFT(A358,SUM(LEN(A358)-LEN(SUBSTITUTE(A358,{"0","1","2"},"")))))))), 0), ROW(INDIRECT("1:"&amp;LEN((LEFT(A358,SUM(LEN(A358)-LEN(SUBSTITUTE(A358,{"0","1","2"},"")))))))))+1, 1) * 10^ROW(INDIRECT("1:"&amp;LEN((LEFT(A358,SUM(LEN(A358)-LEN(SUBSTITUTE(A358,{"0","1","2"},""))))))))/10))*100+1&amp;""&amp;" ,.., "&amp;""&amp;(SUMPRODUCT(MID(0&amp;(--TRIM(RIGHT(SUBSTITUTE(LEFT(A358,_xlfn.AGGREGATE(16,6,FIND({0,1,2,3,4,5,6,7,8,9},A358,ROW(INDIRECT("1:"&amp;LEN(A358)))),1))," ",REPT(" ",LEN(A358))),LEN(A358)))), LARGE(INDEX(ISNUMBER(--MID((--TRIM(RIGHT(SUBSTITUTE(LEFT(A358,_xlfn.AGGREGATE(16,6,FIND({0,1,2,3,4,5,6,7,8,9},A358,ROW(INDIRECT("1:"&amp;LEN(A358)))),1))," ",REPT(" ",LEN(A358))),LEN(A358)))), ROW(INDIRECT("1:"&amp;LEN((--TRIM(RIGHT(SUBSTITUTE(LEFT(A358,_xlfn.AGGREGATE(16,6,FIND({0,1,2,3,4,5,6,7,8,9},A358,ROW(INDIRECT("1:"&amp;LEN(A358)))),1))," ",REPT(" ",LEN(A358))),LEN(A358))))))), 1)) * ROW(INDIRECT("1:"&amp;LEN((--TRIM(RIGHT(SUBSTITUTE(LEFT(A358,_xlfn.AGGREGATE(16,6,FIND({0,1,2,3,4,5,6,7,8,9},A358,ROW(INDIRECT("1:"&amp;LEN(A358)))),1))," ",REPT(" ",LEN(A358))),LEN(A358))))))), 0), ROW(INDIRECT("1:"&amp;LEN((--TRIM(RIGHT(SUBSTITUTE(LEFT(A358,_xlfn.AGGREGATE(16,6,FIND({0,1,2,3,4,5,6,7,8,9},A358,ROW(INDIRECT("1:"&amp;LEN(A358)))),1))," ",REPT(" ",LEN(A358))),LEN(A358))))))))+1, 1) * 10^ROW(INDIRECT("1:"&amp;LEN((--TRIM(RIGHT(SUBSTITUTE(LEFT(A358,_xlfn.AGGREGATE(16,6,FIND({0,1,2,3,4,5,6,7,8,9},A358,ROW(INDIRECT("1:"&amp;LEN(A358)))),1))," ",REPT(" ",LEN(A358))),LEN(A358)))))))/10))*100+1</f>
        <v>301 ,.., 1501</v>
      </c>
      <c r="B359" s="134"/>
      <c r="C359" s="41"/>
      <c r="D359" s="41"/>
      <c r="E359" s="57">
        <v>0</v>
      </c>
      <c r="F359" s="57">
        <f>D359+E359</f>
        <v>0</v>
      </c>
      <c r="G359" s="57">
        <v>0</v>
      </c>
      <c r="H359" s="57">
        <f>F359*(($H$219)+1)+(IF(G359&lt;101,G359,IF(G359&lt;201,G359/2,IF(G359&lt;=301,G359/3,G359/4))))</f>
        <v>0</v>
      </c>
      <c r="I359" s="35"/>
    </row>
    <row r="360" spans="1:14" s="36" customFormat="1" ht="15.75" hidden="1" customHeight="1" x14ac:dyDescent="0.35">
      <c r="A360" s="132" t="str">
        <f ca="1">(SUMPRODUCT(MID(0&amp;(LEFT(A359,SUM(LEN(A359)-LEN(SUBSTITUTE(A359,{"0","1","2"},""))))), LARGE(INDEX(ISNUMBER(--MID((LEFT(A359,SUM(LEN(A359)-LEN(SUBSTITUTE(A359,{"0","1","2"},""))))), ROW(INDIRECT("1:"&amp;LEN((LEFT(A359,SUM(LEN(A359)-LEN(SUBSTITUTE(A359,{"0","1","2"},"")))))))), 1)) * ROW(INDIRECT("1:"&amp;LEN((LEFT(A359,SUM(LEN(A359)-LEN(SUBSTITUTE(A359,{"0","1","2"},"")))))))), 0), ROW(INDIRECT("1:"&amp;LEN((LEFT(A359,SUM(LEN(A359)-LEN(SUBSTITUTE(A359,{"0","1","2"},"")))))))))+1, 1) * 10^ROW(INDIRECT("1:"&amp;LEN((LEFT(A359,SUM(LEN(A359)-LEN(SUBSTITUTE(A359,{"0","1","2"},""))))))))/10))*1+1&amp;""&amp;" ,.., "&amp;""&amp;(SUMPRODUCT(MID(0&amp;(--TRIM(RIGHT(SUBSTITUTE(LEFT(A359,_xlfn.AGGREGATE(16,6,FIND({0,1,2,3,4,5,6,7,8,9},A359,ROW(INDIRECT("1:"&amp;LEN(A359)))),1))," ",REPT(" ",LEN(A359))),LEN(A359)))), LARGE(INDEX(ISNUMBER(--MID((--TRIM(RIGHT(SUBSTITUTE(LEFT(A359,_xlfn.AGGREGATE(16,6,FIND({0,1,2,3,4,5,6,7,8,9},A359,ROW(INDIRECT("1:"&amp;LEN(A359)))),1))," ",REPT(" ",LEN(A359))),LEN(A359)))), ROW(INDIRECT("1:"&amp;LEN((--TRIM(RIGHT(SUBSTITUTE(LEFT(A359,_xlfn.AGGREGATE(16,6,FIND({0,1,2,3,4,5,6,7,8,9},A359,ROW(INDIRECT("1:"&amp;LEN(A359)))),1))," ",REPT(" ",LEN(A359))),LEN(A359))))))), 1)) * ROW(INDIRECT("1:"&amp;LEN((--TRIM(RIGHT(SUBSTITUTE(LEFT(A359,_xlfn.AGGREGATE(16,6,FIND({0,1,2,3,4,5,6,7,8,9},A359,ROW(INDIRECT("1:"&amp;LEN(A359)))),1))," ",REPT(" ",LEN(A359))),LEN(A359))))))), 0), ROW(INDIRECT("1:"&amp;LEN((--TRIM(RIGHT(SUBSTITUTE(LEFT(A359,_xlfn.AGGREGATE(16,6,FIND({0,1,2,3,4,5,6,7,8,9},A359,ROW(INDIRECT("1:"&amp;LEN(A359)))),1))," ",REPT(" ",LEN(A359))),LEN(A359))))))))+1, 1) * 10^ROW(INDIRECT("1:"&amp;LEN((--TRIM(RIGHT(SUBSTITUTE(LEFT(A359,_xlfn.AGGREGATE(16,6,FIND({0,1,2,3,4,5,6,7,8,9},A359,ROW(INDIRECT("1:"&amp;LEN(A359)))),1))," ",REPT(" ",LEN(A359))),LEN(A359)))))))/10))*1+1</f>
        <v>302 ,.., 1502</v>
      </c>
      <c r="B360" s="134"/>
      <c r="C360" s="41"/>
      <c r="D360" s="41"/>
      <c r="E360" s="57">
        <v>0</v>
      </c>
      <c r="F360" s="57">
        <f>D360+E360</f>
        <v>0</v>
      </c>
      <c r="G360" s="57">
        <v>0</v>
      </c>
      <c r="H360" s="57">
        <f>F360*(($H$219)+1)+(IF(G360&lt;101,G360,IF(G360&lt;201,G360/2,IF(G360&lt;=301,G360/3,G360/4))))</f>
        <v>0</v>
      </c>
      <c r="I360" s="35"/>
    </row>
    <row r="361" spans="1:14" s="36" customFormat="1" ht="15.75" hidden="1" customHeight="1" x14ac:dyDescent="0.35">
      <c r="A361" s="132" t="str">
        <f ca="1">(SUMPRODUCT(MID(0&amp;(LEFT(A360,SUM(LEN(A360)-LEN(SUBSTITUTE(A360,{"0","1","2"},""))))), LARGE(INDEX(ISNUMBER(--MID((LEFT(A360,SUM(LEN(A360)-LEN(SUBSTITUTE(A360,{"0","1","2"},""))))), ROW(INDIRECT("1:"&amp;LEN((LEFT(A360,SUM(LEN(A360)-LEN(SUBSTITUTE(A360,{"0","1","2"},"")))))))), 1)) * ROW(INDIRECT("1:"&amp;LEN((LEFT(A360,SUM(LEN(A360)-LEN(SUBSTITUTE(A360,{"0","1","2"},"")))))))), 0), ROW(INDIRECT("1:"&amp;LEN((LEFT(A360,SUM(LEN(A360)-LEN(SUBSTITUTE(A360,{"0","1","2"},"")))))))))+1, 1) * 10^ROW(INDIRECT("1:"&amp;LEN((LEFT(A360,SUM(LEN(A360)-LEN(SUBSTITUTE(A360,{"0","1","2"},""))))))))/10))*1+1&amp;""&amp;" ,.., "&amp;""&amp;(SUMPRODUCT(MID(0&amp;(--TRIM(RIGHT(SUBSTITUTE(LEFT(A360,_xlfn.AGGREGATE(16,6,FIND({0,1,2,3,4,5,6,7,8,9},A360,ROW(INDIRECT("1:"&amp;LEN(A360)))),1))," ",REPT(" ",LEN(A360))),LEN(A360)))), LARGE(INDEX(ISNUMBER(--MID((--TRIM(RIGHT(SUBSTITUTE(LEFT(A360,_xlfn.AGGREGATE(16,6,FIND({0,1,2,3,4,5,6,7,8,9},A360,ROW(INDIRECT("1:"&amp;LEN(A360)))),1))," ",REPT(" ",LEN(A360))),LEN(A360)))), ROW(INDIRECT("1:"&amp;LEN((--TRIM(RIGHT(SUBSTITUTE(LEFT(A360,_xlfn.AGGREGATE(16,6,FIND({0,1,2,3,4,5,6,7,8,9},A360,ROW(INDIRECT("1:"&amp;LEN(A360)))),1))," ",REPT(" ",LEN(A360))),LEN(A360))))))), 1)) * ROW(INDIRECT("1:"&amp;LEN((--TRIM(RIGHT(SUBSTITUTE(LEFT(A360,_xlfn.AGGREGATE(16,6,FIND({0,1,2,3,4,5,6,7,8,9},A360,ROW(INDIRECT("1:"&amp;LEN(A360)))),1))," ",REPT(" ",LEN(A360))),LEN(A360))))))), 0), ROW(INDIRECT("1:"&amp;LEN((--TRIM(RIGHT(SUBSTITUTE(LEFT(A360,_xlfn.AGGREGATE(16,6,FIND({0,1,2,3,4,5,6,7,8,9},A360,ROW(INDIRECT("1:"&amp;LEN(A360)))),1))," ",REPT(" ",LEN(A360))),LEN(A360))))))))+1, 1) * 10^ROW(INDIRECT("1:"&amp;LEN((--TRIM(RIGHT(SUBSTITUTE(LEFT(A360,_xlfn.AGGREGATE(16,6,FIND({0,1,2,3,4,5,6,7,8,9},A360,ROW(INDIRECT("1:"&amp;LEN(A360)))),1))," ",REPT(" ",LEN(A360))),LEN(A360)))))))/10))*1+1</f>
        <v>303 ,.., 1503</v>
      </c>
      <c r="B361" s="134"/>
      <c r="C361" s="41"/>
      <c r="D361" s="41"/>
      <c r="E361" s="57">
        <v>0</v>
      </c>
      <c r="F361" s="57">
        <f>D361+E361</f>
        <v>0</v>
      </c>
      <c r="G361" s="57">
        <v>0</v>
      </c>
      <c r="H361" s="57">
        <f>F361*(($H$219)+1)+(IF(G361&lt;101,G361,IF(G361&lt;201,G361/2,IF(G361&lt;=301,G361/3,G361/4))))</f>
        <v>0</v>
      </c>
      <c r="I361" s="35"/>
    </row>
    <row r="362" spans="1:14" s="36" customFormat="1" ht="15.75" hidden="1" customHeight="1" x14ac:dyDescent="0.35">
      <c r="A362" s="132" t="str">
        <f ca="1">(SUMPRODUCT(MID(0&amp;(LEFT(A361,SUM(LEN(A361)-LEN(SUBSTITUTE(A361,{"0","1","2"},""))))), LARGE(INDEX(ISNUMBER(--MID((LEFT(A361,SUM(LEN(A361)-LEN(SUBSTITUTE(A361,{"0","1","2"},""))))), ROW(INDIRECT("1:"&amp;LEN((LEFT(A361,SUM(LEN(A361)-LEN(SUBSTITUTE(A361,{"0","1","2"},"")))))))), 1)) * ROW(INDIRECT("1:"&amp;LEN((LEFT(A361,SUM(LEN(A361)-LEN(SUBSTITUTE(A361,{"0","1","2"},"")))))))), 0), ROW(INDIRECT("1:"&amp;LEN((LEFT(A361,SUM(LEN(A361)-LEN(SUBSTITUTE(A361,{"0","1","2"},"")))))))))+1, 1) * 10^ROW(INDIRECT("1:"&amp;LEN((LEFT(A361,SUM(LEN(A361)-LEN(SUBSTITUTE(A361,{"0","1","2"},""))))))))/10))*1+1&amp;""&amp;" ,.., "&amp;""&amp;(SUMPRODUCT(MID(0&amp;(--TRIM(RIGHT(SUBSTITUTE(LEFT(A361,_xlfn.AGGREGATE(16,6,FIND({0,1,2,3,4,5,6,7,8,9},A361,ROW(INDIRECT("1:"&amp;LEN(A361)))),1))," ",REPT(" ",LEN(A361))),LEN(A361)))), LARGE(INDEX(ISNUMBER(--MID((--TRIM(RIGHT(SUBSTITUTE(LEFT(A361,_xlfn.AGGREGATE(16,6,FIND({0,1,2,3,4,5,6,7,8,9},A361,ROW(INDIRECT("1:"&amp;LEN(A361)))),1))," ",REPT(" ",LEN(A361))),LEN(A361)))), ROW(INDIRECT("1:"&amp;LEN((--TRIM(RIGHT(SUBSTITUTE(LEFT(A361,_xlfn.AGGREGATE(16,6,FIND({0,1,2,3,4,5,6,7,8,9},A361,ROW(INDIRECT("1:"&amp;LEN(A361)))),1))," ",REPT(" ",LEN(A361))),LEN(A361))))))), 1)) * ROW(INDIRECT("1:"&amp;LEN((--TRIM(RIGHT(SUBSTITUTE(LEFT(A361,_xlfn.AGGREGATE(16,6,FIND({0,1,2,3,4,5,6,7,8,9},A361,ROW(INDIRECT("1:"&amp;LEN(A361)))),1))," ",REPT(" ",LEN(A361))),LEN(A361))))))), 0), ROW(INDIRECT("1:"&amp;LEN((--TRIM(RIGHT(SUBSTITUTE(LEFT(A361,_xlfn.AGGREGATE(16,6,FIND({0,1,2,3,4,5,6,7,8,9},A361,ROW(INDIRECT("1:"&amp;LEN(A361)))),1))," ",REPT(" ",LEN(A361))),LEN(A361))))))))+1, 1) * 10^ROW(INDIRECT("1:"&amp;LEN((--TRIM(RIGHT(SUBSTITUTE(LEFT(A361,_xlfn.AGGREGATE(16,6,FIND({0,1,2,3,4,5,6,7,8,9},A361,ROW(INDIRECT("1:"&amp;LEN(A361)))),1))," ",REPT(" ",LEN(A361))),LEN(A361)))))))/10))*1+1</f>
        <v>304 ,.., 1504</v>
      </c>
      <c r="B362" s="134"/>
      <c r="C362" s="41"/>
      <c r="D362" s="41"/>
      <c r="E362" s="57">
        <v>0</v>
      </c>
      <c r="F362" s="57">
        <f>D362+E362</f>
        <v>0</v>
      </c>
      <c r="G362" s="57">
        <v>0</v>
      </c>
      <c r="H362" s="57">
        <f>F362*(($H$219)+1)+(IF(G362&lt;101,G362,IF(G362&lt;201,G362/2,IF(G362&lt;=301,G362/3,G362/4))))</f>
        <v>0</v>
      </c>
      <c r="I362" s="35"/>
    </row>
    <row r="363" spans="1:14" s="36" customFormat="1" ht="15.75" hidden="1" customHeight="1" x14ac:dyDescent="0.35">
      <c r="A363" s="132" t="str">
        <f ca="1">(SUMPRODUCT(MID(0&amp;(LEFT(A362,SUM(LEN(A362)-LEN(SUBSTITUTE(A362,{"0","1","2"},""))))), LARGE(INDEX(ISNUMBER(--MID((LEFT(A362,SUM(LEN(A362)-LEN(SUBSTITUTE(A362,{"0","1","2"},""))))), ROW(INDIRECT("1:"&amp;LEN((LEFT(A362,SUM(LEN(A362)-LEN(SUBSTITUTE(A362,{"0","1","2"},"")))))))), 1)) * ROW(INDIRECT("1:"&amp;LEN((LEFT(A362,SUM(LEN(A362)-LEN(SUBSTITUTE(A362,{"0","1","2"},"")))))))), 0), ROW(INDIRECT("1:"&amp;LEN((LEFT(A362,SUM(LEN(A362)-LEN(SUBSTITUTE(A362,{"0","1","2"},"")))))))))+1, 1) * 10^ROW(INDIRECT("1:"&amp;LEN((LEFT(A362,SUM(LEN(A362)-LEN(SUBSTITUTE(A362,{"0","1","2"},""))))))))/10))*1+1&amp;""&amp;" ,.., "&amp;""&amp;(SUMPRODUCT(MID(0&amp;(--TRIM(RIGHT(SUBSTITUTE(LEFT(A362,_xlfn.AGGREGATE(16,6,FIND({0,1,2,3,4,5,6,7,8,9},A362,ROW(INDIRECT("1:"&amp;LEN(A362)))),1))," ",REPT(" ",LEN(A362))),LEN(A362)))), LARGE(INDEX(ISNUMBER(--MID((--TRIM(RIGHT(SUBSTITUTE(LEFT(A362,_xlfn.AGGREGATE(16,6,FIND({0,1,2,3,4,5,6,7,8,9},A362,ROW(INDIRECT("1:"&amp;LEN(A362)))),1))," ",REPT(" ",LEN(A362))),LEN(A362)))), ROW(INDIRECT("1:"&amp;LEN((--TRIM(RIGHT(SUBSTITUTE(LEFT(A362,_xlfn.AGGREGATE(16,6,FIND({0,1,2,3,4,5,6,7,8,9},A362,ROW(INDIRECT("1:"&amp;LEN(A362)))),1))," ",REPT(" ",LEN(A362))),LEN(A362))))))), 1)) * ROW(INDIRECT("1:"&amp;LEN((--TRIM(RIGHT(SUBSTITUTE(LEFT(A362,_xlfn.AGGREGATE(16,6,FIND({0,1,2,3,4,5,6,7,8,9},A362,ROW(INDIRECT("1:"&amp;LEN(A362)))),1))," ",REPT(" ",LEN(A362))),LEN(A362))))))), 0), ROW(INDIRECT("1:"&amp;LEN((--TRIM(RIGHT(SUBSTITUTE(LEFT(A362,_xlfn.AGGREGATE(16,6,FIND({0,1,2,3,4,5,6,7,8,9},A362,ROW(INDIRECT("1:"&amp;LEN(A362)))),1))," ",REPT(" ",LEN(A362))),LEN(A362))))))))+1, 1) * 10^ROW(INDIRECT("1:"&amp;LEN((--TRIM(RIGHT(SUBSTITUTE(LEFT(A362,_xlfn.AGGREGATE(16,6,FIND({0,1,2,3,4,5,6,7,8,9},A362,ROW(INDIRECT("1:"&amp;LEN(A362)))),1))," ",REPT(" ",LEN(A362))),LEN(A362)))))))/10))*1+1</f>
        <v>305 ,.., 1505</v>
      </c>
      <c r="B363" s="134"/>
      <c r="C363" s="41"/>
      <c r="D363" s="41"/>
      <c r="E363" s="57">
        <v>0</v>
      </c>
      <c r="F363" s="57">
        <f>D363+E363</f>
        <v>0</v>
      </c>
      <c r="G363" s="57">
        <v>0</v>
      </c>
      <c r="H363" s="57">
        <f>F363*(($H$219)+1)+(IF(G363&lt;101,G363,IF(G363&lt;201,G363/2,IF(G363&lt;=301,G363/3,G363/4))))</f>
        <v>0</v>
      </c>
      <c r="I363" s="35"/>
    </row>
    <row r="364" spans="1:14" s="36" customFormat="1" hidden="1" x14ac:dyDescent="0.35">
      <c r="A364" s="139" t="s">
        <v>144</v>
      </c>
      <c r="B364" s="140"/>
      <c r="C364" s="140"/>
      <c r="D364" s="140"/>
      <c r="E364" s="140"/>
      <c r="F364" s="140"/>
      <c r="G364" s="140"/>
      <c r="H364" s="141"/>
      <c r="I364" s="35"/>
    </row>
    <row r="365" spans="1:14" s="36" customFormat="1" ht="15.75" hidden="1" customHeight="1" x14ac:dyDescent="0.35">
      <c r="A365" s="132" t="str">
        <f ca="1">(SUMPRODUCT(MID(0&amp;(LEFT(A364,SUM(LEN(A364)-LEN(SUBSTITUTE(A364,{"0","1","2"},""))))), LARGE(INDEX(ISNUMBER(--MID((LEFT(A364,SUM(LEN(A364)-LEN(SUBSTITUTE(A364,{"0","1","2"},""))))), ROW(INDIRECT("1:"&amp;LEN((LEFT(A364,SUM(LEN(A364)-LEN(SUBSTITUTE(A364,{"0","1","2"},"")))))))), 1)) * ROW(INDIRECT("1:"&amp;LEN((LEFT(A364,SUM(LEN(A364)-LEN(SUBSTITUTE(A364,{"0","1","2"},"")))))))), 0), ROW(INDIRECT("1:"&amp;LEN((LEFT(A364,SUM(LEN(A364)-LEN(SUBSTITUTE(A364,{"0","1","2"},"")))))))))+1, 1) * 10^ROW(INDIRECT("1:"&amp;LEN((LEFT(A364,SUM(LEN(A364)-LEN(SUBSTITUTE(A364,{"0","1","2"},""))))))))/10))*100+1&amp;""&amp;" to "&amp;""&amp;(SUMPRODUCT(MID(0&amp;(--TRIM(RIGHT(SUBSTITUTE(LEFT(A364,_xlfn.AGGREGATE(16,6,FIND({0,1,2,3,4,5,6,7,8,9},A364,ROW(INDIRECT("1:"&amp;LEN(A364)))),1))," ",REPT(" ",LEN(A364))),LEN(A364)))), LARGE(INDEX(ISNUMBER(--MID((--TRIM(RIGHT(SUBSTITUTE(LEFT(A364,_xlfn.AGGREGATE(16,6,FIND({0,1,2,3,4,5,6,7,8,9},A364,ROW(INDIRECT("1:"&amp;LEN(A364)))),1))," ",REPT(" ",LEN(A364))),LEN(A364)))), ROW(INDIRECT("1:"&amp;LEN((--TRIM(RIGHT(SUBSTITUTE(LEFT(A364,_xlfn.AGGREGATE(16,6,FIND({0,1,2,3,4,5,6,7,8,9},A364,ROW(INDIRECT("1:"&amp;LEN(A364)))),1))," ",REPT(" ",LEN(A364))),LEN(A364))))))), 1)) * ROW(INDIRECT("1:"&amp;LEN((--TRIM(RIGHT(SUBSTITUTE(LEFT(A364,_xlfn.AGGREGATE(16,6,FIND({0,1,2,3,4,5,6,7,8,9},A364,ROW(INDIRECT("1:"&amp;LEN(A364)))),1))," ",REPT(" ",LEN(A364))),LEN(A364))))))), 0), ROW(INDIRECT("1:"&amp;LEN((--TRIM(RIGHT(SUBSTITUTE(LEFT(A364,_xlfn.AGGREGATE(16,6,FIND({0,1,2,3,4,5,6,7,8,9},A364,ROW(INDIRECT("1:"&amp;LEN(A364)))),1))," ",REPT(" ",LEN(A364))),LEN(A364))))))))+1, 1) * 10^ROW(INDIRECT("1:"&amp;LEN((--TRIM(RIGHT(SUBSTITUTE(LEFT(A364,_xlfn.AGGREGATE(16,6,FIND({0,1,2,3,4,5,6,7,8,9},A364,ROW(INDIRECT("1:"&amp;LEN(A364)))),1))," ",REPT(" ",LEN(A364))),LEN(A364)))))))/10))*100+1</f>
        <v>201 to 501</v>
      </c>
      <c r="B365" s="134"/>
      <c r="C365" s="41"/>
      <c r="D365" s="41"/>
      <c r="E365" s="57">
        <v>0</v>
      </c>
      <c r="F365" s="57">
        <f>D365+E365</f>
        <v>0</v>
      </c>
      <c r="G365" s="57">
        <v>0</v>
      </c>
      <c r="H365" s="57">
        <f>F365*(($H$219)+1)+(IF(G365&lt;101,G365,IF(G365&lt;201,G365/2,IF(G365&lt;=301,G365/3,G365/4))))</f>
        <v>0</v>
      </c>
      <c r="I365" s="35"/>
    </row>
    <row r="366" spans="1:14" s="36" customFormat="1" ht="15.75" hidden="1" customHeight="1" x14ac:dyDescent="0.35">
      <c r="A366" s="132" t="str">
        <f ca="1">(SUMPRODUCT(MID(0&amp;(LEFT(A365,SUM(LEN(A365)-LEN(SUBSTITUTE(A365,{"0","1","2"},""))))), LARGE(INDEX(ISNUMBER(--MID((LEFT(A365,SUM(LEN(A365)-LEN(SUBSTITUTE(A365,{"0","1","2"},""))))), ROW(INDIRECT("1:"&amp;LEN((LEFT(A365,SUM(LEN(A365)-LEN(SUBSTITUTE(A365,{"0","1","2"},"")))))))), 1)) * ROW(INDIRECT("1:"&amp;LEN((LEFT(A365,SUM(LEN(A365)-LEN(SUBSTITUTE(A365,{"0","1","2"},"")))))))), 0), ROW(INDIRECT("1:"&amp;LEN((LEFT(A365,SUM(LEN(A365)-LEN(SUBSTITUTE(A365,{"0","1","2"},"")))))))))+1, 1) * 10^ROW(INDIRECT("1:"&amp;LEN((LEFT(A365,SUM(LEN(A365)-LEN(SUBSTITUTE(A365,{"0","1","2"},""))))))))/10))*1+1&amp;""&amp;" to "&amp;""&amp;(SUMPRODUCT(MID(0&amp;(--TRIM(RIGHT(SUBSTITUTE(LEFT(A365,_xlfn.AGGREGATE(16,6,FIND({0,1,2,3,4,5,6,7,8,9},A365,ROW(INDIRECT("1:"&amp;LEN(A365)))),1))," ",REPT(" ",LEN(A365))),LEN(A365)))), LARGE(INDEX(ISNUMBER(--MID((--TRIM(RIGHT(SUBSTITUTE(LEFT(A365,_xlfn.AGGREGATE(16,6,FIND({0,1,2,3,4,5,6,7,8,9},A365,ROW(INDIRECT("1:"&amp;LEN(A365)))),1))," ",REPT(" ",LEN(A365))),LEN(A365)))), ROW(INDIRECT("1:"&amp;LEN((--TRIM(RIGHT(SUBSTITUTE(LEFT(A365,_xlfn.AGGREGATE(16,6,FIND({0,1,2,3,4,5,6,7,8,9},A365,ROW(INDIRECT("1:"&amp;LEN(A365)))),1))," ",REPT(" ",LEN(A365))),LEN(A365))))))), 1)) * ROW(INDIRECT("1:"&amp;LEN((--TRIM(RIGHT(SUBSTITUTE(LEFT(A365,_xlfn.AGGREGATE(16,6,FIND({0,1,2,3,4,5,6,7,8,9},A365,ROW(INDIRECT("1:"&amp;LEN(A365)))),1))," ",REPT(" ",LEN(A365))),LEN(A365))))))), 0), ROW(INDIRECT("1:"&amp;LEN((--TRIM(RIGHT(SUBSTITUTE(LEFT(A365,_xlfn.AGGREGATE(16,6,FIND({0,1,2,3,4,5,6,7,8,9},A365,ROW(INDIRECT("1:"&amp;LEN(A365)))),1))," ",REPT(" ",LEN(A365))),LEN(A365))))))))+1, 1) * 10^ROW(INDIRECT("1:"&amp;LEN((--TRIM(RIGHT(SUBSTITUTE(LEFT(A365,_xlfn.AGGREGATE(16,6,FIND({0,1,2,3,4,5,6,7,8,9},A365,ROW(INDIRECT("1:"&amp;LEN(A365)))),1))," ",REPT(" ",LEN(A365))),LEN(A365)))))))/10))*1+1</f>
        <v>202 to 502</v>
      </c>
      <c r="B366" s="134"/>
      <c r="C366" s="41"/>
      <c r="D366" s="41"/>
      <c r="E366" s="57">
        <v>0</v>
      </c>
      <c r="F366" s="57">
        <f>D366+E366</f>
        <v>0</v>
      </c>
      <c r="G366" s="57">
        <v>0</v>
      </c>
      <c r="H366" s="57">
        <f>F366*(($H$219)+1)+(IF(G366&lt;101,G366,IF(G366&lt;201,G366/2,IF(G366&lt;=301,G366/3,G366/4))))</f>
        <v>0</v>
      </c>
      <c r="I366" s="35"/>
    </row>
    <row r="367" spans="1:14" s="36" customFormat="1" ht="15.75" hidden="1" customHeight="1" x14ac:dyDescent="0.35">
      <c r="A367" s="132" t="str">
        <f ca="1">(SUMPRODUCT(MID(0&amp;(LEFT(A366,SUM(LEN(A366)-LEN(SUBSTITUTE(A366,{"0","1","2"},""))))), LARGE(INDEX(ISNUMBER(--MID((LEFT(A366,SUM(LEN(A366)-LEN(SUBSTITUTE(A366,{"0","1","2"},""))))), ROW(INDIRECT("1:"&amp;LEN((LEFT(A366,SUM(LEN(A366)-LEN(SUBSTITUTE(A366,{"0","1","2"},"")))))))), 1)) * ROW(INDIRECT("1:"&amp;LEN((LEFT(A366,SUM(LEN(A366)-LEN(SUBSTITUTE(A366,{"0","1","2"},"")))))))), 0), ROW(INDIRECT("1:"&amp;LEN((LEFT(A366,SUM(LEN(A366)-LEN(SUBSTITUTE(A366,{"0","1","2"},"")))))))))+1, 1) * 10^ROW(INDIRECT("1:"&amp;LEN((LEFT(A366,SUM(LEN(A366)-LEN(SUBSTITUTE(A366,{"0","1","2"},""))))))))/10))*1+1&amp;""&amp;" to "&amp;""&amp;(SUMPRODUCT(MID(0&amp;(--TRIM(RIGHT(SUBSTITUTE(LEFT(A366,_xlfn.AGGREGATE(16,6,FIND({0,1,2,3,4,5,6,7,8,9},A366,ROW(INDIRECT("1:"&amp;LEN(A366)))),1))," ",REPT(" ",LEN(A366))),LEN(A366)))), LARGE(INDEX(ISNUMBER(--MID((--TRIM(RIGHT(SUBSTITUTE(LEFT(A366,_xlfn.AGGREGATE(16,6,FIND({0,1,2,3,4,5,6,7,8,9},A366,ROW(INDIRECT("1:"&amp;LEN(A366)))),1))," ",REPT(" ",LEN(A366))),LEN(A366)))), ROW(INDIRECT("1:"&amp;LEN((--TRIM(RIGHT(SUBSTITUTE(LEFT(A366,_xlfn.AGGREGATE(16,6,FIND({0,1,2,3,4,5,6,7,8,9},A366,ROW(INDIRECT("1:"&amp;LEN(A366)))),1))," ",REPT(" ",LEN(A366))),LEN(A366))))))), 1)) * ROW(INDIRECT("1:"&amp;LEN((--TRIM(RIGHT(SUBSTITUTE(LEFT(A366,_xlfn.AGGREGATE(16,6,FIND({0,1,2,3,4,5,6,7,8,9},A366,ROW(INDIRECT("1:"&amp;LEN(A366)))),1))," ",REPT(" ",LEN(A366))),LEN(A366))))))), 0), ROW(INDIRECT("1:"&amp;LEN((--TRIM(RIGHT(SUBSTITUTE(LEFT(A366,_xlfn.AGGREGATE(16,6,FIND({0,1,2,3,4,5,6,7,8,9},A366,ROW(INDIRECT("1:"&amp;LEN(A366)))),1))," ",REPT(" ",LEN(A366))),LEN(A366))))))))+1, 1) * 10^ROW(INDIRECT("1:"&amp;LEN((--TRIM(RIGHT(SUBSTITUTE(LEFT(A366,_xlfn.AGGREGATE(16,6,FIND({0,1,2,3,4,5,6,7,8,9},A366,ROW(INDIRECT("1:"&amp;LEN(A366)))),1))," ",REPT(" ",LEN(A366))),LEN(A366)))))))/10))*1+1</f>
        <v>203 to 503</v>
      </c>
      <c r="B367" s="134"/>
      <c r="C367" s="41"/>
      <c r="D367" s="41"/>
      <c r="E367" s="57">
        <v>0</v>
      </c>
      <c r="F367" s="57">
        <f>D367+E367</f>
        <v>0</v>
      </c>
      <c r="G367" s="57">
        <v>0</v>
      </c>
      <c r="H367" s="57">
        <f>F367*(($H$219)+1)+(IF(G367&lt;101,G367,IF(G367&lt;201,G367/2,IF(G367&lt;=301,G367/3,G367/4))))</f>
        <v>0</v>
      </c>
      <c r="I367" s="35"/>
    </row>
    <row r="368" spans="1:14" s="36" customFormat="1" ht="15.75" hidden="1" customHeight="1" x14ac:dyDescent="0.35">
      <c r="A368" s="132" t="str">
        <f ca="1">(SUMPRODUCT(MID(0&amp;(LEFT(A367,SUM(LEN(A367)-LEN(SUBSTITUTE(A367,{"0","1","2"},""))))), LARGE(INDEX(ISNUMBER(--MID((LEFT(A367,SUM(LEN(A367)-LEN(SUBSTITUTE(A367,{"0","1","2"},""))))), ROW(INDIRECT("1:"&amp;LEN((LEFT(A367,SUM(LEN(A367)-LEN(SUBSTITUTE(A367,{"0","1","2"},"")))))))), 1)) * ROW(INDIRECT("1:"&amp;LEN((LEFT(A367,SUM(LEN(A367)-LEN(SUBSTITUTE(A367,{"0","1","2"},"")))))))), 0), ROW(INDIRECT("1:"&amp;LEN((LEFT(A367,SUM(LEN(A367)-LEN(SUBSTITUTE(A367,{"0","1","2"},"")))))))))+1, 1) * 10^ROW(INDIRECT("1:"&amp;LEN((LEFT(A367,SUM(LEN(A367)-LEN(SUBSTITUTE(A367,{"0","1","2"},""))))))))/10))*1+1&amp;""&amp;" to "&amp;""&amp;(SUMPRODUCT(MID(0&amp;(--TRIM(RIGHT(SUBSTITUTE(LEFT(A367,_xlfn.AGGREGATE(16,6,FIND({0,1,2,3,4,5,6,7,8,9},A367,ROW(INDIRECT("1:"&amp;LEN(A367)))),1))," ",REPT(" ",LEN(A367))),LEN(A367)))), LARGE(INDEX(ISNUMBER(--MID((--TRIM(RIGHT(SUBSTITUTE(LEFT(A367,_xlfn.AGGREGATE(16,6,FIND({0,1,2,3,4,5,6,7,8,9},A367,ROW(INDIRECT("1:"&amp;LEN(A367)))),1))," ",REPT(" ",LEN(A367))),LEN(A367)))), ROW(INDIRECT("1:"&amp;LEN((--TRIM(RIGHT(SUBSTITUTE(LEFT(A367,_xlfn.AGGREGATE(16,6,FIND({0,1,2,3,4,5,6,7,8,9},A367,ROW(INDIRECT("1:"&amp;LEN(A367)))),1))," ",REPT(" ",LEN(A367))),LEN(A367))))))), 1)) * ROW(INDIRECT("1:"&amp;LEN((--TRIM(RIGHT(SUBSTITUTE(LEFT(A367,_xlfn.AGGREGATE(16,6,FIND({0,1,2,3,4,5,6,7,8,9},A367,ROW(INDIRECT("1:"&amp;LEN(A367)))),1))," ",REPT(" ",LEN(A367))),LEN(A367))))))), 0), ROW(INDIRECT("1:"&amp;LEN((--TRIM(RIGHT(SUBSTITUTE(LEFT(A367,_xlfn.AGGREGATE(16,6,FIND({0,1,2,3,4,5,6,7,8,9},A367,ROW(INDIRECT("1:"&amp;LEN(A367)))),1))," ",REPT(" ",LEN(A367))),LEN(A367))))))))+1, 1) * 10^ROW(INDIRECT("1:"&amp;LEN((--TRIM(RIGHT(SUBSTITUTE(LEFT(A367,_xlfn.AGGREGATE(16,6,FIND({0,1,2,3,4,5,6,7,8,9},A367,ROW(INDIRECT("1:"&amp;LEN(A367)))),1))," ",REPT(" ",LEN(A367))),LEN(A367)))))))/10))*1+1</f>
        <v>204 to 504</v>
      </c>
      <c r="B368" s="134"/>
      <c r="C368" s="41"/>
      <c r="D368" s="41"/>
      <c r="E368" s="57">
        <v>0</v>
      </c>
      <c r="F368" s="57">
        <f>D368+E368</f>
        <v>0</v>
      </c>
      <c r="G368" s="57">
        <v>0</v>
      </c>
      <c r="H368" s="57">
        <f>F368*(($H$219)+1)+(IF(G368&lt;101,G368,IF(G368&lt;201,G368/2,IF(G368&lt;=301,G368/3,G368/4))))</f>
        <v>0</v>
      </c>
      <c r="I368" s="35"/>
    </row>
    <row r="369" spans="1:20" s="36" customFormat="1" ht="15.75" hidden="1" customHeight="1" x14ac:dyDescent="0.35">
      <c r="A369" s="132" t="str">
        <f ca="1">(SUMPRODUCT(MID(0&amp;(LEFT(A368,SUM(LEN(A368)-LEN(SUBSTITUTE(A368,{"0","1","2"},""))))), LARGE(INDEX(ISNUMBER(--MID((LEFT(A368,SUM(LEN(A368)-LEN(SUBSTITUTE(A368,{"0","1","2"},""))))), ROW(INDIRECT("1:"&amp;LEN((LEFT(A368,SUM(LEN(A368)-LEN(SUBSTITUTE(A368,{"0","1","2"},"")))))))), 1)) * ROW(INDIRECT("1:"&amp;LEN((LEFT(A368,SUM(LEN(A368)-LEN(SUBSTITUTE(A368,{"0","1","2"},"")))))))), 0), ROW(INDIRECT("1:"&amp;LEN((LEFT(A368,SUM(LEN(A368)-LEN(SUBSTITUTE(A368,{"0","1","2"},"")))))))))+1, 1) * 10^ROW(INDIRECT("1:"&amp;LEN((LEFT(A368,SUM(LEN(A368)-LEN(SUBSTITUTE(A368,{"0","1","2"},""))))))))/10))*1+1&amp;""&amp;" to "&amp;""&amp;(SUMPRODUCT(MID(0&amp;(--TRIM(RIGHT(SUBSTITUTE(LEFT(A368,_xlfn.AGGREGATE(16,6,FIND({0,1,2,3,4,5,6,7,8,9},A368,ROW(INDIRECT("1:"&amp;LEN(A368)))),1))," ",REPT(" ",LEN(A368))),LEN(A368)))), LARGE(INDEX(ISNUMBER(--MID((--TRIM(RIGHT(SUBSTITUTE(LEFT(A368,_xlfn.AGGREGATE(16,6,FIND({0,1,2,3,4,5,6,7,8,9},A368,ROW(INDIRECT("1:"&amp;LEN(A368)))),1))," ",REPT(" ",LEN(A368))),LEN(A368)))), ROW(INDIRECT("1:"&amp;LEN((--TRIM(RIGHT(SUBSTITUTE(LEFT(A368,_xlfn.AGGREGATE(16,6,FIND({0,1,2,3,4,5,6,7,8,9},A368,ROW(INDIRECT("1:"&amp;LEN(A368)))),1))," ",REPT(" ",LEN(A368))),LEN(A368))))))), 1)) * ROW(INDIRECT("1:"&amp;LEN((--TRIM(RIGHT(SUBSTITUTE(LEFT(A368,_xlfn.AGGREGATE(16,6,FIND({0,1,2,3,4,5,6,7,8,9},A368,ROW(INDIRECT("1:"&amp;LEN(A368)))),1))," ",REPT(" ",LEN(A368))),LEN(A368))))))), 0), ROW(INDIRECT("1:"&amp;LEN((--TRIM(RIGHT(SUBSTITUTE(LEFT(A368,_xlfn.AGGREGATE(16,6,FIND({0,1,2,3,4,5,6,7,8,9},A368,ROW(INDIRECT("1:"&amp;LEN(A368)))),1))," ",REPT(" ",LEN(A368))),LEN(A368))))))))+1, 1) * 10^ROW(INDIRECT("1:"&amp;LEN((--TRIM(RIGHT(SUBSTITUTE(LEFT(A368,_xlfn.AGGREGATE(16,6,FIND({0,1,2,3,4,5,6,7,8,9},A368,ROW(INDIRECT("1:"&amp;LEN(A368)))),1))," ",REPT(" ",LEN(A368))),LEN(A368)))))))/10))*1+1</f>
        <v>205 to 505</v>
      </c>
      <c r="B369" s="134"/>
      <c r="C369" s="41"/>
      <c r="D369" s="41"/>
      <c r="E369" s="57">
        <v>0</v>
      </c>
      <c r="F369" s="57">
        <f>D369+E369</f>
        <v>0</v>
      </c>
      <c r="G369" s="57">
        <v>0</v>
      </c>
      <c r="H369" s="57">
        <f>F369*(($H$219)+1)+(IF(G369&lt;101,G369,IF(G369&lt;201,G369/2,IF(G369&lt;=301,G369/3,G369/4))))</f>
        <v>0</v>
      </c>
      <c r="I369" s="35"/>
    </row>
    <row r="370" spans="1:20" s="36" customFormat="1" hidden="1" x14ac:dyDescent="0.35">
      <c r="A370" s="139" t="s">
        <v>145</v>
      </c>
      <c r="B370" s="140"/>
      <c r="C370" s="140"/>
      <c r="D370" s="140"/>
      <c r="E370" s="140"/>
      <c r="F370" s="140"/>
      <c r="G370" s="140"/>
      <c r="H370" s="141"/>
      <c r="I370" s="35"/>
    </row>
    <row r="371" spans="1:20" s="36" customFormat="1" ht="15.75" hidden="1" customHeight="1" x14ac:dyDescent="0.35">
      <c r="A371" s="132" t="str">
        <f ca="1">(SUMPRODUCT(MID(0&amp;(LEFT(A370,SUM(LEN(A370)-LEN(SUBSTITUTE(A370,{"0","1","2"},""))))), LARGE(INDEX(ISNUMBER(--MID((LEFT(A370,SUM(LEN(A370)-LEN(SUBSTITUTE(A370,{"0","1","2"},""))))), ROW(INDIRECT("1:"&amp;LEN((LEFT(A370,SUM(LEN(A370)-LEN(SUBSTITUTE(A370,{"0","1","2"},"")))))))), 1)) * ROW(INDIRECT("1:"&amp;LEN((LEFT(A370,SUM(LEN(A370)-LEN(SUBSTITUTE(A370,{"0","1","2"},"")))))))), 0), ROW(INDIRECT("1:"&amp;LEN((LEFT(A370,SUM(LEN(A370)-LEN(SUBSTITUTE(A370,{"0","1","2"},"")))))))))+1, 1) * 10^ROW(INDIRECT("1:"&amp;LEN((LEFT(A370,SUM(LEN(A370)-LEN(SUBSTITUTE(A370,{"0","1","2"},""))))))))/10))*100+1&amp;""&amp;" &amp; "&amp;""&amp;(SUMPRODUCT(MID(0&amp;(--TRIM(RIGHT(SUBSTITUTE(LEFT(A370,_xlfn.AGGREGATE(16,6,FIND({0,1,2,3,4,5,6,7,8,9},A370,ROW(INDIRECT("1:"&amp;LEN(A370)))),1))," ",REPT(" ",LEN(A370))),LEN(A370)))), LARGE(INDEX(ISNUMBER(--MID((--TRIM(RIGHT(SUBSTITUTE(LEFT(A370,_xlfn.AGGREGATE(16,6,FIND({0,1,2,3,4,5,6,7,8,9},A370,ROW(INDIRECT("1:"&amp;LEN(A370)))),1))," ",REPT(" ",LEN(A370))),LEN(A370)))), ROW(INDIRECT("1:"&amp;LEN((--TRIM(RIGHT(SUBSTITUTE(LEFT(A370,_xlfn.AGGREGATE(16,6,FIND({0,1,2,3,4,5,6,7,8,9},A370,ROW(INDIRECT("1:"&amp;LEN(A370)))),1))," ",REPT(" ",LEN(A370))),LEN(A370))))))), 1)) * ROW(INDIRECT("1:"&amp;LEN((--TRIM(RIGHT(SUBSTITUTE(LEFT(A370,_xlfn.AGGREGATE(16,6,FIND({0,1,2,3,4,5,6,7,8,9},A370,ROW(INDIRECT("1:"&amp;LEN(A370)))),1))," ",REPT(" ",LEN(A370))),LEN(A370))))))), 0), ROW(INDIRECT("1:"&amp;LEN((--TRIM(RIGHT(SUBSTITUTE(LEFT(A370,_xlfn.AGGREGATE(16,6,FIND({0,1,2,3,4,5,6,7,8,9},A370,ROW(INDIRECT("1:"&amp;LEN(A370)))),1))," ",REPT(" ",LEN(A370))),LEN(A370))))))))+1, 1) * 10^ROW(INDIRECT("1:"&amp;LEN((--TRIM(RIGHT(SUBSTITUTE(LEFT(A370,_xlfn.AGGREGATE(16,6,FIND({0,1,2,3,4,5,6,7,8,9},A370,ROW(INDIRECT("1:"&amp;LEN(A370)))),1))," ",REPT(" ",LEN(A370))),LEN(A370)))))))/10))*100+1</f>
        <v>201 &amp; 501</v>
      </c>
      <c r="B371" s="134"/>
      <c r="C371" s="41"/>
      <c r="D371" s="41"/>
      <c r="E371" s="57">
        <v>0</v>
      </c>
      <c r="F371" s="57">
        <f>D371+E371</f>
        <v>0</v>
      </c>
      <c r="G371" s="57">
        <v>0</v>
      </c>
      <c r="H371" s="57">
        <f>F371*(($H$219)+1)+(IF(G371&lt;101,G371,IF(G371&lt;201,G371/2,IF(G371&lt;=301,G371/3,G371/4))))</f>
        <v>0</v>
      </c>
      <c r="I371" s="35"/>
    </row>
    <row r="372" spans="1:20" s="36" customFormat="1" ht="15.75" hidden="1" customHeight="1" x14ac:dyDescent="0.35">
      <c r="A372" s="132" t="str">
        <f ca="1">(SUMPRODUCT(MID(0&amp;(LEFT(A371,SUM(LEN(A371)-LEN(SUBSTITUTE(A371,{"0","1","2"},""))))), LARGE(INDEX(ISNUMBER(--MID((LEFT(A371,SUM(LEN(A371)-LEN(SUBSTITUTE(A371,{"0","1","2"},""))))), ROW(INDIRECT("1:"&amp;LEN((LEFT(A371,SUM(LEN(A371)-LEN(SUBSTITUTE(A371,{"0","1","2"},"")))))))), 1)) * ROW(INDIRECT("1:"&amp;LEN((LEFT(A371,SUM(LEN(A371)-LEN(SUBSTITUTE(A371,{"0","1","2"},"")))))))), 0), ROW(INDIRECT("1:"&amp;LEN((LEFT(A371,SUM(LEN(A371)-LEN(SUBSTITUTE(A371,{"0","1","2"},"")))))))))+1, 1) * 10^ROW(INDIRECT("1:"&amp;LEN((LEFT(A371,SUM(LEN(A371)-LEN(SUBSTITUTE(A371,{"0","1","2"},""))))))))/10))*1+1&amp;""&amp;" &amp; "&amp;""&amp;(SUMPRODUCT(MID(0&amp;(--TRIM(RIGHT(SUBSTITUTE(LEFT(A371,_xlfn.AGGREGATE(16,6,FIND({0,1,2,3,4,5,6,7,8,9},A371,ROW(INDIRECT("1:"&amp;LEN(A371)))),1))," ",REPT(" ",LEN(A371))),LEN(A371)))), LARGE(INDEX(ISNUMBER(--MID((--TRIM(RIGHT(SUBSTITUTE(LEFT(A371,_xlfn.AGGREGATE(16,6,FIND({0,1,2,3,4,5,6,7,8,9},A371,ROW(INDIRECT("1:"&amp;LEN(A371)))),1))," ",REPT(" ",LEN(A371))),LEN(A371)))), ROW(INDIRECT("1:"&amp;LEN((--TRIM(RIGHT(SUBSTITUTE(LEFT(A371,_xlfn.AGGREGATE(16,6,FIND({0,1,2,3,4,5,6,7,8,9},A371,ROW(INDIRECT("1:"&amp;LEN(A371)))),1))," ",REPT(" ",LEN(A371))),LEN(A371))))))), 1)) * ROW(INDIRECT("1:"&amp;LEN((--TRIM(RIGHT(SUBSTITUTE(LEFT(A371,_xlfn.AGGREGATE(16,6,FIND({0,1,2,3,4,5,6,7,8,9},A371,ROW(INDIRECT("1:"&amp;LEN(A371)))),1))," ",REPT(" ",LEN(A371))),LEN(A371))))))), 0), ROW(INDIRECT("1:"&amp;LEN((--TRIM(RIGHT(SUBSTITUTE(LEFT(A371,_xlfn.AGGREGATE(16,6,FIND({0,1,2,3,4,5,6,7,8,9},A371,ROW(INDIRECT("1:"&amp;LEN(A371)))),1))," ",REPT(" ",LEN(A371))),LEN(A371))))))))+1, 1) * 10^ROW(INDIRECT("1:"&amp;LEN((--TRIM(RIGHT(SUBSTITUTE(LEFT(A371,_xlfn.AGGREGATE(16,6,FIND({0,1,2,3,4,5,6,7,8,9},A371,ROW(INDIRECT("1:"&amp;LEN(A371)))),1))," ",REPT(" ",LEN(A371))),LEN(A371)))))))/10))*1+1</f>
        <v>202 &amp; 502</v>
      </c>
      <c r="B372" s="134"/>
      <c r="C372" s="41"/>
      <c r="D372" s="41"/>
      <c r="E372" s="57">
        <v>0</v>
      </c>
      <c r="F372" s="57">
        <f>D372+E372</f>
        <v>0</v>
      </c>
      <c r="G372" s="57">
        <v>0</v>
      </c>
      <c r="H372" s="57">
        <f>F372*(($H$219)+1)+(IF(G372&lt;101,G372,IF(G372&lt;201,G372/2,IF(G372&lt;=301,G372/3,G372/4))))</f>
        <v>0</v>
      </c>
      <c r="I372" s="35"/>
    </row>
    <row r="373" spans="1:20" s="36" customFormat="1" ht="15.75" hidden="1" customHeight="1" x14ac:dyDescent="0.35">
      <c r="A373" s="132" t="str">
        <f ca="1">(SUMPRODUCT(MID(0&amp;(LEFT(A372,SUM(LEN(A372)-LEN(SUBSTITUTE(A372,{"0","1","2"},""))))), LARGE(INDEX(ISNUMBER(--MID((LEFT(A372,SUM(LEN(A372)-LEN(SUBSTITUTE(A372,{"0","1","2"},""))))), ROW(INDIRECT("1:"&amp;LEN((LEFT(A372,SUM(LEN(A372)-LEN(SUBSTITUTE(A372,{"0","1","2"},"")))))))), 1)) * ROW(INDIRECT("1:"&amp;LEN((LEFT(A372,SUM(LEN(A372)-LEN(SUBSTITUTE(A372,{"0","1","2"},"")))))))), 0), ROW(INDIRECT("1:"&amp;LEN((LEFT(A372,SUM(LEN(A372)-LEN(SUBSTITUTE(A372,{"0","1","2"},"")))))))))+1, 1) * 10^ROW(INDIRECT("1:"&amp;LEN((LEFT(A372,SUM(LEN(A372)-LEN(SUBSTITUTE(A372,{"0","1","2"},""))))))))/10))*1+1&amp;""&amp;" &amp; "&amp;""&amp;(SUMPRODUCT(MID(0&amp;(--TRIM(RIGHT(SUBSTITUTE(LEFT(A372,_xlfn.AGGREGATE(16,6,FIND({0,1,2,3,4,5,6,7,8,9},A372,ROW(INDIRECT("1:"&amp;LEN(A372)))),1))," ",REPT(" ",LEN(A372))),LEN(A372)))), LARGE(INDEX(ISNUMBER(--MID((--TRIM(RIGHT(SUBSTITUTE(LEFT(A372,_xlfn.AGGREGATE(16,6,FIND({0,1,2,3,4,5,6,7,8,9},A372,ROW(INDIRECT("1:"&amp;LEN(A372)))),1))," ",REPT(" ",LEN(A372))),LEN(A372)))), ROW(INDIRECT("1:"&amp;LEN((--TRIM(RIGHT(SUBSTITUTE(LEFT(A372,_xlfn.AGGREGATE(16,6,FIND({0,1,2,3,4,5,6,7,8,9},A372,ROW(INDIRECT("1:"&amp;LEN(A372)))),1))," ",REPT(" ",LEN(A372))),LEN(A372))))))), 1)) * ROW(INDIRECT("1:"&amp;LEN((--TRIM(RIGHT(SUBSTITUTE(LEFT(A372,_xlfn.AGGREGATE(16,6,FIND({0,1,2,3,4,5,6,7,8,9},A372,ROW(INDIRECT("1:"&amp;LEN(A372)))),1))," ",REPT(" ",LEN(A372))),LEN(A372))))))), 0), ROW(INDIRECT("1:"&amp;LEN((--TRIM(RIGHT(SUBSTITUTE(LEFT(A372,_xlfn.AGGREGATE(16,6,FIND({0,1,2,3,4,5,6,7,8,9},A372,ROW(INDIRECT("1:"&amp;LEN(A372)))),1))," ",REPT(" ",LEN(A372))),LEN(A372))))))))+1, 1) * 10^ROW(INDIRECT("1:"&amp;LEN((--TRIM(RIGHT(SUBSTITUTE(LEFT(A372,_xlfn.AGGREGATE(16,6,FIND({0,1,2,3,4,5,6,7,8,9},A372,ROW(INDIRECT("1:"&amp;LEN(A372)))),1))," ",REPT(" ",LEN(A372))),LEN(A372)))))))/10))*1+1</f>
        <v>203 &amp; 503</v>
      </c>
      <c r="B373" s="134"/>
      <c r="C373" s="41"/>
      <c r="D373" s="41"/>
      <c r="E373" s="57">
        <v>0</v>
      </c>
      <c r="F373" s="57">
        <f>D373+E373</f>
        <v>0</v>
      </c>
      <c r="G373" s="57">
        <v>0</v>
      </c>
      <c r="H373" s="57">
        <f>F373*(($H$219)+1)+(IF(G373&lt;101,G373,IF(G373&lt;201,G373/2,IF(G373&lt;=301,G373/3,G373/4))))</f>
        <v>0</v>
      </c>
      <c r="I373" s="35"/>
    </row>
    <row r="374" spans="1:20" s="36" customFormat="1" ht="15.75" hidden="1" customHeight="1" x14ac:dyDescent="0.35">
      <c r="A374" s="132" t="str">
        <f ca="1">(SUMPRODUCT(MID(0&amp;(LEFT(A373,SUM(LEN(A373)-LEN(SUBSTITUTE(A373,{"0","1","2"},""))))), LARGE(INDEX(ISNUMBER(--MID((LEFT(A373,SUM(LEN(A373)-LEN(SUBSTITUTE(A373,{"0","1","2"},""))))), ROW(INDIRECT("1:"&amp;LEN((LEFT(A373,SUM(LEN(A373)-LEN(SUBSTITUTE(A373,{"0","1","2"},"")))))))), 1)) * ROW(INDIRECT("1:"&amp;LEN((LEFT(A373,SUM(LEN(A373)-LEN(SUBSTITUTE(A373,{"0","1","2"},"")))))))), 0), ROW(INDIRECT("1:"&amp;LEN((LEFT(A373,SUM(LEN(A373)-LEN(SUBSTITUTE(A373,{"0","1","2"},"")))))))))+1, 1) * 10^ROW(INDIRECT("1:"&amp;LEN((LEFT(A373,SUM(LEN(A373)-LEN(SUBSTITUTE(A373,{"0","1","2"},""))))))))/10))*1+1&amp;""&amp;" &amp; "&amp;""&amp;(SUMPRODUCT(MID(0&amp;(--TRIM(RIGHT(SUBSTITUTE(LEFT(A373,_xlfn.AGGREGATE(16,6,FIND({0,1,2,3,4,5,6,7,8,9},A373,ROW(INDIRECT("1:"&amp;LEN(A373)))),1))," ",REPT(" ",LEN(A373))),LEN(A373)))), LARGE(INDEX(ISNUMBER(--MID((--TRIM(RIGHT(SUBSTITUTE(LEFT(A373,_xlfn.AGGREGATE(16,6,FIND({0,1,2,3,4,5,6,7,8,9},A373,ROW(INDIRECT("1:"&amp;LEN(A373)))),1))," ",REPT(" ",LEN(A373))),LEN(A373)))), ROW(INDIRECT("1:"&amp;LEN((--TRIM(RIGHT(SUBSTITUTE(LEFT(A373,_xlfn.AGGREGATE(16,6,FIND({0,1,2,3,4,5,6,7,8,9},A373,ROW(INDIRECT("1:"&amp;LEN(A373)))),1))," ",REPT(" ",LEN(A373))),LEN(A373))))))), 1)) * ROW(INDIRECT("1:"&amp;LEN((--TRIM(RIGHT(SUBSTITUTE(LEFT(A373,_xlfn.AGGREGATE(16,6,FIND({0,1,2,3,4,5,6,7,8,9},A373,ROW(INDIRECT("1:"&amp;LEN(A373)))),1))," ",REPT(" ",LEN(A373))),LEN(A373))))))), 0), ROW(INDIRECT("1:"&amp;LEN((--TRIM(RIGHT(SUBSTITUTE(LEFT(A373,_xlfn.AGGREGATE(16,6,FIND({0,1,2,3,4,5,6,7,8,9},A373,ROW(INDIRECT("1:"&amp;LEN(A373)))),1))," ",REPT(" ",LEN(A373))),LEN(A373))))))))+1, 1) * 10^ROW(INDIRECT("1:"&amp;LEN((--TRIM(RIGHT(SUBSTITUTE(LEFT(A373,_xlfn.AGGREGATE(16,6,FIND({0,1,2,3,4,5,6,7,8,9},A373,ROW(INDIRECT("1:"&amp;LEN(A373)))),1))," ",REPT(" ",LEN(A373))),LEN(A373)))))))/10))*1+1</f>
        <v>204 &amp; 504</v>
      </c>
      <c r="B374" s="134"/>
      <c r="C374" s="41"/>
      <c r="D374" s="41"/>
      <c r="E374" s="57">
        <v>0</v>
      </c>
      <c r="F374" s="57">
        <f>D374+E374</f>
        <v>0</v>
      </c>
      <c r="G374" s="57">
        <v>0</v>
      </c>
      <c r="H374" s="57">
        <f>F374*(($H$219)+1)+(IF(G374&lt;101,G374,IF(G374&lt;201,G374/2,IF(G374&lt;=301,G374/3,G374/4))))</f>
        <v>0</v>
      </c>
      <c r="I374" s="35"/>
    </row>
    <row r="375" spans="1:20" s="36" customFormat="1" ht="15.75" hidden="1" customHeight="1" x14ac:dyDescent="0.35">
      <c r="A375" s="132" t="str">
        <f ca="1">(SUMPRODUCT(MID(0&amp;(LEFT(A374,SUM(LEN(A374)-LEN(SUBSTITUTE(A374,{"0","1","2"},""))))), LARGE(INDEX(ISNUMBER(--MID((LEFT(A374,SUM(LEN(A374)-LEN(SUBSTITUTE(A374,{"0","1","2"},""))))), ROW(INDIRECT("1:"&amp;LEN((LEFT(A374,SUM(LEN(A374)-LEN(SUBSTITUTE(A374,{"0","1","2"},"")))))))), 1)) * ROW(INDIRECT("1:"&amp;LEN((LEFT(A374,SUM(LEN(A374)-LEN(SUBSTITUTE(A374,{"0","1","2"},"")))))))), 0), ROW(INDIRECT("1:"&amp;LEN((LEFT(A374,SUM(LEN(A374)-LEN(SUBSTITUTE(A374,{"0","1","2"},"")))))))))+1, 1) * 10^ROW(INDIRECT("1:"&amp;LEN((LEFT(A374,SUM(LEN(A374)-LEN(SUBSTITUTE(A374,{"0","1","2"},""))))))))/10))*1+1&amp;""&amp;" &amp; "&amp;""&amp;(SUMPRODUCT(MID(0&amp;(--TRIM(RIGHT(SUBSTITUTE(LEFT(A374,_xlfn.AGGREGATE(16,6,FIND({0,1,2,3,4,5,6,7,8,9},A374,ROW(INDIRECT("1:"&amp;LEN(A374)))),1))," ",REPT(" ",LEN(A374))),LEN(A374)))), LARGE(INDEX(ISNUMBER(--MID((--TRIM(RIGHT(SUBSTITUTE(LEFT(A374,_xlfn.AGGREGATE(16,6,FIND({0,1,2,3,4,5,6,7,8,9},A374,ROW(INDIRECT("1:"&amp;LEN(A374)))),1))," ",REPT(" ",LEN(A374))),LEN(A374)))), ROW(INDIRECT("1:"&amp;LEN((--TRIM(RIGHT(SUBSTITUTE(LEFT(A374,_xlfn.AGGREGATE(16,6,FIND({0,1,2,3,4,5,6,7,8,9},A374,ROW(INDIRECT("1:"&amp;LEN(A374)))),1))," ",REPT(" ",LEN(A374))),LEN(A374))))))), 1)) * ROW(INDIRECT("1:"&amp;LEN((--TRIM(RIGHT(SUBSTITUTE(LEFT(A374,_xlfn.AGGREGATE(16,6,FIND({0,1,2,3,4,5,6,7,8,9},A374,ROW(INDIRECT("1:"&amp;LEN(A374)))),1))," ",REPT(" ",LEN(A374))),LEN(A374))))))), 0), ROW(INDIRECT("1:"&amp;LEN((--TRIM(RIGHT(SUBSTITUTE(LEFT(A374,_xlfn.AGGREGATE(16,6,FIND({0,1,2,3,4,5,6,7,8,9},A374,ROW(INDIRECT("1:"&amp;LEN(A374)))),1))," ",REPT(" ",LEN(A374))),LEN(A374))))))))+1, 1) * 10^ROW(INDIRECT("1:"&amp;LEN((--TRIM(RIGHT(SUBSTITUTE(LEFT(A374,_xlfn.AGGREGATE(16,6,FIND({0,1,2,3,4,5,6,7,8,9},A374,ROW(INDIRECT("1:"&amp;LEN(A374)))),1))," ",REPT(" ",LEN(A374))),LEN(A374)))))))/10))*1+1</f>
        <v>205 &amp; 505</v>
      </c>
      <c r="B375" s="134"/>
      <c r="C375" s="41"/>
      <c r="D375" s="41"/>
      <c r="E375" s="57">
        <v>0</v>
      </c>
      <c r="F375" s="57">
        <f>D375+E375</f>
        <v>0</v>
      </c>
      <c r="G375" s="57">
        <v>0</v>
      </c>
      <c r="H375" s="57">
        <f>F375*(($H$219)+1)+(IF(G375&lt;101,G375,IF(G375&lt;201,G375/2,IF(G375&lt;=301,G375/3,G375/4))))</f>
        <v>0</v>
      </c>
      <c r="I375" s="35"/>
    </row>
    <row r="376" spans="1:20" s="34" customFormat="1" x14ac:dyDescent="0.35">
      <c r="A376" s="268" t="s">
        <v>65</v>
      </c>
      <c r="B376" s="268"/>
      <c r="C376" s="268"/>
      <c r="D376" s="268"/>
      <c r="E376" s="268"/>
      <c r="F376" s="268"/>
      <c r="G376" s="268"/>
      <c r="H376" s="268"/>
      <c r="T376" s="36"/>
    </row>
    <row r="377" spans="1:20" s="34" customFormat="1" ht="49" customHeight="1" x14ac:dyDescent="0.35">
      <c r="A377" s="108" t="s">
        <v>154</v>
      </c>
      <c r="B377" s="252" t="s">
        <v>425</v>
      </c>
      <c r="C377" s="252"/>
      <c r="D377" s="252"/>
      <c r="E377" s="252"/>
      <c r="F377" s="252"/>
      <c r="G377" s="252"/>
      <c r="H377" s="252"/>
      <c r="T377" s="36"/>
    </row>
    <row r="378" spans="1:20" s="34" customFormat="1" x14ac:dyDescent="0.35">
      <c r="A378" s="108" t="s">
        <v>154</v>
      </c>
      <c r="B378" s="150" t="str">
        <f>(IF(H218="Saleable area Loading :","We have considered Saleable area of Flats as per our Calculation.","We considered Saleable area of Flat as per Builder area Sheet."))</f>
        <v>We have considered Saleable area of Flats as per our Calculation.</v>
      </c>
      <c r="C378" s="150"/>
      <c r="D378" s="150"/>
      <c r="E378" s="150"/>
      <c r="F378" s="150"/>
      <c r="G378" s="150"/>
      <c r="H378" s="150"/>
      <c r="T378" s="36"/>
    </row>
    <row r="379" spans="1:20" s="34" customFormat="1" x14ac:dyDescent="0.35">
      <c r="A379" s="108" t="s">
        <v>154</v>
      </c>
      <c r="B379" s="150" t="str">
        <f>(IF(H189="Saleable area Loading :","We have considered Saleable area of Commercial as per our Calculation.","We considered Saleable area of Commercial as per Builder area Sheet."))</f>
        <v>We have considered Saleable area of Commercial as per our Calculation.</v>
      </c>
      <c r="C379" s="150"/>
      <c r="D379" s="150"/>
      <c r="E379" s="150"/>
      <c r="F379" s="150"/>
      <c r="G379" s="150"/>
      <c r="H379" s="150"/>
      <c r="T379" s="36"/>
    </row>
    <row r="380" spans="1:20" s="34" customFormat="1" x14ac:dyDescent="0.35">
      <c r="A380" s="45" t="s">
        <v>154</v>
      </c>
      <c r="B380" s="171" t="s">
        <v>121</v>
      </c>
      <c r="C380" s="172"/>
      <c r="D380" s="172"/>
      <c r="E380" s="172"/>
      <c r="F380" s="172"/>
      <c r="G380" s="172"/>
      <c r="H380" s="173"/>
      <c r="T380" s="36"/>
    </row>
    <row r="381" spans="1:20" s="34" customFormat="1" x14ac:dyDescent="0.35">
      <c r="A381" s="45" t="s">
        <v>154</v>
      </c>
      <c r="B381" s="127" t="s">
        <v>407</v>
      </c>
      <c r="C381" s="128"/>
      <c r="D381" s="128"/>
      <c r="E381" s="128"/>
      <c r="F381" s="128"/>
      <c r="G381" s="128"/>
      <c r="H381" s="129"/>
      <c r="T381" s="36"/>
    </row>
    <row r="382" spans="1:20" s="34" customFormat="1" x14ac:dyDescent="0.35">
      <c r="A382" s="45" t="s">
        <v>154</v>
      </c>
      <c r="B382" s="171" t="s">
        <v>153</v>
      </c>
      <c r="C382" s="172"/>
      <c r="D382" s="172"/>
      <c r="E382" s="172"/>
      <c r="F382" s="172"/>
      <c r="G382" s="172"/>
      <c r="H382" s="173"/>
    </row>
    <row r="383" spans="1:20" s="34" customFormat="1" x14ac:dyDescent="0.35">
      <c r="A383" s="45" t="s">
        <v>154</v>
      </c>
      <c r="B383" s="171" t="s">
        <v>122</v>
      </c>
      <c r="C383" s="172"/>
      <c r="D383" s="172"/>
      <c r="E383" s="172"/>
      <c r="F383" s="172"/>
      <c r="G383" s="172"/>
      <c r="H383" s="173"/>
    </row>
    <row r="384" spans="1:20" s="34" customFormat="1" ht="34.5" customHeight="1" x14ac:dyDescent="0.35">
      <c r="A384" s="45" t="s">
        <v>154</v>
      </c>
      <c r="B384" s="249" t="s">
        <v>155</v>
      </c>
      <c r="C384" s="250"/>
      <c r="D384" s="250"/>
      <c r="E384" s="250"/>
      <c r="F384" s="250"/>
      <c r="G384" s="250"/>
      <c r="H384" s="251"/>
    </row>
    <row r="385" spans="1:20" s="34" customFormat="1" x14ac:dyDescent="0.35">
      <c r="A385" s="45" t="s">
        <v>154</v>
      </c>
      <c r="B385" s="171" t="s">
        <v>123</v>
      </c>
      <c r="C385" s="172"/>
      <c r="D385" s="172"/>
      <c r="E385" s="172"/>
      <c r="F385" s="172"/>
      <c r="G385" s="172"/>
      <c r="H385" s="173"/>
    </row>
    <row r="386" spans="1:20" s="34" customFormat="1" ht="32.25" hidden="1" customHeight="1" x14ac:dyDescent="0.35">
      <c r="A386" s="54" t="s">
        <v>154</v>
      </c>
      <c r="B386" s="142" t="s">
        <v>180</v>
      </c>
      <c r="C386" s="143"/>
      <c r="D386" s="143"/>
      <c r="E386" s="143"/>
      <c r="F386" s="143"/>
      <c r="G386" s="143"/>
      <c r="H386" s="144"/>
    </row>
    <row r="387" spans="1:20" s="34" customFormat="1" x14ac:dyDescent="0.35">
      <c r="A387" s="58" t="s">
        <v>154</v>
      </c>
      <c r="B387" s="127" t="s">
        <v>408</v>
      </c>
      <c r="C387" s="128"/>
      <c r="D387" s="128"/>
      <c r="E387" s="128"/>
      <c r="F387" s="128"/>
      <c r="G387" s="128"/>
      <c r="H387" s="129"/>
    </row>
    <row r="388" spans="1:20" s="34" customFormat="1" ht="15.75" hidden="1" customHeight="1" x14ac:dyDescent="0.35">
      <c r="A388" s="87" t="s">
        <v>154</v>
      </c>
      <c r="B388" s="142" t="s">
        <v>353</v>
      </c>
      <c r="C388" s="143"/>
      <c r="D388" s="143"/>
      <c r="E388" s="143"/>
      <c r="F388" s="143"/>
      <c r="G388" s="143"/>
      <c r="H388" s="144"/>
    </row>
    <row r="389" spans="1:20" s="34" customFormat="1" hidden="1" x14ac:dyDescent="0.35">
      <c r="A389" s="87" t="s">
        <v>154</v>
      </c>
      <c r="B389" s="142" t="str">
        <f ca="1">IF(G52&gt;EDATE(E3,-48),"NO REMARK FOR CC","REMARK FOR CC")</f>
        <v>NO REMARK FOR CC</v>
      </c>
      <c r="C389" s="143"/>
      <c r="D389" s="143"/>
      <c r="E389" s="143"/>
      <c r="F389" s="143"/>
      <c r="G389" s="143"/>
      <c r="H389" s="144"/>
    </row>
    <row r="390" spans="1:20" s="34" customFormat="1" ht="15.5" hidden="1" customHeight="1" x14ac:dyDescent="0.35">
      <c r="A390" s="88" t="s">
        <v>154</v>
      </c>
      <c r="B390" s="142" t="s">
        <v>354</v>
      </c>
      <c r="C390" s="143"/>
      <c r="D390" s="143"/>
      <c r="E390" s="143"/>
      <c r="F390" s="143"/>
      <c r="G390" s="143"/>
      <c r="H390" s="144"/>
    </row>
    <row r="391" spans="1:20" s="34" customFormat="1" ht="32" customHeight="1" x14ac:dyDescent="0.35">
      <c r="A391" s="108" t="s">
        <v>154</v>
      </c>
      <c r="B391" s="127" t="s">
        <v>423</v>
      </c>
      <c r="C391" s="128"/>
      <c r="D391" s="128"/>
      <c r="E391" s="128"/>
      <c r="F391" s="128"/>
      <c r="G391" s="128"/>
      <c r="H391" s="129"/>
    </row>
    <row r="392" spans="1:20" x14ac:dyDescent="0.35">
      <c r="A392" s="227" t="s">
        <v>58</v>
      </c>
      <c r="B392" s="227"/>
      <c r="C392" s="227"/>
      <c r="D392" s="227"/>
      <c r="E392" s="227"/>
      <c r="F392" s="227"/>
      <c r="G392" s="227"/>
      <c r="H392" s="227"/>
      <c r="T392" s="34"/>
    </row>
    <row r="393" spans="1:20" x14ac:dyDescent="0.35">
      <c r="A393" s="162" t="s">
        <v>59</v>
      </c>
      <c r="B393" s="162"/>
      <c r="C393" s="162"/>
      <c r="D393" s="162"/>
      <c r="E393" s="162"/>
      <c r="F393" s="162"/>
      <c r="G393" s="162"/>
      <c r="H393" s="162"/>
      <c r="T393" s="34"/>
    </row>
    <row r="394" spans="1:20" ht="15.75" customHeight="1" x14ac:dyDescent="0.35">
      <c r="A394" s="255" t="s">
        <v>60</v>
      </c>
      <c r="B394" s="255"/>
      <c r="C394" s="255"/>
      <c r="D394" s="255"/>
      <c r="E394" s="255"/>
      <c r="F394" s="255"/>
      <c r="G394" s="255"/>
      <c r="H394" s="255"/>
      <c r="T394" s="34"/>
    </row>
    <row r="395" spans="1:20" x14ac:dyDescent="0.35">
      <c r="A395" s="162" t="s">
        <v>61</v>
      </c>
      <c r="B395" s="162"/>
      <c r="C395" s="162"/>
      <c r="D395" s="162"/>
      <c r="E395" s="162"/>
      <c r="F395" s="162"/>
      <c r="G395" s="162"/>
      <c r="H395" s="162"/>
      <c r="T395" s="34"/>
    </row>
    <row r="396" spans="1:20" x14ac:dyDescent="0.35">
      <c r="A396" s="162" t="s">
        <v>62</v>
      </c>
      <c r="B396" s="162"/>
      <c r="C396" s="162"/>
      <c r="D396" s="162"/>
      <c r="E396" s="162"/>
      <c r="F396" s="162"/>
      <c r="G396" s="162"/>
      <c r="H396" s="162"/>
      <c r="T396" s="34"/>
    </row>
    <row r="397" spans="1:20" x14ac:dyDescent="0.35">
      <c r="A397" s="162" t="s">
        <v>124</v>
      </c>
      <c r="B397" s="162"/>
      <c r="C397" s="162"/>
      <c r="D397" s="162"/>
      <c r="E397" s="162"/>
      <c r="F397" s="162"/>
      <c r="G397" s="162"/>
      <c r="H397" s="162"/>
      <c r="T397" s="34"/>
    </row>
    <row r="398" spans="1:20" ht="34" customHeight="1" x14ac:dyDescent="0.35">
      <c r="A398" s="228" t="s">
        <v>125</v>
      </c>
      <c r="B398" s="228"/>
      <c r="C398" s="228"/>
      <c r="D398" s="228"/>
      <c r="E398" s="228"/>
      <c r="F398" s="228"/>
      <c r="G398" s="228"/>
      <c r="H398" s="228"/>
    </row>
    <row r="399" spans="1:20" x14ac:dyDescent="0.35">
      <c r="A399" s="241" t="s">
        <v>74</v>
      </c>
      <c r="B399" s="241"/>
      <c r="C399" s="241" t="s">
        <v>409</v>
      </c>
      <c r="D399" s="241"/>
      <c r="E399" s="241" t="s">
        <v>104</v>
      </c>
      <c r="F399" s="241"/>
      <c r="G399" s="242" t="s">
        <v>418</v>
      </c>
      <c r="H399" s="242"/>
    </row>
    <row r="400" spans="1:20" x14ac:dyDescent="0.35">
      <c r="A400" s="240" t="s">
        <v>76</v>
      </c>
      <c r="B400" s="240"/>
      <c r="C400" s="240"/>
      <c r="D400" s="240"/>
      <c r="E400" s="240"/>
      <c r="F400" s="240"/>
      <c r="G400" s="240"/>
      <c r="H400" s="240"/>
    </row>
    <row r="401" spans="1:8" x14ac:dyDescent="0.35">
      <c r="A401" s="240"/>
      <c r="B401" s="240"/>
      <c r="C401" s="240"/>
      <c r="D401" s="240"/>
      <c r="E401" s="240"/>
      <c r="F401" s="240"/>
      <c r="G401" s="240"/>
      <c r="H401" s="240"/>
    </row>
    <row r="402" spans="1:8" x14ac:dyDescent="0.35">
      <c r="A402" s="240"/>
      <c r="B402" s="240"/>
      <c r="C402" s="240"/>
      <c r="D402" s="240"/>
      <c r="E402" s="240"/>
      <c r="F402" s="240"/>
      <c r="G402" s="240"/>
      <c r="H402" s="240"/>
    </row>
    <row r="403" spans="1:8" x14ac:dyDescent="0.35">
      <c r="A403" s="240"/>
      <c r="B403" s="240"/>
      <c r="C403" s="240"/>
      <c r="D403" s="240"/>
      <c r="E403" s="240"/>
      <c r="F403" s="240"/>
      <c r="G403" s="240"/>
      <c r="H403" s="240"/>
    </row>
    <row r="404" spans="1:8" x14ac:dyDescent="0.35">
      <c r="A404" s="37" t="s">
        <v>63</v>
      </c>
      <c r="B404" s="38"/>
      <c r="C404" s="38"/>
      <c r="D404" s="37" t="str">
        <f>E9</f>
        <v>Tharwanis Meghna Montana Phase 3</v>
      </c>
      <c r="F404" s="38"/>
      <c r="G404" s="38"/>
      <c r="H404" s="38"/>
    </row>
    <row r="405" spans="1:8" x14ac:dyDescent="0.35">
      <c r="A405" s="38"/>
      <c r="B405" s="38"/>
      <c r="C405" s="38"/>
      <c r="D405" s="38"/>
      <c r="E405" s="38"/>
      <c r="F405" s="38"/>
      <c r="G405" s="38"/>
      <c r="H405" s="38"/>
    </row>
    <row r="406" spans="1:8" x14ac:dyDescent="0.35">
      <c r="A406" s="38"/>
      <c r="B406" s="38"/>
      <c r="C406" s="38"/>
      <c r="D406" s="38"/>
      <c r="E406" s="38"/>
      <c r="F406" s="38"/>
      <c r="G406" s="38"/>
      <c r="H406" s="38"/>
    </row>
    <row r="407" spans="1:8" ht="15" customHeight="1" x14ac:dyDescent="0.35"/>
    <row r="447" spans="1:1" x14ac:dyDescent="0.35">
      <c r="A447" s="40" t="s">
        <v>165</v>
      </c>
    </row>
    <row r="480" spans="9:9" x14ac:dyDescent="0.35">
      <c r="I480" s="100"/>
    </row>
    <row r="490" spans="1:1" x14ac:dyDescent="0.35">
      <c r="A490" s="40" t="s">
        <v>64</v>
      </c>
    </row>
    <row r="532" ht="16.5" customHeight="1" x14ac:dyDescent="0.35"/>
  </sheetData>
  <mergeCells count="611">
    <mergeCell ref="A132:B132"/>
    <mergeCell ref="C132:D132"/>
    <mergeCell ref="E132:F132"/>
    <mergeCell ref="G132:H132"/>
    <mergeCell ref="A104:B104"/>
    <mergeCell ref="C104:H104"/>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14:B114"/>
    <mergeCell ref="A115:B115"/>
    <mergeCell ref="A116:B116"/>
    <mergeCell ref="A117:B117"/>
    <mergeCell ref="A118:B118"/>
    <mergeCell ref="D66:H66"/>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A99:B99"/>
    <mergeCell ref="A100:B100"/>
    <mergeCell ref="A101:B101"/>
    <mergeCell ref="A102:B102"/>
    <mergeCell ref="A103:B103"/>
    <mergeCell ref="A83:B83"/>
    <mergeCell ref="E79:F79"/>
    <mergeCell ref="A86:B86"/>
    <mergeCell ref="A81:B81"/>
    <mergeCell ref="G59:H59"/>
    <mergeCell ref="B389:H389"/>
    <mergeCell ref="B388:H388"/>
    <mergeCell ref="E43:H43"/>
    <mergeCell ref="A43:D43"/>
    <mergeCell ref="A85:B85"/>
    <mergeCell ref="A50:B50"/>
    <mergeCell ref="D68:H68"/>
    <mergeCell ref="C52:E52"/>
    <mergeCell ref="A376:H376"/>
    <mergeCell ref="A368:B368"/>
    <mergeCell ref="A369:B369"/>
    <mergeCell ref="A364:H364"/>
    <mergeCell ref="A358:H358"/>
    <mergeCell ref="A373:B373"/>
    <mergeCell ref="A370:H370"/>
    <mergeCell ref="A73:C73"/>
    <mergeCell ref="D74:H74"/>
    <mergeCell ref="A80:B80"/>
    <mergeCell ref="G79:H79"/>
    <mergeCell ref="A88:B88"/>
    <mergeCell ref="A89:B89"/>
    <mergeCell ref="A84:B84"/>
    <mergeCell ref="C53:H53"/>
    <mergeCell ref="I15:P15"/>
    <mergeCell ref="F171:H171"/>
    <mergeCell ref="F169:H169"/>
    <mergeCell ref="A360:B360"/>
    <mergeCell ref="A188:H188"/>
    <mergeCell ref="G175:H175"/>
    <mergeCell ref="A170:E170"/>
    <mergeCell ref="A206:B206"/>
    <mergeCell ref="A60:B60"/>
    <mergeCell ref="C60:E60"/>
    <mergeCell ref="D62:H62"/>
    <mergeCell ref="F170:H170"/>
    <mergeCell ref="E175:F175"/>
    <mergeCell ref="A175:B175"/>
    <mergeCell ref="A177:B177"/>
    <mergeCell ref="C180:D180"/>
    <mergeCell ref="D73:H73"/>
    <mergeCell ref="D63:H63"/>
    <mergeCell ref="G60:H60"/>
    <mergeCell ref="A54:B55"/>
    <mergeCell ref="C59:E59"/>
    <mergeCell ref="G54:H54"/>
    <mergeCell ref="A56:B57"/>
    <mergeCell ref="C56:E56"/>
    <mergeCell ref="A397:H397"/>
    <mergeCell ref="A394:H394"/>
    <mergeCell ref="A353:B353"/>
    <mergeCell ref="A180:B180"/>
    <mergeCell ref="D218:D219"/>
    <mergeCell ref="E218:E219"/>
    <mergeCell ref="A141:B141"/>
    <mergeCell ref="A143:B143"/>
    <mergeCell ref="F162:H162"/>
    <mergeCell ref="G176:H176"/>
    <mergeCell ref="A146:B146"/>
    <mergeCell ref="F168:H168"/>
    <mergeCell ref="C175:D175"/>
    <mergeCell ref="C185:D185"/>
    <mergeCell ref="A347:H347"/>
    <mergeCell ref="A362:B362"/>
    <mergeCell ref="B381:H381"/>
    <mergeCell ref="A371:B371"/>
    <mergeCell ref="A372:B372"/>
    <mergeCell ref="A375:B375"/>
    <mergeCell ref="A393:H393"/>
    <mergeCell ref="F161:H161"/>
    <mergeCell ref="F166:H166"/>
    <mergeCell ref="A348:B348"/>
    <mergeCell ref="A208:B208"/>
    <mergeCell ref="A207:B207"/>
    <mergeCell ref="A167:E167"/>
    <mergeCell ref="F167:H167"/>
    <mergeCell ref="A169:E169"/>
    <mergeCell ref="F164:H164"/>
    <mergeCell ref="A168:E168"/>
    <mergeCell ref="A217:H217"/>
    <mergeCell ref="E180:F180"/>
    <mergeCell ref="A187:H187"/>
    <mergeCell ref="A191:H191"/>
    <mergeCell ref="A192:H192"/>
    <mergeCell ref="A193:B193"/>
    <mergeCell ref="A198:B198"/>
    <mergeCell ref="A218:A219"/>
    <mergeCell ref="F218:F219"/>
    <mergeCell ref="A359:B359"/>
    <mergeCell ref="A205:B205"/>
    <mergeCell ref="B386:H386"/>
    <mergeCell ref="A186:B186"/>
    <mergeCell ref="A144:B144"/>
    <mergeCell ref="A145:B145"/>
    <mergeCell ref="A164:E164"/>
    <mergeCell ref="A161:E161"/>
    <mergeCell ref="F165:H165"/>
    <mergeCell ref="A363:B363"/>
    <mergeCell ref="A165:E165"/>
    <mergeCell ref="A351:B351"/>
    <mergeCell ref="B384:H384"/>
    <mergeCell ref="G189:G190"/>
    <mergeCell ref="A366:B366"/>
    <mergeCell ref="A374:B374"/>
    <mergeCell ref="B377:H377"/>
    <mergeCell ref="B378:H378"/>
    <mergeCell ref="B380:H380"/>
    <mergeCell ref="A220:H220"/>
    <mergeCell ref="A221:H221"/>
    <mergeCell ref="A222:H222"/>
    <mergeCell ref="A400:H403"/>
    <mergeCell ref="A399:B399"/>
    <mergeCell ref="E399:F399"/>
    <mergeCell ref="C399:D399"/>
    <mergeCell ref="G399:H399"/>
    <mergeCell ref="A174:H174"/>
    <mergeCell ref="A172:E172"/>
    <mergeCell ref="F172:H172"/>
    <mergeCell ref="A173:E173"/>
    <mergeCell ref="F173:H173"/>
    <mergeCell ref="A352:H352"/>
    <mergeCell ref="A183:B183"/>
    <mergeCell ref="A361:B361"/>
    <mergeCell ref="A176:B176"/>
    <mergeCell ref="A395:H395"/>
    <mergeCell ref="A179:H179"/>
    <mergeCell ref="A398:H398"/>
    <mergeCell ref="A396:H396"/>
    <mergeCell ref="A392:H392"/>
    <mergeCell ref="G180:H180"/>
    <mergeCell ref="B382:H382"/>
    <mergeCell ref="A367:B367"/>
    <mergeCell ref="A356:B356"/>
    <mergeCell ref="C186:D18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C76:H76"/>
    <mergeCell ref="A71:C71"/>
    <mergeCell ref="D71:H71"/>
    <mergeCell ref="C78:H78"/>
    <mergeCell ref="A72:C72"/>
    <mergeCell ref="D72:H72"/>
    <mergeCell ref="A75:C75"/>
    <mergeCell ref="D75:H75"/>
    <mergeCell ref="A74:C74"/>
    <mergeCell ref="A79:B79"/>
    <mergeCell ref="A46:D46"/>
    <mergeCell ref="A47:D47"/>
    <mergeCell ref="D70:H70"/>
    <mergeCell ref="A44:D44"/>
    <mergeCell ref="E44:H44"/>
    <mergeCell ref="E45:H45"/>
    <mergeCell ref="E46:H46"/>
    <mergeCell ref="E47:H47"/>
    <mergeCell ref="C57:H57"/>
    <mergeCell ref="A48:H48"/>
    <mergeCell ref="D64:H64"/>
    <mergeCell ref="A64:C64"/>
    <mergeCell ref="A45:D45"/>
    <mergeCell ref="A49:B49"/>
    <mergeCell ref="C49:H49"/>
    <mergeCell ref="A65:C68"/>
    <mergeCell ref="D65:H65"/>
    <mergeCell ref="D67:H67"/>
    <mergeCell ref="G52:H52"/>
    <mergeCell ref="A61:H61"/>
    <mergeCell ref="A62:C62"/>
    <mergeCell ref="A78:B78"/>
    <mergeCell ref="A76:B76"/>
    <mergeCell ref="A38:H38"/>
    <mergeCell ref="A37:B37"/>
    <mergeCell ref="C37:E37"/>
    <mergeCell ref="A42:D42"/>
    <mergeCell ref="E42:H42"/>
    <mergeCell ref="A41:H41"/>
    <mergeCell ref="A69:C69"/>
    <mergeCell ref="A70:C70"/>
    <mergeCell ref="D69:H69"/>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L208:M208"/>
    <mergeCell ref="L207:M207"/>
    <mergeCell ref="L206:M206"/>
    <mergeCell ref="L205:M205"/>
    <mergeCell ref="A87:B87"/>
    <mergeCell ref="C183:D183"/>
    <mergeCell ref="E183:F183"/>
    <mergeCell ref="G183:H183"/>
    <mergeCell ref="A162:E162"/>
    <mergeCell ref="A133:B133"/>
    <mergeCell ref="C133:H133"/>
    <mergeCell ref="A204:H204"/>
    <mergeCell ref="E189:E190"/>
    <mergeCell ref="A137:B137"/>
    <mergeCell ref="C135:H135"/>
    <mergeCell ref="A138:B138"/>
    <mergeCell ref="A139:B139"/>
    <mergeCell ref="G137:H146"/>
    <mergeCell ref="A140:B140"/>
    <mergeCell ref="F163:H163"/>
    <mergeCell ref="A163:E163"/>
    <mergeCell ref="D189:D190"/>
    <mergeCell ref="G184:H184"/>
    <mergeCell ref="A135:B135"/>
    <mergeCell ref="L352:M352"/>
    <mergeCell ref="A357:B357"/>
    <mergeCell ref="A354:B354"/>
    <mergeCell ref="A355:B355"/>
    <mergeCell ref="A365:B365"/>
    <mergeCell ref="A40:B40"/>
    <mergeCell ref="C40:H40"/>
    <mergeCell ref="F189:F190"/>
    <mergeCell ref="C176:D176"/>
    <mergeCell ref="E176:F176"/>
    <mergeCell ref="B189:B190"/>
    <mergeCell ref="A189:A190"/>
    <mergeCell ref="C218:C219"/>
    <mergeCell ref="G218:G219"/>
    <mergeCell ref="L351:M351"/>
    <mergeCell ref="L348:M348"/>
    <mergeCell ref="A349:B349"/>
    <mergeCell ref="G186:H186"/>
    <mergeCell ref="L349:M349"/>
    <mergeCell ref="A350:B350"/>
    <mergeCell ref="L350:M350"/>
    <mergeCell ref="C55:H55"/>
    <mergeCell ref="A158:B158"/>
    <mergeCell ref="A159:B159"/>
    <mergeCell ref="A82:B82"/>
    <mergeCell ref="E80:F89"/>
    <mergeCell ref="G80:H89"/>
    <mergeCell ref="B387:H387"/>
    <mergeCell ref="A166:E166"/>
    <mergeCell ref="A185:B185"/>
    <mergeCell ref="E185:F185"/>
    <mergeCell ref="A171:E171"/>
    <mergeCell ref="G185:H185"/>
    <mergeCell ref="C177:D177"/>
    <mergeCell ref="E177:F177"/>
    <mergeCell ref="G177:H177"/>
    <mergeCell ref="A178:B178"/>
    <mergeCell ref="C178:D178"/>
    <mergeCell ref="E178:F178"/>
    <mergeCell ref="G178:H178"/>
    <mergeCell ref="A184:B184"/>
    <mergeCell ref="C184:D184"/>
    <mergeCell ref="E184:F184"/>
    <mergeCell ref="A142:B142"/>
    <mergeCell ref="G136:H136"/>
    <mergeCell ref="E186:F186"/>
    <mergeCell ref="B385:H385"/>
    <mergeCell ref="B383:H383"/>
    <mergeCell ref="B390:H390"/>
    <mergeCell ref="A160:B160"/>
    <mergeCell ref="C189:C190"/>
    <mergeCell ref="B218:B219"/>
    <mergeCell ref="B379:H379"/>
    <mergeCell ref="A136:B136"/>
    <mergeCell ref="E136:F136"/>
    <mergeCell ref="E137:F146"/>
    <mergeCell ref="A147:B147"/>
    <mergeCell ref="C147:H147"/>
    <mergeCell ref="A149:B149"/>
    <mergeCell ref="C149:H149"/>
    <mergeCell ref="A150:B150"/>
    <mergeCell ref="E150:F150"/>
    <mergeCell ref="G150:H150"/>
    <mergeCell ref="A151:B151"/>
    <mergeCell ref="E151:F160"/>
    <mergeCell ref="G151:H160"/>
    <mergeCell ref="A152:B152"/>
    <mergeCell ref="A153:B153"/>
    <mergeCell ref="A154:B154"/>
    <mergeCell ref="A155:B155"/>
    <mergeCell ref="A156:B156"/>
    <mergeCell ref="A157:B157"/>
    <mergeCell ref="L222:M222"/>
    <mergeCell ref="A223:B223"/>
    <mergeCell ref="A224:B224"/>
    <mergeCell ref="A225:B225"/>
    <mergeCell ref="A226:B226"/>
    <mergeCell ref="A227:B227"/>
    <mergeCell ref="A228:B228"/>
    <mergeCell ref="A229:H229"/>
    <mergeCell ref="A230:B230"/>
    <mergeCell ref="A231:B231"/>
    <mergeCell ref="A232:B232"/>
    <mergeCell ref="A233:B233"/>
    <mergeCell ref="A234:B234"/>
    <mergeCell ref="A236:H236"/>
    <mergeCell ref="A237:B237"/>
    <mergeCell ref="A238:B238"/>
    <mergeCell ref="A239:B239"/>
    <mergeCell ref="A240:B240"/>
    <mergeCell ref="A241:B241"/>
    <mergeCell ref="A235:B235"/>
    <mergeCell ref="A242:B242"/>
    <mergeCell ref="A243:H243"/>
    <mergeCell ref="A244:B244"/>
    <mergeCell ref="A245:B245"/>
    <mergeCell ref="A246:B246"/>
    <mergeCell ref="A247:B247"/>
    <mergeCell ref="A248:B248"/>
    <mergeCell ref="A249:B249"/>
    <mergeCell ref="A250:H250"/>
    <mergeCell ref="A252:H252"/>
    <mergeCell ref="A251:H251"/>
    <mergeCell ref="A253:H253"/>
    <mergeCell ref="L253:M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H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H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H292"/>
    <mergeCell ref="L193:M193"/>
    <mergeCell ref="A194:B194"/>
    <mergeCell ref="L194:M194"/>
    <mergeCell ref="A195:B195"/>
    <mergeCell ref="L195:M195"/>
    <mergeCell ref="A196:B196"/>
    <mergeCell ref="L196:M196"/>
    <mergeCell ref="A197:B197"/>
    <mergeCell ref="L197:M197"/>
    <mergeCell ref="L198:M198"/>
    <mergeCell ref="A199:B199"/>
    <mergeCell ref="L199:M199"/>
    <mergeCell ref="A200:B200"/>
    <mergeCell ref="L200:M200"/>
    <mergeCell ref="A201:B201"/>
    <mergeCell ref="L201:M201"/>
    <mergeCell ref="A202:B202"/>
    <mergeCell ref="L202:M202"/>
    <mergeCell ref="A305:H305"/>
    <mergeCell ref="L305:M305"/>
    <mergeCell ref="A306:B306"/>
    <mergeCell ref="A307:B307"/>
    <mergeCell ref="A308:B308"/>
    <mergeCell ref="A293:H293"/>
    <mergeCell ref="L293:M293"/>
    <mergeCell ref="A294:B294"/>
    <mergeCell ref="A295:B295"/>
    <mergeCell ref="A296:B296"/>
    <mergeCell ref="A297:B297"/>
    <mergeCell ref="A298:B298"/>
    <mergeCell ref="A299:H299"/>
    <mergeCell ref="A300:B300"/>
    <mergeCell ref="A309:B309"/>
    <mergeCell ref="A310:B310"/>
    <mergeCell ref="A311:H311"/>
    <mergeCell ref="A203:H203"/>
    <mergeCell ref="A209:B209"/>
    <mergeCell ref="L209:M209"/>
    <mergeCell ref="A210:B210"/>
    <mergeCell ref="L210:M210"/>
    <mergeCell ref="A211:B211"/>
    <mergeCell ref="L211:M211"/>
    <mergeCell ref="A212:B212"/>
    <mergeCell ref="L212:M212"/>
    <mergeCell ref="A213:B213"/>
    <mergeCell ref="L213:M213"/>
    <mergeCell ref="A214:B214"/>
    <mergeCell ref="L214:M214"/>
    <mergeCell ref="A215:B215"/>
    <mergeCell ref="L215:M215"/>
    <mergeCell ref="A216:B216"/>
    <mergeCell ref="L216:M216"/>
    <mergeCell ref="A301:B301"/>
    <mergeCell ref="A302:B302"/>
    <mergeCell ref="A303:B303"/>
    <mergeCell ref="A304:B304"/>
    <mergeCell ref="A312:H312"/>
    <mergeCell ref="L312:M312"/>
    <mergeCell ref="A313:B313"/>
    <mergeCell ref="A314:B314"/>
    <mergeCell ref="A315:B315"/>
    <mergeCell ref="A316:B316"/>
    <mergeCell ref="A317:B317"/>
    <mergeCell ref="A318:B318"/>
    <mergeCell ref="A319:H319"/>
    <mergeCell ref="A325:B325"/>
    <mergeCell ref="L340:M340"/>
    <mergeCell ref="A341:B341"/>
    <mergeCell ref="A342:B342"/>
    <mergeCell ref="A343:B343"/>
    <mergeCell ref="A328:B328"/>
    <mergeCell ref="A329:B329"/>
    <mergeCell ref="A330:B330"/>
    <mergeCell ref="A332:B332"/>
    <mergeCell ref="A331:B331"/>
    <mergeCell ref="A333:H333"/>
    <mergeCell ref="L333:M333"/>
    <mergeCell ref="A334:B334"/>
    <mergeCell ref="A335:B335"/>
    <mergeCell ref="A326:H326"/>
    <mergeCell ref="L326:M326"/>
    <mergeCell ref="A327:B327"/>
    <mergeCell ref="B391:H391"/>
    <mergeCell ref="A344:B344"/>
    <mergeCell ref="A345:B345"/>
    <mergeCell ref="A346:B346"/>
    <mergeCell ref="C345:H345"/>
    <mergeCell ref="C338:H338"/>
    <mergeCell ref="A181:B181"/>
    <mergeCell ref="C181:D181"/>
    <mergeCell ref="E181:F181"/>
    <mergeCell ref="G181:H181"/>
    <mergeCell ref="A182:B182"/>
    <mergeCell ref="C182:D182"/>
    <mergeCell ref="E182:F182"/>
    <mergeCell ref="G182:H182"/>
    <mergeCell ref="A336:B336"/>
    <mergeCell ref="A337:B337"/>
    <mergeCell ref="A338:B338"/>
    <mergeCell ref="A339:B339"/>
    <mergeCell ref="A340:H340"/>
    <mergeCell ref="A320:B320"/>
    <mergeCell ref="A321:B321"/>
    <mergeCell ref="A322:B322"/>
    <mergeCell ref="A323:B323"/>
    <mergeCell ref="A324:B324"/>
    <mergeCell ref="C118:H118"/>
    <mergeCell ref="A120:B120"/>
    <mergeCell ref="C120:H120"/>
    <mergeCell ref="A121:B121"/>
    <mergeCell ref="E121:F121"/>
    <mergeCell ref="G121:H121"/>
    <mergeCell ref="A122:B122"/>
    <mergeCell ref="E122:F131"/>
    <mergeCell ref="G122:H131"/>
    <mergeCell ref="A123:B123"/>
    <mergeCell ref="A124:B124"/>
    <mergeCell ref="A125:B125"/>
    <mergeCell ref="A126:B126"/>
    <mergeCell ref="A127:B127"/>
    <mergeCell ref="A128:B128"/>
    <mergeCell ref="A129:B129"/>
    <mergeCell ref="A130:B130"/>
    <mergeCell ref="A131:B131"/>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89:E190">
      <formula1>"Attached Loft area,Attached Otla area,Attached Mezzanine area"</formula1>
    </dataValidation>
    <dataValidation type="list" allowBlank="1" showInputMessage="1" showErrorMessage="1" sqref="G399:H399">
      <formula1>"Kunal Kadam,Pranita Mhatre,Shruti Fule,Pooja Kawale,Gaurav Panchal,Shruti Tathare, Hitakshi Mhatre, Sachin Sawant"</formula1>
    </dataValidation>
    <dataValidation type="list" allowBlank="1" showInputMessage="1" showErrorMessage="1" sqref="F161:H161">
      <formula1>"On Saleable Area,On Builtup Area,On Carpet Area,On Plot Area"</formula1>
    </dataValidation>
    <dataValidation type="list" allowBlank="1" showInputMessage="1" showErrorMessage="1" sqref="F172:H172">
      <formula1>OFFSET($S$161,1,MATCH($G20,$S$161:$W$161,0)-1,15,1)</formula1>
    </dataValidation>
    <dataValidation type="list" allowBlank="1" showInputMessage="1" showErrorMessage="1" sqref="B189:B190">
      <formula1>"Shop No. (Sale Plan),Sale / Rehab,Sale / Mhada"</formula1>
    </dataValidation>
    <dataValidation type="list" allowBlank="1" showInputMessage="1" showErrorMessage="1" sqref="B218:B21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18:E219">
      <formula1>"Fungible area,Balcony Area,Chajja Area,Cornice Area,AP Area,WS Area"</formula1>
    </dataValidation>
    <dataValidation type="list" allowBlank="1" showInputMessage="1" showErrorMessage="1" sqref="H219 H19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89 H218">
      <formula1>"Saleable area Loading :,Builder Saleable Area"</formula1>
    </dataValidation>
    <dataValidation type="list" allowBlank="1" showInputMessage="1" showErrorMessage="1" sqref="D218:D219 D189:D190">
      <formula1>"Carpet area,RERA Carpet area"</formula1>
    </dataValidation>
  </dataValidations>
  <hyperlinks>
    <hyperlink ref="C40" r:id="rId1"/>
    <hyperlink ref="I72"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3" manualBreakCount="3">
    <brk id="403" max="16383" man="1"/>
    <brk id="446" max="16383" man="1"/>
    <brk id="489"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75" t="s">
        <v>105</v>
      </c>
      <c r="C3" s="275"/>
      <c r="D3" s="275"/>
      <c r="E3" s="275"/>
      <c r="F3" s="275"/>
      <c r="G3" s="275"/>
      <c r="H3" s="27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5"/>
      <c r="C4" s="55" t="s">
        <v>11</v>
      </c>
      <c r="D4" s="56" t="s">
        <v>181</v>
      </c>
      <c r="E4" s="56" t="s">
        <v>191</v>
      </c>
      <c r="F4" s="56" t="s">
        <v>174</v>
      </c>
      <c r="G4" s="56" t="s">
        <v>196</v>
      </c>
      <c r="H4" s="56" t="s">
        <v>214</v>
      </c>
      <c r="J4" t="s">
        <v>196</v>
      </c>
      <c r="K4" t="s">
        <v>212</v>
      </c>
    </row>
    <row r="5" spans="2:11" x14ac:dyDescent="0.35">
      <c r="B5" s="55"/>
      <c r="C5" s="55"/>
      <c r="D5" s="56" t="s">
        <v>182</v>
      </c>
      <c r="E5" s="56" t="s">
        <v>189</v>
      </c>
      <c r="F5" s="56" t="s">
        <v>211</v>
      </c>
      <c r="G5" s="56" t="s">
        <v>197</v>
      </c>
      <c r="H5" s="56" t="s">
        <v>215</v>
      </c>
    </row>
    <row r="6" spans="2:11" x14ac:dyDescent="0.35">
      <c r="B6" s="55"/>
      <c r="C6" s="55"/>
      <c r="D6" s="56" t="s">
        <v>183</v>
      </c>
      <c r="E6" s="56" t="s">
        <v>190</v>
      </c>
      <c r="F6" s="56" t="s">
        <v>212</v>
      </c>
      <c r="G6" s="56" t="s">
        <v>198</v>
      </c>
      <c r="H6" s="56" t="s">
        <v>228</v>
      </c>
    </row>
    <row r="7" spans="2:11" x14ac:dyDescent="0.35">
      <c r="B7" s="55"/>
      <c r="C7" s="55"/>
      <c r="D7" s="56" t="s">
        <v>184</v>
      </c>
      <c r="E7" s="56" t="s">
        <v>192</v>
      </c>
      <c r="F7" s="56" t="s">
        <v>213</v>
      </c>
      <c r="G7" s="56" t="s">
        <v>199</v>
      </c>
      <c r="H7" s="56" t="s">
        <v>216</v>
      </c>
    </row>
    <row r="8" spans="2:11" x14ac:dyDescent="0.35">
      <c r="B8" s="55"/>
      <c r="C8" s="55"/>
      <c r="D8" s="56" t="s">
        <v>185</v>
      </c>
      <c r="E8" s="56" t="s">
        <v>193</v>
      </c>
      <c r="F8" s="56"/>
      <c r="G8" s="56" t="s">
        <v>200</v>
      </c>
      <c r="H8" s="56" t="s">
        <v>217</v>
      </c>
    </row>
    <row r="9" spans="2:11" x14ac:dyDescent="0.35">
      <c r="B9" s="55"/>
      <c r="C9" s="55"/>
      <c r="D9" s="56" t="s">
        <v>186</v>
      </c>
      <c r="E9" s="56" t="s">
        <v>191</v>
      </c>
      <c r="F9" s="56"/>
      <c r="G9" s="56" t="s">
        <v>201</v>
      </c>
      <c r="H9" s="56" t="s">
        <v>218</v>
      </c>
    </row>
    <row r="10" spans="2:11" x14ac:dyDescent="0.35">
      <c r="B10" s="55"/>
      <c r="C10" s="55"/>
      <c r="D10" s="56" t="s">
        <v>187</v>
      </c>
      <c r="E10" s="56" t="s">
        <v>194</v>
      </c>
      <c r="F10" s="56"/>
      <c r="G10" s="56" t="s">
        <v>202</v>
      </c>
      <c r="H10" s="56" t="s">
        <v>219</v>
      </c>
    </row>
    <row r="11" spans="2:11" x14ac:dyDescent="0.35">
      <c r="B11" s="55"/>
      <c r="C11" s="55"/>
      <c r="D11" s="56" t="s">
        <v>188</v>
      </c>
      <c r="E11" s="56" t="s">
        <v>195</v>
      </c>
      <c r="F11" s="56"/>
      <c r="G11" s="56" t="s">
        <v>203</v>
      </c>
      <c r="H11" s="56" t="s">
        <v>220</v>
      </c>
    </row>
    <row r="12" spans="2:11" x14ac:dyDescent="0.35">
      <c r="B12" s="55"/>
      <c r="C12" s="55"/>
      <c r="D12" s="56"/>
      <c r="E12" s="56"/>
      <c r="F12" s="56"/>
      <c r="G12" s="56" t="s">
        <v>204</v>
      </c>
      <c r="H12" s="56" t="s">
        <v>221</v>
      </c>
    </row>
    <row r="13" spans="2:11" x14ac:dyDescent="0.35">
      <c r="B13" s="55"/>
      <c r="C13" s="55"/>
      <c r="D13" s="56"/>
      <c r="E13" s="56"/>
      <c r="F13" s="56"/>
      <c r="G13" s="56" t="s">
        <v>205</v>
      </c>
      <c r="H13" s="56" t="s">
        <v>222</v>
      </c>
    </row>
    <row r="14" spans="2:11" x14ac:dyDescent="0.35">
      <c r="B14" s="55"/>
      <c r="C14" s="55"/>
      <c r="D14" s="56"/>
      <c r="E14" s="56"/>
      <c r="F14" s="56"/>
      <c r="G14" s="56" t="s">
        <v>206</v>
      </c>
      <c r="H14" s="56" t="s">
        <v>223</v>
      </c>
    </row>
    <row r="15" spans="2:11" x14ac:dyDescent="0.35">
      <c r="B15" s="55"/>
      <c r="C15" s="55"/>
      <c r="D15" s="56"/>
      <c r="E15" s="56"/>
      <c r="F15" s="56"/>
      <c r="G15" s="56" t="s">
        <v>207</v>
      </c>
      <c r="H15" s="56" t="s">
        <v>224</v>
      </c>
    </row>
    <row r="16" spans="2:11" x14ac:dyDescent="0.35">
      <c r="B16" s="55"/>
      <c r="C16" s="55"/>
      <c r="D16" s="56"/>
      <c r="E16" s="56"/>
      <c r="F16" s="56"/>
      <c r="G16" s="56" t="s">
        <v>208</v>
      </c>
      <c r="H16" s="56" t="s">
        <v>225</v>
      </c>
    </row>
    <row r="17" spans="2:8" x14ac:dyDescent="0.35">
      <c r="B17" s="55"/>
      <c r="C17" s="55"/>
      <c r="D17" s="56"/>
      <c r="E17" s="56"/>
      <c r="F17" s="56"/>
      <c r="G17" s="56" t="s">
        <v>209</v>
      </c>
      <c r="H17" s="56" t="s">
        <v>226</v>
      </c>
    </row>
    <row r="18" spans="2:8" x14ac:dyDescent="0.35">
      <c r="B18" s="55"/>
      <c r="C18" s="55"/>
      <c r="D18" s="56"/>
      <c r="E18" s="56"/>
      <c r="F18" s="56"/>
      <c r="G18" s="56" t="s">
        <v>210</v>
      </c>
      <c r="H18" s="56"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59" t="s">
        <v>238</v>
      </c>
      <c r="D34" s="56" t="s">
        <v>236</v>
      </c>
      <c r="E34" s="56" t="s">
        <v>241</v>
      </c>
      <c r="F34" s="56" t="s">
        <v>239</v>
      </c>
      <c r="G34" s="56" t="s">
        <v>240</v>
      </c>
      <c r="H34" s="56" t="s">
        <v>242</v>
      </c>
      <c r="J34" t="s">
        <v>196</v>
      </c>
      <c r="K34" t="s">
        <v>212</v>
      </c>
    </row>
    <row r="35" spans="3:11" x14ac:dyDescent="0.35">
      <c r="C35" s="55" t="s">
        <v>237</v>
      </c>
      <c r="D35" s="56" t="s">
        <v>172</v>
      </c>
      <c r="E35" s="56" t="s">
        <v>246</v>
      </c>
      <c r="F35" s="56" t="s">
        <v>248</v>
      </c>
      <c r="G35" s="56" t="s">
        <v>250</v>
      </c>
      <c r="H35" s="56"/>
    </row>
    <row r="36" spans="3:11" x14ac:dyDescent="0.35">
      <c r="C36" s="55"/>
      <c r="D36" s="56" t="s">
        <v>243</v>
      </c>
      <c r="E36" s="56" t="s">
        <v>247</v>
      </c>
      <c r="F36" s="56" t="s">
        <v>249</v>
      </c>
      <c r="G36" s="56" t="s">
        <v>251</v>
      </c>
      <c r="H36" s="56"/>
    </row>
    <row r="37" spans="3:11" x14ac:dyDescent="0.35">
      <c r="C37" s="55"/>
      <c r="D37" s="56" t="s">
        <v>244</v>
      </c>
      <c r="E37" s="56"/>
      <c r="F37" s="56"/>
      <c r="G37" s="56" t="s">
        <v>252</v>
      </c>
      <c r="H37" s="56"/>
    </row>
    <row r="38" spans="3:11" x14ac:dyDescent="0.35">
      <c r="C38" s="55"/>
      <c r="D38" s="56" t="s">
        <v>245</v>
      </c>
      <c r="E38" s="56"/>
      <c r="F38" s="56"/>
      <c r="G38" s="56" t="s">
        <v>252</v>
      </c>
      <c r="H38" s="56"/>
    </row>
    <row r="39" spans="3:11" x14ac:dyDescent="0.35">
      <c r="C39" s="55"/>
      <c r="D39" s="56"/>
      <c r="E39" s="56"/>
      <c r="F39" s="56"/>
      <c r="G39" s="56" t="s">
        <v>253</v>
      </c>
      <c r="H39" s="56"/>
    </row>
    <row r="40" spans="3:11" x14ac:dyDescent="0.35">
      <c r="C40" s="55"/>
      <c r="D40" s="56"/>
      <c r="E40" s="56"/>
      <c r="F40" s="56"/>
      <c r="G40" s="56" t="s">
        <v>254</v>
      </c>
      <c r="H40" s="56"/>
    </row>
    <row r="41" spans="3:11" x14ac:dyDescent="0.35">
      <c r="C41" s="55"/>
      <c r="D41" s="56"/>
      <c r="E41" s="56"/>
      <c r="F41" s="56"/>
      <c r="G41" s="56"/>
      <c r="H41" s="56"/>
    </row>
    <row r="43" spans="3:11" x14ac:dyDescent="0.35">
      <c r="C43" t="s">
        <v>255</v>
      </c>
    </row>
    <row r="44" spans="3:11" x14ac:dyDescent="0.35">
      <c r="C44" t="s">
        <v>174</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181</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196</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191</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60">
        <v>1</v>
      </c>
      <c r="C2" s="63" t="s">
        <v>285</v>
      </c>
    </row>
    <row r="3" spans="2:3" x14ac:dyDescent="0.35">
      <c r="B3" s="60">
        <v>2</v>
      </c>
      <c r="C3" s="61" t="s">
        <v>286</v>
      </c>
    </row>
    <row r="4" spans="2:3" x14ac:dyDescent="0.35">
      <c r="B4" s="60">
        <v>3</v>
      </c>
      <c r="C4" s="62" t="s">
        <v>287</v>
      </c>
    </row>
    <row r="5" spans="2:3" x14ac:dyDescent="0.35">
      <c r="B5" s="60">
        <v>4</v>
      </c>
      <c r="C5" s="61" t="s">
        <v>288</v>
      </c>
    </row>
    <row r="6" spans="2:3" x14ac:dyDescent="0.35">
      <c r="B6" s="60">
        <v>5</v>
      </c>
      <c r="C6" s="62" t="s">
        <v>289</v>
      </c>
    </row>
    <row r="7" spans="2:3" ht="29" x14ac:dyDescent="0.35">
      <c r="B7" s="60">
        <v>6</v>
      </c>
      <c r="C7" s="61" t="s">
        <v>290</v>
      </c>
    </row>
    <row r="8" spans="2:3" ht="72.5" x14ac:dyDescent="0.35">
      <c r="B8" s="60">
        <v>7</v>
      </c>
      <c r="C8" s="61" t="s">
        <v>291</v>
      </c>
    </row>
    <row r="9" spans="2:3" x14ac:dyDescent="0.35">
      <c r="B9" s="60">
        <v>8</v>
      </c>
      <c r="C9" s="62" t="s">
        <v>292</v>
      </c>
    </row>
    <row r="10" spans="2:3" x14ac:dyDescent="0.35">
      <c r="B10" s="60">
        <v>9</v>
      </c>
      <c r="C10" s="62" t="s">
        <v>293</v>
      </c>
    </row>
    <row r="11" spans="2:3" x14ac:dyDescent="0.35">
      <c r="B11" s="60">
        <v>10</v>
      </c>
      <c r="C11" s="62" t="s">
        <v>294</v>
      </c>
    </row>
    <row r="12" spans="2:3" x14ac:dyDescent="0.35">
      <c r="B12" s="60">
        <v>11</v>
      </c>
      <c r="C12" s="62" t="s">
        <v>295</v>
      </c>
    </row>
    <row r="13" spans="2:3" x14ac:dyDescent="0.35">
      <c r="B13" s="60">
        <v>12</v>
      </c>
      <c r="C13" s="62" t="s">
        <v>296</v>
      </c>
    </row>
    <row r="14" spans="2:3" x14ac:dyDescent="0.35">
      <c r="B14" s="60">
        <v>13</v>
      </c>
      <c r="C14" s="62" t="s">
        <v>297</v>
      </c>
    </row>
    <row r="15" spans="2:3" x14ac:dyDescent="0.35">
      <c r="B15" s="60">
        <v>14</v>
      </c>
      <c r="C15" s="62" t="s">
        <v>287</v>
      </c>
    </row>
    <row r="16" spans="2:3" x14ac:dyDescent="0.35">
      <c r="B16" s="60">
        <v>15</v>
      </c>
      <c r="C16" s="62" t="s">
        <v>299</v>
      </c>
    </row>
    <row r="17" spans="2:3" x14ac:dyDescent="0.35">
      <c r="B17" s="85">
        <v>16</v>
      </c>
      <c r="C17" s="68" t="s">
        <v>300</v>
      </c>
    </row>
    <row r="18" spans="2:3" x14ac:dyDescent="0.35">
      <c r="B18" s="67">
        <v>17</v>
      </c>
      <c r="C18" s="68" t="s">
        <v>301</v>
      </c>
    </row>
    <row r="19" spans="2:3" x14ac:dyDescent="0.35">
      <c r="B19" s="66">
        <v>18</v>
      </c>
      <c r="C19" s="60" t="s">
        <v>302</v>
      </c>
    </row>
    <row r="20" spans="2:3" x14ac:dyDescent="0.35">
      <c r="B20" s="67">
        <v>19</v>
      </c>
      <c r="C20" s="60" t="s">
        <v>338</v>
      </c>
    </row>
    <row r="21" spans="2:3" x14ac:dyDescent="0.35">
      <c r="B21" s="69">
        <v>20</v>
      </c>
      <c r="C21" s="60" t="s">
        <v>303</v>
      </c>
    </row>
    <row r="22" spans="2:3" x14ac:dyDescent="0.35">
      <c r="B22" s="67">
        <v>21</v>
      </c>
      <c r="C22" s="60" t="s">
        <v>302</v>
      </c>
    </row>
    <row r="23" spans="2:3" s="77" customFormat="1" ht="29.25" customHeight="1" x14ac:dyDescent="0.35">
      <c r="B23" s="76">
        <v>22</v>
      </c>
      <c r="C23" s="63" t="s">
        <v>330</v>
      </c>
    </row>
    <row r="24" spans="2:3" s="77" customFormat="1" ht="30.75" customHeight="1" x14ac:dyDescent="0.35">
      <c r="B24" s="78">
        <v>23</v>
      </c>
      <c r="C24" s="63" t="s">
        <v>331</v>
      </c>
    </row>
    <row r="25" spans="2:3" x14ac:dyDescent="0.35">
      <c r="B25" s="69">
        <v>24</v>
      </c>
      <c r="C25" s="60" t="s">
        <v>334</v>
      </c>
    </row>
    <row r="26" spans="2:3" x14ac:dyDescent="0.35">
      <c r="B26" s="67">
        <v>25</v>
      </c>
      <c r="C26" s="60" t="s">
        <v>332</v>
      </c>
    </row>
    <row r="27" spans="2:3" x14ac:dyDescent="0.35">
      <c r="B27" s="78">
        <v>26</v>
      </c>
      <c r="C27" s="69" t="s">
        <v>333</v>
      </c>
    </row>
    <row r="28" spans="2:3" x14ac:dyDescent="0.35">
      <c r="B28" s="79">
        <v>27</v>
      </c>
      <c r="C28" s="60" t="s">
        <v>335</v>
      </c>
    </row>
    <row r="29" spans="2:3" ht="43.5" x14ac:dyDescent="0.35">
      <c r="B29" s="84">
        <v>28</v>
      </c>
      <c r="C29" s="61" t="s">
        <v>336</v>
      </c>
    </row>
    <row r="30" spans="2:3" x14ac:dyDescent="0.35">
      <c r="B30" s="78">
        <v>29</v>
      </c>
      <c r="C30" s="60" t="s">
        <v>337</v>
      </c>
    </row>
    <row r="31" spans="2:3" ht="29" x14ac:dyDescent="0.35">
      <c r="B31" s="86">
        <v>30</v>
      </c>
      <c r="C31" s="61" t="s">
        <v>339</v>
      </c>
    </row>
    <row r="32" spans="2:3" x14ac:dyDescent="0.35">
      <c r="B32" s="78">
        <v>31</v>
      </c>
      <c r="C32" s="60" t="s">
        <v>340</v>
      </c>
    </row>
    <row r="33" spans="2:3" x14ac:dyDescent="0.35">
      <c r="B33" s="78">
        <v>32</v>
      </c>
      <c r="C33" s="60" t="s">
        <v>341</v>
      </c>
    </row>
    <row r="34" spans="2:3" ht="36.75" customHeight="1" x14ac:dyDescent="0.35">
      <c r="B34" s="86">
        <v>33</v>
      </c>
      <c r="C34" s="68" t="s">
        <v>342</v>
      </c>
    </row>
    <row r="35" spans="2:3" x14ac:dyDescent="0.35">
      <c r="B35" s="91">
        <v>34</v>
      </c>
      <c r="C35" s="60" t="s">
        <v>351</v>
      </c>
    </row>
    <row r="36" spans="2:3" ht="58" x14ac:dyDescent="0.35">
      <c r="B36" s="76">
        <v>35</v>
      </c>
      <c r="C36" s="61" t="s">
        <v>354</v>
      </c>
    </row>
    <row r="37" spans="2:3" x14ac:dyDescent="0.35">
      <c r="B37" s="60"/>
      <c r="C37" s="60"/>
    </row>
    <row r="38" spans="2:3" x14ac:dyDescent="0.35">
      <c r="B38" s="60"/>
      <c r="C38" s="60"/>
    </row>
    <row r="39" spans="2:3" x14ac:dyDescent="0.35">
      <c r="B39" s="60"/>
      <c r="C39" s="60"/>
    </row>
    <row r="40" spans="2:3" x14ac:dyDescent="0.35">
      <c r="B40" s="60"/>
      <c r="C40" s="60"/>
    </row>
    <row r="41" spans="2:3" x14ac:dyDescent="0.35">
      <c r="B41" s="60"/>
      <c r="C41" s="60"/>
    </row>
    <row r="42" spans="2:3" x14ac:dyDescent="0.35">
      <c r="B42" s="60"/>
      <c r="C42" s="60"/>
    </row>
    <row r="43" spans="2:3" x14ac:dyDescent="0.35">
      <c r="B43" s="60"/>
      <c r="C43" s="60"/>
    </row>
    <row r="44" spans="2:3" x14ac:dyDescent="0.35">
      <c r="B44" s="60"/>
      <c r="C44"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5"/>
    <col min="2" max="2" width="12.26953125" style="55" customWidth="1"/>
    <col min="3" max="16384" width="9.1796875" style="55"/>
  </cols>
  <sheetData>
    <row r="2" spans="1:12" x14ac:dyDescent="0.35">
      <c r="B2" s="70" t="s">
        <v>304</v>
      </c>
      <c r="C2" s="276"/>
      <c r="D2" s="276"/>
    </row>
    <row r="3" spans="1:12" x14ac:dyDescent="0.35">
      <c r="D3" s="71"/>
      <c r="E3" s="71"/>
      <c r="F3" s="71"/>
      <c r="G3" s="71"/>
      <c r="H3" s="71"/>
      <c r="I3" s="71"/>
    </row>
    <row r="4" spans="1:12" x14ac:dyDescent="0.35">
      <c r="A4" s="70" t="s">
        <v>66</v>
      </c>
      <c r="B4" s="72" t="s">
        <v>305</v>
      </c>
      <c r="C4" s="277" t="s">
        <v>306</v>
      </c>
      <c r="D4" s="277"/>
      <c r="E4" s="277"/>
      <c r="F4" s="72"/>
      <c r="G4" s="278" t="s">
        <v>307</v>
      </c>
      <c r="H4" s="278"/>
      <c r="I4" s="278"/>
      <c r="J4" s="279" t="s">
        <v>308</v>
      </c>
      <c r="K4" s="279"/>
      <c r="L4" s="279"/>
    </row>
    <row r="5" spans="1:12" x14ac:dyDescent="0.35">
      <c r="A5" s="70"/>
      <c r="B5" s="72"/>
      <c r="C5" s="72" t="s">
        <v>309</v>
      </c>
      <c r="D5" s="72" t="s">
        <v>310</v>
      </c>
      <c r="E5" s="72" t="s">
        <v>311</v>
      </c>
      <c r="F5" s="72"/>
      <c r="G5" s="72" t="s">
        <v>309</v>
      </c>
      <c r="H5" s="72" t="s">
        <v>310</v>
      </c>
      <c r="I5" s="72" t="s">
        <v>311</v>
      </c>
      <c r="J5" s="72" t="s">
        <v>309</v>
      </c>
      <c r="K5" s="72" t="s">
        <v>310</v>
      </c>
      <c r="L5" s="72" t="s">
        <v>311</v>
      </c>
    </row>
    <row r="6" spans="1:12" x14ac:dyDescent="0.35">
      <c r="B6" s="56" t="s">
        <v>312</v>
      </c>
      <c r="C6" s="56"/>
      <c r="D6" s="56"/>
      <c r="E6" s="56">
        <f>C6*D6</f>
        <v>0</v>
      </c>
      <c r="F6" s="56" t="s">
        <v>329</v>
      </c>
      <c r="G6" s="56"/>
      <c r="H6" s="56"/>
      <c r="I6" s="56">
        <f>G6*H6</f>
        <v>0</v>
      </c>
      <c r="J6" s="56"/>
      <c r="K6" s="56"/>
      <c r="L6" s="56">
        <f>J6*K6</f>
        <v>0</v>
      </c>
    </row>
    <row r="7" spans="1:12" x14ac:dyDescent="0.35">
      <c r="B7" s="56"/>
      <c r="C7" s="56"/>
      <c r="D7" s="56"/>
      <c r="E7" s="56">
        <f t="shared" ref="E7:E41" si="0">C7*D7</f>
        <v>0</v>
      </c>
      <c r="F7" s="56" t="s">
        <v>329</v>
      </c>
      <c r="G7" s="56"/>
      <c r="H7" s="56"/>
      <c r="I7" s="56">
        <f t="shared" ref="I7:I35" si="1">G7*H7</f>
        <v>0</v>
      </c>
      <c r="J7" s="56"/>
      <c r="K7" s="56"/>
      <c r="L7" s="56">
        <f t="shared" ref="L7:L35" si="2">J7*K7</f>
        <v>0</v>
      </c>
    </row>
    <row r="8" spans="1:12" x14ac:dyDescent="0.35">
      <c r="B8" s="56"/>
      <c r="C8" s="56"/>
      <c r="D8" s="56"/>
      <c r="E8" s="56">
        <f t="shared" si="0"/>
        <v>0</v>
      </c>
      <c r="F8" s="56"/>
      <c r="G8" s="56"/>
      <c r="H8" s="56"/>
      <c r="I8" s="56">
        <f t="shared" si="1"/>
        <v>0</v>
      </c>
      <c r="J8" s="56"/>
      <c r="K8" s="56"/>
      <c r="L8" s="56">
        <f t="shared" si="2"/>
        <v>0</v>
      </c>
    </row>
    <row r="9" spans="1:12" x14ac:dyDescent="0.35">
      <c r="B9" s="56"/>
      <c r="C9" s="56"/>
      <c r="D9" s="56"/>
      <c r="E9" s="56">
        <f t="shared" si="0"/>
        <v>0</v>
      </c>
      <c r="F9" s="56" t="s">
        <v>313</v>
      </c>
      <c r="G9" s="56"/>
      <c r="H9" s="56"/>
      <c r="I9" s="56">
        <f t="shared" si="1"/>
        <v>0</v>
      </c>
      <c r="J9" s="56"/>
      <c r="K9" s="56"/>
      <c r="L9" s="56">
        <f t="shared" si="2"/>
        <v>0</v>
      </c>
    </row>
    <row r="10" spans="1:12" x14ac:dyDescent="0.35">
      <c r="B10" s="56" t="s">
        <v>314</v>
      </c>
      <c r="C10" s="56"/>
      <c r="D10" s="56"/>
      <c r="E10" s="56">
        <f t="shared" si="0"/>
        <v>0</v>
      </c>
      <c r="F10" s="56" t="s">
        <v>313</v>
      </c>
      <c r="G10" s="56"/>
      <c r="H10" s="56"/>
      <c r="I10" s="56">
        <f t="shared" si="1"/>
        <v>0</v>
      </c>
      <c r="J10" s="56"/>
      <c r="K10" s="56"/>
      <c r="L10" s="56">
        <f t="shared" si="2"/>
        <v>0</v>
      </c>
    </row>
    <row r="11" spans="1:12" x14ac:dyDescent="0.35">
      <c r="B11" s="56"/>
      <c r="C11" s="56"/>
      <c r="D11" s="56"/>
      <c r="E11" s="56">
        <f t="shared" si="0"/>
        <v>0</v>
      </c>
      <c r="F11" s="56" t="s">
        <v>315</v>
      </c>
      <c r="G11" s="56"/>
      <c r="H11" s="56"/>
      <c r="I11" s="56">
        <f t="shared" si="1"/>
        <v>0</v>
      </c>
      <c r="J11" s="56"/>
      <c r="K11" s="56"/>
      <c r="L11" s="56">
        <f t="shared" si="2"/>
        <v>0</v>
      </c>
    </row>
    <row r="12" spans="1:12" x14ac:dyDescent="0.35">
      <c r="B12" s="56"/>
      <c r="C12" s="56"/>
      <c r="D12" s="56"/>
      <c r="E12" s="56">
        <f t="shared" si="0"/>
        <v>0</v>
      </c>
      <c r="F12" s="56"/>
      <c r="G12" s="56"/>
      <c r="H12" s="56"/>
      <c r="I12" s="56">
        <f t="shared" si="1"/>
        <v>0</v>
      </c>
      <c r="J12" s="56"/>
      <c r="K12" s="56"/>
      <c r="L12" s="56">
        <f t="shared" si="2"/>
        <v>0</v>
      </c>
    </row>
    <row r="13" spans="1:12" x14ac:dyDescent="0.35">
      <c r="B13" s="56"/>
      <c r="C13" s="56"/>
      <c r="D13" s="56"/>
      <c r="E13" s="56">
        <f t="shared" si="0"/>
        <v>0</v>
      </c>
      <c r="F13" s="56"/>
      <c r="G13" s="56"/>
      <c r="H13" s="56"/>
      <c r="I13" s="56">
        <f t="shared" si="1"/>
        <v>0</v>
      </c>
      <c r="J13" s="56"/>
      <c r="K13" s="56"/>
      <c r="L13" s="56">
        <f t="shared" si="2"/>
        <v>0</v>
      </c>
    </row>
    <row r="14" spans="1:12" x14ac:dyDescent="0.35">
      <c r="B14" s="56" t="s">
        <v>316</v>
      </c>
      <c r="C14" s="56"/>
      <c r="D14" s="56"/>
      <c r="E14" s="56">
        <f t="shared" si="0"/>
        <v>0</v>
      </c>
      <c r="F14" s="56" t="s">
        <v>313</v>
      </c>
      <c r="G14" s="56"/>
      <c r="H14" s="56"/>
      <c r="I14" s="56">
        <f t="shared" si="1"/>
        <v>0</v>
      </c>
      <c r="J14" s="56"/>
      <c r="K14" s="56"/>
      <c r="L14" s="56">
        <f t="shared" si="2"/>
        <v>0</v>
      </c>
    </row>
    <row r="15" spans="1:12" x14ac:dyDescent="0.35">
      <c r="B15" s="56"/>
      <c r="C15" s="56"/>
      <c r="D15" s="56"/>
      <c r="E15" s="56">
        <f t="shared" si="0"/>
        <v>0</v>
      </c>
      <c r="F15" s="56" t="s">
        <v>315</v>
      </c>
      <c r="G15" s="56"/>
      <c r="H15" s="56"/>
      <c r="I15" s="56">
        <f t="shared" si="1"/>
        <v>0</v>
      </c>
      <c r="J15" s="56"/>
      <c r="K15" s="56"/>
      <c r="L15" s="56">
        <f t="shared" si="2"/>
        <v>0</v>
      </c>
    </row>
    <row r="16" spans="1:12" x14ac:dyDescent="0.35">
      <c r="B16" s="56"/>
      <c r="C16" s="56"/>
      <c r="D16" s="56"/>
      <c r="E16" s="56">
        <f t="shared" si="0"/>
        <v>0</v>
      </c>
      <c r="F16" s="56"/>
      <c r="G16" s="56"/>
      <c r="H16" s="56"/>
      <c r="I16" s="56">
        <f t="shared" si="1"/>
        <v>0</v>
      </c>
      <c r="J16" s="56"/>
      <c r="K16" s="56"/>
      <c r="L16" s="56">
        <f t="shared" si="2"/>
        <v>0</v>
      </c>
    </row>
    <row r="17" spans="2:12" x14ac:dyDescent="0.35">
      <c r="B17" s="56"/>
      <c r="C17" s="56"/>
      <c r="D17" s="56"/>
      <c r="E17" s="56">
        <f t="shared" si="0"/>
        <v>0</v>
      </c>
      <c r="F17" s="56"/>
      <c r="G17" s="56"/>
      <c r="H17" s="56"/>
      <c r="I17" s="56">
        <f t="shared" si="1"/>
        <v>0</v>
      </c>
      <c r="J17" s="56"/>
      <c r="K17" s="56"/>
      <c r="L17" s="56">
        <f t="shared" si="2"/>
        <v>0</v>
      </c>
    </row>
    <row r="18" spans="2:12" x14ac:dyDescent="0.35">
      <c r="B18" s="56" t="s">
        <v>317</v>
      </c>
      <c r="C18" s="56"/>
      <c r="D18" s="56"/>
      <c r="E18" s="56">
        <f t="shared" si="0"/>
        <v>0</v>
      </c>
      <c r="F18" s="56" t="s">
        <v>313</v>
      </c>
      <c r="G18" s="56"/>
      <c r="H18" s="56"/>
      <c r="I18" s="56">
        <f t="shared" si="1"/>
        <v>0</v>
      </c>
      <c r="J18" s="56"/>
      <c r="K18" s="56"/>
      <c r="L18" s="56">
        <f t="shared" si="2"/>
        <v>0</v>
      </c>
    </row>
    <row r="19" spans="2:12" x14ac:dyDescent="0.35">
      <c r="B19" s="56"/>
      <c r="C19" s="56"/>
      <c r="D19" s="56"/>
      <c r="E19" s="56">
        <f t="shared" si="0"/>
        <v>0</v>
      </c>
      <c r="F19" s="56" t="s">
        <v>315</v>
      </c>
      <c r="G19" s="56"/>
      <c r="H19" s="56"/>
      <c r="I19" s="56">
        <f t="shared" si="1"/>
        <v>0</v>
      </c>
      <c r="J19" s="56"/>
      <c r="K19" s="56"/>
      <c r="L19" s="56">
        <f t="shared" si="2"/>
        <v>0</v>
      </c>
    </row>
    <row r="20" spans="2:12" x14ac:dyDescent="0.35">
      <c r="B20" s="56"/>
      <c r="C20" s="56"/>
      <c r="D20" s="56"/>
      <c r="E20" s="56">
        <f t="shared" si="0"/>
        <v>0</v>
      </c>
      <c r="F20" s="56"/>
      <c r="G20" s="56"/>
      <c r="H20" s="56"/>
      <c r="I20" s="56">
        <f t="shared" si="1"/>
        <v>0</v>
      </c>
      <c r="J20" s="56"/>
      <c r="K20" s="56"/>
      <c r="L20" s="56">
        <f t="shared" si="2"/>
        <v>0</v>
      </c>
    </row>
    <row r="21" spans="2:12" x14ac:dyDescent="0.35">
      <c r="B21" s="56" t="s">
        <v>318</v>
      </c>
      <c r="C21" s="56"/>
      <c r="D21" s="56"/>
      <c r="E21" s="56">
        <f t="shared" si="0"/>
        <v>0</v>
      </c>
      <c r="F21" s="56" t="s">
        <v>313</v>
      </c>
      <c r="G21" s="56"/>
      <c r="H21" s="56"/>
      <c r="I21" s="56">
        <f t="shared" si="1"/>
        <v>0</v>
      </c>
      <c r="J21" s="56"/>
      <c r="K21" s="56"/>
      <c r="L21" s="56">
        <f t="shared" si="2"/>
        <v>0</v>
      </c>
    </row>
    <row r="22" spans="2:12" x14ac:dyDescent="0.35">
      <c r="B22" s="56"/>
      <c r="C22" s="56"/>
      <c r="D22" s="56"/>
      <c r="E22" s="56">
        <f t="shared" si="0"/>
        <v>0</v>
      </c>
      <c r="F22" s="56" t="s">
        <v>315</v>
      </c>
      <c r="G22" s="56"/>
      <c r="H22" s="56"/>
      <c r="I22" s="56">
        <f t="shared" si="1"/>
        <v>0</v>
      </c>
      <c r="J22" s="56"/>
      <c r="K22" s="56"/>
      <c r="L22" s="56">
        <f t="shared" si="2"/>
        <v>0</v>
      </c>
    </row>
    <row r="23" spans="2:12" x14ac:dyDescent="0.35">
      <c r="B23" s="56"/>
      <c r="C23" s="56"/>
      <c r="D23" s="56"/>
      <c r="E23" s="56">
        <f t="shared" si="0"/>
        <v>0</v>
      </c>
      <c r="F23" s="56"/>
      <c r="G23" s="56"/>
      <c r="H23" s="56"/>
      <c r="I23" s="56">
        <f t="shared" si="1"/>
        <v>0</v>
      </c>
      <c r="J23" s="56"/>
      <c r="K23" s="56"/>
      <c r="L23" s="56">
        <f t="shared" si="2"/>
        <v>0</v>
      </c>
    </row>
    <row r="24" spans="2:12" x14ac:dyDescent="0.35">
      <c r="B24" s="56" t="s">
        <v>319</v>
      </c>
      <c r="C24" s="56"/>
      <c r="D24" s="56"/>
      <c r="E24" s="56">
        <f t="shared" si="0"/>
        <v>0</v>
      </c>
      <c r="F24" s="56" t="s">
        <v>320</v>
      </c>
      <c r="G24" s="56"/>
      <c r="H24" s="56"/>
      <c r="I24" s="56">
        <f t="shared" si="1"/>
        <v>0</v>
      </c>
      <c r="J24" s="56"/>
      <c r="K24" s="56"/>
      <c r="L24" s="56">
        <f t="shared" si="2"/>
        <v>0</v>
      </c>
    </row>
    <row r="25" spans="2:12" x14ac:dyDescent="0.35">
      <c r="B25" s="56"/>
      <c r="C25" s="56"/>
      <c r="D25" s="56"/>
      <c r="E25" s="56">
        <f>C25*D25</f>
        <v>0</v>
      </c>
      <c r="F25" s="56" t="s">
        <v>320</v>
      </c>
      <c r="G25" s="56"/>
      <c r="H25" s="56"/>
      <c r="I25" s="56">
        <f>G25*H25</f>
        <v>0</v>
      </c>
      <c r="J25" s="56"/>
      <c r="K25" s="56"/>
      <c r="L25" s="56">
        <f>J25*K25</f>
        <v>0</v>
      </c>
    </row>
    <row r="26" spans="2:12" x14ac:dyDescent="0.35">
      <c r="B26" s="56"/>
      <c r="C26" s="56"/>
      <c r="D26" s="56"/>
      <c r="E26" s="56">
        <f>C26*D26</f>
        <v>0</v>
      </c>
      <c r="F26" s="56" t="s">
        <v>320</v>
      </c>
      <c r="G26" s="56"/>
      <c r="H26" s="56"/>
      <c r="I26" s="56">
        <f>G26*H26</f>
        <v>0</v>
      </c>
      <c r="J26" s="56"/>
      <c r="K26" s="56"/>
      <c r="L26" s="56">
        <f>J26*K26</f>
        <v>0</v>
      </c>
    </row>
    <row r="27" spans="2:12" x14ac:dyDescent="0.35">
      <c r="B27" s="56"/>
      <c r="C27" s="56"/>
      <c r="D27" s="56"/>
      <c r="E27" s="56">
        <f>C27*D27</f>
        <v>0</v>
      </c>
      <c r="F27" s="56" t="s">
        <v>320</v>
      </c>
      <c r="G27" s="56"/>
      <c r="H27" s="56"/>
      <c r="I27" s="56">
        <f>G27*H27</f>
        <v>0</v>
      </c>
      <c r="J27" s="56"/>
      <c r="K27" s="56"/>
      <c r="L27" s="56">
        <f>J27*K27</f>
        <v>0</v>
      </c>
    </row>
    <row r="28" spans="2:12" x14ac:dyDescent="0.35">
      <c r="B28" s="56" t="s">
        <v>321</v>
      </c>
      <c r="C28" s="56"/>
      <c r="D28" s="56"/>
      <c r="E28" s="56">
        <f t="shared" si="0"/>
        <v>0</v>
      </c>
      <c r="F28" s="56" t="s">
        <v>320</v>
      </c>
      <c r="G28" s="56"/>
      <c r="H28" s="56"/>
      <c r="I28" s="56">
        <f t="shared" si="1"/>
        <v>0</v>
      </c>
      <c r="J28" s="56"/>
      <c r="K28" s="56"/>
      <c r="L28" s="56">
        <f t="shared" si="2"/>
        <v>0</v>
      </c>
    </row>
    <row r="29" spans="2:12" x14ac:dyDescent="0.35">
      <c r="B29" s="56" t="s">
        <v>322</v>
      </c>
      <c r="C29" s="56"/>
      <c r="D29" s="56"/>
      <c r="E29" s="56">
        <f t="shared" si="0"/>
        <v>0</v>
      </c>
      <c r="F29" s="56" t="s">
        <v>320</v>
      </c>
      <c r="G29" s="56"/>
      <c r="H29" s="56"/>
      <c r="I29" s="56">
        <f t="shared" si="1"/>
        <v>0</v>
      </c>
      <c r="J29" s="56"/>
      <c r="K29" s="56"/>
      <c r="L29" s="56">
        <f t="shared" si="2"/>
        <v>0</v>
      </c>
    </row>
    <row r="30" spans="2:12" x14ac:dyDescent="0.35">
      <c r="B30" s="56" t="s">
        <v>326</v>
      </c>
      <c r="C30" s="56"/>
      <c r="D30" s="56"/>
      <c r="E30" s="56">
        <f t="shared" si="0"/>
        <v>0</v>
      </c>
      <c r="F30" s="56"/>
      <c r="G30" s="56"/>
      <c r="H30" s="56"/>
      <c r="I30" s="56">
        <f t="shared" si="1"/>
        <v>0</v>
      </c>
      <c r="J30" s="56"/>
      <c r="K30" s="56"/>
      <c r="L30" s="56">
        <f t="shared" si="2"/>
        <v>0</v>
      </c>
    </row>
    <row r="31" spans="2:12" x14ac:dyDescent="0.35">
      <c r="B31" s="56"/>
      <c r="C31" s="56"/>
      <c r="D31" s="56"/>
      <c r="E31" s="56">
        <f>C31*D31</f>
        <v>0</v>
      </c>
      <c r="F31" s="56"/>
      <c r="G31" s="56"/>
      <c r="H31" s="56"/>
      <c r="I31" s="56">
        <f>G31*H31</f>
        <v>0</v>
      </c>
      <c r="J31" s="56"/>
      <c r="K31" s="56"/>
      <c r="L31" s="56">
        <f>J31*K31</f>
        <v>0</v>
      </c>
    </row>
    <row r="32" spans="2:12" x14ac:dyDescent="0.35">
      <c r="B32" s="56"/>
      <c r="C32" s="56"/>
      <c r="D32" s="56"/>
      <c r="E32" s="56">
        <f>C32*D32</f>
        <v>0</v>
      </c>
      <c r="F32" s="56"/>
      <c r="G32" s="56"/>
      <c r="H32" s="56"/>
      <c r="I32" s="56">
        <f>G32*H32</f>
        <v>0</v>
      </c>
      <c r="J32" s="56"/>
      <c r="K32" s="56"/>
      <c r="L32" s="56">
        <f>J32*K32</f>
        <v>0</v>
      </c>
    </row>
    <row r="33" spans="2:12" x14ac:dyDescent="0.35">
      <c r="B33" s="56" t="s">
        <v>323</v>
      </c>
      <c r="C33" s="56"/>
      <c r="D33" s="56"/>
      <c r="E33" s="56">
        <f t="shared" si="0"/>
        <v>0</v>
      </c>
      <c r="F33" s="56"/>
      <c r="G33" s="56"/>
      <c r="H33" s="56"/>
      <c r="I33" s="56">
        <f t="shared" si="1"/>
        <v>0</v>
      </c>
      <c r="J33" s="56"/>
      <c r="K33" s="56"/>
      <c r="L33" s="56">
        <f t="shared" si="2"/>
        <v>0</v>
      </c>
    </row>
    <row r="34" spans="2:12" x14ac:dyDescent="0.35">
      <c r="B34" s="56" t="s">
        <v>327</v>
      </c>
      <c r="C34" s="56"/>
      <c r="D34" s="56"/>
      <c r="E34" s="56">
        <f t="shared" si="0"/>
        <v>0</v>
      </c>
      <c r="F34" s="56"/>
      <c r="G34" s="56"/>
      <c r="H34" s="56"/>
      <c r="I34" s="56">
        <f t="shared" si="1"/>
        <v>0</v>
      </c>
      <c r="J34" s="56"/>
      <c r="K34" s="56"/>
      <c r="L34" s="56">
        <f t="shared" si="2"/>
        <v>0</v>
      </c>
    </row>
    <row r="35" spans="2:12" x14ac:dyDescent="0.35">
      <c r="B35" s="56" t="s">
        <v>324</v>
      </c>
      <c r="C35" s="56"/>
      <c r="D35" s="56"/>
      <c r="E35" s="56">
        <f t="shared" si="0"/>
        <v>0</v>
      </c>
      <c r="F35" s="56"/>
      <c r="G35" s="56"/>
      <c r="H35" s="56"/>
      <c r="I35" s="56">
        <f t="shared" si="1"/>
        <v>0</v>
      </c>
      <c r="J35" s="56"/>
      <c r="K35" s="56"/>
      <c r="L35" s="56">
        <f t="shared" si="2"/>
        <v>0</v>
      </c>
    </row>
    <row r="36" spans="2:12" x14ac:dyDescent="0.35">
      <c r="B36" s="56" t="s">
        <v>325</v>
      </c>
      <c r="C36" s="56"/>
      <c r="D36" s="56"/>
      <c r="E36" s="56">
        <f t="shared" si="0"/>
        <v>0</v>
      </c>
      <c r="F36" s="56"/>
      <c r="G36" s="56"/>
      <c r="H36" s="56"/>
      <c r="I36" s="56">
        <f t="shared" ref="I36:I41" si="3">G36*H36</f>
        <v>0</v>
      </c>
      <c r="J36" s="56"/>
      <c r="K36" s="56"/>
      <c r="L36" s="56">
        <f t="shared" ref="L36:L41" si="4">J36*K36</f>
        <v>0</v>
      </c>
    </row>
    <row r="37" spans="2:12" x14ac:dyDescent="0.35">
      <c r="B37" s="56"/>
      <c r="C37" s="56"/>
      <c r="D37" s="56"/>
      <c r="E37" s="56">
        <f>C37*D37</f>
        <v>0</v>
      </c>
      <c r="F37" s="56"/>
      <c r="G37" s="56"/>
      <c r="H37" s="56"/>
      <c r="I37" s="56">
        <f t="shared" si="3"/>
        <v>0</v>
      </c>
      <c r="J37" s="56"/>
      <c r="K37" s="56"/>
      <c r="L37" s="56">
        <f t="shared" si="4"/>
        <v>0</v>
      </c>
    </row>
    <row r="38" spans="2:12" x14ac:dyDescent="0.35">
      <c r="B38" s="56" t="s">
        <v>328</v>
      </c>
      <c r="C38" s="56"/>
      <c r="D38" s="56"/>
      <c r="E38" s="56">
        <f>C38*D38</f>
        <v>0</v>
      </c>
      <c r="F38" s="56"/>
      <c r="G38" s="56"/>
      <c r="H38" s="56"/>
      <c r="I38" s="56">
        <f t="shared" si="3"/>
        <v>0</v>
      </c>
      <c r="J38" s="56"/>
      <c r="K38" s="56"/>
      <c r="L38" s="56">
        <f t="shared" si="4"/>
        <v>0</v>
      </c>
    </row>
    <row r="39" spans="2:12" x14ac:dyDescent="0.35">
      <c r="B39" s="56"/>
      <c r="C39" s="56"/>
      <c r="D39" s="56"/>
      <c r="E39" s="56">
        <f t="shared" si="0"/>
        <v>0</v>
      </c>
      <c r="F39" s="56"/>
      <c r="G39" s="56"/>
      <c r="H39" s="56"/>
      <c r="I39" s="56">
        <f t="shared" si="3"/>
        <v>0</v>
      </c>
      <c r="J39" s="56"/>
      <c r="K39" s="56"/>
      <c r="L39" s="56">
        <f t="shared" si="4"/>
        <v>0</v>
      </c>
    </row>
    <row r="40" spans="2:12" x14ac:dyDescent="0.35">
      <c r="B40" s="56"/>
      <c r="C40" s="56"/>
      <c r="D40" s="56"/>
      <c r="E40" s="56">
        <f t="shared" si="0"/>
        <v>0</v>
      </c>
      <c r="F40" s="56"/>
      <c r="G40" s="56"/>
      <c r="H40" s="56"/>
      <c r="I40" s="56">
        <f t="shared" si="3"/>
        <v>0</v>
      </c>
      <c r="J40" s="56"/>
      <c r="K40" s="56"/>
      <c r="L40" s="56">
        <f t="shared" si="4"/>
        <v>0</v>
      </c>
    </row>
    <row r="41" spans="2:12" x14ac:dyDescent="0.35">
      <c r="B41" s="56"/>
      <c r="C41" s="56"/>
      <c r="D41" s="56"/>
      <c r="E41" s="56">
        <f t="shared" si="0"/>
        <v>0</v>
      </c>
      <c r="F41" s="56"/>
      <c r="G41" s="56"/>
      <c r="H41" s="56"/>
      <c r="I41" s="56">
        <f t="shared" si="3"/>
        <v>0</v>
      </c>
      <c r="J41" s="56"/>
      <c r="K41" s="56"/>
      <c r="L41" s="56">
        <f t="shared" si="4"/>
        <v>0</v>
      </c>
    </row>
    <row r="42" spans="2:12" x14ac:dyDescent="0.35">
      <c r="B42" s="56" t="s">
        <v>151</v>
      </c>
      <c r="C42" s="56"/>
      <c r="D42" s="56">
        <f>E42*10.764</f>
        <v>0</v>
      </c>
      <c r="E42" s="75">
        <f>SUM(E6:E41)</f>
        <v>0</v>
      </c>
      <c r="F42" s="56"/>
      <c r="G42" s="56"/>
      <c r="H42" s="56">
        <f>I42*10.764</f>
        <v>0</v>
      </c>
      <c r="I42" s="74">
        <f>SUM(I6:I41)</f>
        <v>0</v>
      </c>
      <c r="J42" s="56"/>
      <c r="K42" s="56">
        <f>L42*10.764</f>
        <v>0</v>
      </c>
      <c r="L42" s="73">
        <f>SUM(L6:L41)</f>
        <v>0</v>
      </c>
    </row>
    <row r="44" spans="2:12" x14ac:dyDescent="0.3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2025-01-13T12:41:52Z</cp:lastPrinted>
  <dcterms:created xsi:type="dcterms:W3CDTF">2019-07-16T09:29:46Z</dcterms:created>
  <dcterms:modified xsi:type="dcterms:W3CDTF">2025-09-12T06:52:14Z</dcterms:modified>
</cp:coreProperties>
</file>