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Z:\APF\25-26\Sep 2025\AXIS\New\Gaurav\Classic Sapphire\"/>
    </mc:Choice>
  </mc:AlternateContent>
  <bookViews>
    <workbookView xWindow="-120" yWindow="-120" windowWidth="20730" windowHeight="11160" tabRatio="725"/>
  </bookViews>
  <sheets>
    <sheet name="Report" sheetId="1" r:id="rId1"/>
    <sheet name="valuation" sheetId="5" r:id="rId2"/>
    <sheet name="Research" sheetId="4" r:id="rId3"/>
    <sheet name="Remarks" sheetId="6" r:id="rId4"/>
    <sheet name="Area Calculation" sheetId="7" r:id="rId5"/>
  </sheets>
  <definedNames>
    <definedName name="_xlnm.Print_Area" localSheetId="0">Report!$A$1:$H$344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155" i="1" l="1"/>
  <c r="J155" i="1"/>
  <c r="L155" i="1" s="1"/>
  <c r="J157" i="1"/>
  <c r="L157" i="1" s="1"/>
  <c r="J162" i="1"/>
  <c r="L162" i="1" s="1"/>
  <c r="J168" i="1"/>
  <c r="L168" i="1" s="1"/>
  <c r="J174" i="1"/>
  <c r="L174" i="1" s="1"/>
  <c r="J180" i="1"/>
  <c r="L180" i="1" s="1"/>
  <c r="J154" i="1"/>
  <c r="L154" i="1" s="1"/>
  <c r="I154" i="1"/>
  <c r="J151" i="1"/>
  <c r="E156" i="1"/>
  <c r="E155" i="1" l="1"/>
  <c r="E154" i="1"/>
  <c r="I150" i="1"/>
  <c r="D154" i="1"/>
  <c r="R187" i="1"/>
  <c r="Q187" i="1"/>
  <c r="R186" i="1"/>
  <c r="Q186" i="1"/>
  <c r="P189" i="1"/>
  <c r="O189" i="1"/>
  <c r="R158" i="1"/>
  <c r="Q158" i="1"/>
  <c r="R157" i="1"/>
  <c r="Q157" i="1"/>
  <c r="R156" i="1"/>
  <c r="Q156" i="1"/>
  <c r="D155" i="1"/>
  <c r="D156" i="1"/>
  <c r="F156" i="1"/>
  <c r="H156" i="1" s="1"/>
  <c r="I136" i="1"/>
  <c r="I135" i="1"/>
  <c r="I134" i="1"/>
  <c r="D152" i="1"/>
  <c r="F152" i="1" s="1"/>
  <c r="H152" i="1" s="1"/>
  <c r="I152" i="1"/>
  <c r="I151" i="1"/>
  <c r="J152" i="1"/>
  <c r="M149" i="1"/>
  <c r="J150" i="1"/>
  <c r="A155" i="1"/>
  <c r="A156" i="1" s="1"/>
  <c r="E43" i="1"/>
  <c r="I156" i="1" l="1"/>
  <c r="J156" i="1"/>
  <c r="L156" i="1" s="1"/>
  <c r="K151" i="1"/>
  <c r="L151" i="1" s="1"/>
  <c r="C136" i="1"/>
  <c r="C137" i="1" s="1"/>
  <c r="K150" i="1"/>
  <c r="L150" i="1" s="1"/>
  <c r="F155" i="1"/>
  <c r="H155" i="1" s="1"/>
  <c r="F154" i="1"/>
  <c r="H154" i="1" s="1"/>
  <c r="K152" i="1"/>
  <c r="L152" i="1" s="1"/>
  <c r="C74" i="1"/>
  <c r="E136" i="1" l="1"/>
  <c r="E137" i="1" s="1"/>
  <c r="G136" i="1"/>
  <c r="G137" i="1" s="1"/>
  <c r="F144" i="1"/>
  <c r="B38" i="6"/>
  <c r="B39" i="6" s="1"/>
  <c r="B40" i="6" s="1"/>
  <c r="B41" i="6" s="1"/>
  <c r="B42" i="6" s="1"/>
  <c r="B43" i="6" s="1"/>
  <c r="B44" i="6" s="1"/>
  <c r="B45" i="6" s="1"/>
  <c r="B46" i="6" s="1"/>
  <c r="B47" i="6" s="1"/>
  <c r="B48" i="6" s="1"/>
  <c r="B49" i="6" s="1"/>
  <c r="B50" i="6" s="1"/>
  <c r="B51" i="6" s="1"/>
  <c r="B52" i="6" s="1"/>
  <c r="B53" i="6" s="1"/>
  <c r="B54" i="6" s="1"/>
  <c r="H144" i="1" l="1"/>
  <c r="L41" i="7" l="1"/>
  <c r="I41" i="7"/>
  <c r="E41" i="7"/>
  <c r="L40" i="7"/>
  <c r="I40" i="7"/>
  <c r="E40" i="7"/>
  <c r="L39" i="7"/>
  <c r="I39" i="7"/>
  <c r="E39" i="7"/>
  <c r="L38" i="7"/>
  <c r="I38" i="7"/>
  <c r="E38" i="7"/>
  <c r="L37" i="7"/>
  <c r="I37" i="7"/>
  <c r="E37" i="7"/>
  <c r="L36" i="7"/>
  <c r="I36" i="7"/>
  <c r="E36" i="7"/>
  <c r="L35" i="7"/>
  <c r="I35" i="7"/>
  <c r="E35" i="7"/>
  <c r="L34" i="7"/>
  <c r="I34" i="7"/>
  <c r="E34" i="7"/>
  <c r="L33" i="7"/>
  <c r="I33" i="7"/>
  <c r="E33" i="7"/>
  <c r="L32" i="7"/>
  <c r="I32" i="7"/>
  <c r="E32" i="7"/>
  <c r="L31" i="7"/>
  <c r="I31" i="7"/>
  <c r="E31" i="7"/>
  <c r="L30" i="7"/>
  <c r="I30" i="7"/>
  <c r="E30" i="7"/>
  <c r="L29" i="7"/>
  <c r="I29" i="7"/>
  <c r="E29" i="7"/>
  <c r="L28" i="7"/>
  <c r="I28" i="7"/>
  <c r="E28" i="7"/>
  <c r="L27" i="7"/>
  <c r="I27" i="7"/>
  <c r="E27" i="7"/>
  <c r="L26" i="7"/>
  <c r="I26" i="7"/>
  <c r="E26" i="7"/>
  <c r="L25" i="7"/>
  <c r="I25" i="7"/>
  <c r="E25" i="7"/>
  <c r="L24" i="7"/>
  <c r="I24" i="7"/>
  <c r="E24" i="7"/>
  <c r="L23" i="7"/>
  <c r="I23" i="7"/>
  <c r="E23" i="7"/>
  <c r="L22" i="7"/>
  <c r="I22" i="7"/>
  <c r="E22" i="7"/>
  <c r="L21" i="7"/>
  <c r="I21" i="7"/>
  <c r="E21" i="7"/>
  <c r="L20" i="7"/>
  <c r="I20" i="7"/>
  <c r="E20" i="7"/>
  <c r="L19" i="7"/>
  <c r="I19" i="7"/>
  <c r="E19" i="7"/>
  <c r="L18" i="7"/>
  <c r="I18" i="7"/>
  <c r="E18" i="7"/>
  <c r="L17" i="7"/>
  <c r="I17" i="7"/>
  <c r="E17" i="7"/>
  <c r="L16" i="7"/>
  <c r="I16" i="7"/>
  <c r="E16" i="7"/>
  <c r="L15" i="7"/>
  <c r="I15" i="7"/>
  <c r="E15" i="7"/>
  <c r="L14" i="7"/>
  <c r="I14" i="7"/>
  <c r="E14" i="7"/>
  <c r="L13" i="7"/>
  <c r="I13" i="7"/>
  <c r="E13" i="7"/>
  <c r="L12" i="7"/>
  <c r="I12" i="7"/>
  <c r="E12" i="7"/>
  <c r="L11" i="7"/>
  <c r="I11" i="7"/>
  <c r="E11" i="7"/>
  <c r="L10" i="7"/>
  <c r="I10" i="7"/>
  <c r="E10" i="7"/>
  <c r="L9" i="7"/>
  <c r="I9" i="7"/>
  <c r="E9" i="7"/>
  <c r="L8" i="7"/>
  <c r="I8" i="7"/>
  <c r="E8" i="7"/>
  <c r="L7" i="7"/>
  <c r="I7" i="7"/>
  <c r="E7" i="7"/>
  <c r="L6" i="7"/>
  <c r="I6" i="7"/>
  <c r="E6" i="7"/>
  <c r="F11" i="5"/>
  <c r="G11" i="5" s="1"/>
  <c r="F10" i="5"/>
  <c r="G10" i="5" s="1"/>
  <c r="F9" i="5"/>
  <c r="G9" i="5" s="1"/>
  <c r="F8" i="5"/>
  <c r="G8" i="5" s="1"/>
  <c r="F7" i="5"/>
  <c r="G7" i="5" s="1"/>
  <c r="F6" i="5"/>
  <c r="G6" i="5" s="1"/>
  <c r="F5" i="5"/>
  <c r="G5" i="5" s="1"/>
  <c r="G12" i="5" s="1"/>
  <c r="D213" i="1"/>
  <c r="B189" i="1"/>
  <c r="B188" i="1"/>
  <c r="F185" i="1"/>
  <c r="H185" i="1" s="1"/>
  <c r="J185" i="1" s="1"/>
  <c r="L185" i="1" s="1"/>
  <c r="F184" i="1"/>
  <c r="H184" i="1" s="1"/>
  <c r="J184" i="1" s="1"/>
  <c r="L184" i="1" s="1"/>
  <c r="F183" i="1"/>
  <c r="H183" i="1" s="1"/>
  <c r="J183" i="1" s="1"/>
  <c r="L183" i="1" s="1"/>
  <c r="F182" i="1"/>
  <c r="H182" i="1" s="1"/>
  <c r="J182" i="1" s="1"/>
  <c r="L182" i="1" s="1"/>
  <c r="F181" i="1"/>
  <c r="H181" i="1" s="1"/>
  <c r="J181" i="1" s="1"/>
  <c r="L181" i="1" s="1"/>
  <c r="F179" i="1"/>
  <c r="H179" i="1" s="1"/>
  <c r="J179" i="1" s="1"/>
  <c r="L179" i="1" s="1"/>
  <c r="F178" i="1"/>
  <c r="H178" i="1" s="1"/>
  <c r="J178" i="1" s="1"/>
  <c r="L178" i="1" s="1"/>
  <c r="F177" i="1"/>
  <c r="H177" i="1" s="1"/>
  <c r="J177" i="1" s="1"/>
  <c r="L177" i="1" s="1"/>
  <c r="F176" i="1"/>
  <c r="H176" i="1" s="1"/>
  <c r="J176" i="1" s="1"/>
  <c r="L176" i="1" s="1"/>
  <c r="F175" i="1"/>
  <c r="H175" i="1" s="1"/>
  <c r="J175" i="1" s="1"/>
  <c r="L175" i="1" s="1"/>
  <c r="F173" i="1"/>
  <c r="H173" i="1" s="1"/>
  <c r="J173" i="1" s="1"/>
  <c r="L173" i="1" s="1"/>
  <c r="F172" i="1"/>
  <c r="H172" i="1" s="1"/>
  <c r="J172" i="1" s="1"/>
  <c r="L172" i="1" s="1"/>
  <c r="F171" i="1"/>
  <c r="H171" i="1" s="1"/>
  <c r="J171" i="1" s="1"/>
  <c r="L171" i="1" s="1"/>
  <c r="F170" i="1"/>
  <c r="H170" i="1" s="1"/>
  <c r="J170" i="1" s="1"/>
  <c r="L170" i="1" s="1"/>
  <c r="F169" i="1"/>
  <c r="H169" i="1" s="1"/>
  <c r="J169" i="1" s="1"/>
  <c r="L169" i="1" s="1"/>
  <c r="F167" i="1"/>
  <c r="H167" i="1" s="1"/>
  <c r="J167" i="1" s="1"/>
  <c r="L167" i="1" s="1"/>
  <c r="F166" i="1"/>
  <c r="H166" i="1" s="1"/>
  <c r="J166" i="1" s="1"/>
  <c r="L166" i="1" s="1"/>
  <c r="F165" i="1"/>
  <c r="H165" i="1" s="1"/>
  <c r="J165" i="1" s="1"/>
  <c r="L165" i="1" s="1"/>
  <c r="F164" i="1"/>
  <c r="H164" i="1" s="1"/>
  <c r="J164" i="1" s="1"/>
  <c r="L164" i="1" s="1"/>
  <c r="F163" i="1"/>
  <c r="H163" i="1" s="1"/>
  <c r="J163" i="1" s="1"/>
  <c r="L163" i="1" s="1"/>
  <c r="A163" i="1"/>
  <c r="A164" i="1" s="1"/>
  <c r="A165" i="1" s="1"/>
  <c r="A166" i="1" s="1"/>
  <c r="A167" i="1" s="1"/>
  <c r="F161" i="1"/>
  <c r="H161" i="1" s="1"/>
  <c r="J161" i="1" s="1"/>
  <c r="L161" i="1" s="1"/>
  <c r="F160" i="1"/>
  <c r="H160" i="1" s="1"/>
  <c r="J160" i="1" s="1"/>
  <c r="L160" i="1" s="1"/>
  <c r="F159" i="1"/>
  <c r="H159" i="1" s="1"/>
  <c r="J159" i="1" s="1"/>
  <c r="L159" i="1" s="1"/>
  <c r="A159" i="1"/>
  <c r="A160" i="1" s="1"/>
  <c r="A161" i="1" s="1"/>
  <c r="F158" i="1"/>
  <c r="H158" i="1" s="1"/>
  <c r="J158" i="1" s="1"/>
  <c r="L158" i="1" s="1"/>
  <c r="F147" i="1"/>
  <c r="H147" i="1" s="1"/>
  <c r="F146" i="1"/>
  <c r="H146" i="1" s="1"/>
  <c r="F145" i="1"/>
  <c r="H145" i="1" s="1"/>
  <c r="A145" i="1"/>
  <c r="A146" i="1" s="1"/>
  <c r="A147" i="1" s="1"/>
  <c r="G138" i="1"/>
  <c r="E138" i="1"/>
  <c r="C138" i="1"/>
  <c r="F128" i="1"/>
  <c r="C102" i="1"/>
  <c r="C88" i="1"/>
  <c r="B75" i="1"/>
  <c r="D68" i="1"/>
  <c r="D63" i="1"/>
  <c r="G56" i="1"/>
  <c r="C56" i="1"/>
  <c r="K54" i="1"/>
  <c r="C54" i="1"/>
  <c r="G51" i="1"/>
  <c r="C51" i="1"/>
  <c r="E44" i="1"/>
  <c r="E45" i="1" s="1"/>
  <c r="S33" i="1"/>
  <c r="E31" i="1"/>
  <c r="E28" i="1"/>
  <c r="E26" i="1"/>
  <c r="C16" i="1"/>
  <c r="I15" i="1"/>
  <c r="Z13" i="1"/>
  <c r="E8" i="1"/>
  <c r="E3" i="1"/>
  <c r="B199" i="1" s="1"/>
  <c r="A175" i="1"/>
  <c r="H89" i="1"/>
  <c r="H103" i="1"/>
  <c r="A169" i="1"/>
  <c r="A181" i="1"/>
  <c r="E42" i="7" l="1"/>
  <c r="J82" i="1"/>
  <c r="J83" i="1"/>
  <c r="B103" i="1"/>
  <c r="J111" i="1" s="1"/>
  <c r="I42" i="7"/>
  <c r="H42" i="7" s="1"/>
  <c r="L42" i="7"/>
  <c r="K42" i="7" s="1"/>
  <c r="J88" i="1"/>
  <c r="J90" i="1" s="1"/>
  <c r="D97" i="1"/>
  <c r="D96" i="1"/>
  <c r="D101" i="1"/>
  <c r="D95" i="1"/>
  <c r="J91" i="1"/>
  <c r="D100" i="1"/>
  <c r="J93" i="1"/>
  <c r="C92" i="1" s="1"/>
  <c r="D94" i="1"/>
  <c r="D99" i="1"/>
  <c r="J92" i="1"/>
  <c r="D98" i="1"/>
  <c r="D112" i="1"/>
  <c r="J106" i="1"/>
  <c r="J102" i="1"/>
  <c r="J104" i="1" s="1"/>
  <c r="J105" i="1"/>
  <c r="D110" i="1"/>
  <c r="D115" i="1"/>
  <c r="D109" i="1"/>
  <c r="D114" i="1"/>
  <c r="D108" i="1"/>
  <c r="D111" i="1"/>
  <c r="J107" i="1"/>
  <c r="C106" i="1" s="1"/>
  <c r="D106" i="1" s="1"/>
  <c r="D113" i="1"/>
  <c r="D42" i="7"/>
  <c r="L54" i="1"/>
  <c r="B89" i="1"/>
  <c r="J84" i="1"/>
  <c r="J85" i="1"/>
  <c r="I52" i="1"/>
  <c r="A182" i="1"/>
  <c r="A170" i="1"/>
  <c r="H75" i="1"/>
  <c r="A176" i="1"/>
  <c r="D86" i="1" l="1"/>
  <c r="D80" i="1"/>
  <c r="J80" i="1"/>
  <c r="J81" i="1" s="1"/>
  <c r="J86" i="1" s="1"/>
  <c r="J87" i="1" s="1"/>
  <c r="C79" i="1" s="1"/>
  <c r="E78" i="1" s="1"/>
  <c r="J79" i="1"/>
  <c r="C78" i="1" s="1"/>
  <c r="D78" i="1" s="1"/>
  <c r="D85" i="1"/>
  <c r="D84" i="1"/>
  <c r="J74" i="1"/>
  <c r="J76" i="1" s="1"/>
  <c r="D83" i="1"/>
  <c r="D87" i="1"/>
  <c r="D81" i="1"/>
  <c r="J78" i="1"/>
  <c r="J77" i="1"/>
  <c r="D82" i="1"/>
  <c r="J113" i="1"/>
  <c r="J112" i="1"/>
  <c r="D44" i="7"/>
  <c r="E44" i="7"/>
  <c r="J110" i="1"/>
  <c r="J108" i="1"/>
  <c r="J109" i="1" s="1"/>
  <c r="J114" i="1" s="1"/>
  <c r="J115" i="1" s="1"/>
  <c r="C107" i="1" s="1"/>
  <c r="G106" i="1" s="1"/>
  <c r="D92" i="1"/>
  <c r="J97" i="1"/>
  <c r="J94" i="1"/>
  <c r="J95" i="1" s="1"/>
  <c r="J100" i="1" s="1"/>
  <c r="J101" i="1" s="1"/>
  <c r="C93" i="1" s="1"/>
  <c r="J99" i="1"/>
  <c r="J96" i="1"/>
  <c r="J98" i="1"/>
  <c r="A177" i="1"/>
  <c r="A171" i="1"/>
  <c r="A183" i="1"/>
  <c r="G78" i="1" l="1"/>
  <c r="D72" i="1" s="1"/>
  <c r="D73" i="1" s="1"/>
  <c r="D79" i="1"/>
  <c r="I75" i="1" s="1"/>
  <c r="I76" i="1" s="1"/>
  <c r="D107" i="1"/>
  <c r="I103" i="1" s="1"/>
  <c r="I104" i="1" s="1"/>
  <c r="J103" i="1"/>
  <c r="E106" i="1"/>
  <c r="J75" i="1"/>
  <c r="E92" i="1"/>
  <c r="D93" i="1"/>
  <c r="I89" i="1" s="1"/>
  <c r="J89" i="1"/>
  <c r="G92" i="1"/>
  <c r="A184" i="1"/>
  <c r="A172" i="1"/>
  <c r="A178" i="1"/>
  <c r="F73" i="1" l="1"/>
  <c r="I102" i="1"/>
  <c r="C104" i="1" s="1"/>
  <c r="I74" i="1"/>
  <c r="C76" i="1" s="1"/>
  <c r="I90" i="1"/>
  <c r="I88" i="1" s="1"/>
  <c r="C90" i="1" s="1"/>
  <c r="A173" i="1"/>
  <c r="A179" i="1"/>
  <c r="A185" i="1"/>
</calcChain>
</file>

<file path=xl/comments1.xml><?xml version="1.0" encoding="utf-8"?>
<comments xmlns="http://schemas.openxmlformats.org/spreadsheetml/2006/main">
  <authors>
    <author>Sachin</author>
    <author>SACHIN</author>
  </authors>
  <commentList>
    <comment ref="E12" authorId="0" shapeId="0">
      <text>
        <r>
          <rPr>
            <b/>
            <sz val="9"/>
            <color indexed="81"/>
            <rFont val="Tahoma"/>
            <family val="2"/>
          </rPr>
          <t>Sachin:</t>
        </r>
        <r>
          <rPr>
            <sz val="9"/>
            <color indexed="81"/>
            <rFont val="Tahoma"/>
            <family val="2"/>
          </rPr>
          <t xml:space="preserve">
Building No. 
Tower No.
Wing 
Bunglow No., etc</t>
        </r>
      </text>
    </comment>
    <comment ref="E13" authorId="0" shapeId="0">
      <text>
        <r>
          <rPr>
            <b/>
            <sz val="9"/>
            <color indexed="81"/>
            <rFont val="Tahoma"/>
            <family val="2"/>
          </rPr>
          <t>Sachin:</t>
        </r>
        <r>
          <rPr>
            <sz val="9"/>
            <color indexed="81"/>
            <rFont val="Tahoma"/>
            <family val="2"/>
          </rPr>
          <t xml:space="preserve">
If exisiting Building is provided write it or else
NA</t>
        </r>
      </text>
    </comment>
    <comment ref="C55" authorId="1" shapeId="0">
      <text>
        <r>
          <rPr>
            <b/>
            <sz val="9"/>
            <color indexed="81"/>
            <rFont val="Tahoma"/>
            <family val="2"/>
          </rPr>
          <t>SACHIN:</t>
        </r>
        <r>
          <rPr>
            <sz val="9"/>
            <color indexed="81"/>
            <rFont val="Tahoma"/>
            <family val="2"/>
          </rPr>
          <t xml:space="preserve">
Floor with height</t>
        </r>
      </text>
    </comment>
    <comment ref="C57" authorId="1" shapeId="0">
      <text>
        <r>
          <rPr>
            <b/>
            <sz val="9"/>
            <color indexed="81"/>
            <rFont val="Tahoma"/>
            <family val="2"/>
          </rPr>
          <t>SACHIN:</t>
        </r>
        <r>
          <rPr>
            <sz val="9"/>
            <color indexed="81"/>
            <rFont val="Tahoma"/>
            <family val="2"/>
          </rPr>
          <t xml:space="preserve">
Survey Nos.</t>
        </r>
      </text>
    </comment>
    <comment ref="D63" authorId="0" shapeId="0">
      <text>
        <r>
          <rPr>
            <b/>
            <sz val="9"/>
            <color indexed="81"/>
            <rFont val="Tahoma"/>
            <family val="2"/>
          </rPr>
          <t>Sachin:</t>
        </r>
        <r>
          <rPr>
            <sz val="9"/>
            <color indexed="81"/>
            <rFont val="Tahoma"/>
            <family val="2"/>
          </rPr>
          <t xml:space="preserve">
If multiple building in project or complex just mention builtup of required building</t>
        </r>
      </text>
    </comment>
    <comment ref="F121" authorId="1" shapeId="0">
      <text>
        <r>
          <rPr>
            <b/>
            <sz val="9"/>
            <color indexed="81"/>
            <rFont val="Tahoma"/>
            <family val="2"/>
          </rPr>
          <t>SACHIN:</t>
        </r>
        <r>
          <rPr>
            <sz val="9"/>
            <color indexed="81"/>
            <rFont val="Tahoma"/>
            <family val="2"/>
          </rPr>
          <t xml:space="preserve">
Other charges should be given on basis of location amenties builder type n should not exceed above 12 lakhs or 8% of flat value</t>
        </r>
      </text>
    </comment>
    <comment ref="H150" authorId="1" shapeId="0">
      <text>
        <r>
          <rPr>
            <b/>
            <sz val="9"/>
            <color indexed="81"/>
            <rFont val="Tahoma"/>
            <family val="2"/>
          </rPr>
          <t>SACHIN:</t>
        </r>
        <r>
          <rPr>
            <sz val="9"/>
            <color indexed="81"/>
            <rFont val="Tahoma"/>
            <family val="2"/>
          </rPr>
          <t xml:space="preserve">
Give loading of 50% for A Category</t>
        </r>
      </text>
    </comment>
  </commentList>
</comments>
</file>

<file path=xl/comments2.xml><?xml version="1.0" encoding="utf-8"?>
<comments xmlns="http://schemas.openxmlformats.org/spreadsheetml/2006/main">
  <authors>
    <author>SACHIN</author>
  </authors>
  <commentList>
    <comment ref="C9" authorId="0" shapeId="0">
      <text>
        <r>
          <rPr>
            <b/>
            <sz val="9"/>
            <color indexed="81"/>
            <rFont val="Tahoma"/>
            <family val="2"/>
          </rPr>
          <t>SACHIN:</t>
        </r>
        <r>
          <rPr>
            <sz val="9"/>
            <color indexed="81"/>
            <rFont val="Tahoma"/>
            <family val="2"/>
          </rPr>
          <t xml:space="preserve">
If banker changes the rate</t>
        </r>
      </text>
    </comment>
    <comment ref="C10" authorId="0" shapeId="0">
      <text>
        <r>
          <rPr>
            <b/>
            <sz val="9"/>
            <color indexed="81"/>
            <rFont val="Tahoma"/>
            <family val="2"/>
          </rPr>
          <t>SACHIN:</t>
        </r>
        <r>
          <rPr>
            <sz val="9"/>
            <color indexed="81"/>
            <rFont val="Tahoma"/>
            <family val="2"/>
          </rPr>
          <t xml:space="preserve">
If we change the rate</t>
        </r>
      </text>
    </comment>
  </commentList>
</comments>
</file>

<file path=xl/sharedStrings.xml><?xml version="1.0" encoding="utf-8"?>
<sst xmlns="http://schemas.openxmlformats.org/spreadsheetml/2006/main" count="701" uniqueCount="432">
  <si>
    <t xml:space="preserve">Valuation Report </t>
  </si>
  <si>
    <t>Date:</t>
  </si>
  <si>
    <t>CPC Name:</t>
  </si>
  <si>
    <t>Date Of Property Visit</t>
  </si>
  <si>
    <t>Name of the builder group</t>
  </si>
  <si>
    <t>Name of the builder company</t>
  </si>
  <si>
    <t>Name of the Project</t>
  </si>
  <si>
    <t>Name / No of the Building</t>
  </si>
  <si>
    <t>RERA No.</t>
  </si>
  <si>
    <t xml:space="preserve">Project location details       </t>
  </si>
  <si>
    <t>Road</t>
  </si>
  <si>
    <t>District</t>
  </si>
  <si>
    <t>City</t>
  </si>
  <si>
    <t>Pin Code</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</si>
  <si>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</si>
  <si>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</si>
  <si>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</si>
  <si>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</si>
  <si>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</si>
  <si>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</si>
  <si>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</si>
  <si>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</si>
  <si>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</si>
  <si>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</si>
  <si>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East</t>
  </si>
  <si>
    <t>West</t>
  </si>
  <si>
    <t>South</t>
  </si>
  <si>
    <t>North</t>
  </si>
  <si>
    <t>NA</t>
  </si>
  <si>
    <t>At site</t>
  </si>
  <si>
    <t xml:space="preserve">Approved usage of the Property:                                                                                                                                             </t>
  </si>
  <si>
    <t>No</t>
  </si>
  <si>
    <t>Area Statement Details :</t>
  </si>
  <si>
    <t>Total land area of the project in Sq. Mt.</t>
  </si>
  <si>
    <t>Permissible FSI</t>
  </si>
  <si>
    <t>Permissible TDR/Paid FSI</t>
  </si>
  <si>
    <t>Total FSI availaible for the project</t>
  </si>
  <si>
    <t>Total number of Buildings</t>
  </si>
  <si>
    <t xml:space="preserve">Approval Detail : Plan approval </t>
  </si>
  <si>
    <t xml:space="preserve">Layout Approval No     </t>
  </si>
  <si>
    <t>Dated</t>
  </si>
  <si>
    <t xml:space="preserve">Approved Floor plan No.  </t>
  </si>
  <si>
    <t xml:space="preserve">O. Certificate No.: </t>
  </si>
  <si>
    <t>Expected Completion</t>
  </si>
  <si>
    <t>Building wise Construction details</t>
  </si>
  <si>
    <t>Approved no of units</t>
  </si>
  <si>
    <t>Approved no of Floors</t>
  </si>
  <si>
    <t>Type of Work</t>
  </si>
  <si>
    <t>Plinth</t>
  </si>
  <si>
    <t xml:space="preserve">Recommended rate of Parking </t>
  </si>
  <si>
    <t>Distressed valuation of the Property</t>
  </si>
  <si>
    <t>Building &amp; Wing</t>
  </si>
  <si>
    <t>Total Carpet Area</t>
  </si>
  <si>
    <t>Total Saleable Area</t>
  </si>
  <si>
    <t>Description</t>
  </si>
  <si>
    <t>Gross Carpet area</t>
  </si>
  <si>
    <t>Attached Terrace area</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</si>
  <si>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</si>
  <si>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</si>
  <si>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</si>
  <si>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</si>
  <si>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</si>
  <si>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 xml:space="preserve">PHOTOGRAPHS OF PROPERTY : 
</t>
  </si>
  <si>
    <t>Google Map :</t>
  </si>
  <si>
    <t xml:space="preserve">Remarks:  </t>
  </si>
  <si>
    <t>Flat</t>
  </si>
  <si>
    <t>Residential Area Details :</t>
  </si>
  <si>
    <t>Podium</t>
  </si>
  <si>
    <t>Ground</t>
  </si>
  <si>
    <t>Locality/Village</t>
  </si>
  <si>
    <t>Taluka</t>
  </si>
  <si>
    <t>Commercial Area Details :</t>
  </si>
  <si>
    <t>Accessibility to the Project from the City: (Proximity to civic amenities like school, hospital, market, etc.)</t>
  </si>
  <si>
    <t>Inspected By :</t>
  </si>
  <si>
    <t>No. of Units</t>
  </si>
  <si>
    <t>Authorized Signatory
Name &amp; Seal of the agency</t>
  </si>
  <si>
    <t>Floors</t>
  </si>
  <si>
    <t>Type of Structure</t>
  </si>
  <si>
    <t>RCC Frame Structure</t>
  </si>
  <si>
    <t>Complition %</t>
  </si>
  <si>
    <t>Disbursement %</t>
  </si>
  <si>
    <t>Progress %</t>
  </si>
  <si>
    <t xml:space="preserve">Material laying at Site: </t>
  </si>
  <si>
    <t>Projected life of the structure</t>
  </si>
  <si>
    <t xml:space="preserve">Quality of construction: </t>
  </si>
  <si>
    <t>Proposed no of Floors</t>
  </si>
  <si>
    <t xml:space="preserve">Stage of construction: </t>
  </si>
  <si>
    <t>Approved area of building (Sq.Mt)</t>
  </si>
  <si>
    <t>Total Approved Builtup area of the project (Sq.Mt)</t>
  </si>
  <si>
    <t>Restrictive Covenants in regard to Land Use</t>
  </si>
  <si>
    <t>Boundries</t>
  </si>
  <si>
    <t>Development Charges</t>
  </si>
  <si>
    <t>Club Charges</t>
  </si>
  <si>
    <t>Gas Connection Charges</t>
  </si>
  <si>
    <t>Water, Electricity, Drainages, Sewerage Connection</t>
  </si>
  <si>
    <t>Society Formation Charges</t>
  </si>
  <si>
    <t>Advance Maintenance Charges</t>
  </si>
  <si>
    <t>Excavation in process</t>
  </si>
  <si>
    <t>Excavation Completed</t>
  </si>
  <si>
    <t>Footing in Process</t>
  </si>
  <si>
    <t>Footing Completed</t>
  </si>
  <si>
    <t>Plinth completed</t>
  </si>
  <si>
    <t>NA
Approved upto : NA</t>
  </si>
  <si>
    <t>Report By :</t>
  </si>
  <si>
    <t>Market Research Data</t>
  </si>
  <si>
    <t>Source</t>
  </si>
  <si>
    <t>Distance from proposed property</t>
  </si>
  <si>
    <t>Net Carpet</t>
  </si>
  <si>
    <t>Market Value</t>
  </si>
  <si>
    <t>Magic Brick</t>
  </si>
  <si>
    <t>99 Acres</t>
  </si>
  <si>
    <t>Average</t>
  </si>
  <si>
    <t xml:space="preserve">Valuation Adopted </t>
  </si>
  <si>
    <t>Saleable Area</t>
  </si>
  <si>
    <t>Rate on Saleable</t>
  </si>
  <si>
    <t xml:space="preserve">Wheather the construction is as per approved Building plan : </t>
  </si>
  <si>
    <t>Ground Floor</t>
  </si>
  <si>
    <t>2nd Floor</t>
  </si>
  <si>
    <r>
      <t xml:space="preserve">Shop No.
</t>
    </r>
    <r>
      <rPr>
        <b/>
        <sz val="11"/>
        <color rgb="FF000000"/>
        <rFont val="Times New Roman"/>
        <family val="1"/>
      </rPr>
      <t>(Approved Plan)</t>
    </r>
  </si>
  <si>
    <r>
      <t xml:space="preserve">Flat No.
</t>
    </r>
    <r>
      <rPr>
        <b/>
        <sz val="11"/>
        <color rgb="FF000000"/>
        <rFont val="Times New Roman"/>
        <family val="1"/>
      </rPr>
      <t>(Approved Plan)</t>
    </r>
  </si>
  <si>
    <t>01 Building</t>
  </si>
  <si>
    <t>Nearby Landmark</t>
  </si>
  <si>
    <t>We considered Carpet area as per Approved Plan.</t>
  </si>
  <si>
    <t>We have considered rate by verifying it from market inquire.</t>
  </si>
  <si>
    <t>Car parking is subjected to authentic documentation.</t>
  </si>
  <si>
    <t>5) Gross carpet area =  Net Carpet area + Fungible area.</t>
  </si>
  <si>
    <t>6) Fungible Area= Enclosed Balcony + Flower Bed + Covered Balcony + Service Slab + Duct + Chajja + Wheather Shed area.</t>
  </si>
  <si>
    <t>Excavation</t>
  </si>
  <si>
    <t>RCC (Including podiums)</t>
  </si>
  <si>
    <t>Brickwork &amp; Internal Plaster</t>
  </si>
  <si>
    <t>Flooring &amp; Fitting</t>
  </si>
  <si>
    <t>External Plaster &amp; Plumbing</t>
  </si>
  <si>
    <t>Building Common Amenities</t>
  </si>
  <si>
    <t>Possession</t>
  </si>
  <si>
    <t>Ext. Plaster &amp; Plumbing</t>
  </si>
  <si>
    <t>Brickwork</t>
  </si>
  <si>
    <t>Internal Plaster</t>
  </si>
  <si>
    <t>Painting &amp; Wooden</t>
  </si>
  <si>
    <t>Slab/Floor</t>
  </si>
  <si>
    <t>Construction details:</t>
  </si>
  <si>
    <t>Piling Work in process</t>
  </si>
  <si>
    <t>Basement</t>
  </si>
  <si>
    <t>Basement 2</t>
  </si>
  <si>
    <t>Basement 3</t>
  </si>
  <si>
    <t>Basement 4</t>
  </si>
  <si>
    <t>2nd to 5th Floor</t>
  </si>
  <si>
    <t>2nd &amp; 5th Floor</t>
  </si>
  <si>
    <t>Basement 1</t>
  </si>
  <si>
    <t>Plinth in process</t>
  </si>
  <si>
    <t xml:space="preserve">Violations Observed if any : </t>
  </si>
  <si>
    <t>Saleable area Loading :</t>
  </si>
  <si>
    <t>3rd, 5th, 7th, 9th, 11th, 13th, 15th Floor</t>
  </si>
  <si>
    <t>Total</t>
  </si>
  <si>
    <t>Name of Municipal Corporation/Authority</t>
  </si>
  <si>
    <t>We have considered proposed No. of Floor for Stage Calculation.</t>
  </si>
  <si>
    <t>*</t>
  </si>
  <si>
    <t>Recommended rate should be considered as all inclusive rate if other charges are not mentioned. (Excluding GST &amp; other government Taxes)</t>
  </si>
  <si>
    <t>Attached Loft area</t>
  </si>
  <si>
    <t xml:space="preserve">Recommended Rates of the Property : </t>
  </si>
  <si>
    <t>Recommended rate of the Shop Per Sq. Ft.</t>
  </si>
  <si>
    <t>Recommended rate of the Flat Per Sq. Ft.</t>
  </si>
  <si>
    <t>Recommended rate of the Office Per Sq. Ft.</t>
  </si>
  <si>
    <t>On Saleable Area</t>
  </si>
  <si>
    <t>Location Link</t>
  </si>
  <si>
    <t>Locality</t>
  </si>
  <si>
    <t>Layout :</t>
  </si>
  <si>
    <t>Latitude, Longitude</t>
  </si>
  <si>
    <t>Grand Total</t>
  </si>
  <si>
    <t>Provided Contact Details (Name &amp; Contact No.)</t>
  </si>
  <si>
    <t>Site Person - Contact Details (Name &amp; Contact No.)</t>
  </si>
  <si>
    <t>Approved Plans, CC, Sale Plans, Builder Saleable Area, Cost Sheet, Airport Noc, Railway Noc, OC</t>
  </si>
  <si>
    <t>Axis Goregaon</t>
  </si>
  <si>
    <t>Name / No of the Existing Building</t>
  </si>
  <si>
    <t>Mumbai</t>
  </si>
  <si>
    <t>As per Layout</t>
  </si>
  <si>
    <t>Floor Rise Rate from    Floor</t>
  </si>
  <si>
    <t>Shop No. (Sale Plan)</t>
  </si>
  <si>
    <t>Flat No. (Sale Plan)</t>
  </si>
  <si>
    <t xml:space="preserve">As the project is redevelopement project but rehab statement or rehab flats is not mentioned approved layout plan &amp; floor plan.
</t>
  </si>
  <si>
    <t xml:space="preserve">Thane </t>
  </si>
  <si>
    <t>Thane</t>
  </si>
  <si>
    <t>Shahpur</t>
  </si>
  <si>
    <t>Kalyan</t>
  </si>
  <si>
    <t>Bhiwandi</t>
  </si>
  <si>
    <t>Ulhasnagar</t>
  </si>
  <si>
    <t>Ambernath</t>
  </si>
  <si>
    <t>Murbad</t>
  </si>
  <si>
    <t>Mokhada</t>
  </si>
  <si>
    <t>Talasari</t>
  </si>
  <si>
    <t>Palghar</t>
  </si>
  <si>
    <t>Vasai</t>
  </si>
  <si>
    <t>Vikramgad</t>
  </si>
  <si>
    <t>Dahanu</t>
  </si>
  <si>
    <t>Wada</t>
  </si>
  <si>
    <t>Raigad</t>
  </si>
  <si>
    <t>Alibag</t>
  </si>
  <si>
    <t>Panvel</t>
  </si>
  <si>
    <t>Uran</t>
  </si>
  <si>
    <t>Karjat</t>
  </si>
  <si>
    <t>Khalapur</t>
  </si>
  <si>
    <t>Pen</t>
  </si>
  <si>
    <t>Sudhagad</t>
  </si>
  <si>
    <t>Mahad</t>
  </si>
  <si>
    <t>Roha</t>
  </si>
  <si>
    <t>Mangaon</t>
  </si>
  <si>
    <t>Poladpur</t>
  </si>
  <si>
    <t>Mahasala</t>
  </si>
  <si>
    <t>Shriwardhan</t>
  </si>
  <si>
    <t>Murud</t>
  </si>
  <si>
    <t>Andheri</t>
  </si>
  <si>
    <t>Borivali</t>
  </si>
  <si>
    <t>Kurla</t>
  </si>
  <si>
    <t>Pune</t>
  </si>
  <si>
    <t>Pune City</t>
  </si>
  <si>
    <t>Khed</t>
  </si>
  <si>
    <t>Baramati</t>
  </si>
  <si>
    <t>Junnar</t>
  </si>
  <si>
    <t>Shirur</t>
  </si>
  <si>
    <t>Indapur</t>
  </si>
  <si>
    <t>Daund</t>
  </si>
  <si>
    <t>Mawal</t>
  </si>
  <si>
    <t>Ambegaon</t>
  </si>
  <si>
    <t>Purandhar</t>
  </si>
  <si>
    <t>Bhor</t>
  </si>
  <si>
    <t>Mulshi</t>
  </si>
  <si>
    <t>Velhe</t>
  </si>
  <si>
    <t>Haveli</t>
  </si>
  <si>
    <t>Approved Plans, CC</t>
  </si>
  <si>
    <t>Approved Plans, CC, Sale Plans</t>
  </si>
  <si>
    <t>Approved Plans, CC, Sale Plans, Builder Saleable Area</t>
  </si>
  <si>
    <t>Approved Plans, CC, Sale Plans, Builder Saleable Area, Cost Sheet,</t>
  </si>
  <si>
    <t>Approved Plans, CC, Builder Saleable Area,</t>
  </si>
  <si>
    <t>Carpet area</t>
  </si>
  <si>
    <t>Bank Name:</t>
  </si>
  <si>
    <t>Axis Bank</t>
  </si>
  <si>
    <t>Branch</t>
  </si>
  <si>
    <t>Bank</t>
  </si>
  <si>
    <t>Cent Bank</t>
  </si>
  <si>
    <t>Indiabulls Housing Finance Ltd</t>
  </si>
  <si>
    <t>PNB Housing Finance Limited</t>
  </si>
  <si>
    <t>ABFHL</t>
  </si>
  <si>
    <t>Axis Thane</t>
  </si>
  <si>
    <t>Axis Sanpada</t>
  </si>
  <si>
    <t>Axis Badlapur</t>
  </si>
  <si>
    <t>PNB Thane</t>
  </si>
  <si>
    <t>PNB Borivali</t>
  </si>
  <si>
    <t>Cent Kalyan</t>
  </si>
  <si>
    <t>Cent Belapur</t>
  </si>
  <si>
    <t>IBHF Kalyan</t>
  </si>
  <si>
    <t>IBHF Badlapur</t>
  </si>
  <si>
    <t>IBHF Vashi</t>
  </si>
  <si>
    <t>IBHF Thane</t>
  </si>
  <si>
    <t>IBHF Andheri</t>
  </si>
  <si>
    <t>Authorites</t>
  </si>
  <si>
    <t>Slum Rehabilitation Authority (SRA)</t>
  </si>
  <si>
    <t>Municipal Corporation of Greater Mumbai (MCGM)</t>
  </si>
  <si>
    <t>Maharashtra Housing and Area Development Authority(MHADA)</t>
  </si>
  <si>
    <t>Mumbai Metropolitan Region Development Authority (MMRDA)</t>
  </si>
  <si>
    <t>Maharashtra State Road Development Corporation Limited (MSRDC)</t>
  </si>
  <si>
    <t>Navi Mumbai Municipal Corporation (NMMC)</t>
  </si>
  <si>
    <t>Thane Muncipal Cooperation (TMC)</t>
  </si>
  <si>
    <t>Kalyan Dombivli Municipal Corporation (KMDC)</t>
  </si>
  <si>
    <t>Kulgoan Badlapur Municipal Council</t>
  </si>
  <si>
    <t>Town Planning Thane</t>
  </si>
  <si>
    <t>Ambernath Municipal Council (AMC)</t>
  </si>
  <si>
    <t>Ulhasnagar Municipal Corporation</t>
  </si>
  <si>
    <t>Nagar Rachana Ani Mulya Nirdharan Vibhag Thane</t>
  </si>
  <si>
    <t>Bhiwandi Nizampur City Municipal Corporation</t>
  </si>
  <si>
    <t>City and Industrial Development Corporation (CIDCO)</t>
  </si>
  <si>
    <t>Maharashtra Industrial Development Corporation (MIDC)</t>
  </si>
  <si>
    <t>Panvel Municipal Corporation</t>
  </si>
  <si>
    <t>Navi Mumbai Airport Influence Notified Area (NAINA)</t>
  </si>
  <si>
    <t>Pen Municipal Council</t>
  </si>
  <si>
    <t>Raigad Zilha Parishad</t>
  </si>
  <si>
    <t>Roha Municipal Council</t>
  </si>
  <si>
    <t>Vasai-Virar City Municipal Corporation. (VVCMC)</t>
  </si>
  <si>
    <t>Collector Of Palghar</t>
  </si>
  <si>
    <t>Town Planner, Palghar</t>
  </si>
  <si>
    <t>Mira-Bhayandar Municipal Corporation</t>
  </si>
  <si>
    <t>Documents Provided</t>
  </si>
  <si>
    <t>Does the boundaries at site match, as mentioned in the Documentation: NA</t>
  </si>
  <si>
    <t xml:space="preserve">Fire Noc No
Valid Up to: </t>
  </si>
  <si>
    <t xml:space="preserve">Environmental Clearance Certificate (EC) No
Valid Up for: </t>
  </si>
  <si>
    <t xml:space="preserve">As per RERA, completion period of project Yashwant Height is expired on 30/06/2021 but still project is under construction.
</t>
  </si>
  <si>
    <t>Validity of CC is expired on 31/01/2021. Please provide latest CC.</t>
  </si>
  <si>
    <t>Construction work is same as last visit but work is in process at the time of visit. (Slow Speed)</t>
  </si>
  <si>
    <t>As per CRZ Norms, The said plot is coming under list of plots affected by CRZ. Ref Letter No. CIDCO/PLNG/ACP(BP)/2021/895/E-19416 Date : 09/03/2021.</t>
  </si>
  <si>
    <t>Construction work has increased from last visit but no active work was found during site visit</t>
  </si>
  <si>
    <t>As per Approved Floor plan, Wing A consist of 62 units ( Rehab = 40 units &amp; Sale = 22 Units),  but which unit no should be considered as rehab or sale is not mentioned in Approved plan.</t>
  </si>
  <si>
    <t>If stage is not identifibale due to external Visit,
1. Confirm with visitor that internal visit was possible or not, if internal visit possible ask visitor to to revisit
2. If internal visit not possible in category A Builders, if stage is not possible to increase mention below remark Since internal visit were not permitted, we were unable to determine building progress from an external visit; so, we are maintaining the same progress as in the previous report (dtd.    )
3. If Stage is identifiable increase the stage. Mention internal visit is not allowed in Remark</t>
  </si>
  <si>
    <r>
      <t xml:space="preserve">Recommended Rates / Other charges of the Property have been revised on </t>
    </r>
    <r>
      <rPr>
        <b/>
        <sz val="11"/>
        <color rgb="FF000000"/>
        <rFont val="Calibri"/>
        <family val="2"/>
      </rPr>
      <t>23/10/2023</t>
    </r>
    <r>
      <rPr>
        <sz val="11"/>
        <color rgb="FF000000"/>
        <rFont val="Calibri"/>
        <family val="2"/>
      </rPr>
      <t>.</t>
    </r>
  </si>
  <si>
    <t>Other charges/ Rate has been revised as per market inquiry (on 12/10/2023)</t>
  </si>
  <si>
    <t>Cementry of Hindu, Muslim, &amp; Christian Religion is located in 150 to 200m from project</t>
  </si>
  <si>
    <t>There is a road on the west side of the project, and a creek is next to the other side of the road.</t>
  </si>
  <si>
    <t>We have updated revised approved plans &amp; CC (on 15/12/2022).</t>
  </si>
  <si>
    <t>High Tension lines are passing through project (name)</t>
  </si>
  <si>
    <t>Collector Of Raigad</t>
  </si>
  <si>
    <t>As the project is redevelopement project but rehab statement or rehab flats is not mentioned approved layout plan &amp; floor plan.</t>
  </si>
  <si>
    <t>Construction work was stopped since visit 04/12/2017, but during 07/10/2021 site visit some construction activity was seen on site (Single room flooring work was seen)</t>
  </si>
  <si>
    <t>Builder is selling Bare Shell Office units</t>
  </si>
  <si>
    <t>We did not consider the terrace area attached to the 1st floor flats because it was not shown in the approved plans. However, it was shown in the sale plan.</t>
  </si>
  <si>
    <t>Since the project has received first CC on 17/01/2020, But construction work of Wing A is not yet started. Please provide revised approved CC for Wing A.</t>
  </si>
  <si>
    <t xml:space="preserve">Floor No </t>
  </si>
  <si>
    <t>Discription</t>
  </si>
  <si>
    <t>Carpet</t>
  </si>
  <si>
    <t>Fungible</t>
  </si>
  <si>
    <t>Terrace</t>
  </si>
  <si>
    <t>L</t>
  </si>
  <si>
    <t>W</t>
  </si>
  <si>
    <t>A</t>
  </si>
  <si>
    <t>Hall</t>
  </si>
  <si>
    <t>CB</t>
  </si>
  <si>
    <t>kitch</t>
  </si>
  <si>
    <t>FB</t>
  </si>
  <si>
    <t>Bed1</t>
  </si>
  <si>
    <t>Bed2</t>
  </si>
  <si>
    <t>Bed3</t>
  </si>
  <si>
    <t>Bed4</t>
  </si>
  <si>
    <t>DB</t>
  </si>
  <si>
    <t>toilet2</t>
  </si>
  <si>
    <t>toilet3</t>
  </si>
  <si>
    <t>passage1</t>
  </si>
  <si>
    <t>passage3</t>
  </si>
  <si>
    <t>passage4</t>
  </si>
  <si>
    <t>toilet4</t>
  </si>
  <si>
    <t>passage2</t>
  </si>
  <si>
    <t>Servant room</t>
  </si>
  <si>
    <t>Balcony</t>
  </si>
  <si>
    <r>
      <t xml:space="preserve">A sale or rehab statement is not provided along with approved floor plans. But as per a letter provided by the Bank Official on </t>
    </r>
    <r>
      <rPr>
        <b/>
        <sz val="11"/>
        <color rgb="FF000000"/>
        <rFont val="Calibri"/>
        <family val="2"/>
      </rPr>
      <t>whatsapp</t>
    </r>
    <r>
      <rPr>
        <sz val="11"/>
        <color rgb="FF000000"/>
        <rFont val="Calibri"/>
        <family val="2"/>
      </rPr>
      <t xml:space="preserve"> A wing is a rehab wing, and B wing is a sale wing. The same letter is attached below.</t>
    </r>
  </si>
  <si>
    <r>
      <t xml:space="preserve">A sale or rehab statement is not provided along with approved floor plans. But as per a letter provided by the Bank Official on </t>
    </r>
    <r>
      <rPr>
        <b/>
        <sz val="11"/>
        <color rgb="FF000000"/>
        <rFont val="Calibri"/>
        <family val="2"/>
      </rPr>
      <t>whatsapp</t>
    </r>
    <r>
      <rPr>
        <sz val="11"/>
        <color rgb="FF000000"/>
        <rFont val="Calibri"/>
        <family val="2"/>
      </rPr>
      <t>, 5 shops &amp; 6 Flats are Rehab Flats. The same letter is attached below.</t>
    </r>
  </si>
  <si>
    <t>As Flat No. 201, 202, 203 &amp; 204 consists of large terrace area but dimension of that area is not mentioned. Therefore we have not considered terrace area for that flat.</t>
  </si>
  <si>
    <t>Electric Lines are passing above the project</t>
  </si>
  <si>
    <t>High tension lines are passing nearby project Project Name. Please provide Power Noc.</t>
  </si>
  <si>
    <t>We have release report on the basis of other vendor report.</t>
  </si>
  <si>
    <t>As per the last site visit dtd. 06/03/2024, internal visit was not allowed. Hence, the construction percentage given in the report was as per site met person i.e. 1st slab completed.
As per the visit dtd 10/06/2024, we have observed that only plinth work is completed. But higher construction stage is already given in last report i.e. 1st slab completed Hence, we are maintaining the same construction percentage as of previous report.</t>
  </si>
  <si>
    <t>Recommended Rates / Other charges of the Property (Commercial) have been revised on 23/10/2023 on basis of Cost sheet provided to us on mail by bank official, which is attached below</t>
  </si>
  <si>
    <t>As building have received First CC on 08/05/2015 still building is still under construction.</t>
  </si>
  <si>
    <t>Provided plans doesnot consist of Owner &amp; Architect Signature, 
We are releasing report after verbel discussion with Bank Officials about above Query.</t>
  </si>
  <si>
    <t>We have not drafted Unit No. 4, Office No. 107, 207, 307 &amp; 407 due to improper dimentions n shape of that unit.</t>
  </si>
  <si>
    <t>We are releasing report on MIDC Approved plans &amp; Combined Approval Letter.</t>
  </si>
  <si>
    <t>As the project is redevelopement project but rehab statement or rehab flats is not mentioned approved layout plan &amp; floor plan. But builder rehab tenant list is provided on mail by bank officials which is attached below</t>
  </si>
  <si>
    <t>SCL Kalyan</t>
  </si>
  <si>
    <t>SCL Badlapur</t>
  </si>
  <si>
    <t>SCL Vashi</t>
  </si>
  <si>
    <t>SCL Thane</t>
  </si>
  <si>
    <t>SCL Andheri</t>
  </si>
  <si>
    <t>SCL Borivali</t>
  </si>
  <si>
    <t>SCL Virar</t>
  </si>
  <si>
    <t>As per Approved Floor Plan, In C to E wing on Ground floor Shop No. 19 &amp; 20 are merged into single shop.</t>
  </si>
  <si>
    <t xml:space="preserve">Please check for Environment Clearance Certificate, Fire NOC, Airport NOC, CRZ NOC, Railway Noc.
</t>
  </si>
  <si>
    <t xml:space="preserve">We have given Valuation for Sale Flats and Shops only.
</t>
  </si>
  <si>
    <t>There are guest houses, villas, resorts, etc. in a range of 200 to 300 meters.
There are few residential buildings available in the surrounding areas. (within 500 meters)
There are inadequate transportation options to get to the project and the area is not
developed</t>
  </si>
  <si>
    <t xml:space="preserve">Airport Noc No
Valid Up for: 
</t>
  </si>
  <si>
    <t xml:space="preserve">Valid upto Dated </t>
  </si>
  <si>
    <t>PNB Panvel</t>
  </si>
  <si>
    <t>Building Details Floor Wise</t>
  </si>
  <si>
    <t>Sammaan Capital Limited</t>
  </si>
  <si>
    <t>Thane Municipal Corporation (TMC)</t>
  </si>
  <si>
    <t>Construction stage is reduced due to revision in proposed structure of project.</t>
  </si>
  <si>
    <t>Construction percentage has been reduced due to the construction work being processed in two parts.</t>
  </si>
  <si>
    <t xml:space="preserve">The project has received CC on 07/06/2019, But construction work is not yet Completed. </t>
  </si>
  <si>
    <t>Some flats are occupied by tenants but finishing work is in process at the time of visit.</t>
  </si>
  <si>
    <t>The       project is not registered on RERA site, Beacause land area of project is less than 500 Sq.Mt</t>
  </si>
  <si>
    <t>As per site visit dtd.23/01/2025 we have observed that the construction work is not done as per approved floor plan. (Extra Terrace Area are Constructed for flats)
According to the approved 1st floor plan, terrace area is not attached to Flat No.3, 4 &amp; 5, But on site terrace area is already constructed.</t>
  </si>
  <si>
    <t>Remark No. 42 is resolved by corrigendum (i.e. correction letter) provided by authority regarding survey nos. letter attached below.</t>
  </si>
  <si>
    <t>As per approved Floor plans does not consist of Unit Numbering, We have considered unit numbering from sale plan provided by site meet person during site visit.</t>
  </si>
  <si>
    <t>As per New version of RERA portal project consist of single building - Hasha Heights
As per Old version of RERA portal project consist of Two buildings- Hasha Heights &amp; Kunti Heights</t>
  </si>
  <si>
    <t>Remark No.11 is solved. we were asked to follow the old version of RERA by the bank official builder letter provided on the mail is attached below.</t>
  </si>
  <si>
    <t xml:space="preserve">As per approved plan &amp; CC,  project consists of Survey No.40, H.No.2A, Plot No.3 &amp; 4.  
But as per RERA, project consists of Survey No.40/B, Plot No.3 &amp; 4.  </t>
  </si>
  <si>
    <t>Vishw apartment</t>
  </si>
  <si>
    <t>The approved large land parcel layout plan does not consist of survey number, therefore we have referred Survey No. from Title Certificate.</t>
  </si>
  <si>
    <t>As per the discussion with the bank official, Builder provided approved EC on whatsapp for a large land parcel.</t>
  </si>
  <si>
    <t>Mahindra Vista Phase 1 &amp; 2</t>
  </si>
  <si>
    <t>As per the approved floor plan, out of 1199 flats, there are 132 flats that are "I to R" flats. Please check from your end.</t>
  </si>
  <si>
    <t>As per the approved plans &amp; RERA in the project Shikara Heights Phase I consist of " Wing A, B, C " for Sale &amp; " Wing D " for Rehab
Therefore we have not considered Rehab Wing D in APF Report.</t>
  </si>
  <si>
    <t xml:space="preserve">Site Elevation (AMSL) = 
Permissible Top Elevation (AMSL) = </t>
  </si>
  <si>
    <t>Carpet Area</t>
  </si>
  <si>
    <t>As per Google Maps, we have observed that some plants or trees are surrounding of theproject (it plants might be mangroves also).</t>
  </si>
  <si>
    <t>The Royal Bay</t>
  </si>
  <si>
    <t>Office No. 1031, Wing J, Akshar Business Park, Plot No. 03 Sector 25, Near APMC Market, Vashi, Navi Mumbai, Maharashtra 400703 TEL: 022-46090378/79/80
E mail : vsjcapf@gmail.com. Web site : www.vsjadon.com</t>
  </si>
  <si>
    <t xml:space="preserve">As per the revised approved plan dated 08/09/2022, the approved structure of Wing A is reduced to Gr + 1st to 14th Floor (earlier it was Wing A = Gr + 1st to 15th Floor) </t>
  </si>
  <si>
    <t>Balaji Govind</t>
  </si>
  <si>
    <t>Jio Finance</t>
  </si>
  <si>
    <t>JFL Koparkhairane</t>
  </si>
  <si>
    <t>The Domus Prive</t>
  </si>
  <si>
    <t>As per the approved floor plan dtd.22/07/2024, the building height is 61.55 Mtrs (Upto OHT), which is reached up to his maximum height limit of 61.73 Mtrs with reference to the airport
NOC.</t>
  </si>
  <si>
    <t>As per visit dtd 13/08/2025, we have observed that construction work of Shop no. 1, 2, 3, 6, 7, 8 from Building No. 1 and Shop no. 11, 12, 13, 16, 17 from Building No. 2 are Completed.Therefore it can be considered as Progress 100% and Disbursement 100%.</t>
  </si>
  <si>
    <t>Remark if shops construction is asked</t>
  </si>
  <si>
    <t>Shree Guru Nanak &amp; Co.</t>
  </si>
  <si>
    <t>Classic Sapphire</t>
  </si>
  <si>
    <t>Mr. Thakur Khemani 9022265707</t>
  </si>
  <si>
    <t>shared on PRAGATI</t>
  </si>
  <si>
    <t>Not Registered</t>
  </si>
  <si>
    <t>Survey No</t>
  </si>
  <si>
    <t>56, Plot No. 6</t>
  </si>
  <si>
    <t>Bopele</t>
  </si>
  <si>
    <t>Internal Road</t>
  </si>
  <si>
    <t>Shree Pooja</t>
  </si>
  <si>
    <t>Hajare Nagar</t>
  </si>
  <si>
    <t>pg 71 of Neral final file pdf</t>
  </si>
  <si>
    <t>Other Plot</t>
  </si>
  <si>
    <t>Plot No. 11</t>
  </si>
  <si>
    <t>Plot No. 7</t>
  </si>
  <si>
    <t>Open Plot</t>
  </si>
  <si>
    <t>19.026389,73.325372</t>
  </si>
  <si>
    <t>https://maps.app.goo.gl/Urv54R5QBt3AFj8F6</t>
  </si>
  <si>
    <t>Bunglow</t>
  </si>
  <si>
    <t>1.2 KM from Neral Railway Station</t>
  </si>
  <si>
    <t>RZP BD/NSVP/62/2023</t>
  </si>
  <si>
    <t>RZP/Bandhkam/NSVP/62/2023</t>
  </si>
  <si>
    <t xml:space="preserve">Commencement-CC No
Valid Up to: </t>
  </si>
  <si>
    <t>G + 1st to 4th Floor</t>
  </si>
  <si>
    <t>As per Builder - Dec 2025</t>
  </si>
  <si>
    <r>
      <t xml:space="preserve">Proposed Amenities :                                                                                                                                                                                                                         </t>
    </r>
    <r>
      <rPr>
        <b/>
        <sz val="12"/>
        <color theme="1"/>
        <rFont val="Times New Roman"/>
        <family val="1"/>
      </rPr>
      <t xml:space="preserve">                                               </t>
    </r>
  </si>
  <si>
    <t xml:space="preserve">Details of Residential in Building   </t>
  </si>
  <si>
    <t>Ground Floor For Entrance Lobby, Residential &amp; Parking</t>
  </si>
  <si>
    <t>1BHK</t>
  </si>
  <si>
    <t>We considered Gross carpet area = Net carpet + Balcony Area.</t>
  </si>
  <si>
    <t>Gaurav Panchal</t>
  </si>
  <si>
    <t>Naynesh Sunil Lovanshi</t>
  </si>
  <si>
    <t>Construction work is in process at the time of Visit (labour found)</t>
  </si>
  <si>
    <t>Flats - 13</t>
  </si>
  <si>
    <t>Balcony Area</t>
  </si>
  <si>
    <t>Approved Plans, CC, Cost Sheet &amp; Legal Title Report.</t>
  </si>
  <si>
    <t>Internal Road / Open Plot</t>
  </si>
  <si>
    <t>Neral East</t>
  </si>
  <si>
    <t>Raigad Zilha Parishad, Alibag</t>
  </si>
  <si>
    <t>G + 1st to 4th Floor
Proposed BUA = 580.22 Sqmt</t>
  </si>
  <si>
    <t>Vitrified tiles flooring, Granite Kitchen Platform, Decorative Entrance, Compound Wall, etc.</t>
  </si>
  <si>
    <t xml:space="preserve">1st to 4th Floor For Residential </t>
  </si>
  <si>
    <t>rate conformed with shruti ma'am</t>
  </si>
  <si>
    <t>6. M Wide Road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</si>
</sst>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 #,##0.00_ ;_ * \-#,##0.00_ ;_ * &quot;-&quot;??_ ;_ @_ "/>
    <numFmt numFmtId="164" formatCode="0.0"/>
    <numFmt numFmtId="165" formatCode="_(* #,##0.00_);_(* \(#,##0.00\);_(* &quot;-&quot;??_);_(@_)"/>
    <numFmt numFmtId="166" formatCode="_(* #,##0_);_(* \(#,##0\);_(* &quot;-&quot;??_);_(@_)"/>
    <numFmt numFmtId="167" formatCode="_ * #,##0_ ;_ * \-#,##0_ ;_ * &quot;-&quot;??_ ;_ @_ "/>
  </numFmts>
  <fonts count="32"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b/>
      <sz val="11"/>
      <color indexed="8"/>
      <name val="Times New Roman"/>
      <family val="1"/>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b/>
      <sz val="11.5"/>
      <color indexed="8"/>
      <name val="Times New Roman"/>
      <family val="1"/>
    </font>
    <font>
      <sz val="12"/>
      <name val="Times New Roman"/>
      <family val="1"/>
    </font>
    <font>
      <b/>
      <sz val="12"/>
      <name val="Times New Roman"/>
      <family val="1"/>
    </font>
    <font>
      <sz val="11"/>
      <name val="Times New Roman"/>
      <family val="1"/>
    </font>
    <font>
      <sz val="12"/>
      <color rgb="FFFF0000"/>
      <name val="Times New Roman"/>
      <family val="1"/>
    </font>
    <font>
      <sz val="11"/>
      <color theme="1"/>
      <name val="Times New Roman"/>
      <family val="1"/>
    </font>
    <font>
      <b/>
      <sz val="12"/>
      <color rgb="FFFF0000"/>
      <name val="Times New Roman"/>
      <family val="1"/>
    </font>
    <font>
      <sz val="11"/>
      <color rgb="FF000000"/>
      <name val="Times New Roman"/>
      <family val="1"/>
    </font>
    <font>
      <sz val="11"/>
      <color rgb="FFFF0000"/>
      <name val="Calibri"/>
      <family val="2"/>
      <scheme val="minor"/>
    </font>
    <font>
      <sz val="11"/>
      <color rgb="FFFF0000"/>
      <name val="Calibri"/>
      <family val="2"/>
    </font>
    <font>
      <sz val="10"/>
      <name val="Arial"/>
      <family val="2"/>
    </font>
    <font>
      <sz val="11"/>
      <color rgb="FF000000"/>
      <name val="Calibri"/>
      <family val="2"/>
    </font>
    <font>
      <b/>
      <sz val="11"/>
      <color rgb="FF000000"/>
      <name val="Times New Roman"/>
      <family val="1"/>
    </font>
    <font>
      <sz val="10"/>
      <color theme="1"/>
      <name val="Times New Roman"/>
      <family val="1"/>
    </font>
    <font>
      <sz val="11"/>
      <name val="Calibri"/>
      <family val="2"/>
    </font>
    <font>
      <sz val="11"/>
      <color theme="0"/>
      <name val="Calibri"/>
      <family val="2"/>
    </font>
    <font>
      <u/>
      <sz val="11"/>
      <color theme="10"/>
      <name val="Calibri"/>
      <family val="2"/>
    </font>
    <font>
      <sz val="9"/>
      <color indexed="81"/>
      <name val="Tahoma"/>
      <family val="2"/>
    </font>
    <font>
      <b/>
      <sz val="9"/>
      <color indexed="81"/>
      <name val="Tahoma"/>
      <family val="2"/>
    </font>
    <font>
      <b/>
      <sz val="11"/>
      <color rgb="FF000000"/>
      <name val="Calibri"/>
      <family val="2"/>
    </font>
    <font>
      <b/>
      <sz val="11"/>
      <color rgb="FFFF0000"/>
      <name val="Times New Roman"/>
      <family val="1"/>
    </font>
  </fonts>
  <fills count="6">
    <fill>
      <patternFill patternType="none"/>
    </fill>
    <fill>
      <patternFill patternType="gray125"/>
    </fill>
    <fill>
      <patternFill patternType="solid">
        <fgColor rgb="FFFFFF00"/>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9" tint="0.7999816888943144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style="medium">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s>
  <cellStyleXfs count="11">
    <xf numFmtId="0" fontId="0" fillId="0" borderId="0"/>
    <xf numFmtId="0" fontId="3" fillId="0" borderId="0"/>
    <xf numFmtId="0" fontId="5" fillId="0" borderId="0"/>
    <xf numFmtId="0" fontId="2" fillId="0" borderId="0"/>
    <xf numFmtId="0" fontId="5" fillId="0" borderId="0"/>
    <xf numFmtId="0" fontId="1" fillId="0" borderId="0"/>
    <xf numFmtId="165" fontId="5" fillId="0" borderId="0" applyFont="0" applyFill="0" applyBorder="0" applyAlignment="0" applyProtection="0"/>
    <xf numFmtId="0" fontId="21" fillId="0" borderId="0"/>
    <xf numFmtId="9" fontId="22" fillId="0" borderId="0" applyFont="0" applyFill="0" applyBorder="0" applyAlignment="0" applyProtection="0"/>
    <xf numFmtId="43" fontId="22" fillId="0" borderId="0" applyFont="0" applyFill="0" applyBorder="0" applyAlignment="0" applyProtection="0"/>
    <xf numFmtId="0" fontId="27" fillId="0" borderId="0" applyNumberFormat="0" applyFill="0" applyBorder="0" applyAlignment="0" applyProtection="0"/>
  </cellStyleXfs>
  <cellXfs count="273">
    <xf numFmtId="0" fontId="0" fillId="0" borderId="0" xfId="0"/>
    <xf numFmtId="0" fontId="5" fillId="0" borderId="0" xfId="4"/>
    <xf numFmtId="0" fontId="1" fillId="0" borderId="0" xfId="5"/>
    <xf numFmtId="0" fontId="9" fillId="0" borderId="1" xfId="5" applyFont="1" applyBorder="1" applyAlignment="1">
      <alignment horizontal="center" vertical="top" wrapText="1"/>
    </xf>
    <xf numFmtId="0" fontId="20" fillId="0" borderId="0" xfId="4" applyFont="1"/>
    <xf numFmtId="0" fontId="1" fillId="0" borderId="1" xfId="5" applyBorder="1" applyAlignment="1">
      <alignment horizontal="center" vertical="center"/>
    </xf>
    <xf numFmtId="0" fontId="1" fillId="0" borderId="1" xfId="5" applyBorder="1" applyAlignment="1">
      <alignment horizontal="left" vertical="center"/>
    </xf>
    <xf numFmtId="1" fontId="1" fillId="0" borderId="1" xfId="5" applyNumberFormat="1" applyBorder="1" applyAlignment="1">
      <alignment horizontal="center" vertical="center"/>
    </xf>
    <xf numFmtId="166" fontId="1" fillId="0" borderId="1" xfId="6" applyNumberFormat="1" applyFont="1" applyBorder="1" applyAlignment="1">
      <alignment horizontal="right" vertical="center"/>
    </xf>
    <xf numFmtId="0" fontId="1" fillId="0" borderId="1" xfId="5" applyBorder="1" applyAlignment="1">
      <alignment horizontal="left" vertical="center" wrapText="1"/>
    </xf>
    <xf numFmtId="0" fontId="9" fillId="0" borderId="1" xfId="5" applyFont="1" applyBorder="1" applyAlignment="1">
      <alignment horizontal="center" vertical="center"/>
    </xf>
    <xf numFmtId="1" fontId="19" fillId="0" borderId="1" xfId="5" applyNumberFormat="1" applyFont="1" applyBorder="1" applyAlignment="1">
      <alignment horizontal="center" vertical="center"/>
    </xf>
    <xf numFmtId="0" fontId="5" fillId="0" borderId="1" xfId="4" applyBorder="1" applyAlignment="1">
      <alignment horizontal="center" vertical="center"/>
    </xf>
    <xf numFmtId="0" fontId="18" fillId="0" borderId="0" xfId="0" applyFont="1" applyProtection="1">
      <protection hidden="1"/>
    </xf>
    <xf numFmtId="0" fontId="15" fillId="0" borderId="1" xfId="1" applyFont="1" applyBorder="1" applyAlignment="1" applyProtection="1">
      <alignment horizontal="center" vertical="top"/>
      <protection locked="0"/>
    </xf>
    <xf numFmtId="0" fontId="18" fillId="0" borderId="11" xfId="0" applyFont="1" applyBorder="1" applyProtection="1">
      <protection hidden="1"/>
    </xf>
    <xf numFmtId="0" fontId="12" fillId="0" borderId="4" xfId="1" applyFont="1" applyBorder="1" applyAlignment="1" applyProtection="1">
      <alignment horizontal="center" vertical="top"/>
      <protection locked="0"/>
    </xf>
    <xf numFmtId="0" fontId="12" fillId="0" borderId="5" xfId="1" applyFont="1" applyBorder="1" applyAlignment="1" applyProtection="1">
      <alignment horizontal="center" vertical="top"/>
      <protection locked="0"/>
    </xf>
    <xf numFmtId="0" fontId="6" fillId="0" borderId="1" xfId="1" applyFont="1" applyBorder="1" applyAlignment="1" applyProtection="1">
      <alignment vertical="top" wrapText="1"/>
      <protection locked="0"/>
    </xf>
    <xf numFmtId="9" fontId="7" fillId="0" borderId="1" xfId="8" applyFont="1" applyFill="1" applyBorder="1" applyAlignment="1" applyProtection="1">
      <alignment horizontal="center" vertical="top" wrapText="1"/>
      <protection locked="0"/>
    </xf>
    <xf numFmtId="9" fontId="7" fillId="0" borderId="7" xfId="8" applyFont="1" applyFill="1" applyBorder="1" applyAlignment="1" applyProtection="1">
      <alignment horizontal="center" vertical="top" wrapText="1"/>
      <protection locked="0"/>
    </xf>
    <xf numFmtId="0" fontId="7" fillId="0" borderId="0" xfId="1" applyFont="1"/>
    <xf numFmtId="0" fontId="15" fillId="0" borderId="0" xfId="1" applyFont="1"/>
    <xf numFmtId="0" fontId="12" fillId="0" borderId="0" xfId="1" applyFont="1"/>
    <xf numFmtId="1" fontId="7" fillId="0" borderId="0" xfId="1" applyNumberFormat="1" applyFont="1"/>
    <xf numFmtId="14" fontId="7" fillId="0" borderId="0" xfId="1" applyNumberFormat="1" applyFont="1"/>
    <xf numFmtId="0" fontId="7" fillId="0" borderId="0" xfId="1" applyFont="1" applyProtection="1">
      <protection hidden="1"/>
    </xf>
    <xf numFmtId="0" fontId="24" fillId="0" borderId="0" xfId="1" applyFont="1"/>
    <xf numFmtId="0" fontId="7" fillId="0" borderId="10" xfId="1" applyFont="1" applyBorder="1"/>
    <xf numFmtId="0" fontId="18" fillId="0" borderId="10" xfId="0" applyFont="1" applyBorder="1" applyProtection="1">
      <protection hidden="1"/>
    </xf>
    <xf numFmtId="1" fontId="0" fillId="0" borderId="10" xfId="0" applyNumberFormat="1" applyBorder="1"/>
    <xf numFmtId="1" fontId="0" fillId="0" borderId="10" xfId="0" applyNumberFormat="1" applyBorder="1" applyAlignment="1">
      <alignment horizontal="right"/>
    </xf>
    <xf numFmtId="1" fontId="0" fillId="0" borderId="12" xfId="0" applyNumberFormat="1" applyBorder="1"/>
    <xf numFmtId="0" fontId="16" fillId="0" borderId="0" xfId="1" applyFont="1"/>
    <xf numFmtId="0" fontId="6" fillId="0" borderId="0" xfId="2" applyFont="1"/>
    <xf numFmtId="0" fontId="7" fillId="0" borderId="0" xfId="0" applyFont="1" applyAlignment="1">
      <alignment horizontal="center" vertical="center"/>
    </xf>
    <xf numFmtId="1" fontId="7" fillId="0" borderId="0" xfId="1" applyNumberFormat="1" applyFont="1" applyAlignment="1">
      <alignment horizontal="center" vertical="center"/>
    </xf>
    <xf numFmtId="0" fontId="7" fillId="0" borderId="0" xfId="1" applyFont="1" applyAlignment="1">
      <alignment horizontal="center" vertical="center"/>
    </xf>
    <xf numFmtId="0" fontId="8" fillId="0" borderId="0" xfId="1" applyFont="1" applyAlignment="1" applyProtection="1">
      <alignment vertical="top"/>
      <protection locked="0"/>
    </xf>
    <xf numFmtId="0" fontId="8" fillId="0" borderId="0" xfId="1" applyFont="1" applyAlignment="1" applyProtection="1">
      <alignment vertical="top" wrapText="1"/>
      <protection locked="0"/>
    </xf>
    <xf numFmtId="0" fontId="7" fillId="0" borderId="0" xfId="1" applyFont="1" applyProtection="1">
      <protection locked="0"/>
    </xf>
    <xf numFmtId="0" fontId="10" fillId="0" borderId="0" xfId="1" applyFont="1" applyProtection="1">
      <protection locked="0"/>
    </xf>
    <xf numFmtId="1" fontId="6" fillId="0" borderId="1" xfId="1" applyNumberFormat="1" applyFont="1" applyBorder="1" applyAlignment="1" applyProtection="1">
      <alignment horizontal="center" vertical="center" wrapText="1"/>
      <protection locked="0"/>
    </xf>
    <xf numFmtId="0" fontId="7" fillId="0" borderId="1" xfId="1" applyFont="1" applyBorder="1" applyAlignment="1" applyProtection="1">
      <alignment horizontal="center" vertical="top" wrapText="1"/>
      <protection locked="0"/>
    </xf>
    <xf numFmtId="0" fontId="7" fillId="0" borderId="7" xfId="1" applyFont="1" applyBorder="1" applyAlignment="1" applyProtection="1">
      <alignment horizontal="center" vertical="top" wrapText="1"/>
      <protection locked="0"/>
    </xf>
    <xf numFmtId="0" fontId="8" fillId="0" borderId="1" xfId="1" applyFont="1" applyBorder="1" applyAlignment="1" applyProtection="1">
      <alignment vertical="top"/>
      <protection locked="0"/>
    </xf>
    <xf numFmtId="1" fontId="6" fillId="0" borderId="1" xfId="0" applyNumberFormat="1" applyFont="1" applyBorder="1" applyAlignment="1" applyProtection="1">
      <alignment horizontal="center" vertical="center" wrapText="1"/>
      <protection locked="0"/>
    </xf>
    <xf numFmtId="0" fontId="12" fillId="0" borderId="1" xfId="1" applyFont="1" applyBorder="1" applyAlignment="1" applyProtection="1">
      <alignment horizontal="center" vertical="top"/>
      <protection locked="0"/>
    </xf>
    <xf numFmtId="0" fontId="6" fillId="0" borderId="1" xfId="1" applyFont="1" applyBorder="1" applyAlignment="1" applyProtection="1">
      <alignment horizontal="center" vertical="top"/>
      <protection locked="0"/>
    </xf>
    <xf numFmtId="0" fontId="25" fillId="2" borderId="30" xfId="0" applyFont="1" applyFill="1" applyBorder="1"/>
    <xf numFmtId="0" fontId="26" fillId="0" borderId="31" xfId="0" applyFont="1" applyBorder="1"/>
    <xf numFmtId="0" fontId="26" fillId="0" borderId="1" xfId="0" applyFont="1" applyBorder="1"/>
    <xf numFmtId="0" fontId="26" fillId="0" borderId="5" xfId="0" applyFont="1" applyBorder="1"/>
    <xf numFmtId="0" fontId="0" fillId="0" borderId="0" xfId="0" applyAlignment="1">
      <alignment horizontal="center" vertical="center"/>
    </xf>
    <xf numFmtId="0" fontId="0" fillId="0" borderId="1" xfId="0" applyBorder="1" applyAlignment="1">
      <alignment horizontal="center" vertical="center"/>
    </xf>
    <xf numFmtId="9" fontId="17" fillId="0" borderId="16" xfId="8" applyFont="1" applyFill="1" applyBorder="1" applyAlignment="1" applyProtection="1">
      <alignment horizontal="center" vertical="top" wrapText="1"/>
      <protection locked="0"/>
    </xf>
    <xf numFmtId="0" fontId="0" fillId="0" borderId="0" xfId="0" applyAlignment="1">
      <alignment horizontal="center"/>
    </xf>
    <xf numFmtId="0" fontId="0" fillId="0" borderId="1" xfId="0" applyBorder="1"/>
    <xf numFmtId="0" fontId="0" fillId="0" borderId="1" xfId="0" applyBorder="1" applyAlignment="1">
      <alignment wrapText="1"/>
    </xf>
    <xf numFmtId="0" fontId="0" fillId="0" borderId="1" xfId="0" applyBorder="1" applyAlignment="1">
      <alignment horizontal="left" vertical="top" wrapText="1"/>
    </xf>
    <xf numFmtId="0" fontId="15" fillId="0" borderId="1" xfId="1" applyFont="1" applyBorder="1" applyAlignment="1" applyProtection="1">
      <alignment horizontal="center" vertical="top" wrapText="1"/>
      <protection locked="0"/>
    </xf>
    <xf numFmtId="0" fontId="0" fillId="0" borderId="25" xfId="0" applyBorder="1"/>
    <xf numFmtId="0" fontId="0" fillId="0" borderId="8" xfId="0" applyBorder="1"/>
    <xf numFmtId="0" fontId="0" fillId="0" borderId="1" xfId="0" applyBorder="1" applyAlignment="1">
      <alignment vertical="top" wrapText="1"/>
    </xf>
    <xf numFmtId="1" fontId="8" fillId="0" borderId="3" xfId="1" applyNumberFormat="1" applyFont="1" applyBorder="1" applyAlignment="1" applyProtection="1">
      <alignment horizontal="center" vertical="top" wrapText="1"/>
      <protection locked="0"/>
    </xf>
    <xf numFmtId="1" fontId="17" fillId="0" borderId="3" xfId="1" applyNumberFormat="1" applyFont="1" applyBorder="1" applyAlignment="1" applyProtection="1">
      <alignment horizontal="center" vertical="top" wrapText="1"/>
      <protection locked="0"/>
    </xf>
    <xf numFmtId="0" fontId="0" fillId="2" borderId="1" xfId="0" applyFill="1" applyBorder="1" applyAlignment="1">
      <alignment horizontal="center" vertical="center"/>
    </xf>
    <xf numFmtId="0" fontId="0" fillId="0" borderId="2" xfId="0" applyBorder="1" applyAlignment="1">
      <alignment horizontal="center" vertical="center"/>
    </xf>
    <xf numFmtId="0" fontId="9" fillId="0" borderId="1" xfId="0" applyFont="1" applyBorder="1" applyAlignment="1">
      <alignment horizontal="center" vertical="center"/>
    </xf>
    <xf numFmtId="0" fontId="0" fillId="5" borderId="1" xfId="0" applyFill="1" applyBorder="1" applyAlignment="1">
      <alignment horizontal="center" vertical="center"/>
    </xf>
    <xf numFmtId="0" fontId="0" fillId="3" borderId="1" xfId="0" applyFill="1" applyBorder="1" applyAlignment="1">
      <alignment horizontal="center" vertical="center"/>
    </xf>
    <xf numFmtId="0" fontId="0" fillId="4" borderId="1" xfId="0" applyFill="1" applyBorder="1" applyAlignment="1">
      <alignment horizontal="center" vertical="center"/>
    </xf>
    <xf numFmtId="0" fontId="0" fillId="0" borderId="1" xfId="0" applyBorder="1" applyAlignment="1">
      <alignment horizontal="left" vertical="top"/>
    </xf>
    <xf numFmtId="0" fontId="0" fillId="0" borderId="0" xfId="0" applyAlignment="1">
      <alignment horizontal="left" vertical="top"/>
    </xf>
    <xf numFmtId="0" fontId="0" fillId="0" borderId="8" xfId="0" applyBorder="1" applyAlignment="1">
      <alignment horizontal="left" vertical="top"/>
    </xf>
    <xf numFmtId="0" fontId="12" fillId="0" borderId="1" xfId="1" applyFont="1" applyBorder="1"/>
    <xf numFmtId="0" fontId="7" fillId="0" borderId="1" xfId="1" applyFont="1" applyBorder="1"/>
    <xf numFmtId="0" fontId="0" fillId="0" borderId="8" xfId="0" applyBorder="1" applyAlignment="1">
      <alignment vertical="top"/>
    </xf>
    <xf numFmtId="0" fontId="0" fillId="0" borderId="25" xfId="0" applyBorder="1" applyAlignment="1">
      <alignment horizontal="center" vertical="top"/>
    </xf>
    <xf numFmtId="0" fontId="15" fillId="2" borderId="0" xfId="1" applyFont="1" applyFill="1"/>
    <xf numFmtId="14" fontId="12" fillId="0" borderId="0" xfId="1" applyNumberFormat="1" applyFont="1"/>
    <xf numFmtId="0" fontId="0" fillId="0" borderId="3" xfId="0" applyBorder="1" applyAlignment="1">
      <alignment vertical="top"/>
    </xf>
    <xf numFmtId="0" fontId="0" fillId="0" borderId="3" xfId="0" applyBorder="1" applyAlignment="1">
      <alignment wrapText="1"/>
    </xf>
    <xf numFmtId="0" fontId="0" fillId="0" borderId="25" xfId="0" applyBorder="1" applyAlignment="1">
      <alignment vertical="top"/>
    </xf>
    <xf numFmtId="0" fontId="0" fillId="0" borderId="26" xfId="0" applyBorder="1" applyAlignment="1">
      <alignment vertical="top" wrapText="1"/>
    </xf>
    <xf numFmtId="0" fontId="0" fillId="0" borderId="32" xfId="0" applyBorder="1" applyAlignment="1">
      <alignment vertical="top"/>
    </xf>
    <xf numFmtId="0" fontId="0" fillId="0" borderId="33" xfId="0" applyBorder="1" applyAlignment="1">
      <alignment vertical="top" wrapText="1"/>
    </xf>
    <xf numFmtId="0" fontId="0" fillId="0" borderId="34" xfId="0" applyBorder="1" applyAlignment="1">
      <alignment vertical="top"/>
    </xf>
    <xf numFmtId="0" fontId="0" fillId="0" borderId="12" xfId="0" applyBorder="1" applyAlignment="1">
      <alignment vertical="top" wrapText="1"/>
    </xf>
    <xf numFmtId="0" fontId="0" fillId="0" borderId="12" xfId="0" applyBorder="1" applyAlignment="1">
      <alignment vertical="top"/>
    </xf>
    <xf numFmtId="0" fontId="0" fillId="0" borderId="33" xfId="0" applyBorder="1" applyAlignment="1">
      <alignment horizontal="left" wrapText="1"/>
    </xf>
    <xf numFmtId="0" fontId="0" fillId="0" borderId="16" xfId="0" applyBorder="1" applyAlignment="1">
      <alignment vertical="top"/>
    </xf>
    <xf numFmtId="0" fontId="0" fillId="0" borderId="16" xfId="0" applyBorder="1" applyAlignment="1">
      <alignment vertical="top" wrapText="1"/>
    </xf>
    <xf numFmtId="0" fontId="0" fillId="0" borderId="1" xfId="0" applyBorder="1" applyAlignment="1">
      <alignment vertical="top"/>
    </xf>
    <xf numFmtId="0" fontId="0" fillId="0" borderId="9" xfId="0" applyBorder="1" applyAlignment="1">
      <alignment wrapText="1"/>
    </xf>
    <xf numFmtId="0" fontId="0" fillId="0" borderId="9" xfId="0" applyBorder="1" applyAlignment="1">
      <alignment vertical="top" wrapText="1"/>
    </xf>
    <xf numFmtId="16" fontId="7" fillId="0" borderId="0" xfId="1" applyNumberFormat="1" applyFont="1"/>
    <xf numFmtId="0" fontId="0" fillId="0" borderId="35" xfId="0" applyFill="1" applyBorder="1" applyAlignment="1">
      <alignment vertical="top" wrapText="1"/>
    </xf>
    <xf numFmtId="0" fontId="7" fillId="0" borderId="1" xfId="1" applyFont="1" applyBorder="1" applyAlignment="1" applyProtection="1">
      <alignment horizontal="center" vertical="top" wrapText="1"/>
      <protection locked="0"/>
    </xf>
    <xf numFmtId="1" fontId="6" fillId="0" borderId="1" xfId="1" applyNumberFormat="1" applyFont="1" applyBorder="1" applyAlignment="1" applyProtection="1">
      <alignment horizontal="center" vertical="center" wrapText="1"/>
      <protection locked="0"/>
    </xf>
    <xf numFmtId="0" fontId="7" fillId="0" borderId="0" xfId="1" applyFont="1" applyAlignment="1">
      <alignment horizontal="center" vertical="center"/>
    </xf>
    <xf numFmtId="0" fontId="7" fillId="0" borderId="0" xfId="1" applyFont="1" applyAlignment="1">
      <alignment horizontal="center" vertical="center"/>
    </xf>
    <xf numFmtId="0" fontId="6" fillId="0" borderId="3" xfId="1" applyFont="1" applyBorder="1" applyAlignment="1" applyProtection="1">
      <alignment horizontal="left" vertical="top" wrapText="1"/>
      <protection locked="0"/>
    </xf>
    <xf numFmtId="0" fontId="7" fillId="0" borderId="1" xfId="1" applyFont="1" applyBorder="1" applyAlignment="1" applyProtection="1">
      <alignment horizontal="center" vertical="top"/>
      <protection locked="0"/>
    </xf>
    <xf numFmtId="2" fontId="7" fillId="0" borderId="0" xfId="1" applyNumberFormat="1" applyFont="1" applyAlignment="1">
      <alignment horizontal="center" vertical="center"/>
    </xf>
    <xf numFmtId="9" fontId="10" fillId="0" borderId="16" xfId="8" applyFont="1" applyFill="1" applyBorder="1" applyAlignment="1" applyProtection="1">
      <alignment horizontal="center" vertical="top" wrapText="1"/>
      <protection locked="0"/>
    </xf>
    <xf numFmtId="1" fontId="7" fillId="0" borderId="0" xfId="1" applyNumberFormat="1" applyFont="1" applyAlignment="1">
      <alignment horizontal="center" vertical="center"/>
    </xf>
    <xf numFmtId="0" fontId="10" fillId="0" borderId="0" xfId="1" applyFont="1" applyAlignment="1">
      <alignment horizontal="center" vertical="center"/>
    </xf>
    <xf numFmtId="1" fontId="10" fillId="0" borderId="0" xfId="1" applyNumberFormat="1" applyFont="1" applyAlignment="1">
      <alignment horizontal="center" vertical="center"/>
    </xf>
    <xf numFmtId="0" fontId="7" fillId="0" borderId="0" xfId="1" applyFont="1" applyAlignment="1">
      <alignment vertical="center"/>
    </xf>
    <xf numFmtId="0" fontId="12" fillId="0" borderId="16" xfId="1" applyFont="1" applyBorder="1" applyAlignment="1" applyProtection="1">
      <alignment horizontal="left" vertical="top" wrapText="1"/>
      <protection locked="0"/>
    </xf>
    <xf numFmtId="0" fontId="12" fillId="0" borderId="1" xfId="1" applyFont="1" applyBorder="1" applyAlignment="1" applyProtection="1">
      <alignment horizontal="left" vertical="top" wrapText="1"/>
      <protection locked="0"/>
    </xf>
    <xf numFmtId="0" fontId="12" fillId="0" borderId="1" xfId="1" applyFont="1" applyBorder="1" applyAlignment="1" applyProtection="1">
      <alignment horizontal="left" vertical="top"/>
      <protection locked="0"/>
    </xf>
    <xf numFmtId="9" fontId="7" fillId="0" borderId="17" xfId="8" applyFont="1" applyFill="1" applyBorder="1" applyAlignment="1" applyProtection="1">
      <alignment horizontal="center" vertical="center" wrapText="1"/>
      <protection locked="0"/>
    </xf>
    <xf numFmtId="9" fontId="7" fillId="0" borderId="18" xfId="8" applyFont="1" applyFill="1" applyBorder="1" applyAlignment="1" applyProtection="1">
      <alignment horizontal="center" vertical="center" wrapText="1"/>
      <protection locked="0"/>
    </xf>
    <xf numFmtId="9" fontId="7" fillId="0" borderId="25" xfId="8" applyFont="1" applyFill="1" applyBorder="1" applyAlignment="1" applyProtection="1">
      <alignment horizontal="center" vertical="center" wrapText="1"/>
      <protection locked="0"/>
    </xf>
    <xf numFmtId="9" fontId="7" fillId="0" borderId="26" xfId="8" applyFont="1" applyFill="1" applyBorder="1" applyAlignment="1" applyProtection="1">
      <alignment horizontal="center" vertical="center" wrapText="1"/>
      <protection locked="0"/>
    </xf>
    <xf numFmtId="9" fontId="7" fillId="0" borderId="28" xfId="8" applyFont="1" applyFill="1" applyBorder="1" applyAlignment="1" applyProtection="1">
      <alignment horizontal="center" vertical="center" wrapText="1"/>
      <protection locked="0"/>
    </xf>
    <xf numFmtId="9" fontId="7" fillId="0" borderId="29" xfId="8" applyFont="1" applyFill="1" applyBorder="1" applyAlignment="1" applyProtection="1">
      <alignment horizontal="center" vertical="center" wrapText="1"/>
      <protection locked="0"/>
    </xf>
    <xf numFmtId="9" fontId="7" fillId="0" borderId="27" xfId="8" applyFont="1" applyFill="1" applyBorder="1" applyAlignment="1" applyProtection="1">
      <alignment horizontal="center" vertical="center" wrapText="1"/>
      <protection locked="0"/>
    </xf>
    <xf numFmtId="9" fontId="7" fillId="0" borderId="10" xfId="8" applyFont="1" applyFill="1" applyBorder="1" applyAlignment="1" applyProtection="1">
      <alignment horizontal="center" vertical="center" wrapText="1"/>
      <protection locked="0"/>
    </xf>
    <xf numFmtId="9" fontId="7" fillId="0" borderId="12" xfId="8" applyFont="1" applyFill="1" applyBorder="1" applyAlignment="1" applyProtection="1">
      <alignment horizontal="center" vertical="center" wrapText="1"/>
      <protection locked="0"/>
    </xf>
    <xf numFmtId="1" fontId="8" fillId="0" borderId="3" xfId="1" applyNumberFormat="1" applyFont="1" applyBorder="1" applyAlignment="1" applyProtection="1">
      <alignment horizontal="center" vertical="top" wrapText="1"/>
      <protection locked="0"/>
    </xf>
    <xf numFmtId="1" fontId="8" fillId="0" borderId="16" xfId="1" applyNumberFormat="1" applyFont="1" applyBorder="1" applyAlignment="1" applyProtection="1">
      <alignment horizontal="center" vertical="top" wrapText="1"/>
      <protection locked="0"/>
    </xf>
    <xf numFmtId="1" fontId="17" fillId="0" borderId="3" xfId="1" applyNumberFormat="1" applyFont="1" applyBorder="1" applyAlignment="1" applyProtection="1">
      <alignment horizontal="center" vertical="top" wrapText="1"/>
      <protection locked="0"/>
    </xf>
    <xf numFmtId="1" fontId="17" fillId="0" borderId="16" xfId="1" applyNumberFormat="1" applyFont="1" applyBorder="1" applyAlignment="1" applyProtection="1">
      <alignment horizontal="center" vertical="top" wrapText="1"/>
      <protection locked="0"/>
    </xf>
    <xf numFmtId="1" fontId="6" fillId="0" borderId="8" xfId="1" applyNumberFormat="1" applyFont="1" applyBorder="1" applyAlignment="1" applyProtection="1">
      <alignment horizontal="center" vertical="center" wrapText="1"/>
      <protection locked="0"/>
    </xf>
    <xf numFmtId="1" fontId="6" fillId="0" borderId="9" xfId="1" applyNumberFormat="1" applyFont="1" applyBorder="1" applyAlignment="1" applyProtection="1">
      <alignment horizontal="center" vertical="center" wrapText="1"/>
      <protection locked="0"/>
    </xf>
    <xf numFmtId="0" fontId="7" fillId="0" borderId="4" xfId="1" applyFont="1" applyBorder="1" applyAlignment="1" applyProtection="1">
      <alignment horizontal="center" vertical="top" wrapText="1"/>
      <protection locked="0"/>
    </xf>
    <xf numFmtId="0" fontId="7" fillId="0" borderId="1" xfId="1" applyFont="1" applyBorder="1" applyAlignment="1" applyProtection="1">
      <alignment horizontal="center" vertical="top" wrapText="1"/>
      <protection locked="0"/>
    </xf>
    <xf numFmtId="1" fontId="7" fillId="0" borderId="0" xfId="1" applyNumberFormat="1" applyFont="1" applyAlignment="1">
      <alignment horizontal="center" vertical="center"/>
    </xf>
    <xf numFmtId="14" fontId="6" fillId="0" borderId="17" xfId="1" applyNumberFormat="1" applyFont="1" applyBorder="1" applyAlignment="1" applyProtection="1">
      <alignment horizontal="left" vertical="top" wrapText="1"/>
      <protection locked="0"/>
    </xf>
    <xf numFmtId="14" fontId="6" fillId="0" borderId="18" xfId="1" applyNumberFormat="1" applyFont="1" applyBorder="1" applyAlignment="1" applyProtection="1">
      <alignment horizontal="left" vertical="top" wrapText="1"/>
      <protection locked="0"/>
    </xf>
    <xf numFmtId="1" fontId="8" fillId="0" borderId="8" xfId="1" applyNumberFormat="1" applyFont="1" applyBorder="1" applyAlignment="1" applyProtection="1">
      <alignment horizontal="center" vertical="center" wrapText="1"/>
      <protection locked="0"/>
    </xf>
    <xf numFmtId="1" fontId="8" fillId="0" borderId="21" xfId="1" applyNumberFormat="1" applyFont="1" applyBorder="1" applyAlignment="1" applyProtection="1">
      <alignment horizontal="center" vertical="center" wrapText="1"/>
      <protection locked="0"/>
    </xf>
    <xf numFmtId="1" fontId="8" fillId="0" borderId="9" xfId="1" applyNumberFormat="1" applyFont="1" applyBorder="1" applyAlignment="1" applyProtection="1">
      <alignment horizontal="center" vertical="center" wrapText="1"/>
      <protection locked="0"/>
    </xf>
    <xf numFmtId="1" fontId="7" fillId="0" borderId="8" xfId="1" applyNumberFormat="1" applyFont="1" applyBorder="1" applyAlignment="1" applyProtection="1">
      <alignment horizontal="center" vertical="center" wrapText="1"/>
      <protection locked="0"/>
    </xf>
    <xf numFmtId="1" fontId="7" fillId="0" borderId="9" xfId="1" applyNumberFormat="1" applyFont="1" applyBorder="1" applyAlignment="1" applyProtection="1">
      <alignment horizontal="center" vertical="center" wrapText="1"/>
      <protection locked="0"/>
    </xf>
    <xf numFmtId="0" fontId="15" fillId="0" borderId="17" xfId="1" applyFont="1" applyBorder="1" applyAlignment="1" applyProtection="1">
      <alignment horizontal="left" vertical="top" wrapText="1"/>
      <protection locked="0"/>
    </xf>
    <xf numFmtId="0" fontId="15" fillId="0" borderId="18" xfId="1" applyFont="1" applyBorder="1" applyAlignment="1" applyProtection="1">
      <alignment horizontal="left" vertical="top" wrapText="1"/>
      <protection locked="0"/>
    </xf>
    <xf numFmtId="0" fontId="15" fillId="0" borderId="25" xfId="1" applyFont="1" applyBorder="1" applyAlignment="1" applyProtection="1">
      <alignment horizontal="left" vertical="top" wrapText="1"/>
      <protection locked="0"/>
    </xf>
    <xf numFmtId="0" fontId="15" fillId="0" borderId="26" xfId="1" applyFont="1" applyBorder="1" applyAlignment="1" applyProtection="1">
      <alignment horizontal="left" vertical="top" wrapText="1"/>
      <protection locked="0"/>
    </xf>
    <xf numFmtId="0" fontId="15" fillId="0" borderId="19" xfId="1" applyFont="1" applyBorder="1" applyAlignment="1" applyProtection="1">
      <alignment horizontal="left" vertical="top" wrapText="1"/>
      <protection locked="0"/>
    </xf>
    <xf numFmtId="0" fontId="15" fillId="0" borderId="20" xfId="1" applyFont="1" applyBorder="1" applyAlignment="1" applyProtection="1">
      <alignment horizontal="left" vertical="top" wrapText="1"/>
      <protection locked="0"/>
    </xf>
    <xf numFmtId="0" fontId="6" fillId="0" borderId="8" xfId="1" applyFont="1" applyBorder="1" applyAlignment="1" applyProtection="1">
      <alignment horizontal="left" vertical="top" wrapText="1"/>
      <protection locked="0"/>
    </xf>
    <xf numFmtId="0" fontId="6" fillId="0" borderId="21" xfId="1" applyFont="1" applyBorder="1" applyAlignment="1" applyProtection="1">
      <alignment horizontal="left" vertical="top" wrapText="1"/>
      <protection locked="0"/>
    </xf>
    <xf numFmtId="0" fontId="6" fillId="0" borderId="9" xfId="1" applyFont="1" applyBorder="1" applyAlignment="1" applyProtection="1">
      <alignment horizontal="left" vertical="top" wrapText="1"/>
      <protection locked="0"/>
    </xf>
    <xf numFmtId="0" fontId="6" fillId="0" borderId="17" xfId="1" applyFont="1" applyBorder="1" applyAlignment="1" applyProtection="1">
      <alignment horizontal="center" vertical="top" wrapText="1"/>
      <protection locked="0"/>
    </xf>
    <xf numFmtId="0" fontId="6" fillId="0" borderId="24" xfId="1" applyFont="1" applyBorder="1" applyAlignment="1" applyProtection="1">
      <alignment horizontal="center" vertical="top" wrapText="1"/>
      <protection locked="0"/>
    </xf>
    <xf numFmtId="0" fontId="6" fillId="0" borderId="18" xfId="1" applyFont="1" applyBorder="1" applyAlignment="1" applyProtection="1">
      <alignment horizontal="center" vertical="top" wrapText="1"/>
      <protection locked="0"/>
    </xf>
    <xf numFmtId="0" fontId="6" fillId="0" borderId="19" xfId="1" applyFont="1" applyBorder="1" applyAlignment="1" applyProtection="1">
      <alignment horizontal="center" vertical="top" wrapText="1"/>
      <protection locked="0"/>
    </xf>
    <xf numFmtId="0" fontId="6" fillId="0" borderId="2" xfId="1" applyFont="1" applyBorder="1" applyAlignment="1" applyProtection="1">
      <alignment horizontal="center" vertical="top" wrapText="1"/>
      <protection locked="0"/>
    </xf>
    <xf numFmtId="0" fontId="6" fillId="0" borderId="20" xfId="1" applyFont="1" applyBorder="1" applyAlignment="1" applyProtection="1">
      <alignment horizontal="center" vertical="top" wrapText="1"/>
      <protection locked="0"/>
    </xf>
    <xf numFmtId="0" fontId="8" fillId="0" borderId="1" xfId="1" applyFont="1" applyBorder="1" applyAlignment="1" applyProtection="1">
      <alignment vertical="top"/>
      <protection locked="0"/>
    </xf>
    <xf numFmtId="0" fontId="13" fillId="0" borderId="4" xfId="1" applyFont="1" applyBorder="1" applyAlignment="1" applyProtection="1">
      <alignment horizontal="left" vertical="top"/>
      <protection locked="0"/>
    </xf>
    <xf numFmtId="0" fontId="13" fillId="0" borderId="1" xfId="1" applyFont="1" applyBorder="1" applyAlignment="1" applyProtection="1">
      <alignment horizontal="left" vertical="top"/>
      <protection locked="0"/>
    </xf>
    <xf numFmtId="0" fontId="8" fillId="0" borderId="22" xfId="1" applyFont="1" applyBorder="1" applyAlignment="1" applyProtection="1">
      <alignment horizontal="left" vertical="top" wrapText="1"/>
      <protection locked="0"/>
    </xf>
    <xf numFmtId="0" fontId="8" fillId="0" borderId="15" xfId="1" applyFont="1" applyBorder="1" applyAlignment="1" applyProtection="1">
      <alignment horizontal="left" vertical="top" wrapText="1"/>
      <protection locked="0"/>
    </xf>
    <xf numFmtId="0" fontId="8" fillId="0" borderId="13" xfId="1" applyFont="1" applyBorder="1" applyAlignment="1" applyProtection="1">
      <alignment horizontal="left" vertical="top" wrapText="1"/>
      <protection locked="0"/>
    </xf>
    <xf numFmtId="0" fontId="8" fillId="0" borderId="14" xfId="1" applyFont="1" applyBorder="1" applyAlignment="1" applyProtection="1">
      <alignment horizontal="left" vertical="top" wrapText="1"/>
      <protection locked="0"/>
    </xf>
    <xf numFmtId="0" fontId="8" fillId="0" borderId="23" xfId="1" applyFont="1" applyBorder="1" applyAlignment="1" applyProtection="1">
      <alignment horizontal="left" vertical="top" wrapText="1"/>
      <protection locked="0"/>
    </xf>
    <xf numFmtId="0" fontId="6" fillId="0" borderId="1" xfId="1" applyFont="1" applyBorder="1" applyAlignment="1" applyProtection="1">
      <alignment horizontal="left" vertical="top"/>
      <protection locked="0"/>
    </xf>
    <xf numFmtId="0" fontId="13" fillId="0" borderId="1" xfId="1" applyFont="1" applyBorder="1" applyAlignment="1" applyProtection="1">
      <alignment horizontal="left" vertical="top" wrapText="1"/>
      <protection locked="0"/>
    </xf>
    <xf numFmtId="0" fontId="13" fillId="0" borderId="5" xfId="1" applyFont="1" applyBorder="1" applyAlignment="1" applyProtection="1">
      <alignment horizontal="left" vertical="top" wrapText="1"/>
      <protection locked="0"/>
    </xf>
    <xf numFmtId="0" fontId="6" fillId="0" borderId="1" xfId="1" applyFont="1" applyBorder="1" applyAlignment="1" applyProtection="1">
      <alignment horizontal="left" vertical="top" wrapText="1"/>
      <protection locked="0"/>
    </xf>
    <xf numFmtId="0" fontId="12" fillId="0" borderId="3" xfId="1" applyFont="1" applyBorder="1" applyAlignment="1" applyProtection="1">
      <alignment horizontal="left" vertical="top" wrapText="1"/>
      <protection locked="0"/>
    </xf>
    <xf numFmtId="0" fontId="7" fillId="0" borderId="5" xfId="1" applyFont="1" applyBorder="1" applyAlignment="1" applyProtection="1">
      <alignment horizontal="center" vertical="top" wrapText="1"/>
      <protection locked="0"/>
    </xf>
    <xf numFmtId="0" fontId="7" fillId="0" borderId="6" xfId="1" applyFont="1" applyBorder="1" applyAlignment="1" applyProtection="1">
      <alignment horizontal="center" vertical="top" wrapText="1"/>
      <protection locked="0"/>
    </xf>
    <xf numFmtId="0" fontId="7" fillId="0" borderId="7" xfId="1" applyFont="1" applyBorder="1" applyAlignment="1" applyProtection="1">
      <alignment horizontal="center" vertical="top" wrapText="1"/>
      <protection locked="0"/>
    </xf>
    <xf numFmtId="0" fontId="7" fillId="0" borderId="25" xfId="1" applyFont="1" applyBorder="1" applyAlignment="1">
      <alignment horizontal="center"/>
    </xf>
    <xf numFmtId="0" fontId="7" fillId="0" borderId="0" xfId="1" applyFont="1" applyAlignment="1">
      <alignment horizontal="center"/>
    </xf>
    <xf numFmtId="167" fontId="12" fillId="0" borderId="1" xfId="9" applyNumberFormat="1" applyFont="1" applyFill="1" applyBorder="1" applyAlignment="1" applyProtection="1">
      <alignment horizontal="left" vertical="top"/>
      <protection locked="0"/>
    </xf>
    <xf numFmtId="0" fontId="10" fillId="0" borderId="1" xfId="1" applyFont="1" applyBorder="1" applyAlignment="1" applyProtection="1">
      <alignment horizontal="center" vertical="top"/>
      <protection locked="0"/>
    </xf>
    <xf numFmtId="1" fontId="8" fillId="0" borderId="1" xfId="0" applyNumberFormat="1" applyFont="1" applyBorder="1" applyAlignment="1" applyProtection="1">
      <alignment horizontal="center" vertical="top" wrapText="1"/>
      <protection locked="0"/>
    </xf>
    <xf numFmtId="0" fontId="8" fillId="0" borderId="8" xfId="1" applyFont="1" applyBorder="1" applyAlignment="1" applyProtection="1">
      <alignment horizontal="left" vertical="top" wrapText="1"/>
      <protection locked="0"/>
    </xf>
    <xf numFmtId="0" fontId="8" fillId="0" borderId="9" xfId="1" applyFont="1" applyBorder="1" applyAlignment="1" applyProtection="1">
      <alignment horizontal="left" vertical="top" wrapText="1"/>
      <protection locked="0"/>
    </xf>
    <xf numFmtId="0" fontId="8" fillId="0" borderId="21" xfId="1" applyFont="1" applyBorder="1" applyAlignment="1" applyProtection="1">
      <alignment horizontal="left" vertical="top" wrapText="1"/>
      <protection locked="0"/>
    </xf>
    <xf numFmtId="0" fontId="10" fillId="0" borderId="1" xfId="0" applyFont="1" applyBorder="1" applyAlignment="1" applyProtection="1">
      <alignment horizontal="center" vertical="top" wrapText="1"/>
      <protection locked="0"/>
    </xf>
    <xf numFmtId="1" fontId="6" fillId="0" borderId="1" xfId="0" applyNumberFormat="1" applyFont="1" applyBorder="1" applyAlignment="1" applyProtection="1">
      <alignment horizontal="center" vertical="center" wrapText="1"/>
      <protection locked="0"/>
    </xf>
    <xf numFmtId="0" fontId="10" fillId="0" borderId="1" xfId="0" applyFont="1" applyBorder="1" applyAlignment="1" applyProtection="1">
      <alignment horizontal="center" vertical="center"/>
      <protection locked="0"/>
    </xf>
    <xf numFmtId="14" fontId="8" fillId="0" borderId="8" xfId="1" applyNumberFormat="1" applyFont="1" applyBorder="1" applyAlignment="1" applyProtection="1">
      <alignment horizontal="left" vertical="top"/>
      <protection locked="0"/>
    </xf>
    <xf numFmtId="14" fontId="8" fillId="0" borderId="9" xfId="1" applyNumberFormat="1" applyFont="1" applyBorder="1" applyAlignment="1" applyProtection="1">
      <alignment horizontal="left" vertical="top"/>
      <protection locked="0"/>
    </xf>
    <xf numFmtId="1" fontId="6" fillId="0" borderId="21" xfId="1" applyNumberFormat="1" applyFont="1" applyBorder="1" applyAlignment="1" applyProtection="1">
      <alignment horizontal="center" vertical="center" wrapText="1"/>
      <protection locked="0"/>
    </xf>
    <xf numFmtId="0" fontId="6" fillId="0" borderId="1" xfId="1" applyFont="1" applyBorder="1" applyAlignment="1" applyProtection="1">
      <alignment vertical="top"/>
      <protection locked="0"/>
    </xf>
    <xf numFmtId="1" fontId="6" fillId="0" borderId="1" xfId="1" applyNumberFormat="1" applyFont="1" applyBorder="1" applyAlignment="1" applyProtection="1">
      <alignment horizontal="center" vertical="center" wrapText="1"/>
      <protection locked="0"/>
    </xf>
    <xf numFmtId="1" fontId="10" fillId="0" borderId="3" xfId="1" applyNumberFormat="1" applyFont="1" applyBorder="1" applyAlignment="1" applyProtection="1">
      <alignment horizontal="center" vertical="top" wrapText="1"/>
      <protection locked="0"/>
    </xf>
    <xf numFmtId="1" fontId="10" fillId="0" borderId="16" xfId="1" applyNumberFormat="1" applyFont="1" applyBorder="1" applyAlignment="1" applyProtection="1">
      <alignment horizontal="center" vertical="top" wrapText="1"/>
      <protection locked="0"/>
    </xf>
    <xf numFmtId="1" fontId="6" fillId="0" borderId="1" xfId="0" applyNumberFormat="1" applyFont="1" applyBorder="1" applyAlignment="1" applyProtection="1">
      <alignment horizontal="center" vertical="top" wrapText="1"/>
      <protection locked="0"/>
    </xf>
    <xf numFmtId="1" fontId="10" fillId="0" borderId="3" xfId="0" applyNumberFormat="1" applyFont="1" applyBorder="1" applyAlignment="1" applyProtection="1">
      <alignment horizontal="center" vertical="center"/>
      <protection locked="0"/>
    </xf>
    <xf numFmtId="0" fontId="10" fillId="0" borderId="3" xfId="0" applyFont="1" applyBorder="1" applyAlignment="1" applyProtection="1">
      <alignment horizontal="center" vertical="center"/>
      <protection locked="0"/>
    </xf>
    <xf numFmtId="1" fontId="10" fillId="0" borderId="8" xfId="0" applyNumberFormat="1" applyFont="1" applyBorder="1" applyAlignment="1" applyProtection="1">
      <alignment vertical="top" wrapText="1"/>
      <protection locked="0"/>
    </xf>
    <xf numFmtId="1" fontId="10" fillId="0" borderId="21" xfId="0" applyNumberFormat="1" applyFont="1" applyBorder="1" applyAlignment="1" applyProtection="1">
      <alignment vertical="top" wrapText="1"/>
      <protection locked="0"/>
    </xf>
    <xf numFmtId="1" fontId="10" fillId="0" borderId="9" xfId="0" applyNumberFormat="1" applyFont="1" applyBorder="1" applyAlignment="1" applyProtection="1">
      <alignment vertical="top" wrapText="1"/>
      <protection locked="0"/>
    </xf>
    <xf numFmtId="1" fontId="17" fillId="0" borderId="8" xfId="0" applyNumberFormat="1" applyFont="1" applyBorder="1" applyAlignment="1" applyProtection="1">
      <alignment vertical="top" wrapText="1"/>
      <protection locked="0"/>
    </xf>
    <xf numFmtId="1" fontId="17" fillId="0" borderId="21" xfId="0" applyNumberFormat="1" applyFont="1" applyBorder="1" applyAlignment="1" applyProtection="1">
      <alignment vertical="top" wrapText="1"/>
      <protection locked="0"/>
    </xf>
    <xf numFmtId="1" fontId="17" fillId="0" borderId="9" xfId="0" applyNumberFormat="1" applyFont="1" applyBorder="1" applyAlignment="1" applyProtection="1">
      <alignment vertical="top" wrapText="1"/>
      <protection locked="0"/>
    </xf>
    <xf numFmtId="1" fontId="8" fillId="0" borderId="36" xfId="0" applyNumberFormat="1" applyFont="1" applyBorder="1" applyAlignment="1" applyProtection="1">
      <alignment horizontal="center" vertical="center" wrapText="1"/>
      <protection locked="0"/>
    </xf>
    <xf numFmtId="1" fontId="8" fillId="0" borderId="37" xfId="0" applyNumberFormat="1" applyFont="1" applyBorder="1" applyAlignment="1" applyProtection="1">
      <alignment horizontal="center" vertical="center" wrapText="1"/>
      <protection locked="0"/>
    </xf>
    <xf numFmtId="0" fontId="13" fillId="0" borderId="16" xfId="1" applyFont="1" applyBorder="1" applyAlignment="1" applyProtection="1">
      <alignment horizontal="left" vertical="top"/>
      <protection locked="0"/>
    </xf>
    <xf numFmtId="1" fontId="4" fillId="0" borderId="3" xfId="1" applyNumberFormat="1" applyFont="1" applyBorder="1" applyAlignment="1" applyProtection="1">
      <alignment horizontal="center" vertical="top" wrapText="1"/>
      <protection locked="0"/>
    </xf>
    <xf numFmtId="1" fontId="4" fillId="0" borderId="16" xfId="1" applyNumberFormat="1" applyFont="1" applyBorder="1" applyAlignment="1" applyProtection="1">
      <alignment horizontal="center" vertical="top" wrapText="1"/>
      <protection locked="0"/>
    </xf>
    <xf numFmtId="1" fontId="13" fillId="0" borderId="8" xfId="0" applyNumberFormat="1" applyFont="1" applyBorder="1" applyAlignment="1" applyProtection="1">
      <alignment vertical="top" wrapText="1"/>
      <protection locked="0"/>
    </xf>
    <xf numFmtId="1" fontId="13" fillId="0" borderId="21" xfId="0" applyNumberFormat="1" applyFont="1" applyBorder="1" applyAlignment="1" applyProtection="1">
      <alignment vertical="top" wrapText="1"/>
      <protection locked="0"/>
    </xf>
    <xf numFmtId="1" fontId="13" fillId="0" borderId="9" xfId="0" applyNumberFormat="1" applyFont="1" applyBorder="1" applyAlignment="1" applyProtection="1">
      <alignment vertical="top" wrapText="1"/>
      <protection locked="0"/>
    </xf>
    <xf numFmtId="1" fontId="8" fillId="0" borderId="8" xfId="0" applyNumberFormat="1" applyFont="1" applyBorder="1" applyAlignment="1" applyProtection="1">
      <alignment vertical="top" wrapText="1"/>
      <protection locked="0"/>
    </xf>
    <xf numFmtId="1" fontId="8" fillId="0" borderId="21" xfId="0" applyNumberFormat="1" applyFont="1" applyBorder="1" applyAlignment="1" applyProtection="1">
      <alignment vertical="top" wrapText="1"/>
      <protection locked="0"/>
    </xf>
    <xf numFmtId="1" fontId="8" fillId="0" borderId="9" xfId="0" applyNumberFormat="1" applyFont="1" applyBorder="1" applyAlignment="1" applyProtection="1">
      <alignment vertical="top" wrapText="1"/>
      <protection locked="0"/>
    </xf>
    <xf numFmtId="0" fontId="13" fillId="0" borderId="16" xfId="1" applyFont="1" applyBorder="1" applyAlignment="1" applyProtection="1">
      <alignment horizontal="center" vertical="top"/>
      <protection locked="0"/>
    </xf>
    <xf numFmtId="0" fontId="13" fillId="0" borderId="1" xfId="1" applyFont="1" applyBorder="1" applyAlignment="1" applyProtection="1">
      <alignment horizontal="center" vertical="top" wrapText="1"/>
      <protection locked="0"/>
    </xf>
    <xf numFmtId="0" fontId="14" fillId="0" borderId="1" xfId="1" applyFont="1" applyBorder="1" applyAlignment="1" applyProtection="1">
      <alignment horizontal="center" vertical="top" wrapText="1"/>
      <protection locked="0"/>
    </xf>
    <xf numFmtId="0" fontId="16" fillId="0" borderId="1" xfId="1" applyFont="1" applyBorder="1" applyAlignment="1" applyProtection="1">
      <alignment horizontal="center" vertical="top" wrapText="1"/>
      <protection locked="0"/>
    </xf>
    <xf numFmtId="1" fontId="8" fillId="0" borderId="1" xfId="0" applyNumberFormat="1" applyFont="1" applyBorder="1" applyAlignment="1" applyProtection="1">
      <alignment horizontal="center" vertical="center" wrapText="1"/>
      <protection locked="0"/>
    </xf>
    <xf numFmtId="0" fontId="8" fillId="0" borderId="1" xfId="1" applyFont="1" applyBorder="1" applyAlignment="1" applyProtection="1">
      <alignment horizontal="left" vertical="top"/>
      <protection locked="0"/>
    </xf>
    <xf numFmtId="1" fontId="8" fillId="0" borderId="1" xfId="1" applyNumberFormat="1" applyFont="1" applyBorder="1" applyAlignment="1" applyProtection="1">
      <alignment horizontal="center" vertical="center" wrapText="1"/>
      <protection locked="0"/>
    </xf>
    <xf numFmtId="0" fontId="10" fillId="0" borderId="37" xfId="0" applyFont="1" applyBorder="1" applyAlignment="1" applyProtection="1">
      <alignment horizontal="center" vertical="center"/>
      <protection locked="0"/>
    </xf>
    <xf numFmtId="0" fontId="11" fillId="0" borderId="1" xfId="1" applyFont="1" applyBorder="1" applyAlignment="1" applyProtection="1">
      <alignment horizontal="center" vertical="top" wrapText="1"/>
      <protection locked="0"/>
    </xf>
    <xf numFmtId="0" fontId="8" fillId="0" borderId="1" xfId="1" applyFont="1" applyBorder="1" applyAlignment="1" applyProtection="1">
      <alignment horizontal="center" vertical="top"/>
      <protection locked="0"/>
    </xf>
    <xf numFmtId="0" fontId="7" fillId="0" borderId="1" xfId="1" applyFont="1" applyBorder="1" applyAlignment="1" applyProtection="1">
      <alignment horizontal="left" vertical="top"/>
      <protection locked="0"/>
    </xf>
    <xf numFmtId="14" fontId="12" fillId="0" borderId="1" xfId="1" applyNumberFormat="1" applyFont="1" applyBorder="1" applyAlignment="1" applyProtection="1">
      <alignment horizontal="left" vertical="top"/>
      <protection locked="0"/>
    </xf>
    <xf numFmtId="0" fontId="7" fillId="0" borderId="1" xfId="1" applyFont="1" applyBorder="1" applyAlignment="1" applyProtection="1">
      <alignment horizontal="left" vertical="top" wrapText="1"/>
      <protection locked="0"/>
    </xf>
    <xf numFmtId="0" fontId="12" fillId="0" borderId="8" xfId="1" applyFont="1" applyBorder="1" applyAlignment="1" applyProtection="1">
      <alignment horizontal="center" vertical="top"/>
      <protection locked="0"/>
    </xf>
    <xf numFmtId="0" fontId="12" fillId="0" borderId="21" xfId="1" applyFont="1" applyBorder="1" applyAlignment="1" applyProtection="1">
      <alignment horizontal="center" vertical="top"/>
      <protection locked="0"/>
    </xf>
    <xf numFmtId="0" fontId="12" fillId="0" borderId="9" xfId="1" applyFont="1" applyBorder="1" applyAlignment="1" applyProtection="1">
      <alignment horizontal="center" vertical="top"/>
      <protection locked="0"/>
    </xf>
    <xf numFmtId="0" fontId="7" fillId="0" borderId="1" xfId="1" applyFont="1" applyBorder="1" applyAlignment="1" applyProtection="1">
      <alignment horizontal="left"/>
      <protection locked="0"/>
    </xf>
    <xf numFmtId="0" fontId="12" fillId="0" borderId="1" xfId="1" applyFont="1" applyBorder="1" applyAlignment="1" applyProtection="1">
      <alignment horizontal="center"/>
      <protection locked="0"/>
    </xf>
    <xf numFmtId="0" fontId="13" fillId="0" borderId="8" xfId="1" applyFont="1" applyBorder="1" applyAlignment="1" applyProtection="1">
      <alignment horizontal="center" vertical="top"/>
      <protection locked="0"/>
    </xf>
    <xf numFmtId="0" fontId="13" fillId="0" borderId="21" xfId="1" applyFont="1" applyBorder="1" applyAlignment="1" applyProtection="1">
      <alignment horizontal="center" vertical="top"/>
      <protection locked="0"/>
    </xf>
    <xf numFmtId="0" fontId="13" fillId="0" borderId="9" xfId="1" applyFont="1" applyBorder="1" applyAlignment="1" applyProtection="1">
      <alignment horizontal="center" vertical="top"/>
      <protection locked="0"/>
    </xf>
    <xf numFmtId="0" fontId="13" fillId="0" borderId="1" xfId="1" applyFont="1" applyBorder="1" applyAlignment="1" applyProtection="1">
      <alignment horizontal="center"/>
      <protection locked="0"/>
    </xf>
    <xf numFmtId="14" fontId="6" fillId="0" borderId="8" xfId="1" applyNumberFormat="1" applyFont="1" applyBorder="1" applyAlignment="1" applyProtection="1">
      <alignment horizontal="left" vertical="top" wrapText="1"/>
      <protection locked="0"/>
    </xf>
    <xf numFmtId="14" fontId="6" fillId="0" borderId="9" xfId="1" applyNumberFormat="1" applyFont="1" applyBorder="1" applyAlignment="1" applyProtection="1">
      <alignment horizontal="left" vertical="top" wrapText="1"/>
      <protection locked="0"/>
    </xf>
    <xf numFmtId="2" fontId="6" fillId="0" borderId="1" xfId="1" applyNumberFormat="1" applyFont="1" applyBorder="1" applyAlignment="1" applyProtection="1">
      <alignment horizontal="left" vertical="top" wrapText="1"/>
      <protection locked="0"/>
    </xf>
    <xf numFmtId="1" fontId="12" fillId="0" borderId="1" xfId="1" applyNumberFormat="1" applyFont="1" applyBorder="1" applyAlignment="1" applyProtection="1">
      <alignment horizontal="left" vertical="top" wrapText="1"/>
      <protection locked="0"/>
    </xf>
    <xf numFmtId="164" fontId="6" fillId="0" borderId="1" xfId="1" applyNumberFormat="1" applyFont="1" applyBorder="1" applyAlignment="1" applyProtection="1">
      <alignment horizontal="left" vertical="top"/>
      <protection locked="0"/>
    </xf>
    <xf numFmtId="2" fontId="6" fillId="0" borderId="1" xfId="1" applyNumberFormat="1" applyFont="1" applyBorder="1" applyAlignment="1" applyProtection="1">
      <alignment horizontal="left" vertical="top"/>
      <protection locked="0"/>
    </xf>
    <xf numFmtId="0" fontId="12" fillId="0" borderId="3" xfId="1" applyFont="1" applyBorder="1" applyAlignment="1" applyProtection="1">
      <alignment horizontal="left" vertical="top"/>
      <protection locked="0"/>
    </xf>
    <xf numFmtId="0" fontId="12" fillId="0" borderId="17" xfId="1" applyFont="1" applyBorder="1" applyAlignment="1" applyProtection="1">
      <alignment horizontal="left" vertical="top" wrapText="1"/>
      <protection locked="0"/>
    </xf>
    <xf numFmtId="0" fontId="12" fillId="0" borderId="24" xfId="1" applyFont="1" applyBorder="1" applyAlignment="1" applyProtection="1">
      <alignment horizontal="left" vertical="top" wrapText="1"/>
      <protection locked="0"/>
    </xf>
    <xf numFmtId="0" fontId="12" fillId="0" borderId="18" xfId="1" applyFont="1" applyBorder="1" applyAlignment="1" applyProtection="1">
      <alignment horizontal="left" vertical="top" wrapText="1"/>
      <protection locked="0"/>
    </xf>
    <xf numFmtId="0" fontId="10" fillId="0" borderId="8" xfId="1" applyFont="1" applyBorder="1" applyAlignment="1" applyProtection="1">
      <alignment horizontal="left" vertical="top"/>
      <protection locked="0"/>
    </xf>
    <xf numFmtId="0" fontId="10" fillId="0" borderId="21" xfId="1" applyFont="1" applyBorder="1" applyAlignment="1" applyProtection="1">
      <alignment horizontal="left" vertical="top"/>
      <protection locked="0"/>
    </xf>
    <xf numFmtId="0" fontId="10" fillId="0" borderId="9" xfId="1" applyFont="1" applyBorder="1" applyAlignment="1" applyProtection="1">
      <alignment horizontal="left" vertical="top"/>
      <protection locked="0"/>
    </xf>
    <xf numFmtId="0" fontId="6" fillId="0" borderId="3" xfId="1" applyFont="1" applyBorder="1" applyAlignment="1" applyProtection="1">
      <alignment horizontal="left" vertical="top" wrapText="1"/>
      <protection locked="0"/>
    </xf>
    <xf numFmtId="0" fontId="6" fillId="0" borderId="3" xfId="1" applyFont="1" applyBorder="1" applyAlignment="1" applyProtection="1">
      <alignment horizontal="left" vertical="top"/>
      <protection locked="0"/>
    </xf>
    <xf numFmtId="0" fontId="6" fillId="0" borderId="8" xfId="1" applyFont="1" applyBorder="1" applyAlignment="1" applyProtection="1">
      <alignment vertical="top" wrapText="1"/>
      <protection locked="0"/>
    </xf>
    <xf numFmtId="0" fontId="6" fillId="0" borderId="21" xfId="1" applyFont="1" applyBorder="1" applyAlignment="1" applyProtection="1">
      <alignment vertical="top" wrapText="1"/>
      <protection locked="0"/>
    </xf>
    <xf numFmtId="0" fontId="6" fillId="0" borderId="9" xfId="1" applyFont="1" applyBorder="1" applyAlignment="1" applyProtection="1">
      <alignment vertical="top" wrapText="1"/>
      <protection locked="0"/>
    </xf>
    <xf numFmtId="0" fontId="6" fillId="0" borderId="17" xfId="1" applyFont="1" applyBorder="1" applyAlignment="1" applyProtection="1">
      <alignment horizontal="left" vertical="top" wrapText="1"/>
      <protection locked="0"/>
    </xf>
    <xf numFmtId="0" fontId="6" fillId="0" borderId="18" xfId="1" applyFont="1" applyBorder="1" applyAlignment="1" applyProtection="1">
      <alignment horizontal="left" vertical="top" wrapText="1"/>
      <protection locked="0"/>
    </xf>
    <xf numFmtId="0" fontId="6" fillId="0" borderId="19" xfId="1" applyFont="1" applyBorder="1" applyAlignment="1" applyProtection="1">
      <alignment horizontal="left" vertical="top" wrapText="1"/>
      <protection locked="0"/>
    </xf>
    <xf numFmtId="0" fontId="6" fillId="0" borderId="20" xfId="1" applyFont="1" applyBorder="1" applyAlignment="1" applyProtection="1">
      <alignment horizontal="left" vertical="top" wrapText="1"/>
      <protection locked="0"/>
    </xf>
    <xf numFmtId="0" fontId="6" fillId="0" borderId="24" xfId="1" applyFont="1" applyBorder="1" applyAlignment="1" applyProtection="1">
      <alignment horizontal="left" vertical="top" wrapText="1"/>
      <protection locked="0"/>
    </xf>
    <xf numFmtId="0" fontId="27" fillId="0" borderId="1" xfId="10" applyFill="1" applyBorder="1" applyAlignment="1" applyProtection="1">
      <alignment horizontal="left" vertical="top" wrapText="1"/>
      <protection locked="0"/>
    </xf>
    <xf numFmtId="0" fontId="7" fillId="0" borderId="0" xfId="1" applyFont="1" applyAlignment="1">
      <alignment horizontal="center" vertical="center"/>
    </xf>
    <xf numFmtId="1" fontId="7" fillId="0" borderId="1" xfId="0" applyNumberFormat="1" applyFont="1" applyBorder="1" applyAlignment="1" applyProtection="1">
      <alignment horizontal="center" vertical="center"/>
      <protection locked="0"/>
    </xf>
    <xf numFmtId="0" fontId="7" fillId="0" borderId="1" xfId="0" applyFont="1" applyBorder="1" applyAlignment="1" applyProtection="1">
      <alignment horizontal="center" vertical="center"/>
      <protection locked="0"/>
    </xf>
    <xf numFmtId="1" fontId="31" fillId="0" borderId="3" xfId="1" applyNumberFormat="1" applyFont="1" applyBorder="1" applyAlignment="1" applyProtection="1">
      <alignment horizontal="center" vertical="top" wrapText="1"/>
      <protection locked="0"/>
    </xf>
    <xf numFmtId="1" fontId="31" fillId="0" borderId="16" xfId="1" applyNumberFormat="1" applyFont="1" applyBorder="1" applyAlignment="1" applyProtection="1">
      <alignment horizontal="center" vertical="top" wrapText="1"/>
      <protection locked="0"/>
    </xf>
    <xf numFmtId="1" fontId="10" fillId="0" borderId="37" xfId="0" applyNumberFormat="1" applyFont="1" applyBorder="1" applyAlignment="1" applyProtection="1">
      <alignment horizontal="center" vertical="top" wrapText="1"/>
      <protection locked="0"/>
    </xf>
    <xf numFmtId="0" fontId="7" fillId="0" borderId="1" xfId="0" applyFont="1" applyBorder="1" applyAlignment="1" applyProtection="1">
      <alignment horizontal="center" vertical="top" wrapText="1"/>
      <protection locked="0"/>
    </xf>
    <xf numFmtId="1" fontId="8" fillId="0" borderId="37" xfId="0" applyNumberFormat="1" applyFont="1" applyBorder="1" applyAlignment="1" applyProtection="1">
      <alignment horizontal="center" vertical="top" wrapText="1"/>
      <protection locked="0"/>
    </xf>
    <xf numFmtId="1" fontId="8" fillId="0" borderId="38" xfId="0" applyNumberFormat="1" applyFont="1" applyBorder="1" applyAlignment="1" applyProtection="1">
      <alignment horizontal="center" vertical="top" wrapText="1"/>
      <protection locked="0"/>
    </xf>
    <xf numFmtId="1" fontId="8" fillId="0" borderId="1" xfId="0" applyNumberFormat="1" applyFont="1" applyBorder="1" applyAlignment="1" applyProtection="1">
      <alignment horizontal="left" vertical="top" wrapText="1"/>
      <protection locked="0"/>
    </xf>
    <xf numFmtId="1" fontId="8" fillId="0" borderId="17" xfId="1" applyNumberFormat="1" applyFont="1" applyBorder="1" applyAlignment="1" applyProtection="1">
      <alignment horizontal="center" vertical="top" wrapText="1"/>
      <protection locked="0"/>
    </xf>
    <xf numFmtId="1" fontId="8" fillId="0" borderId="19" xfId="1" applyNumberFormat="1" applyFont="1" applyBorder="1" applyAlignment="1" applyProtection="1">
      <alignment horizontal="center" vertical="top" wrapText="1"/>
      <protection locked="0"/>
    </xf>
    <xf numFmtId="1" fontId="8" fillId="0" borderId="3" xfId="0" applyNumberFormat="1" applyFont="1" applyBorder="1" applyAlignment="1" applyProtection="1">
      <alignment horizontal="center" vertical="center" wrapText="1"/>
      <protection locked="0"/>
    </xf>
    <xf numFmtId="0" fontId="9" fillId="0" borderId="1" xfId="5" applyFont="1" applyBorder="1" applyAlignment="1">
      <alignment horizontal="left"/>
    </xf>
    <xf numFmtId="0" fontId="0" fillId="0" borderId="25" xfId="0" applyBorder="1" applyAlignment="1">
      <alignment horizontal="left" vertical="top" wrapText="1"/>
    </xf>
    <xf numFmtId="0" fontId="0" fillId="0" borderId="0" xfId="0" applyAlignment="1">
      <alignment horizontal="left" vertical="top" wrapText="1"/>
    </xf>
    <xf numFmtId="0" fontId="0" fillId="2" borderId="1" xfId="0" applyFill="1" applyBorder="1" applyAlignment="1">
      <alignment horizontal="center" vertical="center" wrapText="1"/>
    </xf>
    <xf numFmtId="0" fontId="9" fillId="4" borderId="1" xfId="0" applyFont="1" applyFill="1" applyBorder="1" applyAlignment="1">
      <alignment horizontal="center" vertical="center"/>
    </xf>
    <xf numFmtId="0" fontId="9" fillId="3" borderId="1" xfId="0" applyFont="1" applyFill="1" applyBorder="1" applyAlignment="1">
      <alignment horizontal="center" vertical="center"/>
    </xf>
    <xf numFmtId="0" fontId="9" fillId="5" borderId="1" xfId="0" applyFont="1" applyFill="1" applyBorder="1" applyAlignment="1">
      <alignment horizontal="center" vertical="center"/>
    </xf>
  </cellXfs>
  <cellStyles count="11">
    <cellStyle name="Comma" xfId="9" builtinId="3"/>
    <cellStyle name="Comma 2" xfId="6"/>
    <cellStyle name="Excel Built-in Normal" xfId="2"/>
    <cellStyle name="Excel Built-in Normal 2" xfId="4"/>
    <cellStyle name="Hyperlink" xfId="10" builtinId="8"/>
    <cellStyle name="Normal" xfId="0" builtinId="0"/>
    <cellStyle name="Normal 2" xfId="3"/>
    <cellStyle name="Normal 3" xfId="1"/>
    <cellStyle name="Normal 3 3" xfId="7"/>
    <cellStyle name="Normal 4" xfId="5"/>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3" Type="http://schemas.openxmlformats.org/officeDocument/2006/relationships/image" Target="../media/image13.jpeg"/><Relationship Id="rId18" Type="http://schemas.openxmlformats.org/officeDocument/2006/relationships/image" Target="../media/image18.png"/><Relationship Id="rId26" Type="http://schemas.openxmlformats.org/officeDocument/2006/relationships/image" Target="../media/image26.png"/><Relationship Id="rId3" Type="http://schemas.openxmlformats.org/officeDocument/2006/relationships/image" Target="../media/image3.png"/><Relationship Id="rId21" Type="http://schemas.openxmlformats.org/officeDocument/2006/relationships/image" Target="../media/image21.png"/><Relationship Id="rId7" Type="http://schemas.openxmlformats.org/officeDocument/2006/relationships/image" Target="../media/image7.png"/><Relationship Id="rId12" Type="http://schemas.openxmlformats.org/officeDocument/2006/relationships/image" Target="../media/image12.jpeg"/><Relationship Id="rId17" Type="http://schemas.openxmlformats.org/officeDocument/2006/relationships/image" Target="../media/image17.png"/><Relationship Id="rId25" Type="http://schemas.openxmlformats.org/officeDocument/2006/relationships/image" Target="../media/image25.png"/><Relationship Id="rId33" Type="http://schemas.openxmlformats.org/officeDocument/2006/relationships/image" Target="../media/image33.png"/><Relationship Id="rId2" Type="http://schemas.openxmlformats.org/officeDocument/2006/relationships/image" Target="../media/image2.png"/><Relationship Id="rId16" Type="http://schemas.openxmlformats.org/officeDocument/2006/relationships/image" Target="../media/image16.png"/><Relationship Id="rId20" Type="http://schemas.openxmlformats.org/officeDocument/2006/relationships/image" Target="../media/image20.png"/><Relationship Id="rId29" Type="http://schemas.openxmlformats.org/officeDocument/2006/relationships/image" Target="../media/image29.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jpeg"/><Relationship Id="rId24" Type="http://schemas.openxmlformats.org/officeDocument/2006/relationships/image" Target="../media/image24.png"/><Relationship Id="rId32" Type="http://schemas.openxmlformats.org/officeDocument/2006/relationships/image" Target="../media/image32.png"/><Relationship Id="rId5" Type="http://schemas.openxmlformats.org/officeDocument/2006/relationships/image" Target="../media/image5.png"/><Relationship Id="rId15" Type="http://schemas.openxmlformats.org/officeDocument/2006/relationships/image" Target="../media/image15.jpeg"/><Relationship Id="rId23" Type="http://schemas.openxmlformats.org/officeDocument/2006/relationships/image" Target="../media/image23.png"/><Relationship Id="rId28" Type="http://schemas.openxmlformats.org/officeDocument/2006/relationships/image" Target="../media/image28.png"/><Relationship Id="rId10" Type="http://schemas.openxmlformats.org/officeDocument/2006/relationships/image" Target="../media/image10.jpeg"/><Relationship Id="rId19" Type="http://schemas.openxmlformats.org/officeDocument/2006/relationships/image" Target="../media/image19.png"/><Relationship Id="rId31" Type="http://schemas.openxmlformats.org/officeDocument/2006/relationships/image" Target="../media/image31.png"/><Relationship Id="rId4" Type="http://schemas.openxmlformats.org/officeDocument/2006/relationships/image" Target="../media/image4.png"/><Relationship Id="rId9" Type="http://schemas.openxmlformats.org/officeDocument/2006/relationships/image" Target="../media/image9.jpeg"/><Relationship Id="rId14" Type="http://schemas.openxmlformats.org/officeDocument/2006/relationships/image" Target="../media/image14.jpeg"/><Relationship Id="rId22" Type="http://schemas.openxmlformats.org/officeDocument/2006/relationships/image" Target="../media/image22.png"/><Relationship Id="rId27" Type="http://schemas.openxmlformats.org/officeDocument/2006/relationships/image" Target="../media/image27.png"/><Relationship Id="rId30" Type="http://schemas.openxmlformats.org/officeDocument/2006/relationships/image" Target="../media/image30.png"/><Relationship Id="rId8" Type="http://schemas.openxmlformats.org/officeDocument/2006/relationships/image" Target="../media/image8.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6.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35.png"/><Relationship Id="rId1" Type="http://schemas.openxmlformats.org/officeDocument/2006/relationships/image" Target="../media/image34.png"/></Relationships>
</file>

<file path=xl/drawings/drawing1.xml><?xml version="1.0" encoding="utf-8"?>
<xdr:wsDr xmlns:xdr="http://schemas.openxmlformats.org/drawingml/2006/spreadsheetDrawing" xmlns:a="http://schemas.openxmlformats.org/drawingml/2006/main">
  <xdr:twoCellAnchor editAs="oneCell">
    <xdr:from>
      <xdr:col>8</xdr:col>
      <xdr:colOff>114300</xdr:colOff>
      <xdr:row>35</xdr:row>
      <xdr:rowOff>57151</xdr:rowOff>
    </xdr:from>
    <xdr:to>
      <xdr:col>11</xdr:col>
      <xdr:colOff>317775</xdr:colOff>
      <xdr:row>46</xdr:row>
      <xdr:rowOff>32497</xdr:rowOff>
    </xdr:to>
    <xdr:pic>
      <xdr:nvPicPr>
        <xdr:cNvPr id="2" name="Picture 1">
          <a:extLst>
            <a:ext uri="{FF2B5EF4-FFF2-40B4-BE49-F238E27FC236}">
              <a16:creationId xmlns:a16="http://schemas.microsoft.com/office/drawing/2014/main" id="{6231CB4F-6F0A-44E1-AFFD-70A217631626}"/>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6429375" y="7886701"/>
          <a:ext cx="2880000" cy="2175621"/>
        </a:xfrm>
        <a:prstGeom prst="rect">
          <a:avLst/>
        </a:prstGeom>
      </xdr:spPr>
    </xdr:pic>
    <xdr:clientData/>
  </xdr:twoCellAnchor>
  <xdr:twoCellAnchor editAs="oneCell">
    <xdr:from>
      <xdr:col>8</xdr:col>
      <xdr:colOff>238125</xdr:colOff>
      <xdr:row>52</xdr:row>
      <xdr:rowOff>142875</xdr:rowOff>
    </xdr:from>
    <xdr:to>
      <xdr:col>18</xdr:col>
      <xdr:colOff>239247</xdr:colOff>
      <xdr:row>65</xdr:row>
      <xdr:rowOff>133548</xdr:rowOff>
    </xdr:to>
    <xdr:pic>
      <xdr:nvPicPr>
        <xdr:cNvPr id="3" name="Picture 2">
          <a:extLst>
            <a:ext uri="{FF2B5EF4-FFF2-40B4-BE49-F238E27FC236}">
              <a16:creationId xmlns:a16="http://schemas.microsoft.com/office/drawing/2014/main" id="{4EE48EE7-162A-4DD6-B95B-0A2A82A59997}"/>
            </a:ext>
          </a:extLst>
        </xdr:cNvPr>
        <xdr:cNvPicPr>
          <a:picLocks noChangeAspect="1"/>
        </xdr:cNvPicPr>
      </xdr:nvPicPr>
      <xdr:blipFill>
        <a:blip xmlns:r="http://schemas.openxmlformats.org/officeDocument/2006/relationships" r:embed="rId2"/>
        <a:stretch>
          <a:fillRect/>
        </a:stretch>
      </xdr:blipFill>
      <xdr:spPr>
        <a:xfrm>
          <a:off x="6553200" y="11896725"/>
          <a:ext cx="8040222" cy="1419423"/>
        </a:xfrm>
        <a:prstGeom prst="rect">
          <a:avLst/>
        </a:prstGeom>
      </xdr:spPr>
    </xdr:pic>
    <xdr:clientData/>
  </xdr:twoCellAnchor>
  <xdr:twoCellAnchor editAs="oneCell">
    <xdr:from>
      <xdr:col>8</xdr:col>
      <xdr:colOff>171450</xdr:colOff>
      <xdr:row>46</xdr:row>
      <xdr:rowOff>161924</xdr:rowOff>
    </xdr:from>
    <xdr:to>
      <xdr:col>12</xdr:col>
      <xdr:colOff>171000</xdr:colOff>
      <xdr:row>52</xdr:row>
      <xdr:rowOff>265848</xdr:rowOff>
    </xdr:to>
    <xdr:pic>
      <xdr:nvPicPr>
        <xdr:cNvPr id="4" name="Picture 3">
          <a:extLst>
            <a:ext uri="{FF2B5EF4-FFF2-40B4-BE49-F238E27FC236}">
              <a16:creationId xmlns:a16="http://schemas.microsoft.com/office/drawing/2014/main" id="{3E7B31ED-21D7-47F4-961D-7D2A731EFD90}"/>
            </a:ext>
          </a:extLst>
        </xdr:cNvPr>
        <xdr:cNvPicPr>
          <a:picLocks noChangeAspect="1"/>
        </xdr:cNvPicPr>
      </xdr:nvPicPr>
      <xdr:blipFill>
        <a:blip xmlns:r="http://schemas.openxmlformats.org/officeDocument/2006/relationships" r:embed="rId3" cstate="screen">
          <a:extLst>
            <a:ext uri="{28A0092B-C50C-407E-A947-70E740481C1C}">
              <a14:useLocalDpi xmlns:a14="http://schemas.microsoft.com/office/drawing/2010/main"/>
            </a:ext>
          </a:extLst>
        </a:blip>
        <a:stretch>
          <a:fillRect/>
        </a:stretch>
      </xdr:blipFill>
      <xdr:spPr>
        <a:xfrm>
          <a:off x="6486525" y="10191749"/>
          <a:ext cx="3600000" cy="1532674"/>
        </a:xfrm>
        <a:prstGeom prst="rect">
          <a:avLst/>
        </a:prstGeom>
      </xdr:spPr>
    </xdr:pic>
    <xdr:clientData/>
  </xdr:twoCellAnchor>
  <xdr:twoCellAnchor editAs="oneCell">
    <xdr:from>
      <xdr:col>8</xdr:col>
      <xdr:colOff>190500</xdr:colOff>
      <xdr:row>65</xdr:row>
      <xdr:rowOff>142875</xdr:rowOff>
    </xdr:from>
    <xdr:to>
      <xdr:col>16</xdr:col>
      <xdr:colOff>115241</xdr:colOff>
      <xdr:row>72</xdr:row>
      <xdr:rowOff>247900</xdr:rowOff>
    </xdr:to>
    <xdr:pic>
      <xdr:nvPicPr>
        <xdr:cNvPr id="5" name="Picture 4">
          <a:extLst>
            <a:ext uri="{FF2B5EF4-FFF2-40B4-BE49-F238E27FC236}">
              <a16:creationId xmlns:a16="http://schemas.microsoft.com/office/drawing/2014/main" id="{6D6F9EE6-50B6-44C6-9549-05265B8BE79C}"/>
            </a:ext>
          </a:extLst>
        </xdr:cNvPr>
        <xdr:cNvPicPr>
          <a:picLocks noChangeAspect="1"/>
        </xdr:cNvPicPr>
      </xdr:nvPicPr>
      <xdr:blipFill>
        <a:blip xmlns:r="http://schemas.openxmlformats.org/officeDocument/2006/relationships" r:embed="rId4"/>
        <a:stretch>
          <a:fillRect/>
        </a:stretch>
      </xdr:blipFill>
      <xdr:spPr>
        <a:xfrm>
          <a:off x="6505575" y="13325475"/>
          <a:ext cx="6744641" cy="1790950"/>
        </a:xfrm>
        <a:prstGeom prst="rect">
          <a:avLst/>
        </a:prstGeom>
      </xdr:spPr>
    </xdr:pic>
    <xdr:clientData/>
  </xdr:twoCellAnchor>
  <xdr:twoCellAnchor>
    <xdr:from>
      <xdr:col>9</xdr:col>
      <xdr:colOff>495300</xdr:colOff>
      <xdr:row>208</xdr:row>
      <xdr:rowOff>19050</xdr:rowOff>
    </xdr:from>
    <xdr:to>
      <xdr:col>14</xdr:col>
      <xdr:colOff>295815</xdr:colOff>
      <xdr:row>225</xdr:row>
      <xdr:rowOff>38725</xdr:rowOff>
    </xdr:to>
    <xdr:grpSp>
      <xdr:nvGrpSpPr>
        <xdr:cNvPr id="6" name="Group 5">
          <a:extLst>
            <a:ext uri="{FF2B5EF4-FFF2-40B4-BE49-F238E27FC236}">
              <a16:creationId xmlns:a16="http://schemas.microsoft.com/office/drawing/2014/main" id="{7BD36E90-C185-4CD3-96C2-1CCDFED1E41A}"/>
            </a:ext>
          </a:extLst>
        </xdr:cNvPr>
        <xdr:cNvGrpSpPr/>
      </xdr:nvGrpSpPr>
      <xdr:grpSpPr>
        <a:xfrm>
          <a:off x="7969624" y="26610609"/>
          <a:ext cx="3868250" cy="3437469"/>
          <a:chOff x="1495155" y="1537216"/>
          <a:chExt cx="3867690" cy="4477375"/>
        </a:xfrm>
      </xdr:grpSpPr>
      <xdr:pic>
        <xdr:nvPicPr>
          <xdr:cNvPr id="7" name="Picture 6">
            <a:extLst>
              <a:ext uri="{FF2B5EF4-FFF2-40B4-BE49-F238E27FC236}">
                <a16:creationId xmlns:a16="http://schemas.microsoft.com/office/drawing/2014/main" id="{D6A04BBC-7951-45A6-A3A9-992F9630FEFA}"/>
              </a:ext>
            </a:extLst>
          </xdr:cNvPr>
          <xdr:cNvPicPr>
            <a:picLocks noChangeAspect="1"/>
          </xdr:cNvPicPr>
        </xdr:nvPicPr>
        <xdr:blipFill>
          <a:blip xmlns:r="http://schemas.openxmlformats.org/officeDocument/2006/relationships" r:embed="rId5"/>
          <a:stretch>
            <a:fillRect/>
          </a:stretch>
        </xdr:blipFill>
        <xdr:spPr>
          <a:xfrm>
            <a:off x="1495155" y="1537216"/>
            <a:ext cx="3867690" cy="4477375"/>
          </a:xfrm>
          <a:prstGeom prst="rect">
            <a:avLst/>
          </a:prstGeom>
          <a:ln>
            <a:solidFill>
              <a:schemeClr val="tx1"/>
            </a:solidFill>
          </a:ln>
        </xdr:spPr>
      </xdr:pic>
      <xdr:sp macro="" textlink="">
        <xdr:nvSpPr>
          <xdr:cNvPr id="8" name="TextBox 2">
            <a:extLst>
              <a:ext uri="{FF2B5EF4-FFF2-40B4-BE49-F238E27FC236}">
                <a16:creationId xmlns:a16="http://schemas.microsoft.com/office/drawing/2014/main" id="{2208D4CB-A698-45DA-BD95-79CA64D8AA45}"/>
              </a:ext>
            </a:extLst>
          </xdr:cNvPr>
          <xdr:cNvSpPr txBox="1"/>
        </xdr:nvSpPr>
        <xdr:spPr>
          <a:xfrm>
            <a:off x="3621741" y="2599765"/>
            <a:ext cx="340158" cy="461665"/>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2400" b="1"/>
              <a:t>1</a:t>
            </a:r>
            <a:endParaRPr lang="en-IN" sz="2400" b="1"/>
          </a:p>
        </xdr:txBody>
      </xdr:sp>
      <xdr:sp macro="" textlink="">
        <xdr:nvSpPr>
          <xdr:cNvPr id="9" name="TextBox 4">
            <a:extLst>
              <a:ext uri="{FF2B5EF4-FFF2-40B4-BE49-F238E27FC236}">
                <a16:creationId xmlns:a16="http://schemas.microsoft.com/office/drawing/2014/main" id="{90BF6C14-CF07-4B46-87B0-4BB3BF66F1B9}"/>
              </a:ext>
            </a:extLst>
          </xdr:cNvPr>
          <xdr:cNvSpPr txBox="1"/>
        </xdr:nvSpPr>
        <xdr:spPr>
          <a:xfrm>
            <a:off x="3612526" y="3314238"/>
            <a:ext cx="340158" cy="461665"/>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2400" b="1"/>
              <a:t>2</a:t>
            </a:r>
            <a:endParaRPr lang="en-IN" sz="2400" b="1"/>
          </a:p>
        </xdr:txBody>
      </xdr:sp>
      <xdr:sp macro="" textlink="">
        <xdr:nvSpPr>
          <xdr:cNvPr id="10" name="TextBox 5">
            <a:extLst>
              <a:ext uri="{FF2B5EF4-FFF2-40B4-BE49-F238E27FC236}">
                <a16:creationId xmlns:a16="http://schemas.microsoft.com/office/drawing/2014/main" id="{926FCEE5-5CF9-4A56-B81E-2667523CA97A}"/>
              </a:ext>
            </a:extLst>
          </xdr:cNvPr>
          <xdr:cNvSpPr txBox="1"/>
        </xdr:nvSpPr>
        <xdr:spPr>
          <a:xfrm>
            <a:off x="2905317" y="3314237"/>
            <a:ext cx="340158" cy="461665"/>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2400" b="1"/>
              <a:t>3</a:t>
            </a:r>
            <a:endParaRPr lang="en-IN" sz="2400" b="1"/>
          </a:p>
        </xdr:txBody>
      </xdr:sp>
    </xdr:grpSp>
    <xdr:clientData/>
  </xdr:twoCellAnchor>
  <xdr:twoCellAnchor>
    <xdr:from>
      <xdr:col>0</xdr:col>
      <xdr:colOff>607558</xdr:colOff>
      <xdr:row>258</xdr:row>
      <xdr:rowOff>57830</xdr:rowOff>
    </xdr:from>
    <xdr:to>
      <xdr:col>7</xdr:col>
      <xdr:colOff>61231</xdr:colOff>
      <xdr:row>299</xdr:row>
      <xdr:rowOff>37420</xdr:rowOff>
    </xdr:to>
    <xdr:grpSp>
      <xdr:nvGrpSpPr>
        <xdr:cNvPr id="11" name="Group 10">
          <a:extLst>
            <a:ext uri="{FF2B5EF4-FFF2-40B4-BE49-F238E27FC236}">
              <a16:creationId xmlns:a16="http://schemas.microsoft.com/office/drawing/2014/main" id="{6D5F5205-6575-44E3-BD0D-7DD87CA9D4B3}"/>
            </a:ext>
          </a:extLst>
        </xdr:cNvPr>
        <xdr:cNvGrpSpPr/>
      </xdr:nvGrpSpPr>
      <xdr:grpSpPr>
        <a:xfrm>
          <a:off x="607558" y="36723477"/>
          <a:ext cx="5034202" cy="8249531"/>
          <a:chOff x="1077432" y="458047"/>
          <a:chExt cx="4201111" cy="7397286"/>
        </a:xfrm>
      </xdr:grpSpPr>
      <xdr:pic>
        <xdr:nvPicPr>
          <xdr:cNvPr id="12" name="Picture 11">
            <a:extLst>
              <a:ext uri="{FF2B5EF4-FFF2-40B4-BE49-F238E27FC236}">
                <a16:creationId xmlns:a16="http://schemas.microsoft.com/office/drawing/2014/main" id="{C234C709-FB22-4C33-A173-7A24E8909393}"/>
              </a:ext>
            </a:extLst>
          </xdr:cNvPr>
          <xdr:cNvPicPr>
            <a:picLocks noChangeAspect="1"/>
          </xdr:cNvPicPr>
        </xdr:nvPicPr>
        <xdr:blipFill>
          <a:blip xmlns:r="http://schemas.openxmlformats.org/officeDocument/2006/relationships" r:embed="rId6"/>
          <a:stretch>
            <a:fillRect/>
          </a:stretch>
        </xdr:blipFill>
        <xdr:spPr>
          <a:xfrm>
            <a:off x="1077432" y="458047"/>
            <a:ext cx="4201111" cy="3924848"/>
          </a:xfrm>
          <a:prstGeom prst="rect">
            <a:avLst/>
          </a:prstGeom>
          <a:ln>
            <a:solidFill>
              <a:schemeClr val="tx1"/>
            </a:solidFill>
          </a:ln>
        </xdr:spPr>
      </xdr:pic>
      <xdr:pic>
        <xdr:nvPicPr>
          <xdr:cNvPr id="13" name="Picture 12">
            <a:extLst>
              <a:ext uri="{FF2B5EF4-FFF2-40B4-BE49-F238E27FC236}">
                <a16:creationId xmlns:a16="http://schemas.microsoft.com/office/drawing/2014/main" id="{9CDBD617-931D-4007-96F8-737926BA6107}"/>
              </a:ext>
            </a:extLst>
          </xdr:cNvPr>
          <xdr:cNvPicPr>
            <a:picLocks noChangeAspect="1"/>
          </xdr:cNvPicPr>
        </xdr:nvPicPr>
        <xdr:blipFill>
          <a:blip xmlns:r="http://schemas.openxmlformats.org/officeDocument/2006/relationships" r:embed="rId7"/>
          <a:stretch>
            <a:fillRect/>
          </a:stretch>
        </xdr:blipFill>
        <xdr:spPr>
          <a:xfrm>
            <a:off x="1827987" y="4572000"/>
            <a:ext cx="2700000" cy="3283333"/>
          </a:xfrm>
          <a:prstGeom prst="rect">
            <a:avLst/>
          </a:prstGeom>
          <a:ln>
            <a:solidFill>
              <a:schemeClr val="tx1"/>
            </a:solidFill>
          </a:ln>
        </xdr:spPr>
      </xdr:pic>
      <xdr:sp macro="" textlink="">
        <xdr:nvSpPr>
          <xdr:cNvPr id="14" name="Arrow: Down 13">
            <a:extLst>
              <a:ext uri="{FF2B5EF4-FFF2-40B4-BE49-F238E27FC236}">
                <a16:creationId xmlns:a16="http://schemas.microsoft.com/office/drawing/2014/main" id="{E61F02FC-51D0-4AC0-A453-C3E268B2433D}"/>
              </a:ext>
            </a:extLst>
          </xdr:cNvPr>
          <xdr:cNvSpPr/>
        </xdr:nvSpPr>
        <xdr:spPr>
          <a:xfrm>
            <a:off x="3444926" y="3885777"/>
            <a:ext cx="448235" cy="394447"/>
          </a:xfrm>
          <a:prstGeom prst="down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15" name="TextBox 9">
            <a:extLst>
              <a:ext uri="{FF2B5EF4-FFF2-40B4-BE49-F238E27FC236}">
                <a16:creationId xmlns:a16="http://schemas.microsoft.com/office/drawing/2014/main" id="{6D8CF057-5399-4CC7-81E6-A92937251BE7}"/>
              </a:ext>
            </a:extLst>
          </xdr:cNvPr>
          <xdr:cNvSpPr txBox="1"/>
        </xdr:nvSpPr>
        <xdr:spPr>
          <a:xfrm>
            <a:off x="3502170" y="3516445"/>
            <a:ext cx="333746"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t>N</a:t>
            </a:r>
            <a:endParaRPr lang="en-IN" b="1"/>
          </a:p>
        </xdr:txBody>
      </xdr:sp>
      <xdr:sp macro="" textlink="">
        <xdr:nvSpPr>
          <xdr:cNvPr id="16" name="Arrow: Down 15">
            <a:extLst>
              <a:ext uri="{FF2B5EF4-FFF2-40B4-BE49-F238E27FC236}">
                <a16:creationId xmlns:a16="http://schemas.microsoft.com/office/drawing/2014/main" id="{F8756702-5485-4E49-9676-287024239290}"/>
              </a:ext>
            </a:extLst>
          </xdr:cNvPr>
          <xdr:cNvSpPr/>
        </xdr:nvSpPr>
        <xdr:spPr>
          <a:xfrm rot="10800000">
            <a:off x="3859084" y="7363460"/>
            <a:ext cx="448235" cy="394447"/>
          </a:xfrm>
          <a:prstGeom prst="down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17" name="TextBox 12">
            <a:extLst>
              <a:ext uri="{FF2B5EF4-FFF2-40B4-BE49-F238E27FC236}">
                <a16:creationId xmlns:a16="http://schemas.microsoft.com/office/drawing/2014/main" id="{B32FB0FD-48E9-48A3-8B74-072912F5BA43}"/>
              </a:ext>
            </a:extLst>
          </xdr:cNvPr>
          <xdr:cNvSpPr txBox="1"/>
        </xdr:nvSpPr>
        <xdr:spPr>
          <a:xfrm>
            <a:off x="3916329" y="6994129"/>
            <a:ext cx="333746" cy="447669"/>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2800" b="1">
                <a:latin typeface="Times New Roman" panose="02020603050405020304" pitchFamily="18" charset="0"/>
                <a:cs typeface="Times New Roman" panose="02020603050405020304" pitchFamily="18" charset="0"/>
              </a:rPr>
              <a:t>N</a:t>
            </a:r>
            <a:endParaRPr lang="en-IN" sz="2800" b="1">
              <a:latin typeface="Times New Roman" panose="02020603050405020304" pitchFamily="18" charset="0"/>
              <a:cs typeface="Times New Roman" panose="02020603050405020304" pitchFamily="18" charset="0"/>
            </a:endParaRPr>
          </a:p>
        </xdr:txBody>
      </xdr:sp>
    </xdr:grpSp>
    <xdr:clientData/>
  </xdr:twoCellAnchor>
  <xdr:twoCellAnchor>
    <xdr:from>
      <xdr:col>0</xdr:col>
      <xdr:colOff>304800</xdr:colOff>
      <xdr:row>213</xdr:row>
      <xdr:rowOff>161925</xdr:rowOff>
    </xdr:from>
    <xdr:to>
      <xdr:col>7</xdr:col>
      <xdr:colOff>374793</xdr:colOff>
      <xdr:row>254</xdr:row>
      <xdr:rowOff>147511</xdr:rowOff>
    </xdr:to>
    <xdr:grpSp>
      <xdr:nvGrpSpPr>
        <xdr:cNvPr id="18" name="Group 17">
          <a:extLst>
            <a:ext uri="{FF2B5EF4-FFF2-40B4-BE49-F238E27FC236}">
              <a16:creationId xmlns:a16="http://schemas.microsoft.com/office/drawing/2014/main" id="{802B360B-872B-49AA-92C1-C14EDA78FEBD}"/>
            </a:ext>
          </a:extLst>
        </xdr:cNvPr>
        <xdr:cNvGrpSpPr/>
      </xdr:nvGrpSpPr>
      <xdr:grpSpPr>
        <a:xfrm>
          <a:off x="304800" y="27762013"/>
          <a:ext cx="5650522" cy="8244322"/>
          <a:chOff x="684891" y="322729"/>
          <a:chExt cx="5651643" cy="8177086"/>
        </a:xfrm>
      </xdr:grpSpPr>
      <xdr:pic>
        <xdr:nvPicPr>
          <xdr:cNvPr id="19" name="Picture 18">
            <a:extLst>
              <a:ext uri="{FF2B5EF4-FFF2-40B4-BE49-F238E27FC236}">
                <a16:creationId xmlns:a16="http://schemas.microsoft.com/office/drawing/2014/main" id="{92774C25-995E-4D69-82AF-44CBD505FF7D}"/>
              </a:ext>
            </a:extLst>
          </xdr:cNvPr>
          <xdr:cNvPicPr>
            <a:picLocks noChangeAspect="1"/>
          </xdr:cNvPicPr>
        </xdr:nvPicPr>
        <xdr:blipFill>
          <a:blip xmlns:r="http://schemas.openxmlformats.org/officeDocument/2006/relationships" r:embed="rId8" cstate="screen">
            <a:extLst>
              <a:ext uri="{28A0092B-C50C-407E-A947-70E740481C1C}">
                <a14:useLocalDpi xmlns:a14="http://schemas.microsoft.com/office/drawing/2010/main"/>
              </a:ext>
            </a:extLst>
          </a:blip>
          <a:stretch>
            <a:fillRect/>
          </a:stretch>
        </xdr:blipFill>
        <xdr:spPr>
          <a:xfrm>
            <a:off x="684891" y="322729"/>
            <a:ext cx="2697187" cy="3600000"/>
          </a:xfrm>
          <a:prstGeom prst="rect">
            <a:avLst/>
          </a:prstGeom>
          <a:ln>
            <a:solidFill>
              <a:schemeClr val="tx1"/>
            </a:solidFill>
          </a:ln>
        </xdr:spPr>
      </xdr:pic>
      <xdr:pic>
        <xdr:nvPicPr>
          <xdr:cNvPr id="20" name="Picture 19">
            <a:extLst>
              <a:ext uri="{FF2B5EF4-FFF2-40B4-BE49-F238E27FC236}">
                <a16:creationId xmlns:a16="http://schemas.microsoft.com/office/drawing/2014/main" id="{879E1A9A-28FC-4C7B-8A80-5593EC768FEF}"/>
              </a:ext>
            </a:extLst>
          </xdr:cNvPr>
          <xdr:cNvPicPr>
            <a:picLocks noChangeAspect="1"/>
          </xdr:cNvPicPr>
        </xdr:nvPicPr>
        <xdr:blipFill>
          <a:blip xmlns:r="http://schemas.openxmlformats.org/officeDocument/2006/relationships" r:embed="rId9" cstate="screen">
            <a:extLst>
              <a:ext uri="{28A0092B-C50C-407E-A947-70E740481C1C}">
                <a14:useLocalDpi xmlns:a14="http://schemas.microsoft.com/office/drawing/2010/main"/>
              </a:ext>
            </a:extLst>
          </a:blip>
          <a:stretch>
            <a:fillRect/>
          </a:stretch>
        </xdr:blipFill>
        <xdr:spPr>
          <a:xfrm>
            <a:off x="3589456" y="322729"/>
            <a:ext cx="2697187" cy="3600000"/>
          </a:xfrm>
          <a:prstGeom prst="rect">
            <a:avLst/>
          </a:prstGeom>
          <a:ln>
            <a:solidFill>
              <a:schemeClr val="tx1"/>
            </a:solidFill>
          </a:ln>
        </xdr:spPr>
      </xdr:pic>
      <xdr:pic>
        <xdr:nvPicPr>
          <xdr:cNvPr id="21" name="Picture 20">
            <a:extLst>
              <a:ext uri="{FF2B5EF4-FFF2-40B4-BE49-F238E27FC236}">
                <a16:creationId xmlns:a16="http://schemas.microsoft.com/office/drawing/2014/main" id="{5FA01529-11DE-4BF0-9DD3-15B1732EA574}"/>
              </a:ext>
            </a:extLst>
          </xdr:cNvPr>
          <xdr:cNvPicPr>
            <a:picLocks noChangeAspect="1"/>
          </xdr:cNvPicPr>
        </xdr:nvPicPr>
        <xdr:blipFill>
          <a:blip xmlns:r="http://schemas.openxmlformats.org/officeDocument/2006/relationships" r:embed="rId10" cstate="screen">
            <a:extLst>
              <a:ext uri="{28A0092B-C50C-407E-A947-70E740481C1C}">
                <a14:useLocalDpi xmlns:a14="http://schemas.microsoft.com/office/drawing/2010/main"/>
              </a:ext>
            </a:extLst>
          </a:blip>
          <a:stretch>
            <a:fillRect/>
          </a:stretch>
        </xdr:blipFill>
        <xdr:spPr>
          <a:xfrm>
            <a:off x="2630995" y="4051272"/>
            <a:ext cx="1753172" cy="2340000"/>
          </a:xfrm>
          <a:prstGeom prst="rect">
            <a:avLst/>
          </a:prstGeom>
          <a:ln>
            <a:solidFill>
              <a:schemeClr val="tx1"/>
            </a:solidFill>
          </a:ln>
        </xdr:spPr>
      </xdr:pic>
      <xdr:pic>
        <xdr:nvPicPr>
          <xdr:cNvPr id="22" name="Picture 21">
            <a:extLst>
              <a:ext uri="{FF2B5EF4-FFF2-40B4-BE49-F238E27FC236}">
                <a16:creationId xmlns:a16="http://schemas.microsoft.com/office/drawing/2014/main" id="{16063C2F-AA40-450F-A65A-0EB99ECB1A4A}"/>
              </a:ext>
            </a:extLst>
          </xdr:cNvPr>
          <xdr:cNvPicPr>
            <a:picLocks noChangeAspect="1"/>
          </xdr:cNvPicPr>
        </xdr:nvPicPr>
        <xdr:blipFill>
          <a:blip xmlns:r="http://schemas.openxmlformats.org/officeDocument/2006/relationships" r:embed="rId11" cstate="screen">
            <a:extLst>
              <a:ext uri="{28A0092B-C50C-407E-A947-70E740481C1C}">
                <a14:useLocalDpi xmlns:a14="http://schemas.microsoft.com/office/drawing/2010/main"/>
              </a:ext>
            </a:extLst>
          </a:blip>
          <a:stretch>
            <a:fillRect/>
          </a:stretch>
        </xdr:blipFill>
        <xdr:spPr>
          <a:xfrm>
            <a:off x="684891" y="4051272"/>
            <a:ext cx="1753172" cy="2340000"/>
          </a:xfrm>
          <a:prstGeom prst="rect">
            <a:avLst/>
          </a:prstGeom>
          <a:ln>
            <a:solidFill>
              <a:schemeClr val="tx1"/>
            </a:solidFill>
          </a:ln>
        </xdr:spPr>
      </xdr:pic>
      <xdr:pic>
        <xdr:nvPicPr>
          <xdr:cNvPr id="23" name="Picture 22">
            <a:extLst>
              <a:ext uri="{FF2B5EF4-FFF2-40B4-BE49-F238E27FC236}">
                <a16:creationId xmlns:a16="http://schemas.microsoft.com/office/drawing/2014/main" id="{9771DB89-A7A8-45DF-B7BF-D7CFB9FB7614}"/>
              </a:ext>
            </a:extLst>
          </xdr:cNvPr>
          <xdr:cNvPicPr>
            <a:picLocks noChangeAspect="1"/>
          </xdr:cNvPicPr>
        </xdr:nvPicPr>
        <xdr:blipFill>
          <a:blip xmlns:r="http://schemas.openxmlformats.org/officeDocument/2006/relationships" r:embed="rId12" cstate="screen">
            <a:extLst>
              <a:ext uri="{28A0092B-C50C-407E-A947-70E740481C1C}">
                <a14:useLocalDpi xmlns:a14="http://schemas.microsoft.com/office/drawing/2010/main"/>
              </a:ext>
            </a:extLst>
          </a:blip>
          <a:stretch>
            <a:fillRect/>
          </a:stretch>
        </xdr:blipFill>
        <xdr:spPr>
          <a:xfrm>
            <a:off x="4583362" y="4051272"/>
            <a:ext cx="1753172" cy="2340000"/>
          </a:xfrm>
          <a:prstGeom prst="rect">
            <a:avLst/>
          </a:prstGeom>
          <a:ln>
            <a:solidFill>
              <a:schemeClr val="tx1"/>
            </a:solidFill>
          </a:ln>
        </xdr:spPr>
      </xdr:pic>
      <xdr:pic>
        <xdr:nvPicPr>
          <xdr:cNvPr id="24" name="Picture 23">
            <a:extLst>
              <a:ext uri="{FF2B5EF4-FFF2-40B4-BE49-F238E27FC236}">
                <a16:creationId xmlns:a16="http://schemas.microsoft.com/office/drawing/2014/main" id="{A7491110-29AE-4A0D-99A3-707CA7723C97}"/>
              </a:ext>
            </a:extLst>
          </xdr:cNvPr>
          <xdr:cNvPicPr>
            <a:picLocks noChangeAspect="1"/>
          </xdr:cNvPicPr>
        </xdr:nvPicPr>
        <xdr:blipFill>
          <a:blip xmlns:r="http://schemas.openxmlformats.org/officeDocument/2006/relationships" r:embed="rId13" cstate="screen">
            <a:extLst>
              <a:ext uri="{28A0092B-C50C-407E-A947-70E740481C1C}">
                <a14:useLocalDpi xmlns:a14="http://schemas.microsoft.com/office/drawing/2010/main"/>
              </a:ext>
            </a:extLst>
          </a:blip>
          <a:stretch>
            <a:fillRect/>
          </a:stretch>
        </xdr:blipFill>
        <xdr:spPr>
          <a:xfrm>
            <a:off x="1147542" y="6519815"/>
            <a:ext cx="1483453" cy="1980000"/>
          </a:xfrm>
          <a:prstGeom prst="rect">
            <a:avLst/>
          </a:prstGeom>
          <a:ln>
            <a:solidFill>
              <a:schemeClr val="tx1"/>
            </a:solidFill>
          </a:ln>
        </xdr:spPr>
      </xdr:pic>
      <xdr:pic>
        <xdr:nvPicPr>
          <xdr:cNvPr id="25" name="Picture 24">
            <a:extLst>
              <a:ext uri="{FF2B5EF4-FFF2-40B4-BE49-F238E27FC236}">
                <a16:creationId xmlns:a16="http://schemas.microsoft.com/office/drawing/2014/main" id="{783E0AE3-AF11-4346-8286-E71EDD0C8ED9}"/>
              </a:ext>
            </a:extLst>
          </xdr:cNvPr>
          <xdr:cNvPicPr>
            <a:picLocks noChangeAspect="1"/>
          </xdr:cNvPicPr>
        </xdr:nvPicPr>
        <xdr:blipFill>
          <a:blip xmlns:r="http://schemas.openxmlformats.org/officeDocument/2006/relationships" r:embed="rId14" cstate="screen">
            <a:extLst>
              <a:ext uri="{28A0092B-C50C-407E-A947-70E740481C1C}">
                <a14:useLocalDpi xmlns:a14="http://schemas.microsoft.com/office/drawing/2010/main"/>
              </a:ext>
            </a:extLst>
          </a:blip>
          <a:stretch>
            <a:fillRect/>
          </a:stretch>
        </xdr:blipFill>
        <xdr:spPr>
          <a:xfrm>
            <a:off x="2773830" y="6519815"/>
            <a:ext cx="1483453" cy="1980000"/>
          </a:xfrm>
          <a:prstGeom prst="rect">
            <a:avLst/>
          </a:prstGeom>
          <a:ln>
            <a:solidFill>
              <a:schemeClr val="tx1"/>
            </a:solidFill>
          </a:ln>
        </xdr:spPr>
      </xdr:pic>
      <xdr:pic>
        <xdr:nvPicPr>
          <xdr:cNvPr id="26" name="Picture 25">
            <a:extLst>
              <a:ext uri="{FF2B5EF4-FFF2-40B4-BE49-F238E27FC236}">
                <a16:creationId xmlns:a16="http://schemas.microsoft.com/office/drawing/2014/main" id="{7B4CB982-CDEF-45EF-A83E-C2A9D187E3ED}"/>
              </a:ext>
            </a:extLst>
          </xdr:cNvPr>
          <xdr:cNvPicPr>
            <a:picLocks noChangeAspect="1"/>
          </xdr:cNvPicPr>
        </xdr:nvPicPr>
        <xdr:blipFill>
          <a:blip xmlns:r="http://schemas.openxmlformats.org/officeDocument/2006/relationships" r:embed="rId15" cstate="screen">
            <a:extLst>
              <a:ext uri="{28A0092B-C50C-407E-A947-70E740481C1C}">
                <a14:useLocalDpi xmlns:a14="http://schemas.microsoft.com/office/drawing/2010/main"/>
              </a:ext>
            </a:extLst>
          </a:blip>
          <a:stretch>
            <a:fillRect/>
          </a:stretch>
        </xdr:blipFill>
        <xdr:spPr>
          <a:xfrm>
            <a:off x="4400118" y="6519815"/>
            <a:ext cx="1483453" cy="1980000"/>
          </a:xfrm>
          <a:prstGeom prst="rect">
            <a:avLst/>
          </a:prstGeom>
          <a:ln>
            <a:solidFill>
              <a:schemeClr val="tx1"/>
            </a:solidFill>
          </a:ln>
        </xdr:spPr>
      </xdr:pic>
    </xdr:grpSp>
    <xdr:clientData/>
  </xdr:twoCellAnchor>
  <xdr:twoCellAnchor>
    <xdr:from>
      <xdr:col>0</xdr:col>
      <xdr:colOff>219635</xdr:colOff>
      <xdr:row>301</xdr:row>
      <xdr:rowOff>119902</xdr:rowOff>
    </xdr:from>
    <xdr:to>
      <xdr:col>7</xdr:col>
      <xdr:colOff>437030</xdr:colOff>
      <xdr:row>338</xdr:row>
      <xdr:rowOff>0</xdr:rowOff>
    </xdr:to>
    <xdr:grpSp>
      <xdr:nvGrpSpPr>
        <xdr:cNvPr id="27" name="Group 26">
          <a:extLst>
            <a:ext uri="{FF2B5EF4-FFF2-40B4-BE49-F238E27FC236}">
              <a16:creationId xmlns:a16="http://schemas.microsoft.com/office/drawing/2014/main" id="{4ACB303F-6D58-492C-9022-A63477F01448}"/>
            </a:ext>
          </a:extLst>
        </xdr:cNvPr>
        <xdr:cNvGrpSpPr/>
      </xdr:nvGrpSpPr>
      <xdr:grpSpPr>
        <a:xfrm>
          <a:off x="219635" y="45458902"/>
          <a:ext cx="5797924" cy="7343216"/>
          <a:chOff x="926726" y="806825"/>
          <a:chExt cx="4643717" cy="5479851"/>
        </a:xfrm>
      </xdr:grpSpPr>
      <xdr:pic>
        <xdr:nvPicPr>
          <xdr:cNvPr id="28" name="Picture 27">
            <a:extLst>
              <a:ext uri="{FF2B5EF4-FFF2-40B4-BE49-F238E27FC236}">
                <a16:creationId xmlns:a16="http://schemas.microsoft.com/office/drawing/2014/main" id="{8A124F7C-877C-4DF8-8B25-406C59B3B6EE}"/>
              </a:ext>
            </a:extLst>
          </xdr:cNvPr>
          <xdr:cNvPicPr>
            <a:picLocks noChangeAspect="1"/>
          </xdr:cNvPicPr>
        </xdr:nvPicPr>
        <xdr:blipFill rotWithShape="1">
          <a:blip xmlns:r="http://schemas.openxmlformats.org/officeDocument/2006/relationships" r:embed="rId16" cstate="screen">
            <a:extLst>
              <a:ext uri="{28A0092B-C50C-407E-A947-70E740481C1C}">
                <a14:useLocalDpi xmlns:a14="http://schemas.microsoft.com/office/drawing/2010/main"/>
              </a:ext>
            </a:extLst>
          </a:blip>
          <a:srcRect/>
          <a:stretch/>
        </xdr:blipFill>
        <xdr:spPr>
          <a:xfrm>
            <a:off x="926726" y="806825"/>
            <a:ext cx="4643717" cy="2653552"/>
          </a:xfrm>
          <a:prstGeom prst="rect">
            <a:avLst/>
          </a:prstGeom>
          <a:ln>
            <a:solidFill>
              <a:schemeClr val="tx1"/>
            </a:solidFill>
          </a:ln>
        </xdr:spPr>
      </xdr:pic>
      <xdr:sp macro="" textlink="">
        <xdr:nvSpPr>
          <xdr:cNvPr id="29" name="Rectangle 28">
            <a:extLst>
              <a:ext uri="{FF2B5EF4-FFF2-40B4-BE49-F238E27FC236}">
                <a16:creationId xmlns:a16="http://schemas.microsoft.com/office/drawing/2014/main" id="{A03AE0F3-E9D9-45B9-A805-B58CF52822C3}"/>
              </a:ext>
            </a:extLst>
          </xdr:cNvPr>
          <xdr:cNvSpPr/>
        </xdr:nvSpPr>
        <xdr:spPr>
          <a:xfrm rot="20651165">
            <a:off x="3128680" y="2387635"/>
            <a:ext cx="358993" cy="417647"/>
          </a:xfrm>
          <a:prstGeom prst="rect">
            <a:avLst/>
          </a:prstGeom>
          <a:noFill/>
          <a:ln w="38100">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30" name="TextBox 33">
            <a:extLst>
              <a:ext uri="{FF2B5EF4-FFF2-40B4-BE49-F238E27FC236}">
                <a16:creationId xmlns:a16="http://schemas.microsoft.com/office/drawing/2014/main" id="{B56CD1D5-11B7-4280-9786-ACA699E43C65}"/>
              </a:ext>
            </a:extLst>
          </xdr:cNvPr>
          <xdr:cNvSpPr txBox="1"/>
        </xdr:nvSpPr>
        <xdr:spPr>
          <a:xfrm rot="20837707">
            <a:off x="2681353" y="2717574"/>
            <a:ext cx="1708160" cy="289989"/>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FF00"/>
                </a:solidFill>
                <a:latin typeface="Times New Roman" panose="02020603050405020304" pitchFamily="18" charset="0"/>
                <a:cs typeface="Times New Roman" panose="02020603050405020304" pitchFamily="18" charset="0"/>
              </a:rPr>
              <a:t>Classic Sapphire</a:t>
            </a:r>
            <a:endParaRPr lang="en-IN" b="1">
              <a:solidFill>
                <a:srgbClr val="FFFF00"/>
              </a:solidFill>
              <a:latin typeface="Times New Roman" panose="02020603050405020304" pitchFamily="18" charset="0"/>
              <a:cs typeface="Times New Roman" panose="02020603050405020304" pitchFamily="18" charset="0"/>
            </a:endParaRPr>
          </a:p>
        </xdr:txBody>
      </xdr:sp>
      <xdr:pic>
        <xdr:nvPicPr>
          <xdr:cNvPr id="31" name="Picture 30">
            <a:extLst>
              <a:ext uri="{FF2B5EF4-FFF2-40B4-BE49-F238E27FC236}">
                <a16:creationId xmlns:a16="http://schemas.microsoft.com/office/drawing/2014/main" id="{D20B58BE-134C-4610-824D-3EC8D035BDAB}"/>
              </a:ext>
            </a:extLst>
          </xdr:cNvPr>
          <xdr:cNvPicPr>
            <a:picLocks noChangeAspect="1"/>
          </xdr:cNvPicPr>
        </xdr:nvPicPr>
        <xdr:blipFill rotWithShape="1">
          <a:blip xmlns:r="http://schemas.openxmlformats.org/officeDocument/2006/relationships" r:embed="rId17" cstate="screen">
            <a:extLst>
              <a:ext uri="{28A0092B-C50C-407E-A947-70E740481C1C}">
                <a14:useLocalDpi xmlns:a14="http://schemas.microsoft.com/office/drawing/2010/main"/>
              </a:ext>
            </a:extLst>
          </a:blip>
          <a:srcRect/>
          <a:stretch/>
        </xdr:blipFill>
        <xdr:spPr>
          <a:xfrm>
            <a:off x="1089173" y="3577207"/>
            <a:ext cx="4320000" cy="2709469"/>
          </a:xfrm>
          <a:prstGeom prst="rect">
            <a:avLst/>
          </a:prstGeom>
          <a:ln>
            <a:solidFill>
              <a:schemeClr val="tx1"/>
            </a:solidFill>
          </a:ln>
        </xdr:spPr>
      </xdr:pic>
    </xdr:grpSp>
    <xdr:clientData/>
  </xdr:twoCellAnchor>
  <xdr:twoCellAnchor editAs="oneCell">
    <xdr:from>
      <xdr:col>13</xdr:col>
      <xdr:colOff>702208</xdr:colOff>
      <xdr:row>136</xdr:row>
      <xdr:rowOff>22493</xdr:rowOff>
    </xdr:from>
    <xdr:to>
      <xdr:col>22</xdr:col>
      <xdr:colOff>571879</xdr:colOff>
      <xdr:row>200</xdr:row>
      <xdr:rowOff>59563</xdr:rowOff>
    </xdr:to>
    <xdr:pic>
      <xdr:nvPicPr>
        <xdr:cNvPr id="32" name="Picture 31">
          <a:extLst>
            <a:ext uri="{FF2B5EF4-FFF2-40B4-BE49-F238E27FC236}">
              <a16:creationId xmlns:a16="http://schemas.microsoft.com/office/drawing/2014/main" id="{75DF9349-162A-4F85-AAA2-DC4BD5D6A508}"/>
            </a:ext>
          </a:extLst>
        </xdr:cNvPr>
        <xdr:cNvPicPr>
          <a:picLocks noChangeAspect="1"/>
        </xdr:cNvPicPr>
      </xdr:nvPicPr>
      <xdr:blipFill>
        <a:blip xmlns:r="http://schemas.openxmlformats.org/officeDocument/2006/relationships" r:embed="rId18"/>
        <a:stretch>
          <a:fillRect/>
        </a:stretch>
      </xdr:blipFill>
      <xdr:spPr>
        <a:xfrm>
          <a:off x="11403826" y="20103434"/>
          <a:ext cx="6167377" cy="4709923"/>
        </a:xfrm>
        <a:prstGeom prst="rect">
          <a:avLst/>
        </a:prstGeom>
      </xdr:spPr>
    </xdr:pic>
    <xdr:clientData/>
  </xdr:twoCellAnchor>
  <xdr:twoCellAnchor editAs="oneCell">
    <xdr:from>
      <xdr:col>9</xdr:col>
      <xdr:colOff>112059</xdr:colOff>
      <xdr:row>75</xdr:row>
      <xdr:rowOff>394448</xdr:rowOff>
    </xdr:from>
    <xdr:to>
      <xdr:col>15</xdr:col>
      <xdr:colOff>638621</xdr:colOff>
      <xdr:row>135</xdr:row>
      <xdr:rowOff>182</xdr:rowOff>
    </xdr:to>
    <xdr:pic>
      <xdr:nvPicPr>
        <xdr:cNvPr id="33" name="Picture 32">
          <a:extLst>
            <a:ext uri="{FF2B5EF4-FFF2-40B4-BE49-F238E27FC236}">
              <a16:creationId xmlns:a16="http://schemas.microsoft.com/office/drawing/2014/main" id="{31488891-4B42-461D-A6F0-3F200077B617}"/>
            </a:ext>
          </a:extLst>
        </xdr:cNvPr>
        <xdr:cNvPicPr>
          <a:picLocks noChangeAspect="1"/>
        </xdr:cNvPicPr>
      </xdr:nvPicPr>
      <xdr:blipFill>
        <a:blip xmlns:r="http://schemas.openxmlformats.org/officeDocument/2006/relationships" r:embed="rId19"/>
        <a:stretch>
          <a:fillRect/>
        </a:stretch>
      </xdr:blipFill>
      <xdr:spPr>
        <a:xfrm>
          <a:off x="7586383" y="16172330"/>
          <a:ext cx="5401120" cy="3707087"/>
        </a:xfrm>
        <a:prstGeom prst="rect">
          <a:avLst/>
        </a:prstGeom>
      </xdr:spPr>
    </xdr:pic>
    <xdr:clientData/>
  </xdr:twoCellAnchor>
  <xdr:twoCellAnchor editAs="oneCell">
    <xdr:from>
      <xdr:col>11</xdr:col>
      <xdr:colOff>275783</xdr:colOff>
      <xdr:row>115</xdr:row>
      <xdr:rowOff>88895</xdr:rowOff>
    </xdr:from>
    <xdr:to>
      <xdr:col>17</xdr:col>
      <xdr:colOff>511570</xdr:colOff>
      <xdr:row>148</xdr:row>
      <xdr:rowOff>182496</xdr:rowOff>
    </xdr:to>
    <xdr:pic>
      <xdr:nvPicPr>
        <xdr:cNvPr id="34" name="Picture 33">
          <a:extLst>
            <a:ext uri="{FF2B5EF4-FFF2-40B4-BE49-F238E27FC236}">
              <a16:creationId xmlns:a16="http://schemas.microsoft.com/office/drawing/2014/main" id="{85752F00-C9A6-41A6-943B-F333EAC2B937}"/>
            </a:ext>
          </a:extLst>
        </xdr:cNvPr>
        <xdr:cNvPicPr>
          <a:picLocks noChangeAspect="1"/>
        </xdr:cNvPicPr>
      </xdr:nvPicPr>
      <xdr:blipFill>
        <a:blip xmlns:r="http://schemas.openxmlformats.org/officeDocument/2006/relationships" r:embed="rId20"/>
        <a:stretch>
          <a:fillRect/>
        </a:stretch>
      </xdr:blipFill>
      <xdr:spPr>
        <a:xfrm>
          <a:off x="9256497" y="18703466"/>
          <a:ext cx="4998287" cy="2338780"/>
        </a:xfrm>
        <a:prstGeom prst="rect">
          <a:avLst/>
        </a:prstGeom>
      </xdr:spPr>
    </xdr:pic>
    <xdr:clientData/>
  </xdr:twoCellAnchor>
  <xdr:twoCellAnchor editAs="oneCell">
    <xdr:from>
      <xdr:col>8</xdr:col>
      <xdr:colOff>805117</xdr:colOff>
      <xdr:row>13</xdr:row>
      <xdr:rowOff>433583</xdr:rowOff>
    </xdr:from>
    <xdr:to>
      <xdr:col>17</xdr:col>
      <xdr:colOff>154885</xdr:colOff>
      <xdr:row>22</xdr:row>
      <xdr:rowOff>36019</xdr:rowOff>
    </xdr:to>
    <xdr:pic>
      <xdr:nvPicPr>
        <xdr:cNvPr id="35" name="Picture 34"/>
        <xdr:cNvPicPr>
          <a:picLocks noChangeAspect="1"/>
        </xdr:cNvPicPr>
      </xdr:nvPicPr>
      <xdr:blipFill>
        <a:blip xmlns:r="http://schemas.openxmlformats.org/officeDocument/2006/relationships" r:embed="rId21"/>
        <a:stretch>
          <a:fillRect/>
        </a:stretch>
      </xdr:blipFill>
      <xdr:spPr>
        <a:xfrm>
          <a:off x="7118831" y="3427154"/>
          <a:ext cx="6779268" cy="2173387"/>
        </a:xfrm>
        <a:prstGeom prst="rect">
          <a:avLst/>
        </a:prstGeom>
      </xdr:spPr>
    </xdr:pic>
    <xdr:clientData/>
  </xdr:twoCellAnchor>
  <xdr:twoCellAnchor editAs="oneCell">
    <xdr:from>
      <xdr:col>8</xdr:col>
      <xdr:colOff>1076810</xdr:colOff>
      <xdr:row>0</xdr:row>
      <xdr:rowOff>125562</xdr:rowOff>
    </xdr:from>
    <xdr:to>
      <xdr:col>18</xdr:col>
      <xdr:colOff>53789</xdr:colOff>
      <xdr:row>11</xdr:row>
      <xdr:rowOff>55799</xdr:rowOff>
    </xdr:to>
    <xdr:pic>
      <xdr:nvPicPr>
        <xdr:cNvPr id="36" name="Picture 35"/>
        <xdr:cNvPicPr>
          <a:picLocks noChangeAspect="1"/>
        </xdr:cNvPicPr>
      </xdr:nvPicPr>
      <xdr:blipFill>
        <a:blip xmlns:r="http://schemas.openxmlformats.org/officeDocument/2006/relationships" r:embed="rId22"/>
        <a:stretch>
          <a:fillRect/>
        </a:stretch>
      </xdr:blipFill>
      <xdr:spPr>
        <a:xfrm>
          <a:off x="7385722" y="125562"/>
          <a:ext cx="7011596" cy="2530002"/>
        </a:xfrm>
        <a:prstGeom prst="rect">
          <a:avLst/>
        </a:prstGeom>
      </xdr:spPr>
    </xdr:pic>
    <xdr:clientData/>
  </xdr:twoCellAnchor>
  <xdr:twoCellAnchor>
    <xdr:from>
      <xdr:col>17</xdr:col>
      <xdr:colOff>180975</xdr:colOff>
      <xdr:row>67</xdr:row>
      <xdr:rowOff>161925</xdr:rowOff>
    </xdr:from>
    <xdr:to>
      <xdr:col>23</xdr:col>
      <xdr:colOff>67204</xdr:colOff>
      <xdr:row>120</xdr:row>
      <xdr:rowOff>19729</xdr:rowOff>
    </xdr:to>
    <xdr:grpSp>
      <xdr:nvGrpSpPr>
        <xdr:cNvPr id="39" name="Group 38"/>
        <xdr:cNvGrpSpPr/>
      </xdr:nvGrpSpPr>
      <xdr:grpSpPr>
        <a:xfrm>
          <a:off x="13919387" y="13821896"/>
          <a:ext cx="3752258" cy="5068539"/>
          <a:chOff x="13886089" y="12586607"/>
          <a:chExt cx="3777872" cy="5119686"/>
        </a:xfrm>
      </xdr:grpSpPr>
      <xdr:pic>
        <xdr:nvPicPr>
          <xdr:cNvPr id="37" name="Picture 36"/>
          <xdr:cNvPicPr>
            <a:picLocks noChangeAspect="1"/>
          </xdr:cNvPicPr>
        </xdr:nvPicPr>
        <xdr:blipFill>
          <a:blip xmlns:r="http://schemas.openxmlformats.org/officeDocument/2006/relationships" r:embed="rId23"/>
          <a:stretch>
            <a:fillRect/>
          </a:stretch>
        </xdr:blipFill>
        <xdr:spPr>
          <a:xfrm>
            <a:off x="13886089" y="12586607"/>
            <a:ext cx="3777872" cy="5119686"/>
          </a:xfrm>
          <a:prstGeom prst="rect">
            <a:avLst/>
          </a:prstGeom>
        </xdr:spPr>
      </xdr:pic>
      <xdr:sp macro="" textlink="">
        <xdr:nvSpPr>
          <xdr:cNvPr id="38" name="TextBox 37"/>
          <xdr:cNvSpPr txBox="1"/>
        </xdr:nvSpPr>
        <xdr:spPr>
          <a:xfrm>
            <a:off x="16274142" y="14552839"/>
            <a:ext cx="1384527" cy="132329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600" b="1"/>
              <a:t>vERIFIE</a:t>
            </a:r>
            <a:r>
              <a:rPr lang="en-IN" sz="1600" b="1" baseline="0"/>
              <a:t> </a:t>
            </a:r>
            <a:r>
              <a:rPr lang="en-IN" sz="1600" b="1"/>
              <a:t>vISITOR</a:t>
            </a:r>
            <a:r>
              <a:rPr lang="en-IN" sz="1600" b="1" baseline="0"/>
              <a:t> LOCATION SENT</a:t>
            </a:r>
            <a:endParaRPr lang="en-IN" sz="1600" b="1"/>
          </a:p>
        </xdr:txBody>
      </xdr:sp>
    </xdr:grpSp>
    <xdr:clientData/>
  </xdr:twoCellAnchor>
  <xdr:twoCellAnchor editAs="oneCell">
    <xdr:from>
      <xdr:col>8</xdr:col>
      <xdr:colOff>701170</xdr:colOff>
      <xdr:row>24</xdr:row>
      <xdr:rowOff>0</xdr:rowOff>
    </xdr:from>
    <xdr:to>
      <xdr:col>15</xdr:col>
      <xdr:colOff>698570</xdr:colOff>
      <xdr:row>35</xdr:row>
      <xdr:rowOff>68512</xdr:rowOff>
    </xdr:to>
    <xdr:pic>
      <xdr:nvPicPr>
        <xdr:cNvPr id="40" name="Picture 39"/>
        <xdr:cNvPicPr>
          <a:picLocks noChangeAspect="1"/>
        </xdr:cNvPicPr>
      </xdr:nvPicPr>
      <xdr:blipFill>
        <a:blip xmlns:r="http://schemas.openxmlformats.org/officeDocument/2006/relationships" r:embed="rId24"/>
        <a:stretch>
          <a:fillRect/>
        </a:stretch>
      </xdr:blipFill>
      <xdr:spPr>
        <a:xfrm>
          <a:off x="7010082" y="5983941"/>
          <a:ext cx="6037370" cy="2253659"/>
        </a:xfrm>
        <a:prstGeom prst="rect">
          <a:avLst/>
        </a:prstGeom>
      </xdr:spPr>
    </xdr:pic>
    <xdr:clientData/>
  </xdr:twoCellAnchor>
  <xdr:twoCellAnchor editAs="oneCell">
    <xdr:from>
      <xdr:col>13</xdr:col>
      <xdr:colOff>235325</xdr:colOff>
      <xdr:row>29</xdr:row>
      <xdr:rowOff>44823</xdr:rowOff>
    </xdr:from>
    <xdr:to>
      <xdr:col>23</xdr:col>
      <xdr:colOff>458196</xdr:colOff>
      <xdr:row>48</xdr:row>
      <xdr:rowOff>186570</xdr:rowOff>
    </xdr:to>
    <xdr:pic>
      <xdr:nvPicPr>
        <xdr:cNvPr id="41" name="Picture 40"/>
        <xdr:cNvPicPr>
          <a:picLocks noChangeAspect="1"/>
        </xdr:cNvPicPr>
      </xdr:nvPicPr>
      <xdr:blipFill>
        <a:blip xmlns:r="http://schemas.openxmlformats.org/officeDocument/2006/relationships" r:embed="rId25"/>
        <a:stretch>
          <a:fillRect/>
        </a:stretch>
      </xdr:blipFill>
      <xdr:spPr>
        <a:xfrm>
          <a:off x="10936943" y="7014882"/>
          <a:ext cx="7125694" cy="3962953"/>
        </a:xfrm>
        <a:prstGeom prst="rect">
          <a:avLst/>
        </a:prstGeom>
      </xdr:spPr>
    </xdr:pic>
    <xdr:clientData/>
  </xdr:twoCellAnchor>
  <xdr:twoCellAnchor editAs="oneCell">
    <xdr:from>
      <xdr:col>13</xdr:col>
      <xdr:colOff>573983</xdr:colOff>
      <xdr:row>21</xdr:row>
      <xdr:rowOff>93569</xdr:rowOff>
    </xdr:from>
    <xdr:to>
      <xdr:col>22</xdr:col>
      <xdr:colOff>160748</xdr:colOff>
      <xdr:row>34</xdr:row>
      <xdr:rowOff>130948</xdr:rowOff>
    </xdr:to>
    <xdr:pic>
      <xdr:nvPicPr>
        <xdr:cNvPr id="42" name="Picture 41"/>
        <xdr:cNvPicPr>
          <a:picLocks noChangeAspect="1"/>
        </xdr:cNvPicPr>
      </xdr:nvPicPr>
      <xdr:blipFill>
        <a:blip xmlns:r="http://schemas.openxmlformats.org/officeDocument/2006/relationships" r:embed="rId26"/>
        <a:stretch>
          <a:fillRect/>
        </a:stretch>
      </xdr:blipFill>
      <xdr:spPr>
        <a:xfrm>
          <a:off x="11275601" y="5237069"/>
          <a:ext cx="5884471" cy="2861261"/>
        </a:xfrm>
        <a:prstGeom prst="rect">
          <a:avLst/>
        </a:prstGeom>
      </xdr:spPr>
    </xdr:pic>
    <xdr:clientData/>
  </xdr:twoCellAnchor>
  <xdr:twoCellAnchor editAs="oneCell">
    <xdr:from>
      <xdr:col>10</xdr:col>
      <xdr:colOff>364991</xdr:colOff>
      <xdr:row>85</xdr:row>
      <xdr:rowOff>140074</xdr:rowOff>
    </xdr:from>
    <xdr:to>
      <xdr:col>14</xdr:col>
      <xdr:colOff>583998</xdr:colOff>
      <xdr:row>148</xdr:row>
      <xdr:rowOff>73276</xdr:rowOff>
    </xdr:to>
    <xdr:pic>
      <xdr:nvPicPr>
        <xdr:cNvPr id="43" name="Picture 42"/>
        <xdr:cNvPicPr>
          <a:picLocks noChangeAspect="1"/>
        </xdr:cNvPicPr>
      </xdr:nvPicPr>
      <xdr:blipFill>
        <a:blip xmlns:r="http://schemas.openxmlformats.org/officeDocument/2006/relationships" r:embed="rId27"/>
        <a:stretch>
          <a:fillRect/>
        </a:stretch>
      </xdr:blipFill>
      <xdr:spPr>
        <a:xfrm>
          <a:off x="8597312" y="18346431"/>
          <a:ext cx="3525543" cy="2586595"/>
        </a:xfrm>
        <a:prstGeom prst="rect">
          <a:avLst/>
        </a:prstGeom>
      </xdr:spPr>
    </xdr:pic>
    <xdr:clientData/>
  </xdr:twoCellAnchor>
  <xdr:twoCellAnchor editAs="oneCell">
    <xdr:from>
      <xdr:col>14</xdr:col>
      <xdr:colOff>118144</xdr:colOff>
      <xdr:row>84</xdr:row>
      <xdr:rowOff>12515</xdr:rowOff>
    </xdr:from>
    <xdr:to>
      <xdr:col>24</xdr:col>
      <xdr:colOff>89539</xdr:colOff>
      <xdr:row>186</xdr:row>
      <xdr:rowOff>171225</xdr:rowOff>
    </xdr:to>
    <xdr:pic>
      <xdr:nvPicPr>
        <xdr:cNvPr id="44" name="Picture 43"/>
        <xdr:cNvPicPr>
          <a:picLocks noChangeAspect="1"/>
        </xdr:cNvPicPr>
      </xdr:nvPicPr>
      <xdr:blipFill>
        <a:blip xmlns:r="http://schemas.openxmlformats.org/officeDocument/2006/relationships" r:embed="rId28"/>
        <a:stretch>
          <a:fillRect/>
        </a:stretch>
      </xdr:blipFill>
      <xdr:spPr>
        <a:xfrm>
          <a:off x="11657001" y="18014765"/>
          <a:ext cx="6679717" cy="5247781"/>
        </a:xfrm>
        <a:prstGeom prst="rect">
          <a:avLst/>
        </a:prstGeom>
      </xdr:spPr>
    </xdr:pic>
    <xdr:clientData/>
  </xdr:twoCellAnchor>
  <xdr:twoCellAnchor editAs="oneCell">
    <xdr:from>
      <xdr:col>13</xdr:col>
      <xdr:colOff>299359</xdr:colOff>
      <xdr:row>190</xdr:row>
      <xdr:rowOff>90449</xdr:rowOff>
    </xdr:from>
    <xdr:to>
      <xdr:col>21</xdr:col>
      <xdr:colOff>442330</xdr:colOff>
      <xdr:row>206</xdr:row>
      <xdr:rowOff>492</xdr:rowOff>
    </xdr:to>
    <xdr:pic>
      <xdr:nvPicPr>
        <xdr:cNvPr id="45" name="Picture 44"/>
        <xdr:cNvPicPr>
          <a:picLocks noChangeAspect="1"/>
        </xdr:cNvPicPr>
      </xdr:nvPicPr>
      <xdr:blipFill>
        <a:blip xmlns:r="http://schemas.openxmlformats.org/officeDocument/2006/relationships" r:embed="rId29"/>
        <a:stretch>
          <a:fillRect/>
        </a:stretch>
      </xdr:blipFill>
      <xdr:spPr>
        <a:xfrm>
          <a:off x="11000977" y="23600390"/>
          <a:ext cx="5835559" cy="2364131"/>
        </a:xfrm>
        <a:prstGeom prst="rect">
          <a:avLst/>
        </a:prstGeom>
      </xdr:spPr>
    </xdr:pic>
    <xdr:clientData/>
  </xdr:twoCellAnchor>
  <xdr:twoCellAnchor editAs="oneCell">
    <xdr:from>
      <xdr:col>23</xdr:col>
      <xdr:colOff>257737</xdr:colOff>
      <xdr:row>120</xdr:row>
      <xdr:rowOff>47626</xdr:rowOff>
    </xdr:from>
    <xdr:to>
      <xdr:col>41</xdr:col>
      <xdr:colOff>432923</xdr:colOff>
      <xdr:row>193</xdr:row>
      <xdr:rowOff>11524</xdr:rowOff>
    </xdr:to>
    <xdr:pic>
      <xdr:nvPicPr>
        <xdr:cNvPr id="46" name="Picture 45"/>
        <xdr:cNvPicPr>
          <a:picLocks noChangeAspect="1"/>
        </xdr:cNvPicPr>
      </xdr:nvPicPr>
      <xdr:blipFill>
        <a:blip xmlns:r="http://schemas.openxmlformats.org/officeDocument/2006/relationships" r:embed="rId30"/>
        <a:stretch>
          <a:fillRect/>
        </a:stretch>
      </xdr:blipFill>
      <xdr:spPr>
        <a:xfrm>
          <a:off x="17950425" y="18240376"/>
          <a:ext cx="11319436" cy="4940711"/>
        </a:xfrm>
        <a:prstGeom prst="rect">
          <a:avLst/>
        </a:prstGeom>
      </xdr:spPr>
    </xdr:pic>
    <xdr:clientData/>
  </xdr:twoCellAnchor>
  <xdr:twoCellAnchor editAs="oneCell">
    <xdr:from>
      <xdr:col>23</xdr:col>
      <xdr:colOff>593147</xdr:colOff>
      <xdr:row>117</xdr:row>
      <xdr:rowOff>21647</xdr:rowOff>
    </xdr:from>
    <xdr:to>
      <xdr:col>33</xdr:col>
      <xdr:colOff>295220</xdr:colOff>
      <xdr:row>188</xdr:row>
      <xdr:rowOff>0</xdr:rowOff>
    </xdr:to>
    <xdr:pic>
      <xdr:nvPicPr>
        <xdr:cNvPr id="47" name="Picture 46"/>
        <xdr:cNvPicPr>
          <a:picLocks noChangeAspect="1"/>
        </xdr:cNvPicPr>
      </xdr:nvPicPr>
      <xdr:blipFill>
        <a:blip xmlns:r="http://schemas.openxmlformats.org/officeDocument/2006/relationships" r:embed="rId31"/>
        <a:stretch>
          <a:fillRect/>
        </a:stretch>
      </xdr:blipFill>
      <xdr:spPr>
        <a:xfrm>
          <a:off x="18285835" y="18214397"/>
          <a:ext cx="5893323" cy="4199847"/>
        </a:xfrm>
        <a:prstGeom prst="rect">
          <a:avLst/>
        </a:prstGeom>
      </xdr:spPr>
    </xdr:pic>
    <xdr:clientData/>
  </xdr:twoCellAnchor>
  <xdr:twoCellAnchor editAs="oneCell">
    <xdr:from>
      <xdr:col>20</xdr:col>
      <xdr:colOff>593148</xdr:colOff>
      <xdr:row>193</xdr:row>
      <xdr:rowOff>244619</xdr:rowOff>
    </xdr:from>
    <xdr:to>
      <xdr:col>36</xdr:col>
      <xdr:colOff>161849</xdr:colOff>
      <xdr:row>215</xdr:row>
      <xdr:rowOff>6344</xdr:rowOff>
    </xdr:to>
    <xdr:pic>
      <xdr:nvPicPr>
        <xdr:cNvPr id="48" name="Picture 47"/>
        <xdr:cNvPicPr>
          <a:picLocks noChangeAspect="1"/>
        </xdr:cNvPicPr>
      </xdr:nvPicPr>
      <xdr:blipFill>
        <a:blip xmlns:r="http://schemas.openxmlformats.org/officeDocument/2006/relationships" r:embed="rId32"/>
        <a:stretch>
          <a:fillRect/>
        </a:stretch>
      </xdr:blipFill>
      <xdr:spPr>
        <a:xfrm>
          <a:off x="16428461" y="23414182"/>
          <a:ext cx="9474701" cy="3476475"/>
        </a:xfrm>
        <a:prstGeom prst="rect">
          <a:avLst/>
        </a:prstGeom>
      </xdr:spPr>
    </xdr:pic>
    <xdr:clientData/>
  </xdr:twoCellAnchor>
  <xdr:twoCellAnchor editAs="oneCell">
    <xdr:from>
      <xdr:col>20</xdr:col>
      <xdr:colOff>123922</xdr:colOff>
      <xdr:row>210</xdr:row>
      <xdr:rowOff>53228</xdr:rowOff>
    </xdr:from>
    <xdr:to>
      <xdr:col>37</xdr:col>
      <xdr:colOff>393727</xdr:colOff>
      <xdr:row>229</xdr:row>
      <xdr:rowOff>11580</xdr:rowOff>
    </xdr:to>
    <xdr:pic>
      <xdr:nvPicPr>
        <xdr:cNvPr id="49" name="Picture 48"/>
        <xdr:cNvPicPr>
          <a:picLocks noChangeAspect="1"/>
        </xdr:cNvPicPr>
      </xdr:nvPicPr>
      <xdr:blipFill>
        <a:blip xmlns:r="http://schemas.openxmlformats.org/officeDocument/2006/relationships" r:embed="rId33"/>
        <a:stretch>
          <a:fillRect/>
        </a:stretch>
      </xdr:blipFill>
      <xdr:spPr>
        <a:xfrm>
          <a:off x="15959235" y="25985041"/>
          <a:ext cx="10794930" cy="357785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493058</xdr:colOff>
      <xdr:row>1</xdr:row>
      <xdr:rowOff>168088</xdr:rowOff>
    </xdr:from>
    <xdr:to>
      <xdr:col>14</xdr:col>
      <xdr:colOff>253521</xdr:colOff>
      <xdr:row>24</xdr:row>
      <xdr:rowOff>95382</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6269"/>
        <a:stretch/>
      </xdr:blipFill>
      <xdr:spPr>
        <a:xfrm>
          <a:off x="9905999" y="358588"/>
          <a:ext cx="3256698" cy="4320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maps.app.goo.gl/Urv54R5QBt3AFj8F6" TargetMode="External"/><Relationship Id="rId6" Type="http://schemas.openxmlformats.org/officeDocument/2006/relationships/comments" Target="../comments1.xm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Z301"/>
  <sheetViews>
    <sheetView tabSelected="1" view="pageBreakPreview" zoomScale="85" zoomScaleNormal="100" zoomScaleSheetLayoutView="85" zoomScalePageLayoutView="85" workbookViewId="0">
      <selection activeCell="O14" sqref="O14"/>
    </sheetView>
  </sheetViews>
  <sheetFormatPr defaultColWidth="9.140625" defaultRowHeight="15.75" x14ac:dyDescent="0.25"/>
  <cols>
    <col min="1" max="1" width="11.42578125" style="40" customWidth="1"/>
    <col min="2" max="2" width="12" style="40" customWidth="1"/>
    <col min="3" max="3" width="12.7109375" style="40" customWidth="1"/>
    <col min="4" max="4" width="13.7109375" style="40" customWidth="1"/>
    <col min="5" max="5" width="11.7109375" style="40" customWidth="1"/>
    <col min="6" max="6" width="11.140625" style="40" customWidth="1"/>
    <col min="7" max="8" width="11" style="40" customWidth="1"/>
    <col min="9" max="9" width="17.42578125" style="21" customWidth="1"/>
    <col min="10" max="10" width="11.42578125" style="21" customWidth="1"/>
    <col min="11" max="11" width="11.28515625" style="21" bestFit="1" customWidth="1"/>
    <col min="12" max="12" width="13.85546875" style="21" bestFit="1" customWidth="1"/>
    <col min="13" max="13" width="11.85546875" style="21" customWidth="1"/>
    <col min="14" max="14" width="12.5703125" style="21" customWidth="1"/>
    <col min="15" max="15" width="12.140625" style="21" customWidth="1"/>
    <col min="16" max="16" width="11.7109375" style="21" customWidth="1"/>
    <col min="17" max="18" width="9.140625" style="21"/>
    <col min="19" max="19" width="10.85546875" style="21" bestFit="1" customWidth="1"/>
    <col min="20" max="20" width="10.7109375" style="21" customWidth="1"/>
    <col min="21" max="247" width="9.140625" style="21"/>
    <col min="248" max="248" width="8.7109375" style="21" customWidth="1"/>
    <col min="249" max="249" width="9.85546875" style="21" customWidth="1"/>
    <col min="250" max="250" width="14.42578125" style="21" customWidth="1"/>
    <col min="251" max="251" width="7.28515625" style="21" customWidth="1"/>
    <col min="252" max="252" width="5.5703125" style="21" customWidth="1"/>
    <col min="253" max="253" width="9" style="21" customWidth="1"/>
    <col min="254" max="255" width="9.85546875" style="21" customWidth="1"/>
    <col min="256" max="256" width="11.140625" style="21" customWidth="1"/>
    <col min="257" max="257" width="2.85546875" style="21" customWidth="1"/>
    <col min="258" max="258" width="3.5703125" style="21" customWidth="1"/>
    <col min="259" max="503" width="9.140625" style="21"/>
    <col min="504" max="504" width="8.7109375" style="21" customWidth="1"/>
    <col min="505" max="505" width="9.85546875" style="21" customWidth="1"/>
    <col min="506" max="506" width="14.42578125" style="21" customWidth="1"/>
    <col min="507" max="507" width="7.28515625" style="21" customWidth="1"/>
    <col min="508" max="508" width="5.5703125" style="21" customWidth="1"/>
    <col min="509" max="509" width="9" style="21" customWidth="1"/>
    <col min="510" max="511" width="9.85546875" style="21" customWidth="1"/>
    <col min="512" max="512" width="11.140625" style="21" customWidth="1"/>
    <col min="513" max="513" width="2.85546875" style="21" customWidth="1"/>
    <col min="514" max="514" width="3.5703125" style="21" customWidth="1"/>
    <col min="515" max="759" width="9.140625" style="21"/>
    <col min="760" max="760" width="8.7109375" style="21" customWidth="1"/>
    <col min="761" max="761" width="9.85546875" style="21" customWidth="1"/>
    <col min="762" max="762" width="14.42578125" style="21" customWidth="1"/>
    <col min="763" max="763" width="7.28515625" style="21" customWidth="1"/>
    <col min="764" max="764" width="5.5703125" style="21" customWidth="1"/>
    <col min="765" max="765" width="9" style="21" customWidth="1"/>
    <col min="766" max="767" width="9.85546875" style="21" customWidth="1"/>
    <col min="768" max="768" width="11.140625" style="21" customWidth="1"/>
    <col min="769" max="769" width="2.85546875" style="21" customWidth="1"/>
    <col min="770" max="770" width="3.5703125" style="21" customWidth="1"/>
    <col min="771" max="1015" width="9.140625" style="21"/>
    <col min="1016" max="1016" width="8.7109375" style="21" customWidth="1"/>
    <col min="1017" max="1017" width="9.85546875" style="21" customWidth="1"/>
    <col min="1018" max="1018" width="14.42578125" style="21" customWidth="1"/>
    <col min="1019" max="1019" width="7.28515625" style="21" customWidth="1"/>
    <col min="1020" max="1020" width="5.5703125" style="21" customWidth="1"/>
    <col min="1021" max="1021" width="9" style="21" customWidth="1"/>
    <col min="1022" max="1023" width="9.85546875" style="21" customWidth="1"/>
    <col min="1024" max="1024" width="11.140625" style="21" customWidth="1"/>
    <col min="1025" max="1025" width="2.85546875" style="21" customWidth="1"/>
    <col min="1026" max="1026" width="3.5703125" style="21" customWidth="1"/>
    <col min="1027" max="1271" width="9.140625" style="21"/>
    <col min="1272" max="1272" width="8.7109375" style="21" customWidth="1"/>
    <col min="1273" max="1273" width="9.85546875" style="21" customWidth="1"/>
    <col min="1274" max="1274" width="14.42578125" style="21" customWidth="1"/>
    <col min="1275" max="1275" width="7.28515625" style="21" customWidth="1"/>
    <col min="1276" max="1276" width="5.5703125" style="21" customWidth="1"/>
    <col min="1277" max="1277" width="9" style="21" customWidth="1"/>
    <col min="1278" max="1279" width="9.85546875" style="21" customWidth="1"/>
    <col min="1280" max="1280" width="11.140625" style="21" customWidth="1"/>
    <col min="1281" max="1281" width="2.85546875" style="21" customWidth="1"/>
    <col min="1282" max="1282" width="3.5703125" style="21" customWidth="1"/>
    <col min="1283" max="1527" width="9.140625" style="21"/>
    <col min="1528" max="1528" width="8.7109375" style="21" customWidth="1"/>
    <col min="1529" max="1529" width="9.85546875" style="21" customWidth="1"/>
    <col min="1530" max="1530" width="14.42578125" style="21" customWidth="1"/>
    <col min="1531" max="1531" width="7.28515625" style="21" customWidth="1"/>
    <col min="1532" max="1532" width="5.5703125" style="21" customWidth="1"/>
    <col min="1533" max="1533" width="9" style="21" customWidth="1"/>
    <col min="1534" max="1535" width="9.85546875" style="21" customWidth="1"/>
    <col min="1536" max="1536" width="11.140625" style="21" customWidth="1"/>
    <col min="1537" max="1537" width="2.85546875" style="21" customWidth="1"/>
    <col min="1538" max="1538" width="3.5703125" style="21" customWidth="1"/>
    <col min="1539" max="1783" width="9.140625" style="21"/>
    <col min="1784" max="1784" width="8.7109375" style="21" customWidth="1"/>
    <col min="1785" max="1785" width="9.85546875" style="21" customWidth="1"/>
    <col min="1786" max="1786" width="14.42578125" style="21" customWidth="1"/>
    <col min="1787" max="1787" width="7.28515625" style="21" customWidth="1"/>
    <col min="1788" max="1788" width="5.5703125" style="21" customWidth="1"/>
    <col min="1789" max="1789" width="9" style="21" customWidth="1"/>
    <col min="1790" max="1791" width="9.85546875" style="21" customWidth="1"/>
    <col min="1792" max="1792" width="11.140625" style="21" customWidth="1"/>
    <col min="1793" max="1793" width="2.85546875" style="21" customWidth="1"/>
    <col min="1794" max="1794" width="3.5703125" style="21" customWidth="1"/>
    <col min="1795" max="2039" width="9.140625" style="21"/>
    <col min="2040" max="2040" width="8.7109375" style="21" customWidth="1"/>
    <col min="2041" max="2041" width="9.85546875" style="21" customWidth="1"/>
    <col min="2042" max="2042" width="14.42578125" style="21" customWidth="1"/>
    <col min="2043" max="2043" width="7.28515625" style="21" customWidth="1"/>
    <col min="2044" max="2044" width="5.5703125" style="21" customWidth="1"/>
    <col min="2045" max="2045" width="9" style="21" customWidth="1"/>
    <col min="2046" max="2047" width="9.85546875" style="21" customWidth="1"/>
    <col min="2048" max="2048" width="11.140625" style="21" customWidth="1"/>
    <col min="2049" max="2049" width="2.85546875" style="21" customWidth="1"/>
    <col min="2050" max="2050" width="3.5703125" style="21" customWidth="1"/>
    <col min="2051" max="2295" width="9.140625" style="21"/>
    <col min="2296" max="2296" width="8.7109375" style="21" customWidth="1"/>
    <col min="2297" max="2297" width="9.85546875" style="21" customWidth="1"/>
    <col min="2298" max="2298" width="14.42578125" style="21" customWidth="1"/>
    <col min="2299" max="2299" width="7.28515625" style="21" customWidth="1"/>
    <col min="2300" max="2300" width="5.5703125" style="21" customWidth="1"/>
    <col min="2301" max="2301" width="9" style="21" customWidth="1"/>
    <col min="2302" max="2303" width="9.85546875" style="21" customWidth="1"/>
    <col min="2304" max="2304" width="11.140625" style="21" customWidth="1"/>
    <col min="2305" max="2305" width="2.85546875" style="21" customWidth="1"/>
    <col min="2306" max="2306" width="3.5703125" style="21" customWidth="1"/>
    <col min="2307" max="2551" width="9.140625" style="21"/>
    <col min="2552" max="2552" width="8.7109375" style="21" customWidth="1"/>
    <col min="2553" max="2553" width="9.85546875" style="21" customWidth="1"/>
    <col min="2554" max="2554" width="14.42578125" style="21" customWidth="1"/>
    <col min="2555" max="2555" width="7.28515625" style="21" customWidth="1"/>
    <col min="2556" max="2556" width="5.5703125" style="21" customWidth="1"/>
    <col min="2557" max="2557" width="9" style="21" customWidth="1"/>
    <col min="2558" max="2559" width="9.85546875" style="21" customWidth="1"/>
    <col min="2560" max="2560" width="11.140625" style="21" customWidth="1"/>
    <col min="2561" max="2561" width="2.85546875" style="21" customWidth="1"/>
    <col min="2562" max="2562" width="3.5703125" style="21" customWidth="1"/>
    <col min="2563" max="2807" width="9.140625" style="21"/>
    <col min="2808" max="2808" width="8.7109375" style="21" customWidth="1"/>
    <col min="2809" max="2809" width="9.85546875" style="21" customWidth="1"/>
    <col min="2810" max="2810" width="14.42578125" style="21" customWidth="1"/>
    <col min="2811" max="2811" width="7.28515625" style="21" customWidth="1"/>
    <col min="2812" max="2812" width="5.5703125" style="21" customWidth="1"/>
    <col min="2813" max="2813" width="9" style="21" customWidth="1"/>
    <col min="2814" max="2815" width="9.85546875" style="21" customWidth="1"/>
    <col min="2816" max="2816" width="11.140625" style="21" customWidth="1"/>
    <col min="2817" max="2817" width="2.85546875" style="21" customWidth="1"/>
    <col min="2818" max="2818" width="3.5703125" style="21" customWidth="1"/>
    <col min="2819" max="3063" width="9.140625" style="21"/>
    <col min="3064" max="3064" width="8.7109375" style="21" customWidth="1"/>
    <col min="3065" max="3065" width="9.85546875" style="21" customWidth="1"/>
    <col min="3066" max="3066" width="14.42578125" style="21" customWidth="1"/>
    <col min="3067" max="3067" width="7.28515625" style="21" customWidth="1"/>
    <col min="3068" max="3068" width="5.5703125" style="21" customWidth="1"/>
    <col min="3069" max="3069" width="9" style="21" customWidth="1"/>
    <col min="3070" max="3071" width="9.85546875" style="21" customWidth="1"/>
    <col min="3072" max="3072" width="11.140625" style="21" customWidth="1"/>
    <col min="3073" max="3073" width="2.85546875" style="21" customWidth="1"/>
    <col min="3074" max="3074" width="3.5703125" style="21" customWidth="1"/>
    <col min="3075" max="3319" width="9.140625" style="21"/>
    <col min="3320" max="3320" width="8.7109375" style="21" customWidth="1"/>
    <col min="3321" max="3321" width="9.85546875" style="21" customWidth="1"/>
    <col min="3322" max="3322" width="14.42578125" style="21" customWidth="1"/>
    <col min="3323" max="3323" width="7.28515625" style="21" customWidth="1"/>
    <col min="3324" max="3324" width="5.5703125" style="21" customWidth="1"/>
    <col min="3325" max="3325" width="9" style="21" customWidth="1"/>
    <col min="3326" max="3327" width="9.85546875" style="21" customWidth="1"/>
    <col min="3328" max="3328" width="11.140625" style="21" customWidth="1"/>
    <col min="3329" max="3329" width="2.85546875" style="21" customWidth="1"/>
    <col min="3330" max="3330" width="3.5703125" style="21" customWidth="1"/>
    <col min="3331" max="3575" width="9.140625" style="21"/>
    <col min="3576" max="3576" width="8.7109375" style="21" customWidth="1"/>
    <col min="3577" max="3577" width="9.85546875" style="21" customWidth="1"/>
    <col min="3578" max="3578" width="14.42578125" style="21" customWidth="1"/>
    <col min="3579" max="3579" width="7.28515625" style="21" customWidth="1"/>
    <col min="3580" max="3580" width="5.5703125" style="21" customWidth="1"/>
    <col min="3581" max="3581" width="9" style="21" customWidth="1"/>
    <col min="3582" max="3583" width="9.85546875" style="21" customWidth="1"/>
    <col min="3584" max="3584" width="11.140625" style="21" customWidth="1"/>
    <col min="3585" max="3585" width="2.85546875" style="21" customWidth="1"/>
    <col min="3586" max="3586" width="3.5703125" style="21" customWidth="1"/>
    <col min="3587" max="3831" width="9.140625" style="21"/>
    <col min="3832" max="3832" width="8.7109375" style="21" customWidth="1"/>
    <col min="3833" max="3833" width="9.85546875" style="21" customWidth="1"/>
    <col min="3834" max="3834" width="14.42578125" style="21" customWidth="1"/>
    <col min="3835" max="3835" width="7.28515625" style="21" customWidth="1"/>
    <col min="3836" max="3836" width="5.5703125" style="21" customWidth="1"/>
    <col min="3837" max="3837" width="9" style="21" customWidth="1"/>
    <col min="3838" max="3839" width="9.85546875" style="21" customWidth="1"/>
    <col min="3840" max="3840" width="11.140625" style="21" customWidth="1"/>
    <col min="3841" max="3841" width="2.85546875" style="21" customWidth="1"/>
    <col min="3842" max="3842" width="3.5703125" style="21" customWidth="1"/>
    <col min="3843" max="4087" width="9.140625" style="21"/>
    <col min="4088" max="4088" width="8.7109375" style="21" customWidth="1"/>
    <col min="4089" max="4089" width="9.85546875" style="21" customWidth="1"/>
    <col min="4090" max="4090" width="14.42578125" style="21" customWidth="1"/>
    <col min="4091" max="4091" width="7.28515625" style="21" customWidth="1"/>
    <col min="4092" max="4092" width="5.5703125" style="21" customWidth="1"/>
    <col min="4093" max="4093" width="9" style="21" customWidth="1"/>
    <col min="4094" max="4095" width="9.85546875" style="21" customWidth="1"/>
    <col min="4096" max="4096" width="11.140625" style="21" customWidth="1"/>
    <col min="4097" max="4097" width="2.85546875" style="21" customWidth="1"/>
    <col min="4098" max="4098" width="3.5703125" style="21" customWidth="1"/>
    <col min="4099" max="4343" width="9.140625" style="21"/>
    <col min="4344" max="4344" width="8.7109375" style="21" customWidth="1"/>
    <col min="4345" max="4345" width="9.85546875" style="21" customWidth="1"/>
    <col min="4346" max="4346" width="14.42578125" style="21" customWidth="1"/>
    <col min="4347" max="4347" width="7.28515625" style="21" customWidth="1"/>
    <col min="4348" max="4348" width="5.5703125" style="21" customWidth="1"/>
    <col min="4349" max="4349" width="9" style="21" customWidth="1"/>
    <col min="4350" max="4351" width="9.85546875" style="21" customWidth="1"/>
    <col min="4352" max="4352" width="11.140625" style="21" customWidth="1"/>
    <col min="4353" max="4353" width="2.85546875" style="21" customWidth="1"/>
    <col min="4354" max="4354" width="3.5703125" style="21" customWidth="1"/>
    <col min="4355" max="4599" width="9.140625" style="21"/>
    <col min="4600" max="4600" width="8.7109375" style="21" customWidth="1"/>
    <col min="4601" max="4601" width="9.85546875" style="21" customWidth="1"/>
    <col min="4602" max="4602" width="14.42578125" style="21" customWidth="1"/>
    <col min="4603" max="4603" width="7.28515625" style="21" customWidth="1"/>
    <col min="4604" max="4604" width="5.5703125" style="21" customWidth="1"/>
    <col min="4605" max="4605" width="9" style="21" customWidth="1"/>
    <col min="4606" max="4607" width="9.85546875" style="21" customWidth="1"/>
    <col min="4608" max="4608" width="11.140625" style="21" customWidth="1"/>
    <col min="4609" max="4609" width="2.85546875" style="21" customWidth="1"/>
    <col min="4610" max="4610" width="3.5703125" style="21" customWidth="1"/>
    <col min="4611" max="4855" width="9.140625" style="21"/>
    <col min="4856" max="4856" width="8.7109375" style="21" customWidth="1"/>
    <col min="4857" max="4857" width="9.85546875" style="21" customWidth="1"/>
    <col min="4858" max="4858" width="14.42578125" style="21" customWidth="1"/>
    <col min="4859" max="4859" width="7.28515625" style="21" customWidth="1"/>
    <col min="4860" max="4860" width="5.5703125" style="21" customWidth="1"/>
    <col min="4861" max="4861" width="9" style="21" customWidth="1"/>
    <col min="4862" max="4863" width="9.85546875" style="21" customWidth="1"/>
    <col min="4864" max="4864" width="11.140625" style="21" customWidth="1"/>
    <col min="4865" max="4865" width="2.85546875" style="21" customWidth="1"/>
    <col min="4866" max="4866" width="3.5703125" style="21" customWidth="1"/>
    <col min="4867" max="5111" width="9.140625" style="21"/>
    <col min="5112" max="5112" width="8.7109375" style="21" customWidth="1"/>
    <col min="5113" max="5113" width="9.85546875" style="21" customWidth="1"/>
    <col min="5114" max="5114" width="14.42578125" style="21" customWidth="1"/>
    <col min="5115" max="5115" width="7.28515625" style="21" customWidth="1"/>
    <col min="5116" max="5116" width="5.5703125" style="21" customWidth="1"/>
    <col min="5117" max="5117" width="9" style="21" customWidth="1"/>
    <col min="5118" max="5119" width="9.85546875" style="21" customWidth="1"/>
    <col min="5120" max="5120" width="11.140625" style="21" customWidth="1"/>
    <col min="5121" max="5121" width="2.85546875" style="21" customWidth="1"/>
    <col min="5122" max="5122" width="3.5703125" style="21" customWidth="1"/>
    <col min="5123" max="5367" width="9.140625" style="21"/>
    <col min="5368" max="5368" width="8.7109375" style="21" customWidth="1"/>
    <col min="5369" max="5369" width="9.85546875" style="21" customWidth="1"/>
    <col min="5370" max="5370" width="14.42578125" style="21" customWidth="1"/>
    <col min="5371" max="5371" width="7.28515625" style="21" customWidth="1"/>
    <col min="5372" max="5372" width="5.5703125" style="21" customWidth="1"/>
    <col min="5373" max="5373" width="9" style="21" customWidth="1"/>
    <col min="5374" max="5375" width="9.85546875" style="21" customWidth="1"/>
    <col min="5376" max="5376" width="11.140625" style="21" customWidth="1"/>
    <col min="5377" max="5377" width="2.85546875" style="21" customWidth="1"/>
    <col min="5378" max="5378" width="3.5703125" style="21" customWidth="1"/>
    <col min="5379" max="5623" width="9.140625" style="21"/>
    <col min="5624" max="5624" width="8.7109375" style="21" customWidth="1"/>
    <col min="5625" max="5625" width="9.85546875" style="21" customWidth="1"/>
    <col min="5626" max="5626" width="14.42578125" style="21" customWidth="1"/>
    <col min="5627" max="5627" width="7.28515625" style="21" customWidth="1"/>
    <col min="5628" max="5628" width="5.5703125" style="21" customWidth="1"/>
    <col min="5629" max="5629" width="9" style="21" customWidth="1"/>
    <col min="5630" max="5631" width="9.85546875" style="21" customWidth="1"/>
    <col min="5632" max="5632" width="11.140625" style="21" customWidth="1"/>
    <col min="5633" max="5633" width="2.85546875" style="21" customWidth="1"/>
    <col min="5634" max="5634" width="3.5703125" style="21" customWidth="1"/>
    <col min="5635" max="5879" width="9.140625" style="21"/>
    <col min="5880" max="5880" width="8.7109375" style="21" customWidth="1"/>
    <col min="5881" max="5881" width="9.85546875" style="21" customWidth="1"/>
    <col min="5882" max="5882" width="14.42578125" style="21" customWidth="1"/>
    <col min="5883" max="5883" width="7.28515625" style="21" customWidth="1"/>
    <col min="5884" max="5884" width="5.5703125" style="21" customWidth="1"/>
    <col min="5885" max="5885" width="9" style="21" customWidth="1"/>
    <col min="5886" max="5887" width="9.85546875" style="21" customWidth="1"/>
    <col min="5888" max="5888" width="11.140625" style="21" customWidth="1"/>
    <col min="5889" max="5889" width="2.85546875" style="21" customWidth="1"/>
    <col min="5890" max="5890" width="3.5703125" style="21" customWidth="1"/>
    <col min="5891" max="6135" width="9.140625" style="21"/>
    <col min="6136" max="6136" width="8.7109375" style="21" customWidth="1"/>
    <col min="6137" max="6137" width="9.85546875" style="21" customWidth="1"/>
    <col min="6138" max="6138" width="14.42578125" style="21" customWidth="1"/>
    <col min="6139" max="6139" width="7.28515625" style="21" customWidth="1"/>
    <col min="6140" max="6140" width="5.5703125" style="21" customWidth="1"/>
    <col min="6141" max="6141" width="9" style="21" customWidth="1"/>
    <col min="6142" max="6143" width="9.85546875" style="21" customWidth="1"/>
    <col min="6144" max="6144" width="11.140625" style="21" customWidth="1"/>
    <col min="6145" max="6145" width="2.85546875" style="21" customWidth="1"/>
    <col min="6146" max="6146" width="3.5703125" style="21" customWidth="1"/>
    <col min="6147" max="6391" width="9.140625" style="21"/>
    <col min="6392" max="6392" width="8.7109375" style="21" customWidth="1"/>
    <col min="6393" max="6393" width="9.85546875" style="21" customWidth="1"/>
    <col min="6394" max="6394" width="14.42578125" style="21" customWidth="1"/>
    <col min="6395" max="6395" width="7.28515625" style="21" customWidth="1"/>
    <col min="6396" max="6396" width="5.5703125" style="21" customWidth="1"/>
    <col min="6397" max="6397" width="9" style="21" customWidth="1"/>
    <col min="6398" max="6399" width="9.85546875" style="21" customWidth="1"/>
    <col min="6400" max="6400" width="11.140625" style="21" customWidth="1"/>
    <col min="6401" max="6401" width="2.85546875" style="21" customWidth="1"/>
    <col min="6402" max="6402" width="3.5703125" style="21" customWidth="1"/>
    <col min="6403" max="6647" width="9.140625" style="21"/>
    <col min="6648" max="6648" width="8.7109375" style="21" customWidth="1"/>
    <col min="6649" max="6649" width="9.85546875" style="21" customWidth="1"/>
    <col min="6650" max="6650" width="14.42578125" style="21" customWidth="1"/>
    <col min="6651" max="6651" width="7.28515625" style="21" customWidth="1"/>
    <col min="6652" max="6652" width="5.5703125" style="21" customWidth="1"/>
    <col min="6653" max="6653" width="9" style="21" customWidth="1"/>
    <col min="6654" max="6655" width="9.85546875" style="21" customWidth="1"/>
    <col min="6656" max="6656" width="11.140625" style="21" customWidth="1"/>
    <col min="6657" max="6657" width="2.85546875" style="21" customWidth="1"/>
    <col min="6658" max="6658" width="3.5703125" style="21" customWidth="1"/>
    <col min="6659" max="6903" width="9.140625" style="21"/>
    <col min="6904" max="6904" width="8.7109375" style="21" customWidth="1"/>
    <col min="6905" max="6905" width="9.85546875" style="21" customWidth="1"/>
    <col min="6906" max="6906" width="14.42578125" style="21" customWidth="1"/>
    <col min="6907" max="6907" width="7.28515625" style="21" customWidth="1"/>
    <col min="6908" max="6908" width="5.5703125" style="21" customWidth="1"/>
    <col min="6909" max="6909" width="9" style="21" customWidth="1"/>
    <col min="6910" max="6911" width="9.85546875" style="21" customWidth="1"/>
    <col min="6912" max="6912" width="11.140625" style="21" customWidth="1"/>
    <col min="6913" max="6913" width="2.85546875" style="21" customWidth="1"/>
    <col min="6914" max="6914" width="3.5703125" style="21" customWidth="1"/>
    <col min="6915" max="7159" width="9.140625" style="21"/>
    <col min="7160" max="7160" width="8.7109375" style="21" customWidth="1"/>
    <col min="7161" max="7161" width="9.85546875" style="21" customWidth="1"/>
    <col min="7162" max="7162" width="14.42578125" style="21" customWidth="1"/>
    <col min="7163" max="7163" width="7.28515625" style="21" customWidth="1"/>
    <col min="7164" max="7164" width="5.5703125" style="21" customWidth="1"/>
    <col min="7165" max="7165" width="9" style="21" customWidth="1"/>
    <col min="7166" max="7167" width="9.85546875" style="21" customWidth="1"/>
    <col min="7168" max="7168" width="11.140625" style="21" customWidth="1"/>
    <col min="7169" max="7169" width="2.85546875" style="21" customWidth="1"/>
    <col min="7170" max="7170" width="3.5703125" style="21" customWidth="1"/>
    <col min="7171" max="7415" width="9.140625" style="21"/>
    <col min="7416" max="7416" width="8.7109375" style="21" customWidth="1"/>
    <col min="7417" max="7417" width="9.85546875" style="21" customWidth="1"/>
    <col min="7418" max="7418" width="14.42578125" style="21" customWidth="1"/>
    <col min="7419" max="7419" width="7.28515625" style="21" customWidth="1"/>
    <col min="7420" max="7420" width="5.5703125" style="21" customWidth="1"/>
    <col min="7421" max="7421" width="9" style="21" customWidth="1"/>
    <col min="7422" max="7423" width="9.85546875" style="21" customWidth="1"/>
    <col min="7424" max="7424" width="11.140625" style="21" customWidth="1"/>
    <col min="7425" max="7425" width="2.85546875" style="21" customWidth="1"/>
    <col min="7426" max="7426" width="3.5703125" style="21" customWidth="1"/>
    <col min="7427" max="7671" width="9.140625" style="21"/>
    <col min="7672" max="7672" width="8.7109375" style="21" customWidth="1"/>
    <col min="7673" max="7673" width="9.85546875" style="21" customWidth="1"/>
    <col min="7674" max="7674" width="14.42578125" style="21" customWidth="1"/>
    <col min="7675" max="7675" width="7.28515625" style="21" customWidth="1"/>
    <col min="7676" max="7676" width="5.5703125" style="21" customWidth="1"/>
    <col min="7677" max="7677" width="9" style="21" customWidth="1"/>
    <col min="7678" max="7679" width="9.85546875" style="21" customWidth="1"/>
    <col min="7680" max="7680" width="11.140625" style="21" customWidth="1"/>
    <col min="7681" max="7681" width="2.85546875" style="21" customWidth="1"/>
    <col min="7682" max="7682" width="3.5703125" style="21" customWidth="1"/>
    <col min="7683" max="7927" width="9.140625" style="21"/>
    <col min="7928" max="7928" width="8.7109375" style="21" customWidth="1"/>
    <col min="7929" max="7929" width="9.85546875" style="21" customWidth="1"/>
    <col min="7930" max="7930" width="14.42578125" style="21" customWidth="1"/>
    <col min="7931" max="7931" width="7.28515625" style="21" customWidth="1"/>
    <col min="7932" max="7932" width="5.5703125" style="21" customWidth="1"/>
    <col min="7933" max="7933" width="9" style="21" customWidth="1"/>
    <col min="7934" max="7935" width="9.85546875" style="21" customWidth="1"/>
    <col min="7936" max="7936" width="11.140625" style="21" customWidth="1"/>
    <col min="7937" max="7937" width="2.85546875" style="21" customWidth="1"/>
    <col min="7938" max="7938" width="3.5703125" style="21" customWidth="1"/>
    <col min="7939" max="8183" width="9.140625" style="21"/>
    <col min="8184" max="8184" width="8.7109375" style="21" customWidth="1"/>
    <col min="8185" max="8185" width="9.85546875" style="21" customWidth="1"/>
    <col min="8186" max="8186" width="14.42578125" style="21" customWidth="1"/>
    <col min="8187" max="8187" width="7.28515625" style="21" customWidth="1"/>
    <col min="8188" max="8188" width="5.5703125" style="21" customWidth="1"/>
    <col min="8189" max="8189" width="9" style="21" customWidth="1"/>
    <col min="8190" max="8191" width="9.85546875" style="21" customWidth="1"/>
    <col min="8192" max="8192" width="11.140625" style="21" customWidth="1"/>
    <col min="8193" max="8193" width="2.85546875" style="21" customWidth="1"/>
    <col min="8194" max="8194" width="3.5703125" style="21" customWidth="1"/>
    <col min="8195" max="8439" width="9.140625" style="21"/>
    <col min="8440" max="8440" width="8.7109375" style="21" customWidth="1"/>
    <col min="8441" max="8441" width="9.85546875" style="21" customWidth="1"/>
    <col min="8442" max="8442" width="14.42578125" style="21" customWidth="1"/>
    <col min="8443" max="8443" width="7.28515625" style="21" customWidth="1"/>
    <col min="8444" max="8444" width="5.5703125" style="21" customWidth="1"/>
    <col min="8445" max="8445" width="9" style="21" customWidth="1"/>
    <col min="8446" max="8447" width="9.85546875" style="21" customWidth="1"/>
    <col min="8448" max="8448" width="11.140625" style="21" customWidth="1"/>
    <col min="8449" max="8449" width="2.85546875" style="21" customWidth="1"/>
    <col min="8450" max="8450" width="3.5703125" style="21" customWidth="1"/>
    <col min="8451" max="8695" width="9.140625" style="21"/>
    <col min="8696" max="8696" width="8.7109375" style="21" customWidth="1"/>
    <col min="8697" max="8697" width="9.85546875" style="21" customWidth="1"/>
    <col min="8698" max="8698" width="14.42578125" style="21" customWidth="1"/>
    <col min="8699" max="8699" width="7.28515625" style="21" customWidth="1"/>
    <col min="8700" max="8700" width="5.5703125" style="21" customWidth="1"/>
    <col min="8701" max="8701" width="9" style="21" customWidth="1"/>
    <col min="8702" max="8703" width="9.85546875" style="21" customWidth="1"/>
    <col min="8704" max="8704" width="11.140625" style="21" customWidth="1"/>
    <col min="8705" max="8705" width="2.85546875" style="21" customWidth="1"/>
    <col min="8706" max="8706" width="3.5703125" style="21" customWidth="1"/>
    <col min="8707" max="8951" width="9.140625" style="21"/>
    <col min="8952" max="8952" width="8.7109375" style="21" customWidth="1"/>
    <col min="8953" max="8953" width="9.85546875" style="21" customWidth="1"/>
    <col min="8954" max="8954" width="14.42578125" style="21" customWidth="1"/>
    <col min="8955" max="8955" width="7.28515625" style="21" customWidth="1"/>
    <col min="8956" max="8956" width="5.5703125" style="21" customWidth="1"/>
    <col min="8957" max="8957" width="9" style="21" customWidth="1"/>
    <col min="8958" max="8959" width="9.85546875" style="21" customWidth="1"/>
    <col min="8960" max="8960" width="11.140625" style="21" customWidth="1"/>
    <col min="8961" max="8961" width="2.85546875" style="21" customWidth="1"/>
    <col min="8962" max="8962" width="3.5703125" style="21" customWidth="1"/>
    <col min="8963" max="9207" width="9.140625" style="21"/>
    <col min="9208" max="9208" width="8.7109375" style="21" customWidth="1"/>
    <col min="9209" max="9209" width="9.85546875" style="21" customWidth="1"/>
    <col min="9210" max="9210" width="14.42578125" style="21" customWidth="1"/>
    <col min="9211" max="9211" width="7.28515625" style="21" customWidth="1"/>
    <col min="9212" max="9212" width="5.5703125" style="21" customWidth="1"/>
    <col min="9213" max="9213" width="9" style="21" customWidth="1"/>
    <col min="9214" max="9215" width="9.85546875" style="21" customWidth="1"/>
    <col min="9216" max="9216" width="11.140625" style="21" customWidth="1"/>
    <col min="9217" max="9217" width="2.85546875" style="21" customWidth="1"/>
    <col min="9218" max="9218" width="3.5703125" style="21" customWidth="1"/>
    <col min="9219" max="9463" width="9.140625" style="21"/>
    <col min="9464" max="9464" width="8.7109375" style="21" customWidth="1"/>
    <col min="9465" max="9465" width="9.85546875" style="21" customWidth="1"/>
    <col min="9466" max="9466" width="14.42578125" style="21" customWidth="1"/>
    <col min="9467" max="9467" width="7.28515625" style="21" customWidth="1"/>
    <col min="9468" max="9468" width="5.5703125" style="21" customWidth="1"/>
    <col min="9469" max="9469" width="9" style="21" customWidth="1"/>
    <col min="9470" max="9471" width="9.85546875" style="21" customWidth="1"/>
    <col min="9472" max="9472" width="11.140625" style="21" customWidth="1"/>
    <col min="9473" max="9473" width="2.85546875" style="21" customWidth="1"/>
    <col min="9474" max="9474" width="3.5703125" style="21" customWidth="1"/>
    <col min="9475" max="9719" width="9.140625" style="21"/>
    <col min="9720" max="9720" width="8.7109375" style="21" customWidth="1"/>
    <col min="9721" max="9721" width="9.85546875" style="21" customWidth="1"/>
    <col min="9722" max="9722" width="14.42578125" style="21" customWidth="1"/>
    <col min="9723" max="9723" width="7.28515625" style="21" customWidth="1"/>
    <col min="9724" max="9724" width="5.5703125" style="21" customWidth="1"/>
    <col min="9725" max="9725" width="9" style="21" customWidth="1"/>
    <col min="9726" max="9727" width="9.85546875" style="21" customWidth="1"/>
    <col min="9728" max="9728" width="11.140625" style="21" customWidth="1"/>
    <col min="9729" max="9729" width="2.85546875" style="21" customWidth="1"/>
    <col min="9730" max="9730" width="3.5703125" style="21" customWidth="1"/>
    <col min="9731" max="9975" width="9.140625" style="21"/>
    <col min="9976" max="9976" width="8.7109375" style="21" customWidth="1"/>
    <col min="9977" max="9977" width="9.85546875" style="21" customWidth="1"/>
    <col min="9978" max="9978" width="14.42578125" style="21" customWidth="1"/>
    <col min="9979" max="9979" width="7.28515625" style="21" customWidth="1"/>
    <col min="9980" max="9980" width="5.5703125" style="21" customWidth="1"/>
    <col min="9981" max="9981" width="9" style="21" customWidth="1"/>
    <col min="9982" max="9983" width="9.85546875" style="21" customWidth="1"/>
    <col min="9984" max="9984" width="11.140625" style="21" customWidth="1"/>
    <col min="9985" max="9985" width="2.85546875" style="21" customWidth="1"/>
    <col min="9986" max="9986" width="3.5703125" style="21" customWidth="1"/>
    <col min="9987" max="10231" width="9.140625" style="21"/>
    <col min="10232" max="10232" width="8.7109375" style="21" customWidth="1"/>
    <col min="10233" max="10233" width="9.85546875" style="21" customWidth="1"/>
    <col min="10234" max="10234" width="14.42578125" style="21" customWidth="1"/>
    <col min="10235" max="10235" width="7.28515625" style="21" customWidth="1"/>
    <col min="10236" max="10236" width="5.5703125" style="21" customWidth="1"/>
    <col min="10237" max="10237" width="9" style="21" customWidth="1"/>
    <col min="10238" max="10239" width="9.85546875" style="21" customWidth="1"/>
    <col min="10240" max="10240" width="11.140625" style="21" customWidth="1"/>
    <col min="10241" max="10241" width="2.85546875" style="21" customWidth="1"/>
    <col min="10242" max="10242" width="3.5703125" style="21" customWidth="1"/>
    <col min="10243" max="10487" width="9.140625" style="21"/>
    <col min="10488" max="10488" width="8.7109375" style="21" customWidth="1"/>
    <col min="10489" max="10489" width="9.85546875" style="21" customWidth="1"/>
    <col min="10490" max="10490" width="14.42578125" style="21" customWidth="1"/>
    <col min="10491" max="10491" width="7.28515625" style="21" customWidth="1"/>
    <col min="10492" max="10492" width="5.5703125" style="21" customWidth="1"/>
    <col min="10493" max="10493" width="9" style="21" customWidth="1"/>
    <col min="10494" max="10495" width="9.85546875" style="21" customWidth="1"/>
    <col min="10496" max="10496" width="11.140625" style="21" customWidth="1"/>
    <col min="10497" max="10497" width="2.85546875" style="21" customWidth="1"/>
    <col min="10498" max="10498" width="3.5703125" style="21" customWidth="1"/>
    <col min="10499" max="10743" width="9.140625" style="21"/>
    <col min="10744" max="10744" width="8.7109375" style="21" customWidth="1"/>
    <col min="10745" max="10745" width="9.85546875" style="21" customWidth="1"/>
    <col min="10746" max="10746" width="14.42578125" style="21" customWidth="1"/>
    <col min="10747" max="10747" width="7.28515625" style="21" customWidth="1"/>
    <col min="10748" max="10748" width="5.5703125" style="21" customWidth="1"/>
    <col min="10749" max="10749" width="9" style="21" customWidth="1"/>
    <col min="10750" max="10751" width="9.85546875" style="21" customWidth="1"/>
    <col min="10752" max="10752" width="11.140625" style="21" customWidth="1"/>
    <col min="10753" max="10753" width="2.85546875" style="21" customWidth="1"/>
    <col min="10754" max="10754" width="3.5703125" style="21" customWidth="1"/>
    <col min="10755" max="10999" width="9.140625" style="21"/>
    <col min="11000" max="11000" width="8.7109375" style="21" customWidth="1"/>
    <col min="11001" max="11001" width="9.85546875" style="21" customWidth="1"/>
    <col min="11002" max="11002" width="14.42578125" style="21" customWidth="1"/>
    <col min="11003" max="11003" width="7.28515625" style="21" customWidth="1"/>
    <col min="11004" max="11004" width="5.5703125" style="21" customWidth="1"/>
    <col min="11005" max="11005" width="9" style="21" customWidth="1"/>
    <col min="11006" max="11007" width="9.85546875" style="21" customWidth="1"/>
    <col min="11008" max="11008" width="11.140625" style="21" customWidth="1"/>
    <col min="11009" max="11009" width="2.85546875" style="21" customWidth="1"/>
    <col min="11010" max="11010" width="3.5703125" style="21" customWidth="1"/>
    <col min="11011" max="11255" width="9.140625" style="21"/>
    <col min="11256" max="11256" width="8.7109375" style="21" customWidth="1"/>
    <col min="11257" max="11257" width="9.85546875" style="21" customWidth="1"/>
    <col min="11258" max="11258" width="14.42578125" style="21" customWidth="1"/>
    <col min="11259" max="11259" width="7.28515625" style="21" customWidth="1"/>
    <col min="11260" max="11260" width="5.5703125" style="21" customWidth="1"/>
    <col min="11261" max="11261" width="9" style="21" customWidth="1"/>
    <col min="11262" max="11263" width="9.85546875" style="21" customWidth="1"/>
    <col min="11264" max="11264" width="11.140625" style="21" customWidth="1"/>
    <col min="11265" max="11265" width="2.85546875" style="21" customWidth="1"/>
    <col min="11266" max="11266" width="3.5703125" style="21" customWidth="1"/>
    <col min="11267" max="11511" width="9.140625" style="21"/>
    <col min="11512" max="11512" width="8.7109375" style="21" customWidth="1"/>
    <col min="11513" max="11513" width="9.85546875" style="21" customWidth="1"/>
    <col min="11514" max="11514" width="14.42578125" style="21" customWidth="1"/>
    <col min="11515" max="11515" width="7.28515625" style="21" customWidth="1"/>
    <col min="11516" max="11516" width="5.5703125" style="21" customWidth="1"/>
    <col min="11517" max="11517" width="9" style="21" customWidth="1"/>
    <col min="11518" max="11519" width="9.85546875" style="21" customWidth="1"/>
    <col min="11520" max="11520" width="11.140625" style="21" customWidth="1"/>
    <col min="11521" max="11521" width="2.85546875" style="21" customWidth="1"/>
    <col min="11522" max="11522" width="3.5703125" style="21" customWidth="1"/>
    <col min="11523" max="11767" width="9.140625" style="21"/>
    <col min="11768" max="11768" width="8.7109375" style="21" customWidth="1"/>
    <col min="11769" max="11769" width="9.85546875" style="21" customWidth="1"/>
    <col min="11770" max="11770" width="14.42578125" style="21" customWidth="1"/>
    <col min="11771" max="11771" width="7.28515625" style="21" customWidth="1"/>
    <col min="11772" max="11772" width="5.5703125" style="21" customWidth="1"/>
    <col min="11773" max="11773" width="9" style="21" customWidth="1"/>
    <col min="11774" max="11775" width="9.85546875" style="21" customWidth="1"/>
    <col min="11776" max="11776" width="11.140625" style="21" customWidth="1"/>
    <col min="11777" max="11777" width="2.85546875" style="21" customWidth="1"/>
    <col min="11778" max="11778" width="3.5703125" style="21" customWidth="1"/>
    <col min="11779" max="12023" width="9.140625" style="21"/>
    <col min="12024" max="12024" width="8.7109375" style="21" customWidth="1"/>
    <col min="12025" max="12025" width="9.85546875" style="21" customWidth="1"/>
    <col min="12026" max="12026" width="14.42578125" style="21" customWidth="1"/>
    <col min="12027" max="12027" width="7.28515625" style="21" customWidth="1"/>
    <col min="12028" max="12028" width="5.5703125" style="21" customWidth="1"/>
    <col min="12029" max="12029" width="9" style="21" customWidth="1"/>
    <col min="12030" max="12031" width="9.85546875" style="21" customWidth="1"/>
    <col min="12032" max="12032" width="11.140625" style="21" customWidth="1"/>
    <col min="12033" max="12033" width="2.85546875" style="21" customWidth="1"/>
    <col min="12034" max="12034" width="3.5703125" style="21" customWidth="1"/>
    <col min="12035" max="12279" width="9.140625" style="21"/>
    <col min="12280" max="12280" width="8.7109375" style="21" customWidth="1"/>
    <col min="12281" max="12281" width="9.85546875" style="21" customWidth="1"/>
    <col min="12282" max="12282" width="14.42578125" style="21" customWidth="1"/>
    <col min="12283" max="12283" width="7.28515625" style="21" customWidth="1"/>
    <col min="12284" max="12284" width="5.5703125" style="21" customWidth="1"/>
    <col min="12285" max="12285" width="9" style="21" customWidth="1"/>
    <col min="12286" max="12287" width="9.85546875" style="21" customWidth="1"/>
    <col min="12288" max="12288" width="11.140625" style="21" customWidth="1"/>
    <col min="12289" max="12289" width="2.85546875" style="21" customWidth="1"/>
    <col min="12290" max="12290" width="3.5703125" style="21" customWidth="1"/>
    <col min="12291" max="12535" width="9.140625" style="21"/>
    <col min="12536" max="12536" width="8.7109375" style="21" customWidth="1"/>
    <col min="12537" max="12537" width="9.85546875" style="21" customWidth="1"/>
    <col min="12538" max="12538" width="14.42578125" style="21" customWidth="1"/>
    <col min="12539" max="12539" width="7.28515625" style="21" customWidth="1"/>
    <col min="12540" max="12540" width="5.5703125" style="21" customWidth="1"/>
    <col min="12541" max="12541" width="9" style="21" customWidth="1"/>
    <col min="12542" max="12543" width="9.85546875" style="21" customWidth="1"/>
    <col min="12544" max="12544" width="11.140625" style="21" customWidth="1"/>
    <col min="12545" max="12545" width="2.85546875" style="21" customWidth="1"/>
    <col min="12546" max="12546" width="3.5703125" style="21" customWidth="1"/>
    <col min="12547" max="12791" width="9.140625" style="21"/>
    <col min="12792" max="12792" width="8.7109375" style="21" customWidth="1"/>
    <col min="12793" max="12793" width="9.85546875" style="21" customWidth="1"/>
    <col min="12794" max="12794" width="14.42578125" style="21" customWidth="1"/>
    <col min="12795" max="12795" width="7.28515625" style="21" customWidth="1"/>
    <col min="12796" max="12796" width="5.5703125" style="21" customWidth="1"/>
    <col min="12797" max="12797" width="9" style="21" customWidth="1"/>
    <col min="12798" max="12799" width="9.85546875" style="21" customWidth="1"/>
    <col min="12800" max="12800" width="11.140625" style="21" customWidth="1"/>
    <col min="12801" max="12801" width="2.85546875" style="21" customWidth="1"/>
    <col min="12802" max="12802" width="3.5703125" style="21" customWidth="1"/>
    <col min="12803" max="13047" width="9.140625" style="21"/>
    <col min="13048" max="13048" width="8.7109375" style="21" customWidth="1"/>
    <col min="13049" max="13049" width="9.85546875" style="21" customWidth="1"/>
    <col min="13050" max="13050" width="14.42578125" style="21" customWidth="1"/>
    <col min="13051" max="13051" width="7.28515625" style="21" customWidth="1"/>
    <col min="13052" max="13052" width="5.5703125" style="21" customWidth="1"/>
    <col min="13053" max="13053" width="9" style="21" customWidth="1"/>
    <col min="13054" max="13055" width="9.85546875" style="21" customWidth="1"/>
    <col min="13056" max="13056" width="11.140625" style="21" customWidth="1"/>
    <col min="13057" max="13057" width="2.85546875" style="21" customWidth="1"/>
    <col min="13058" max="13058" width="3.5703125" style="21" customWidth="1"/>
    <col min="13059" max="13303" width="9.140625" style="21"/>
    <col min="13304" max="13304" width="8.7109375" style="21" customWidth="1"/>
    <col min="13305" max="13305" width="9.85546875" style="21" customWidth="1"/>
    <col min="13306" max="13306" width="14.42578125" style="21" customWidth="1"/>
    <col min="13307" max="13307" width="7.28515625" style="21" customWidth="1"/>
    <col min="13308" max="13308" width="5.5703125" style="21" customWidth="1"/>
    <col min="13309" max="13309" width="9" style="21" customWidth="1"/>
    <col min="13310" max="13311" width="9.85546875" style="21" customWidth="1"/>
    <col min="13312" max="13312" width="11.140625" style="21" customWidth="1"/>
    <col min="13313" max="13313" width="2.85546875" style="21" customWidth="1"/>
    <col min="13314" max="13314" width="3.5703125" style="21" customWidth="1"/>
    <col min="13315" max="13559" width="9.140625" style="21"/>
    <col min="13560" max="13560" width="8.7109375" style="21" customWidth="1"/>
    <col min="13561" max="13561" width="9.85546875" style="21" customWidth="1"/>
    <col min="13562" max="13562" width="14.42578125" style="21" customWidth="1"/>
    <col min="13563" max="13563" width="7.28515625" style="21" customWidth="1"/>
    <col min="13564" max="13564" width="5.5703125" style="21" customWidth="1"/>
    <col min="13565" max="13565" width="9" style="21" customWidth="1"/>
    <col min="13566" max="13567" width="9.85546875" style="21" customWidth="1"/>
    <col min="13568" max="13568" width="11.140625" style="21" customWidth="1"/>
    <col min="13569" max="13569" width="2.85546875" style="21" customWidth="1"/>
    <col min="13570" max="13570" width="3.5703125" style="21" customWidth="1"/>
    <col min="13571" max="13815" width="9.140625" style="21"/>
    <col min="13816" max="13816" width="8.7109375" style="21" customWidth="1"/>
    <col min="13817" max="13817" width="9.85546875" style="21" customWidth="1"/>
    <col min="13818" max="13818" width="14.42578125" style="21" customWidth="1"/>
    <col min="13819" max="13819" width="7.28515625" style="21" customWidth="1"/>
    <col min="13820" max="13820" width="5.5703125" style="21" customWidth="1"/>
    <col min="13821" max="13821" width="9" style="21" customWidth="1"/>
    <col min="13822" max="13823" width="9.85546875" style="21" customWidth="1"/>
    <col min="13824" max="13824" width="11.140625" style="21" customWidth="1"/>
    <col min="13825" max="13825" width="2.85546875" style="21" customWidth="1"/>
    <col min="13826" max="13826" width="3.5703125" style="21" customWidth="1"/>
    <col min="13827" max="14071" width="9.140625" style="21"/>
    <col min="14072" max="14072" width="8.7109375" style="21" customWidth="1"/>
    <col min="14073" max="14073" width="9.85546875" style="21" customWidth="1"/>
    <col min="14074" max="14074" width="14.42578125" style="21" customWidth="1"/>
    <col min="14075" max="14075" width="7.28515625" style="21" customWidth="1"/>
    <col min="14076" max="14076" width="5.5703125" style="21" customWidth="1"/>
    <col min="14077" max="14077" width="9" style="21" customWidth="1"/>
    <col min="14078" max="14079" width="9.85546875" style="21" customWidth="1"/>
    <col min="14080" max="14080" width="11.140625" style="21" customWidth="1"/>
    <col min="14081" max="14081" width="2.85546875" style="21" customWidth="1"/>
    <col min="14082" max="14082" width="3.5703125" style="21" customWidth="1"/>
    <col min="14083" max="14327" width="9.140625" style="21"/>
    <col min="14328" max="14328" width="8.7109375" style="21" customWidth="1"/>
    <col min="14329" max="14329" width="9.85546875" style="21" customWidth="1"/>
    <col min="14330" max="14330" width="14.42578125" style="21" customWidth="1"/>
    <col min="14331" max="14331" width="7.28515625" style="21" customWidth="1"/>
    <col min="14332" max="14332" width="5.5703125" style="21" customWidth="1"/>
    <col min="14333" max="14333" width="9" style="21" customWidth="1"/>
    <col min="14334" max="14335" width="9.85546875" style="21" customWidth="1"/>
    <col min="14336" max="14336" width="11.140625" style="21" customWidth="1"/>
    <col min="14337" max="14337" width="2.85546875" style="21" customWidth="1"/>
    <col min="14338" max="14338" width="3.5703125" style="21" customWidth="1"/>
    <col min="14339" max="14583" width="9.140625" style="21"/>
    <col min="14584" max="14584" width="8.7109375" style="21" customWidth="1"/>
    <col min="14585" max="14585" width="9.85546875" style="21" customWidth="1"/>
    <col min="14586" max="14586" width="14.42578125" style="21" customWidth="1"/>
    <col min="14587" max="14587" width="7.28515625" style="21" customWidth="1"/>
    <col min="14588" max="14588" width="5.5703125" style="21" customWidth="1"/>
    <col min="14589" max="14589" width="9" style="21" customWidth="1"/>
    <col min="14590" max="14591" width="9.85546875" style="21" customWidth="1"/>
    <col min="14592" max="14592" width="11.140625" style="21" customWidth="1"/>
    <col min="14593" max="14593" width="2.85546875" style="21" customWidth="1"/>
    <col min="14594" max="14594" width="3.5703125" style="21" customWidth="1"/>
    <col min="14595" max="14839" width="9.140625" style="21"/>
    <col min="14840" max="14840" width="8.7109375" style="21" customWidth="1"/>
    <col min="14841" max="14841" width="9.85546875" style="21" customWidth="1"/>
    <col min="14842" max="14842" width="14.42578125" style="21" customWidth="1"/>
    <col min="14843" max="14843" width="7.28515625" style="21" customWidth="1"/>
    <col min="14844" max="14844" width="5.5703125" style="21" customWidth="1"/>
    <col min="14845" max="14845" width="9" style="21" customWidth="1"/>
    <col min="14846" max="14847" width="9.85546875" style="21" customWidth="1"/>
    <col min="14848" max="14848" width="11.140625" style="21" customWidth="1"/>
    <col min="14849" max="14849" width="2.85546875" style="21" customWidth="1"/>
    <col min="14850" max="14850" width="3.5703125" style="21" customWidth="1"/>
    <col min="14851" max="15095" width="9.140625" style="21"/>
    <col min="15096" max="15096" width="8.7109375" style="21" customWidth="1"/>
    <col min="15097" max="15097" width="9.85546875" style="21" customWidth="1"/>
    <col min="15098" max="15098" width="14.42578125" style="21" customWidth="1"/>
    <col min="15099" max="15099" width="7.28515625" style="21" customWidth="1"/>
    <col min="15100" max="15100" width="5.5703125" style="21" customWidth="1"/>
    <col min="15101" max="15101" width="9" style="21" customWidth="1"/>
    <col min="15102" max="15103" width="9.85546875" style="21" customWidth="1"/>
    <col min="15104" max="15104" width="11.140625" style="21" customWidth="1"/>
    <col min="15105" max="15105" width="2.85546875" style="21" customWidth="1"/>
    <col min="15106" max="15106" width="3.5703125" style="21" customWidth="1"/>
    <col min="15107" max="15351" width="9.140625" style="21"/>
    <col min="15352" max="15352" width="8.7109375" style="21" customWidth="1"/>
    <col min="15353" max="15353" width="9.85546875" style="21" customWidth="1"/>
    <col min="15354" max="15354" width="14.42578125" style="21" customWidth="1"/>
    <col min="15355" max="15355" width="7.28515625" style="21" customWidth="1"/>
    <col min="15356" max="15356" width="5.5703125" style="21" customWidth="1"/>
    <col min="15357" max="15357" width="9" style="21" customWidth="1"/>
    <col min="15358" max="15359" width="9.85546875" style="21" customWidth="1"/>
    <col min="15360" max="15360" width="11.140625" style="21" customWidth="1"/>
    <col min="15361" max="15361" width="2.85546875" style="21" customWidth="1"/>
    <col min="15362" max="15362" width="3.5703125" style="21" customWidth="1"/>
    <col min="15363" max="15607" width="9.140625" style="21"/>
    <col min="15608" max="15608" width="8.7109375" style="21" customWidth="1"/>
    <col min="15609" max="15609" width="9.85546875" style="21" customWidth="1"/>
    <col min="15610" max="15610" width="14.42578125" style="21" customWidth="1"/>
    <col min="15611" max="15611" width="7.28515625" style="21" customWidth="1"/>
    <col min="15612" max="15612" width="5.5703125" style="21" customWidth="1"/>
    <col min="15613" max="15613" width="9" style="21" customWidth="1"/>
    <col min="15614" max="15615" width="9.85546875" style="21" customWidth="1"/>
    <col min="15616" max="15616" width="11.140625" style="21" customWidth="1"/>
    <col min="15617" max="15617" width="2.85546875" style="21" customWidth="1"/>
    <col min="15618" max="15618" width="3.5703125" style="21" customWidth="1"/>
    <col min="15619" max="15863" width="9.140625" style="21"/>
    <col min="15864" max="15864" width="8.7109375" style="21" customWidth="1"/>
    <col min="15865" max="15865" width="9.85546875" style="21" customWidth="1"/>
    <col min="15866" max="15866" width="14.42578125" style="21" customWidth="1"/>
    <col min="15867" max="15867" width="7.28515625" style="21" customWidth="1"/>
    <col min="15868" max="15868" width="5.5703125" style="21" customWidth="1"/>
    <col min="15869" max="15869" width="9" style="21" customWidth="1"/>
    <col min="15870" max="15871" width="9.85546875" style="21" customWidth="1"/>
    <col min="15872" max="15872" width="11.140625" style="21" customWidth="1"/>
    <col min="15873" max="15873" width="2.85546875" style="21" customWidth="1"/>
    <col min="15874" max="15874" width="3.5703125" style="21" customWidth="1"/>
    <col min="15875" max="16119" width="9.140625" style="21"/>
    <col min="16120" max="16120" width="8.7109375" style="21" customWidth="1"/>
    <col min="16121" max="16121" width="9.85546875" style="21" customWidth="1"/>
    <col min="16122" max="16122" width="14.42578125" style="21" customWidth="1"/>
    <col min="16123" max="16123" width="7.28515625" style="21" customWidth="1"/>
    <col min="16124" max="16124" width="5.5703125" style="21" customWidth="1"/>
    <col min="16125" max="16125" width="9" style="21" customWidth="1"/>
    <col min="16126" max="16127" width="9.85546875" style="21" customWidth="1"/>
    <col min="16128" max="16128" width="11.140625" style="21" customWidth="1"/>
    <col min="16129" max="16129" width="2.85546875" style="21" customWidth="1"/>
    <col min="16130" max="16130" width="3.5703125" style="21" customWidth="1"/>
    <col min="16131" max="16384" width="9.140625" style="21"/>
  </cols>
  <sheetData>
    <row r="1" spans="1:26" ht="46.5" customHeight="1" x14ac:dyDescent="0.25">
      <c r="A1" s="215" t="s">
        <v>379</v>
      </c>
      <c r="B1" s="215"/>
      <c r="C1" s="215"/>
      <c r="D1" s="215"/>
      <c r="E1" s="215"/>
      <c r="F1" s="215"/>
      <c r="G1" s="215"/>
      <c r="H1" s="215"/>
    </row>
    <row r="2" spans="1:26" ht="16.5" customHeight="1" x14ac:dyDescent="0.25">
      <c r="A2" s="216" t="s">
        <v>0</v>
      </c>
      <c r="B2" s="216"/>
      <c r="C2" s="216"/>
      <c r="D2" s="216"/>
      <c r="E2" s="216"/>
      <c r="F2" s="216"/>
      <c r="G2" s="216"/>
      <c r="H2" s="216"/>
    </row>
    <row r="3" spans="1:26" x14ac:dyDescent="0.25">
      <c r="A3" s="112" t="s">
        <v>1</v>
      </c>
      <c r="B3" s="112"/>
      <c r="C3" s="112"/>
      <c r="D3" s="112"/>
      <c r="E3" s="112" t="str">
        <f ca="1">TEXT(TODAY(),"DD/MM/YYYY")</f>
        <v>16/09/2025</v>
      </c>
      <c r="F3" s="112"/>
      <c r="G3" s="112"/>
      <c r="H3" s="112"/>
      <c r="K3" s="56" t="s">
        <v>236</v>
      </c>
      <c r="L3" s="54" t="s">
        <v>234</v>
      </c>
      <c r="M3" s="54" t="s">
        <v>239</v>
      </c>
      <c r="N3" s="54" t="s">
        <v>237</v>
      </c>
      <c r="O3" s="54" t="s">
        <v>356</v>
      </c>
      <c r="P3" s="54" t="s">
        <v>382</v>
      </c>
    </row>
    <row r="4" spans="1:26" ht="15" customHeight="1" x14ac:dyDescent="0.25">
      <c r="A4" s="112" t="s">
        <v>233</v>
      </c>
      <c r="B4" s="112"/>
      <c r="C4" s="112"/>
      <c r="D4" s="112"/>
      <c r="E4" s="217" t="s">
        <v>234</v>
      </c>
      <c r="F4" s="217"/>
      <c r="G4" s="217"/>
      <c r="H4" s="217"/>
      <c r="K4" s="53" t="s">
        <v>235</v>
      </c>
      <c r="L4" s="54" t="s">
        <v>171</v>
      </c>
      <c r="M4" s="54" t="s">
        <v>244</v>
      </c>
      <c r="N4" s="54" t="s">
        <v>246</v>
      </c>
      <c r="O4" s="54" t="s">
        <v>341</v>
      </c>
      <c r="P4" s="54" t="s">
        <v>383</v>
      </c>
    </row>
    <row r="5" spans="1:26" ht="15" customHeight="1" x14ac:dyDescent="0.25">
      <c r="A5" s="112" t="s">
        <v>2</v>
      </c>
      <c r="B5" s="112"/>
      <c r="C5" s="112"/>
      <c r="D5" s="112"/>
      <c r="E5" s="217" t="s">
        <v>242</v>
      </c>
      <c r="F5" s="217"/>
      <c r="G5" s="217"/>
      <c r="H5" s="217"/>
      <c r="K5" s="53"/>
      <c r="L5" s="54" t="s">
        <v>241</v>
      </c>
      <c r="M5" s="54" t="s">
        <v>245</v>
      </c>
      <c r="N5" s="54" t="s">
        <v>247</v>
      </c>
      <c r="O5" s="54" t="s">
        <v>342</v>
      </c>
      <c r="P5" s="54"/>
    </row>
    <row r="6" spans="1:26" x14ac:dyDescent="0.25">
      <c r="A6" s="112" t="s">
        <v>3</v>
      </c>
      <c r="B6" s="112"/>
      <c r="C6" s="112"/>
      <c r="D6" s="112"/>
      <c r="E6" s="218">
        <v>45912</v>
      </c>
      <c r="F6" s="112"/>
      <c r="G6" s="112"/>
      <c r="H6" s="112"/>
      <c r="K6" s="53"/>
      <c r="L6" s="54" t="s">
        <v>242</v>
      </c>
      <c r="M6" s="54" t="s">
        <v>354</v>
      </c>
      <c r="N6" s="54"/>
      <c r="O6" s="54" t="s">
        <v>343</v>
      </c>
      <c r="P6" s="54"/>
    </row>
    <row r="7" spans="1:26" ht="16.5" customHeight="1" x14ac:dyDescent="0.25">
      <c r="A7" s="112" t="s">
        <v>4</v>
      </c>
      <c r="B7" s="112"/>
      <c r="C7" s="112"/>
      <c r="D7" s="112"/>
      <c r="E7" s="112" t="s">
        <v>388</v>
      </c>
      <c r="F7" s="112"/>
      <c r="G7" s="112"/>
      <c r="H7" s="112"/>
      <c r="K7" s="53"/>
      <c r="L7" s="54" t="s">
        <v>243</v>
      </c>
      <c r="M7" s="54"/>
      <c r="N7" s="54"/>
      <c r="O7" s="54" t="s">
        <v>343</v>
      </c>
      <c r="P7" s="54"/>
    </row>
    <row r="8" spans="1:26" ht="15" customHeight="1" x14ac:dyDescent="0.25">
      <c r="A8" s="112" t="s">
        <v>5</v>
      </c>
      <c r="B8" s="112"/>
      <c r="C8" s="112"/>
      <c r="D8" s="112"/>
      <c r="E8" s="112" t="str">
        <f>E7</f>
        <v>Shree Guru Nanak &amp; Co.</v>
      </c>
      <c r="F8" s="112"/>
      <c r="G8" s="112"/>
      <c r="H8" s="112"/>
      <c r="K8" s="53"/>
      <c r="L8" s="54"/>
      <c r="M8" s="54"/>
      <c r="N8" s="54"/>
      <c r="O8" s="54" t="s">
        <v>344</v>
      </c>
      <c r="P8" s="54"/>
    </row>
    <row r="9" spans="1:26" x14ac:dyDescent="0.25">
      <c r="A9" s="112" t="s">
        <v>6</v>
      </c>
      <c r="B9" s="112"/>
      <c r="C9" s="112"/>
      <c r="D9" s="112"/>
      <c r="E9" s="155" t="s">
        <v>389</v>
      </c>
      <c r="F9" s="155"/>
      <c r="G9" s="155"/>
      <c r="H9" s="155"/>
      <c r="K9" s="53"/>
      <c r="L9" s="54"/>
      <c r="M9" s="54"/>
      <c r="N9" s="54"/>
      <c r="O9" s="54" t="s">
        <v>345</v>
      </c>
      <c r="P9" s="54"/>
    </row>
    <row r="10" spans="1:26" x14ac:dyDescent="0.25">
      <c r="A10" s="112" t="s">
        <v>168</v>
      </c>
      <c r="B10" s="112"/>
      <c r="C10" s="112"/>
      <c r="D10" s="112"/>
      <c r="E10" s="112" t="s">
        <v>390</v>
      </c>
      <c r="F10" s="112"/>
      <c r="G10" s="112"/>
      <c r="H10" s="112"/>
      <c r="K10" s="53"/>
      <c r="L10" s="54"/>
      <c r="M10" s="54"/>
      <c r="N10" s="54"/>
      <c r="O10" s="54" t="s">
        <v>346</v>
      </c>
      <c r="P10" s="54"/>
    </row>
    <row r="11" spans="1:26" x14ac:dyDescent="0.25">
      <c r="A11" s="112" t="s">
        <v>169</v>
      </c>
      <c r="B11" s="112"/>
      <c r="C11" s="112"/>
      <c r="D11" s="112"/>
      <c r="E11" s="112" t="s">
        <v>390</v>
      </c>
      <c r="F11" s="112"/>
      <c r="G11" s="112"/>
      <c r="H11" s="112"/>
      <c r="O11" s="54" t="s">
        <v>347</v>
      </c>
    </row>
    <row r="12" spans="1:26" x14ac:dyDescent="0.25">
      <c r="A12" s="112" t="s">
        <v>7</v>
      </c>
      <c r="B12" s="112"/>
      <c r="C12" s="112"/>
      <c r="D12" s="112"/>
      <c r="E12" s="112" t="s">
        <v>120</v>
      </c>
      <c r="F12" s="112"/>
      <c r="G12" s="112"/>
      <c r="H12" s="112"/>
    </row>
    <row r="13" spans="1:26" x14ac:dyDescent="0.25">
      <c r="A13" s="217" t="s">
        <v>172</v>
      </c>
      <c r="B13" s="217"/>
      <c r="C13" s="217"/>
      <c r="D13" s="217"/>
      <c r="E13" s="217" t="s">
        <v>28</v>
      </c>
      <c r="F13" s="217"/>
      <c r="G13" s="217"/>
      <c r="H13" s="217"/>
      <c r="I13" s="22" t="s">
        <v>399</v>
      </c>
      <c r="S13" s="54" t="s">
        <v>180</v>
      </c>
      <c r="T13" s="54" t="s">
        <v>189</v>
      </c>
      <c r="U13" s="54" t="s">
        <v>173</v>
      </c>
      <c r="V13" s="54" t="s">
        <v>194</v>
      </c>
      <c r="W13" s="54" t="s">
        <v>212</v>
      </c>
      <c r="X13"/>
      <c r="Y13" t="s">
        <v>194</v>
      </c>
      <c r="Z13" t="e">
        <f ca="1">OFFSET($S$13,1,MATCH($G20,$S$13:$W$13,0)-1,15,1)</f>
        <v>#VALUE!</v>
      </c>
    </row>
    <row r="14" spans="1:26" ht="33.75" customHeight="1" x14ac:dyDescent="0.25">
      <c r="A14" s="161" t="s">
        <v>279</v>
      </c>
      <c r="B14" s="161"/>
      <c r="C14" s="161"/>
      <c r="D14" s="161"/>
      <c r="E14" s="111" t="s">
        <v>423</v>
      </c>
      <c r="F14" s="111"/>
      <c r="G14" s="111"/>
      <c r="H14" s="111"/>
      <c r="I14" s="22" t="s">
        <v>391</v>
      </c>
      <c r="S14" s="54" t="s">
        <v>180</v>
      </c>
      <c r="T14" s="54" t="s">
        <v>187</v>
      </c>
      <c r="U14" s="54" t="s">
        <v>209</v>
      </c>
      <c r="V14" s="54" t="s">
        <v>195</v>
      </c>
      <c r="W14" s="54" t="s">
        <v>213</v>
      </c>
      <c r="X14"/>
      <c r="Y14"/>
      <c r="Z14"/>
    </row>
    <row r="15" spans="1:26" x14ac:dyDescent="0.25">
      <c r="A15" s="161" t="s">
        <v>8</v>
      </c>
      <c r="B15" s="161"/>
      <c r="C15" s="161"/>
      <c r="D15" s="161"/>
      <c r="E15" s="219" t="s">
        <v>392</v>
      </c>
      <c r="F15" s="217"/>
      <c r="G15" s="217"/>
      <c r="H15" s="217"/>
      <c r="I15" s="169" t="e">
        <f ca="1">OFFSET($D$5,1,MATCH($J13,$D$5:$H$5,0)-1,15,1)</f>
        <v>#N/A</v>
      </c>
      <c r="J15" s="170"/>
      <c r="K15" s="170"/>
      <c r="L15" s="170"/>
      <c r="M15" s="170"/>
      <c r="N15" s="170"/>
      <c r="O15" s="170"/>
      <c r="P15" s="170"/>
      <c r="S15" s="54" t="s">
        <v>181</v>
      </c>
      <c r="T15" s="54" t="s">
        <v>188</v>
      </c>
      <c r="U15" s="54" t="s">
        <v>210</v>
      </c>
      <c r="V15" s="54" t="s">
        <v>196</v>
      </c>
      <c r="W15" s="54" t="s">
        <v>226</v>
      </c>
      <c r="X15"/>
      <c r="Y15"/>
      <c r="Z15"/>
    </row>
    <row r="16" spans="1:26" ht="39.75" customHeight="1" x14ac:dyDescent="0.25">
      <c r="A16" s="164" t="s">
        <v>9</v>
      </c>
      <c r="B16" s="164"/>
      <c r="C16" s="164" t="str">
        <f>CONCATENATE((IF(OR(E9="",E9="NA"),"",E9)),", ",(IF(OR(A17="",A17="NA"),"",A17)),".",(IF(OR(C17="",C17="NA"),"",C17)),", near ",(IF(OR(C22="",C22="NA"),"",C22)),", ",(IF(OR(C19="",C19="NA"),"",C19)),", ",(IF(OR(C18="",C18="NA"),"",C18)),", ",(IF(OR(G19="",G19="NA"),"",G19)),", ",(IF(OR(C20="",C20="NA"),"",C20)),", ",(IF(OR(C21="",C21="NA"),"",C21)),", ",(IF(OR(G20="",G20="NA"),"",G20))," - ",(IF(OR(G21="",G21="NA"),"",G21)),".")</f>
        <v>Classic Sapphire, Survey No.56, Plot No. 6, near Shree Pooja, Internal Road, Hajare Nagar, Bopele, Neral East, Karjat, Raigad - 410101.</v>
      </c>
      <c r="D16" s="164"/>
      <c r="E16" s="164"/>
      <c r="F16" s="164"/>
      <c r="G16" s="164"/>
      <c r="H16" s="164"/>
      <c r="S16" s="54" t="s">
        <v>182</v>
      </c>
      <c r="T16" s="54" t="s">
        <v>190</v>
      </c>
      <c r="U16" s="54" t="s">
        <v>211</v>
      </c>
      <c r="V16" s="54" t="s">
        <v>197</v>
      </c>
      <c r="W16" s="54" t="s">
        <v>214</v>
      </c>
      <c r="X16"/>
      <c r="Y16"/>
      <c r="Z16"/>
    </row>
    <row r="17" spans="1:26" x14ac:dyDescent="0.25">
      <c r="A17" s="219" t="s">
        <v>393</v>
      </c>
      <c r="B17" s="219"/>
      <c r="C17" s="219" t="s">
        <v>394</v>
      </c>
      <c r="D17" s="219"/>
      <c r="E17" s="219"/>
      <c r="F17" s="219"/>
      <c r="G17" s="219"/>
      <c r="H17" s="219"/>
      <c r="S17" s="54" t="s">
        <v>183</v>
      </c>
      <c r="T17" s="54" t="s">
        <v>191</v>
      </c>
      <c r="U17" s="54" t="s">
        <v>173</v>
      </c>
      <c r="V17" s="54" t="s">
        <v>198</v>
      </c>
      <c r="W17" s="54" t="s">
        <v>215</v>
      </c>
      <c r="X17"/>
      <c r="Y17"/>
      <c r="Z17"/>
    </row>
    <row r="18" spans="1:26" ht="15.75" customHeight="1" x14ac:dyDescent="0.25">
      <c r="A18" s="111" t="s">
        <v>164</v>
      </c>
      <c r="B18" s="111"/>
      <c r="C18" s="111" t="s">
        <v>398</v>
      </c>
      <c r="D18" s="111"/>
      <c r="E18" s="111"/>
      <c r="F18" s="111"/>
      <c r="G18" s="111"/>
      <c r="H18" s="111"/>
      <c r="S18" s="54" t="s">
        <v>184</v>
      </c>
      <c r="T18" s="54" t="s">
        <v>189</v>
      </c>
      <c r="U18" s="54"/>
      <c r="V18" s="54" t="s">
        <v>199</v>
      </c>
      <c r="W18" s="54" t="s">
        <v>216</v>
      </c>
      <c r="X18"/>
      <c r="Y18"/>
      <c r="Z18"/>
    </row>
    <row r="19" spans="1:26" ht="15.75" customHeight="1" x14ac:dyDescent="0.25">
      <c r="A19" s="164" t="s">
        <v>10</v>
      </c>
      <c r="B19" s="164"/>
      <c r="C19" s="112" t="s">
        <v>396</v>
      </c>
      <c r="D19" s="112"/>
      <c r="E19" s="164" t="s">
        <v>69</v>
      </c>
      <c r="F19" s="164"/>
      <c r="G19" s="111" t="s">
        <v>395</v>
      </c>
      <c r="H19" s="111"/>
      <c r="S19" s="54" t="s">
        <v>185</v>
      </c>
      <c r="T19" s="54" t="s">
        <v>192</v>
      </c>
      <c r="U19" s="54"/>
      <c r="V19" s="54" t="s">
        <v>200</v>
      </c>
      <c r="W19" s="54" t="s">
        <v>217</v>
      </c>
      <c r="X19"/>
      <c r="Y19"/>
      <c r="Z19"/>
    </row>
    <row r="20" spans="1:26" x14ac:dyDescent="0.25">
      <c r="A20" s="161" t="s">
        <v>12</v>
      </c>
      <c r="B20" s="161"/>
      <c r="C20" s="111" t="s">
        <v>425</v>
      </c>
      <c r="D20" s="111"/>
      <c r="E20" s="164" t="s">
        <v>11</v>
      </c>
      <c r="F20" s="164"/>
      <c r="G20" s="223" t="s">
        <v>194</v>
      </c>
      <c r="H20" s="223"/>
      <c r="S20" s="54" t="s">
        <v>186</v>
      </c>
      <c r="T20" s="54" t="s">
        <v>193</v>
      </c>
      <c r="U20" s="54"/>
      <c r="V20" s="54" t="s">
        <v>201</v>
      </c>
      <c r="W20" s="54" t="s">
        <v>218</v>
      </c>
      <c r="X20"/>
      <c r="Y20"/>
      <c r="Z20"/>
    </row>
    <row r="21" spans="1:26" x14ac:dyDescent="0.25">
      <c r="A21" s="161" t="s">
        <v>70</v>
      </c>
      <c r="B21" s="161"/>
      <c r="C21" s="219" t="s">
        <v>198</v>
      </c>
      <c r="D21" s="219"/>
      <c r="E21" s="164" t="s">
        <v>13</v>
      </c>
      <c r="F21" s="164"/>
      <c r="G21" s="111">
        <v>410101</v>
      </c>
      <c r="H21" s="111"/>
      <c r="S21" s="54"/>
      <c r="T21" s="54"/>
      <c r="U21" s="54"/>
      <c r="V21" s="54" t="s">
        <v>202</v>
      </c>
      <c r="W21" s="54" t="s">
        <v>219</v>
      </c>
      <c r="X21"/>
      <c r="Y21"/>
      <c r="Z21"/>
    </row>
    <row r="22" spans="1:26" ht="32.25" customHeight="1" x14ac:dyDescent="0.25">
      <c r="A22" s="161" t="s">
        <v>121</v>
      </c>
      <c r="B22" s="161"/>
      <c r="C22" s="111" t="s">
        <v>397</v>
      </c>
      <c r="D22" s="111"/>
      <c r="E22" s="164" t="s">
        <v>14</v>
      </c>
      <c r="F22" s="164"/>
      <c r="G22" s="219" t="s">
        <v>407</v>
      </c>
      <c r="H22" s="219"/>
      <c r="S22" s="54"/>
      <c r="T22" s="54"/>
      <c r="U22" s="54"/>
      <c r="V22" s="54" t="s">
        <v>203</v>
      </c>
      <c r="W22" s="54" t="s">
        <v>220</v>
      </c>
      <c r="X22"/>
      <c r="Y22"/>
      <c r="Z22"/>
    </row>
    <row r="23" spans="1:26" ht="15" customHeight="1" x14ac:dyDescent="0.25">
      <c r="A23" s="164" t="s">
        <v>72</v>
      </c>
      <c r="B23" s="164"/>
      <c r="C23" s="164"/>
      <c r="D23" s="164"/>
      <c r="E23" s="112" t="s">
        <v>15</v>
      </c>
      <c r="F23" s="112"/>
      <c r="G23" s="112"/>
      <c r="H23" s="112"/>
      <c r="S23" s="54"/>
      <c r="T23" s="54"/>
      <c r="U23" s="54"/>
      <c r="V23" s="54" t="s">
        <v>204</v>
      </c>
      <c r="W23" s="54" t="s">
        <v>221</v>
      </c>
      <c r="X23"/>
      <c r="Y23"/>
      <c r="Z23"/>
    </row>
    <row r="24" spans="1:26" ht="18.75" customHeight="1" x14ac:dyDescent="0.25">
      <c r="A24" s="164"/>
      <c r="B24" s="164"/>
      <c r="C24" s="164"/>
      <c r="D24" s="164"/>
      <c r="E24" s="112"/>
      <c r="F24" s="112"/>
      <c r="G24" s="112"/>
      <c r="H24" s="112"/>
      <c r="S24" s="54"/>
      <c r="T24" s="54"/>
      <c r="U24" s="54"/>
      <c r="V24" s="54" t="s">
        <v>205</v>
      </c>
      <c r="W24" s="54" t="s">
        <v>222</v>
      </c>
      <c r="X24"/>
      <c r="Y24"/>
      <c r="Z24"/>
    </row>
    <row r="25" spans="1:26" ht="15" customHeight="1" x14ac:dyDescent="0.25">
      <c r="A25" s="164" t="s">
        <v>16</v>
      </c>
      <c r="B25" s="164"/>
      <c r="C25" s="164"/>
      <c r="D25" s="164"/>
      <c r="E25" s="111" t="s">
        <v>17</v>
      </c>
      <c r="F25" s="111"/>
      <c r="G25" s="111"/>
      <c r="H25" s="111"/>
      <c r="S25" s="54"/>
      <c r="T25" s="54"/>
      <c r="U25" s="54"/>
      <c r="V25" s="54" t="s">
        <v>206</v>
      </c>
      <c r="W25" s="54" t="s">
        <v>223</v>
      </c>
      <c r="X25"/>
      <c r="Y25"/>
      <c r="Z25"/>
    </row>
    <row r="26" spans="1:26" ht="15" customHeight="1" x14ac:dyDescent="0.25">
      <c r="A26" s="161" t="s">
        <v>18</v>
      </c>
      <c r="B26" s="161"/>
      <c r="C26" s="161"/>
      <c r="D26" s="161"/>
      <c r="E26" s="111" t="str">
        <f>IF(AND(G20="Mumbai"),"Upper Class","Middle Class")</f>
        <v>Middle Class</v>
      </c>
      <c r="F26" s="111"/>
      <c r="G26" s="111"/>
      <c r="H26" s="111"/>
      <c r="S26" s="54"/>
      <c r="T26" s="54"/>
      <c r="U26" s="54"/>
      <c r="V26" s="54" t="s">
        <v>207</v>
      </c>
      <c r="W26" s="54" t="s">
        <v>224</v>
      </c>
      <c r="X26"/>
      <c r="Y26"/>
      <c r="Z26"/>
    </row>
    <row r="27" spans="1:26" x14ac:dyDescent="0.25">
      <c r="A27" s="161" t="s">
        <v>19</v>
      </c>
      <c r="B27" s="161"/>
      <c r="C27" s="161"/>
      <c r="D27" s="161"/>
      <c r="E27" s="111" t="s">
        <v>20</v>
      </c>
      <c r="F27" s="111"/>
      <c r="G27" s="111"/>
      <c r="H27" s="111"/>
      <c r="S27" s="54"/>
      <c r="T27" s="54"/>
      <c r="U27" s="54"/>
      <c r="V27" s="54" t="s">
        <v>208</v>
      </c>
      <c r="W27" s="54" t="s">
        <v>225</v>
      </c>
      <c r="X27"/>
      <c r="Y27"/>
      <c r="Z27"/>
    </row>
    <row r="28" spans="1:26" ht="15.75" customHeight="1" x14ac:dyDescent="0.25">
      <c r="A28" s="161" t="s">
        <v>21</v>
      </c>
      <c r="B28" s="161"/>
      <c r="C28" s="161"/>
      <c r="D28" s="161"/>
      <c r="E28" s="111" t="str">
        <f>IF(AND(G20="Mumbai"),"Developed","Developing")</f>
        <v>Developing</v>
      </c>
      <c r="F28" s="111"/>
      <c r="G28" s="111"/>
      <c r="H28" s="111"/>
    </row>
    <row r="29" spans="1:26" x14ac:dyDescent="0.25">
      <c r="A29" s="161" t="s">
        <v>22</v>
      </c>
      <c r="B29" s="161"/>
      <c r="C29" s="161"/>
      <c r="D29" s="161"/>
      <c r="E29" s="111" t="s">
        <v>23</v>
      </c>
      <c r="F29" s="111"/>
      <c r="G29" s="111"/>
      <c r="H29" s="111"/>
    </row>
    <row r="30" spans="1:26" ht="15.75" customHeight="1" x14ac:dyDescent="0.25">
      <c r="A30" s="161" t="s">
        <v>77</v>
      </c>
      <c r="B30" s="161"/>
      <c r="C30" s="161"/>
      <c r="D30" s="161"/>
      <c r="E30" s="111" t="s">
        <v>78</v>
      </c>
      <c r="F30" s="111"/>
      <c r="G30" s="111"/>
      <c r="H30" s="111"/>
    </row>
    <row r="31" spans="1:26" ht="15" customHeight="1" x14ac:dyDescent="0.25">
      <c r="A31" s="161" t="s">
        <v>30</v>
      </c>
      <c r="B31" s="161"/>
      <c r="C31" s="161"/>
      <c r="D31" s="161"/>
      <c r="E31" s="111" t="str">
        <f>IF(AND(ISNUMBER(SEARCH("Flat",D64)),ISNUMBER(SEARCH("Shop",D64)),ISNUMBER(SEARCH("Office",D64))),"Residential + Commercial",IF(AND(ISNUMBER(SEARCH("Flat",D64)),ISNUMBER(SEARCH("Shop",D64))),"Residential + Commercial",IF(AND(ISNUMBER(SEARCH("Flat",D64)),ISNUMBER(SEARCH("Office",D64))),"Residential + Commercial",IF(AND(ISNUMBER(SEARCH("Shop",D64)),ISNUMBER(SEARCH("Office",D64))),"Commercial",IF(ISNUMBER(SEARCH("Shop",D64)),"Commercial",IF(ISNUMBER(SEARCH("Office",D64)),"Commercial",IF(ISNUMBER(SEARCH("Flat",D64)),"Residential")))))))</f>
        <v>Residential</v>
      </c>
      <c r="F31" s="111"/>
      <c r="G31" s="111"/>
      <c r="H31" s="111"/>
    </row>
    <row r="32" spans="1:26" ht="15.75" customHeight="1" x14ac:dyDescent="0.25">
      <c r="A32" s="161" t="s">
        <v>89</v>
      </c>
      <c r="B32" s="161"/>
      <c r="C32" s="161"/>
      <c r="D32" s="161"/>
      <c r="E32" s="111" t="s">
        <v>31</v>
      </c>
      <c r="F32" s="111"/>
      <c r="G32" s="111"/>
      <c r="H32" s="111"/>
    </row>
    <row r="33" spans="1:19" s="22" customFormat="1" x14ac:dyDescent="0.25">
      <c r="A33" s="228" t="s">
        <v>90</v>
      </c>
      <c r="B33" s="228"/>
      <c r="C33" s="225" t="s">
        <v>174</v>
      </c>
      <c r="D33" s="226"/>
      <c r="E33" s="227"/>
      <c r="F33" s="225" t="s">
        <v>29</v>
      </c>
      <c r="G33" s="226"/>
      <c r="H33" s="227"/>
      <c r="S33" s="22" t="e">
        <f ca="1">OFFSET($S$13,1,MATCH($G20,$S$13:$W$13,0)-1,15,1)</f>
        <v>#VALUE!</v>
      </c>
    </row>
    <row r="34" spans="1:19" s="22" customFormat="1" x14ac:dyDescent="0.25">
      <c r="A34" s="224" t="s">
        <v>24</v>
      </c>
      <c r="B34" s="224" t="s">
        <v>28</v>
      </c>
      <c r="C34" s="220" t="s">
        <v>402</v>
      </c>
      <c r="D34" s="221"/>
      <c r="E34" s="222"/>
      <c r="F34" s="220" t="s">
        <v>403</v>
      </c>
      <c r="G34" s="221"/>
      <c r="H34" s="222"/>
    </row>
    <row r="35" spans="1:19" x14ac:dyDescent="0.25">
      <c r="A35" s="224" t="s">
        <v>25</v>
      </c>
      <c r="B35" s="224" t="s">
        <v>28</v>
      </c>
      <c r="C35" s="220" t="s">
        <v>400</v>
      </c>
      <c r="D35" s="221"/>
      <c r="E35" s="222"/>
      <c r="F35" s="220" t="s">
        <v>403</v>
      </c>
      <c r="G35" s="221"/>
      <c r="H35" s="222"/>
    </row>
    <row r="36" spans="1:19" s="22" customFormat="1" x14ac:dyDescent="0.25">
      <c r="A36" s="224" t="s">
        <v>27</v>
      </c>
      <c r="B36" s="224" t="s">
        <v>28</v>
      </c>
      <c r="C36" s="220" t="s">
        <v>431</v>
      </c>
      <c r="D36" s="221"/>
      <c r="E36" s="222"/>
      <c r="F36" s="220" t="s">
        <v>424</v>
      </c>
      <c r="G36" s="221"/>
      <c r="H36" s="222"/>
    </row>
    <row r="37" spans="1:19" x14ac:dyDescent="0.25">
      <c r="A37" s="224" t="s">
        <v>26</v>
      </c>
      <c r="B37" s="224" t="s">
        <v>28</v>
      </c>
      <c r="C37" s="220" t="s">
        <v>401</v>
      </c>
      <c r="D37" s="221"/>
      <c r="E37" s="222"/>
      <c r="F37" s="220" t="s">
        <v>406</v>
      </c>
      <c r="G37" s="221"/>
      <c r="H37" s="222"/>
    </row>
    <row r="38" spans="1:19" x14ac:dyDescent="0.25">
      <c r="A38" s="161" t="s">
        <v>280</v>
      </c>
      <c r="B38" s="161"/>
      <c r="C38" s="161"/>
      <c r="D38" s="161"/>
      <c r="E38" s="161"/>
      <c r="F38" s="161"/>
      <c r="G38" s="161"/>
      <c r="H38" s="161"/>
    </row>
    <row r="39" spans="1:19" ht="15.75" customHeight="1" x14ac:dyDescent="0.25">
      <c r="A39" s="161" t="s">
        <v>166</v>
      </c>
      <c r="B39" s="161"/>
      <c r="C39" s="212" t="s">
        <v>404</v>
      </c>
      <c r="D39" s="212"/>
      <c r="E39" s="212"/>
      <c r="F39" s="212"/>
      <c r="G39" s="212"/>
      <c r="H39" s="212"/>
    </row>
    <row r="40" spans="1:19" x14ac:dyDescent="0.25">
      <c r="A40" s="161" t="s">
        <v>163</v>
      </c>
      <c r="B40" s="161"/>
      <c r="C40" s="252" t="s">
        <v>405</v>
      </c>
      <c r="D40" s="111"/>
      <c r="E40" s="111"/>
      <c r="F40" s="111"/>
      <c r="G40" s="111"/>
      <c r="H40" s="111"/>
    </row>
    <row r="41" spans="1:19" x14ac:dyDescent="0.25">
      <c r="A41" s="212" t="s">
        <v>32</v>
      </c>
      <c r="B41" s="212"/>
      <c r="C41" s="212"/>
      <c r="D41" s="212"/>
      <c r="E41" s="212"/>
      <c r="F41" s="212"/>
      <c r="G41" s="212"/>
      <c r="H41" s="212"/>
    </row>
    <row r="42" spans="1:19" x14ac:dyDescent="0.25">
      <c r="A42" s="161" t="s">
        <v>33</v>
      </c>
      <c r="B42" s="161"/>
      <c r="C42" s="161"/>
      <c r="D42" s="161"/>
      <c r="E42" s="231">
        <v>330</v>
      </c>
      <c r="F42" s="231"/>
      <c r="G42" s="231"/>
      <c r="H42" s="231"/>
    </row>
    <row r="43" spans="1:19" x14ac:dyDescent="0.25">
      <c r="A43" s="161" t="s">
        <v>34</v>
      </c>
      <c r="B43" s="161"/>
      <c r="C43" s="161"/>
      <c r="D43" s="161"/>
      <c r="E43" s="233">
        <f>363/E42</f>
        <v>1.1000000000000001</v>
      </c>
      <c r="F43" s="233"/>
      <c r="G43" s="233"/>
      <c r="H43" s="233"/>
    </row>
    <row r="44" spans="1:19" x14ac:dyDescent="0.25">
      <c r="A44" s="161" t="s">
        <v>35</v>
      </c>
      <c r="B44" s="161"/>
      <c r="C44" s="161"/>
      <c r="D44" s="161"/>
      <c r="E44" s="233">
        <f>E46/E42-E43</f>
        <v>0.6582424242424243</v>
      </c>
      <c r="F44" s="233"/>
      <c r="G44" s="233"/>
      <c r="H44" s="233"/>
    </row>
    <row r="45" spans="1:19" x14ac:dyDescent="0.25">
      <c r="A45" s="161" t="s">
        <v>36</v>
      </c>
      <c r="B45" s="161"/>
      <c r="C45" s="161"/>
      <c r="D45" s="161"/>
      <c r="E45" s="233">
        <f>E43+E44</f>
        <v>1.7582424242424244</v>
      </c>
      <c r="F45" s="233"/>
      <c r="G45" s="233"/>
      <c r="H45" s="233"/>
    </row>
    <row r="46" spans="1:19" x14ac:dyDescent="0.25">
      <c r="A46" s="161" t="s">
        <v>88</v>
      </c>
      <c r="B46" s="161"/>
      <c r="C46" s="161"/>
      <c r="D46" s="161"/>
      <c r="E46" s="234">
        <v>580.22</v>
      </c>
      <c r="F46" s="234"/>
      <c r="G46" s="234"/>
      <c r="H46" s="234"/>
    </row>
    <row r="47" spans="1:19" x14ac:dyDescent="0.25">
      <c r="A47" s="112" t="s">
        <v>37</v>
      </c>
      <c r="B47" s="112"/>
      <c r="C47" s="112"/>
      <c r="D47" s="112"/>
      <c r="E47" s="217" t="s">
        <v>120</v>
      </c>
      <c r="F47" s="217"/>
      <c r="G47" s="217"/>
      <c r="H47" s="217"/>
    </row>
    <row r="48" spans="1:19" x14ac:dyDescent="0.25">
      <c r="A48" s="212" t="s">
        <v>38</v>
      </c>
      <c r="B48" s="212"/>
      <c r="C48" s="212"/>
      <c r="D48" s="212"/>
      <c r="E48" s="212"/>
      <c r="F48" s="212"/>
      <c r="G48" s="212"/>
      <c r="H48" s="212"/>
    </row>
    <row r="49" spans="1:24" ht="33.75" customHeight="1" x14ac:dyDescent="0.25">
      <c r="A49" s="144" t="s">
        <v>153</v>
      </c>
      <c r="B49" s="146"/>
      <c r="C49" s="239" t="s">
        <v>426</v>
      </c>
      <c r="D49" s="240"/>
      <c r="E49" s="240"/>
      <c r="F49" s="240"/>
      <c r="G49" s="240"/>
      <c r="H49" s="241"/>
      <c r="R49" t="s">
        <v>253</v>
      </c>
      <c r="S49" s="57" t="s">
        <v>173</v>
      </c>
      <c r="T49" s="57" t="s">
        <v>180</v>
      </c>
      <c r="U49" s="57" t="s">
        <v>194</v>
      </c>
      <c r="V49" s="57" t="s">
        <v>189</v>
      </c>
    </row>
    <row r="50" spans="1:24" ht="15.75" customHeight="1" x14ac:dyDescent="0.25">
      <c r="A50" s="144" t="s">
        <v>39</v>
      </c>
      <c r="B50" s="146"/>
      <c r="C50" s="144" t="s">
        <v>408</v>
      </c>
      <c r="D50" s="145"/>
      <c r="E50" s="146"/>
      <c r="F50" s="18" t="s">
        <v>40</v>
      </c>
      <c r="G50" s="229">
        <v>44973</v>
      </c>
      <c r="H50" s="230"/>
      <c r="R50"/>
      <c r="S50" s="57" t="s">
        <v>254</v>
      </c>
      <c r="T50" s="57" t="s">
        <v>259</v>
      </c>
      <c r="U50" s="57" t="s">
        <v>270</v>
      </c>
      <c r="V50" s="57" t="s">
        <v>275</v>
      </c>
    </row>
    <row r="51" spans="1:24" x14ac:dyDescent="0.25">
      <c r="A51" s="144" t="s">
        <v>41</v>
      </c>
      <c r="B51" s="146"/>
      <c r="C51" s="144" t="str">
        <f>C50</f>
        <v>RZP BD/NSVP/62/2023</v>
      </c>
      <c r="D51" s="145"/>
      <c r="E51" s="146"/>
      <c r="F51" s="18" t="s">
        <v>40</v>
      </c>
      <c r="G51" s="229">
        <f>G50</f>
        <v>44973</v>
      </c>
      <c r="H51" s="230"/>
      <c r="R51"/>
      <c r="S51" s="57" t="s">
        <v>255</v>
      </c>
      <c r="T51" s="57" t="s">
        <v>357</v>
      </c>
      <c r="U51" s="57" t="s">
        <v>268</v>
      </c>
      <c r="V51" s="57" t="s">
        <v>276</v>
      </c>
    </row>
    <row r="52" spans="1:24" s="23" customFormat="1" ht="15.75" customHeight="1" x14ac:dyDescent="0.25">
      <c r="A52" s="247" t="s">
        <v>410</v>
      </c>
      <c r="B52" s="248"/>
      <c r="C52" s="247" t="s">
        <v>409</v>
      </c>
      <c r="D52" s="251"/>
      <c r="E52" s="248"/>
      <c r="F52" s="102" t="s">
        <v>40</v>
      </c>
      <c r="G52" s="131">
        <v>44973</v>
      </c>
      <c r="H52" s="132"/>
      <c r="I52" s="22" t="str">
        <f ca="1">IF(G52&gt;EDATE(E3,-48),"NO REMARK","CC REMARK FOR CC")</f>
        <v>NO REMARK</v>
      </c>
      <c r="J52" s="79"/>
      <c r="R52"/>
      <c r="S52" s="57" t="s">
        <v>256</v>
      </c>
      <c r="T52" s="57" t="s">
        <v>261</v>
      </c>
      <c r="U52" s="57" t="s">
        <v>258</v>
      </c>
      <c r="V52" s="57" t="s">
        <v>277</v>
      </c>
    </row>
    <row r="53" spans="1:24" s="23" customFormat="1" ht="33.75" customHeight="1" x14ac:dyDescent="0.25">
      <c r="A53" s="249"/>
      <c r="B53" s="250"/>
      <c r="C53" s="144" t="s">
        <v>427</v>
      </c>
      <c r="D53" s="145"/>
      <c r="E53" s="145"/>
      <c r="F53" s="145"/>
      <c r="G53" s="145"/>
      <c r="H53" s="146"/>
      <c r="R53"/>
      <c r="S53" s="57"/>
      <c r="T53" s="57"/>
      <c r="U53" s="57"/>
      <c r="V53" s="75"/>
    </row>
    <row r="54" spans="1:24" s="23" customFormat="1" hidden="1" x14ac:dyDescent="0.25">
      <c r="A54" s="138" t="s">
        <v>281</v>
      </c>
      <c r="B54" s="139"/>
      <c r="C54" s="144" t="e">
        <f>#REF!</f>
        <v>#REF!</v>
      </c>
      <c r="D54" s="145"/>
      <c r="E54" s="146"/>
      <c r="F54" s="18" t="s">
        <v>40</v>
      </c>
      <c r="G54" s="229"/>
      <c r="H54" s="230"/>
      <c r="K54" s="80">
        <f>EDATE(G52,-48)</f>
        <v>43512</v>
      </c>
      <c r="L54" s="23" t="str">
        <f ca="1">IF(G52&gt;EDATE(E3,-48),"NO REMARK","CC REMARK FOR CC")</f>
        <v>NO REMARK</v>
      </c>
      <c r="R54"/>
      <c r="S54" s="57" t="s">
        <v>256</v>
      </c>
      <c r="T54" s="57" t="s">
        <v>261</v>
      </c>
      <c r="U54" s="57" t="s">
        <v>258</v>
      </c>
      <c r="V54" s="57" t="s">
        <v>277</v>
      </c>
    </row>
    <row r="55" spans="1:24" s="23" customFormat="1" ht="32.25" hidden="1" customHeight="1" x14ac:dyDescent="0.25">
      <c r="A55" s="142"/>
      <c r="B55" s="143"/>
      <c r="C55" s="244"/>
      <c r="D55" s="245"/>
      <c r="E55" s="245"/>
      <c r="F55" s="245"/>
      <c r="G55" s="245"/>
      <c r="H55" s="246"/>
      <c r="R55"/>
      <c r="S55" s="57" t="s">
        <v>258</v>
      </c>
      <c r="T55" s="57" t="s">
        <v>262</v>
      </c>
      <c r="U55" s="57" t="s">
        <v>272</v>
      </c>
      <c r="V55" s="76"/>
      <c r="W55" s="21"/>
      <c r="X55" s="21"/>
    </row>
    <row r="56" spans="1:24" s="23" customFormat="1" ht="34.5" hidden="1" customHeight="1" x14ac:dyDescent="0.25">
      <c r="A56" s="138" t="s">
        <v>282</v>
      </c>
      <c r="B56" s="139"/>
      <c r="C56" s="144">
        <f>C55</f>
        <v>0</v>
      </c>
      <c r="D56" s="145"/>
      <c r="E56" s="146"/>
      <c r="F56" s="18" t="s">
        <v>40</v>
      </c>
      <c r="G56" s="229">
        <f>G55</f>
        <v>0</v>
      </c>
      <c r="H56" s="230"/>
      <c r="R56"/>
      <c r="S56" s="76"/>
      <c r="T56" s="57" t="s">
        <v>263</v>
      </c>
      <c r="U56" s="57" t="s">
        <v>426</v>
      </c>
      <c r="V56" s="76"/>
      <c r="W56" s="21"/>
      <c r="X56" s="21"/>
    </row>
    <row r="57" spans="1:24" s="23" customFormat="1" ht="41.25" hidden="1" customHeight="1" x14ac:dyDescent="0.25">
      <c r="A57" s="142"/>
      <c r="B57" s="143"/>
      <c r="C57" s="144"/>
      <c r="D57" s="145"/>
      <c r="E57" s="145"/>
      <c r="F57" s="145"/>
      <c r="G57" s="145"/>
      <c r="H57" s="146"/>
      <c r="R57"/>
      <c r="S57" s="76"/>
      <c r="T57" s="57" t="s">
        <v>265</v>
      </c>
      <c r="U57" s="57" t="s">
        <v>274</v>
      </c>
      <c r="V57" s="76"/>
      <c r="W57" s="21"/>
      <c r="X57" s="21"/>
    </row>
    <row r="58" spans="1:24" s="23" customFormat="1" ht="15.75" hidden="1" customHeight="1" x14ac:dyDescent="0.25">
      <c r="A58" s="138" t="s">
        <v>352</v>
      </c>
      <c r="B58" s="139"/>
      <c r="C58" s="147"/>
      <c r="D58" s="148"/>
      <c r="E58" s="149"/>
      <c r="F58" s="18" t="s">
        <v>40</v>
      </c>
      <c r="G58" s="229"/>
      <c r="H58" s="230"/>
      <c r="R58"/>
      <c r="S58" s="76"/>
      <c r="T58" s="57" t="s">
        <v>266</v>
      </c>
      <c r="U58" s="76" t="s">
        <v>296</v>
      </c>
      <c r="V58" s="76"/>
      <c r="W58" s="21"/>
      <c r="X58" s="21"/>
    </row>
    <row r="59" spans="1:24" s="23" customFormat="1" ht="33.75" hidden="1" customHeight="1" x14ac:dyDescent="0.25">
      <c r="A59" s="140"/>
      <c r="B59" s="141"/>
      <c r="C59" s="150"/>
      <c r="D59" s="151"/>
      <c r="E59" s="152"/>
      <c r="F59" s="18" t="s">
        <v>353</v>
      </c>
      <c r="G59" s="229"/>
      <c r="H59" s="230"/>
      <c r="R59"/>
      <c r="S59" s="76"/>
      <c r="T59" s="57" t="s">
        <v>267</v>
      </c>
      <c r="U59" s="76"/>
      <c r="V59" s="76"/>
      <c r="W59" s="21"/>
      <c r="X59" s="21"/>
    </row>
    <row r="60" spans="1:24" s="23" customFormat="1" ht="33.75" hidden="1" customHeight="1" x14ac:dyDescent="0.25">
      <c r="A60" s="142"/>
      <c r="B60" s="143"/>
      <c r="C60" s="144" t="s">
        <v>375</v>
      </c>
      <c r="D60" s="145"/>
      <c r="E60" s="145"/>
      <c r="F60" s="145"/>
      <c r="G60" s="145"/>
      <c r="H60" s="146"/>
      <c r="R60"/>
      <c r="S60" s="76"/>
      <c r="T60" s="57"/>
      <c r="U60" s="76"/>
      <c r="V60" s="76"/>
      <c r="W60" s="21"/>
      <c r="X60" s="21"/>
    </row>
    <row r="61" spans="1:24" x14ac:dyDescent="0.25">
      <c r="A61" s="174" t="s">
        <v>42</v>
      </c>
      <c r="B61" s="175"/>
      <c r="C61" s="174" t="s">
        <v>102</v>
      </c>
      <c r="D61" s="176"/>
      <c r="E61" s="175"/>
      <c r="F61" s="45" t="s">
        <v>40</v>
      </c>
      <c r="G61" s="180" t="s">
        <v>28</v>
      </c>
      <c r="H61" s="181"/>
      <c r="R61"/>
      <c r="S61" s="76"/>
      <c r="T61" s="57" t="s">
        <v>269</v>
      </c>
      <c r="U61" s="76"/>
      <c r="V61" s="76"/>
    </row>
    <row r="62" spans="1:24" x14ac:dyDescent="0.25">
      <c r="A62" s="153" t="s">
        <v>44</v>
      </c>
      <c r="B62" s="153"/>
      <c r="C62" s="153"/>
      <c r="D62" s="153"/>
      <c r="E62" s="153"/>
      <c r="F62" s="153"/>
      <c r="G62" s="153"/>
      <c r="H62" s="153"/>
      <c r="S62" s="76"/>
      <c r="T62" s="57" t="s">
        <v>278</v>
      </c>
      <c r="U62" s="76"/>
      <c r="V62" s="76"/>
    </row>
    <row r="63" spans="1:24" x14ac:dyDescent="0.25">
      <c r="A63" s="164" t="s">
        <v>87</v>
      </c>
      <c r="B63" s="164"/>
      <c r="C63" s="164"/>
      <c r="D63" s="112">
        <f>E46</f>
        <v>580.22</v>
      </c>
      <c r="E63" s="112"/>
      <c r="F63" s="112"/>
      <c r="G63" s="112"/>
      <c r="H63" s="112"/>
      <c r="R63"/>
    </row>
    <row r="64" spans="1:24" x14ac:dyDescent="0.25">
      <c r="A64" s="111" t="s">
        <v>45</v>
      </c>
      <c r="B64" s="112"/>
      <c r="C64" s="112"/>
      <c r="D64" s="112" t="s">
        <v>421</v>
      </c>
      <c r="E64" s="112"/>
      <c r="F64" s="112"/>
      <c r="G64" s="112"/>
      <c r="H64" s="112"/>
      <c r="I64" s="24"/>
      <c r="R64"/>
    </row>
    <row r="65" spans="1:19" x14ac:dyDescent="0.25">
      <c r="A65" s="236" t="s">
        <v>46</v>
      </c>
      <c r="B65" s="237"/>
      <c r="C65" s="238"/>
      <c r="D65" s="165" t="s">
        <v>411</v>
      </c>
      <c r="E65" s="235"/>
      <c r="F65" s="235"/>
      <c r="G65" s="235"/>
      <c r="H65" s="235"/>
      <c r="R65"/>
    </row>
    <row r="66" spans="1:19" ht="15.75" customHeight="1" x14ac:dyDescent="0.25">
      <c r="A66" s="236" t="s">
        <v>85</v>
      </c>
      <c r="B66" s="237"/>
      <c r="C66" s="237"/>
      <c r="D66" s="111" t="s">
        <v>411</v>
      </c>
      <c r="E66" s="112"/>
      <c r="F66" s="112"/>
      <c r="G66" s="112"/>
      <c r="H66" s="112"/>
      <c r="R66"/>
    </row>
    <row r="67" spans="1:19" ht="15.75" customHeight="1" x14ac:dyDescent="0.25">
      <c r="A67" s="161" t="s">
        <v>43</v>
      </c>
      <c r="B67" s="161"/>
      <c r="C67" s="161"/>
      <c r="D67" s="110" t="s">
        <v>412</v>
      </c>
      <c r="E67" s="110"/>
      <c r="F67" s="110"/>
      <c r="G67" s="110"/>
      <c r="H67" s="110"/>
      <c r="J67" s="25"/>
      <c r="K67" s="24"/>
      <c r="N67" s="24"/>
      <c r="S67"/>
    </row>
    <row r="68" spans="1:19" ht="15.75" customHeight="1" x14ac:dyDescent="0.25">
      <c r="A68" s="161" t="s">
        <v>83</v>
      </c>
      <c r="B68" s="161"/>
      <c r="C68" s="161"/>
      <c r="D68" s="232" t="str">
        <f>(IF(G61="NA","60 Years After Completion",IF(G61&lt;&gt;"NA",""&amp;60-ROUNDDOWN((E3-G61)/360,0)&amp;" Years"," ")))</f>
        <v>60 Years After Completion</v>
      </c>
      <c r="E68" s="232"/>
      <c r="F68" s="232"/>
      <c r="G68" s="232"/>
      <c r="H68" s="232"/>
      <c r="N68" s="24"/>
      <c r="S68"/>
    </row>
    <row r="69" spans="1:19" ht="15.75" customHeight="1" x14ac:dyDescent="0.25">
      <c r="A69" s="161" t="s">
        <v>84</v>
      </c>
      <c r="B69" s="161"/>
      <c r="C69" s="161"/>
      <c r="D69" s="111" t="s">
        <v>23</v>
      </c>
      <c r="E69" s="111"/>
      <c r="F69" s="111"/>
      <c r="G69" s="111"/>
      <c r="H69" s="111"/>
      <c r="J69" s="26"/>
      <c r="K69" s="26"/>
      <c r="S69"/>
    </row>
    <row r="70" spans="1:19" ht="38.450000000000003" customHeight="1" x14ac:dyDescent="0.25">
      <c r="A70" s="217" t="s">
        <v>413</v>
      </c>
      <c r="B70" s="217"/>
      <c r="C70" s="217"/>
      <c r="D70" s="111" t="s">
        <v>428</v>
      </c>
      <c r="E70" s="164"/>
      <c r="F70" s="164"/>
      <c r="G70" s="164"/>
      <c r="H70" s="164"/>
      <c r="S70"/>
    </row>
    <row r="71" spans="1:19" x14ac:dyDescent="0.25">
      <c r="A71" s="164" t="s">
        <v>149</v>
      </c>
      <c r="B71" s="164"/>
      <c r="C71" s="164"/>
      <c r="D71" s="164" t="s">
        <v>28</v>
      </c>
      <c r="E71" s="164"/>
      <c r="F71" s="164"/>
      <c r="G71" s="164"/>
      <c r="H71" s="164"/>
      <c r="I71" s="27"/>
      <c r="J71" s="27"/>
      <c r="K71" s="27"/>
      <c r="L71" s="27"/>
      <c r="M71" s="27"/>
      <c r="N71" s="27"/>
    </row>
    <row r="72" spans="1:19" ht="15.75" customHeight="1" x14ac:dyDescent="0.25">
      <c r="A72" s="243" t="s">
        <v>82</v>
      </c>
      <c r="B72" s="243"/>
      <c r="C72" s="243"/>
      <c r="D72" s="165" t="str">
        <f ca="1">(IF(G78&gt;95%,"Nothing",IF(G78&gt;0%,"Cement, Aggregate, Steel, etc",IF(G78=0%,"Work not yet Started"))))</f>
        <v>Cement, Aggregate, Steel, etc</v>
      </c>
      <c r="E72" s="165"/>
      <c r="F72" s="165"/>
      <c r="G72" s="165"/>
      <c r="H72" s="165"/>
      <c r="J72" s="26"/>
      <c r="S72"/>
    </row>
    <row r="73" spans="1:19" ht="33.75" customHeight="1" thickBot="1" x14ac:dyDescent="0.3">
      <c r="A73" s="242" t="s">
        <v>115</v>
      </c>
      <c r="B73" s="242"/>
      <c r="C73" s="242"/>
      <c r="D73" s="165" t="str">
        <f ca="1">(IF(D72="Nothing","Yes",IF(D72="Cement, Aggregate, Steel, etc","Under Construction",IF(D72="Work not yet Started","Work not yet Started"))))</f>
        <v>Under Construction</v>
      </c>
      <c r="E73" s="165"/>
      <c r="F73" s="165" t="str">
        <f ca="1">(IF(D72="Nothing","Yes",IF(D72="Cement, Aggregate, Steel, etc","Under Construction",IF(D72="Work not yet Started","Work not yet Started"))))</f>
        <v>Under Construction</v>
      </c>
      <c r="G73" s="165"/>
      <c r="H73" s="165"/>
      <c r="S73"/>
    </row>
    <row r="74" spans="1:19" ht="15.75" customHeight="1" x14ac:dyDescent="0.25">
      <c r="A74" s="156" t="s">
        <v>139</v>
      </c>
      <c r="B74" s="157"/>
      <c r="C74" s="158" t="str">
        <f>D66</f>
        <v>G + 1st to 4th Floor</v>
      </c>
      <c r="D74" s="159"/>
      <c r="E74" s="159"/>
      <c r="F74" s="159"/>
      <c r="G74" s="159"/>
      <c r="H74" s="160"/>
      <c r="I74" s="49" t="str">
        <f ca="1">IF(D87=100%,"All work Completed. Possession granted to the Building.",IF(D86=100%,"All work Completed, Waiting for OC",I75&amp;""&amp;I76&amp;""&amp;J75&amp;""&amp;J74&amp;" "&amp;J76))</f>
        <v>Excavation, Plinth, RCC Slab, Brickwork Completed, Internal Plaster upto 3 Floor, External Plaster upto 2 Floor Completed</v>
      </c>
      <c r="J74" s="50" t="str">
        <f ca="1">(IF(C80=(D75+F75+H75),"",IF(C80&gt;0,", RCC upto "&amp;C80&amp;" Slab","")))&amp;(IF(C81=H75,"",IF(C81&gt;0,", Brickwork upto "&amp;C81&amp;" Floor","")))&amp;(IF(C82=H75,"",IF(C82&gt;0,", Internal Plaster upto "&amp;C82&amp;" Floor","")))&amp;(IF(C83=H75,"",IF(C83&gt;0,", External Plaster upto "&amp;C83&amp;" Floor","")))&amp;(IF(C84=H75,"",IF(C84&gt;0,", Flooring upto "&amp;C84&amp;" Floor","")))&amp;(IF(C85=H75,"",IF(C85&gt;0,", Painting upto "&amp;C85&amp;" Floor","")))&amp;(IF(C86=H75,"",IF(C86&gt;0,", Finishing upto "&amp;C86&amp;" Floor","")))&amp;(IF(C87=H75,"",IF(C87&gt;0,", Possession upto "&amp;C87&amp;" Floor","")))</f>
        <v>, Internal Plaster upto 3 Floor, External Plaster upto 2 Floor</v>
      </c>
      <c r="S74"/>
    </row>
    <row r="75" spans="1:19" x14ac:dyDescent="0.25">
      <c r="A75" s="16" t="s">
        <v>141</v>
      </c>
      <c r="B75" s="47">
        <f>IF(AND(ISNUMBER(SEARCH("1B",C74))),1,IF(AND(ISNUMBER(SEARCH("2B",C74))),2,IF(AND(ISNUMBER(SEARCH("3B",C74))),3,IF(AND(ISNUMBER(SEARCH("4B",C74))),4,IF(ISNUMBER(SEARCH("5B",C74)),5,0)))))</f>
        <v>0</v>
      </c>
      <c r="C75" s="47" t="s">
        <v>68</v>
      </c>
      <c r="D75" s="47">
        <v>1</v>
      </c>
      <c r="E75" s="47" t="s">
        <v>67</v>
      </c>
      <c r="F75" s="103">
        <v>0</v>
      </c>
      <c r="G75" s="48" t="s">
        <v>76</v>
      </c>
      <c r="H75" s="17">
        <f ca="1">--TRIM(RIGHT(SUBSTITUTE(LEFT(C74,_xlfn.AGGREGATE(16,6,FIND({0,1,2,3,4,5,6,7,8,9},C74,ROW(INDIRECT("1:"&amp;LEN(C74)))),1))," ",REPT(" ",LEN(C74))),LEN(C74)))</f>
        <v>4</v>
      </c>
      <c r="I75" s="51" t="str">
        <f ca="1">IF(D78=100%,"Excavation","")&amp;IF(D79=100%,", Plinth","")&amp;IF(D80=100%,", RCC Slab","")&amp;IF(D81=100%,", Brickwork","")&amp;IF(D82=100%,", Internal Plaster","")&amp;IF(D83=100%,", External Plaster","")&amp;IF(D84=100%,", Flooring","")&amp;IF(D85=100%,", Painting","")&amp;IF(D86=100%,", Building common Amenities","")</f>
        <v>Excavation, Plinth, RCC Slab, Brickwork</v>
      </c>
      <c r="J75" s="52" t="str">
        <f ca="1">(IF(C78=0,"Work not yet Started.",IF(D78=25%,"Piling work in process",IF(D78=50%,"Excavation work in process",IF(D78=100%,"","0")))))&amp;(IF(C79=0%,"",IF(C79=J80,", Footing work is process",IF(C79=J81,", Footing work Completed",IF(C79=J82,", 1st Basement Completed",IF(C79=J83,", 1st &amp; 2nd Basement Completed",IF(C79=J84,", 1st to 3rd Basement Completed",IF(C79=J85,", 1st to 4th Basement Completed",IF(C79=J86,", Plinth work is process",IF(C79=J87,"","0"))))))))))</f>
        <v/>
      </c>
      <c r="S75"/>
    </row>
    <row r="76" spans="1:19" ht="36.75" customHeight="1" x14ac:dyDescent="0.25">
      <c r="A76" s="154" t="s">
        <v>86</v>
      </c>
      <c r="B76" s="155"/>
      <c r="C76" s="162" t="str">
        <f ca="1">I74</f>
        <v>Excavation, Plinth, RCC Slab, Brickwork Completed, Internal Plaster upto 3 Floor, External Plaster upto 2 Floor Completed</v>
      </c>
      <c r="D76" s="162"/>
      <c r="E76" s="162"/>
      <c r="F76" s="162"/>
      <c r="G76" s="162"/>
      <c r="H76" s="163"/>
      <c r="I76" s="51" t="str">
        <f ca="1">IF(I75&lt;&gt;""," Completed","")</f>
        <v xml:space="preserve"> Completed</v>
      </c>
      <c r="J76" s="52" t="str">
        <f ca="1">IF(J74&lt;&gt;"","Completed","")</f>
        <v>Completed</v>
      </c>
      <c r="S76"/>
    </row>
    <row r="77" spans="1:19" ht="15.75" customHeight="1" x14ac:dyDescent="0.25">
      <c r="A77" s="128" t="s">
        <v>47</v>
      </c>
      <c r="B77" s="129"/>
      <c r="C77" s="43" t="s">
        <v>138</v>
      </c>
      <c r="D77" s="43" t="s">
        <v>79</v>
      </c>
      <c r="E77" s="129" t="s">
        <v>81</v>
      </c>
      <c r="F77" s="129"/>
      <c r="G77" s="129" t="s">
        <v>80</v>
      </c>
      <c r="H77" s="166"/>
      <c r="I77" s="13" t="s">
        <v>140</v>
      </c>
      <c r="J77" s="28">
        <f ca="1">H75*25%</f>
        <v>1</v>
      </c>
      <c r="S77"/>
    </row>
    <row r="78" spans="1:19" x14ac:dyDescent="0.25">
      <c r="A78" s="128" t="s">
        <v>127</v>
      </c>
      <c r="B78" s="129"/>
      <c r="C78" s="98">
        <f ca="1">J79</f>
        <v>4</v>
      </c>
      <c r="D78" s="19">
        <f ca="1">((100/H75)*C78)/100</f>
        <v>1</v>
      </c>
      <c r="E78" s="113">
        <f ca="1">(((C79/H75*10)+(40/(D75+F75+H75)*C80)+(7.5/(H75)*C81)+(7.5/(H75)*C82)+(10/H75*C83)+(10/H75*C84)+(5/H75*C85)+(5/H75*C86)+(5/H75*C87))/100)</f>
        <v>0.68125000000000002</v>
      </c>
      <c r="F78" s="114"/>
      <c r="G78" s="113">
        <f ca="1">((((C78/H75)*20)+((C79/H75)*25)+(30/(H75+F75+D75)*C80)+(5/H75*C81)+(5/H75*C82)+(5/H75*C83)+(5/H75*C84)+(0/H75*C85)+(0/H75*C86)+(5/H75*C87))/100)</f>
        <v>0.86250000000000004</v>
      </c>
      <c r="H78" s="119"/>
      <c r="I78" s="13" t="s">
        <v>97</v>
      </c>
      <c r="J78" s="29">
        <f ca="1">H75*50%</f>
        <v>2</v>
      </c>
    </row>
    <row r="79" spans="1:19" x14ac:dyDescent="0.25">
      <c r="A79" s="128" t="s">
        <v>48</v>
      </c>
      <c r="B79" s="129"/>
      <c r="C79" s="43">
        <f ca="1">J87</f>
        <v>4</v>
      </c>
      <c r="D79" s="19">
        <f ca="1">((100/H75)*C79)/100</f>
        <v>1</v>
      </c>
      <c r="E79" s="115"/>
      <c r="F79" s="116"/>
      <c r="G79" s="115"/>
      <c r="H79" s="120"/>
      <c r="I79" s="13" t="s">
        <v>98</v>
      </c>
      <c r="J79" s="29">
        <f ca="1">H75</f>
        <v>4</v>
      </c>
      <c r="L79" s="96"/>
      <c r="S79"/>
    </row>
    <row r="80" spans="1:19" ht="15.75" customHeight="1" x14ac:dyDescent="0.25">
      <c r="A80" s="128" t="s">
        <v>128</v>
      </c>
      <c r="B80" s="129"/>
      <c r="C80" s="43">
        <v>5</v>
      </c>
      <c r="D80" s="19">
        <f ca="1">((100/(D75+F75+H75))*C80)/100</f>
        <v>1</v>
      </c>
      <c r="E80" s="115"/>
      <c r="F80" s="116"/>
      <c r="G80" s="115"/>
      <c r="H80" s="120"/>
      <c r="I80" s="13" t="s">
        <v>99</v>
      </c>
      <c r="J80" s="30">
        <f ca="1">(IF(B75&gt;1,(H75/(B75+2)),H75/4))</f>
        <v>1</v>
      </c>
      <c r="S80"/>
    </row>
    <row r="81" spans="1:19" ht="15.75" customHeight="1" x14ac:dyDescent="0.25">
      <c r="A81" s="128" t="s">
        <v>135</v>
      </c>
      <c r="B81" s="129" t="s">
        <v>129</v>
      </c>
      <c r="C81" s="43">
        <v>4</v>
      </c>
      <c r="D81" s="19">
        <f ca="1">((100/H75)*C81)/100</f>
        <v>1</v>
      </c>
      <c r="E81" s="115"/>
      <c r="F81" s="116"/>
      <c r="G81" s="115"/>
      <c r="H81" s="120"/>
      <c r="I81" s="13" t="s">
        <v>100</v>
      </c>
      <c r="J81" s="30">
        <f ca="1">(IF(B75&gt;1,(H75/(B75+2)+J80),H75/4+J80))</f>
        <v>2</v>
      </c>
    </row>
    <row r="82" spans="1:19" ht="15.75" customHeight="1" x14ac:dyDescent="0.25">
      <c r="A82" s="128" t="s">
        <v>136</v>
      </c>
      <c r="B82" s="129" t="s">
        <v>129</v>
      </c>
      <c r="C82" s="43">
        <v>3</v>
      </c>
      <c r="D82" s="19">
        <f ca="1">((100/H75)*C82)/100</f>
        <v>0.75</v>
      </c>
      <c r="E82" s="115"/>
      <c r="F82" s="116"/>
      <c r="G82" s="115"/>
      <c r="H82" s="120"/>
      <c r="I82" s="13" t="s">
        <v>147</v>
      </c>
      <c r="J82" s="30">
        <f>(IF(B75&gt;1,(H75/(B75+2)+J81),0))</f>
        <v>0</v>
      </c>
    </row>
    <row r="83" spans="1:19" ht="15" customHeight="1" x14ac:dyDescent="0.25">
      <c r="A83" s="128" t="s">
        <v>134</v>
      </c>
      <c r="B83" s="129" t="s">
        <v>131</v>
      </c>
      <c r="C83" s="43">
        <v>2</v>
      </c>
      <c r="D83" s="19">
        <f ca="1">((100/(H75))*C83)/100</f>
        <v>0.5</v>
      </c>
      <c r="E83" s="115"/>
      <c r="F83" s="116"/>
      <c r="G83" s="115"/>
      <c r="H83" s="120"/>
      <c r="I83" s="13" t="s">
        <v>142</v>
      </c>
      <c r="J83" s="30">
        <f>(IF(B75&gt;2,(H75/(B75+2)+J82),0))</f>
        <v>0</v>
      </c>
    </row>
    <row r="84" spans="1:19" ht="15.75" customHeight="1" x14ac:dyDescent="0.25">
      <c r="A84" s="128" t="s">
        <v>130</v>
      </c>
      <c r="B84" s="129" t="s">
        <v>130</v>
      </c>
      <c r="C84" s="43">
        <v>0</v>
      </c>
      <c r="D84" s="19">
        <f ca="1">((100/H75)*C84)/100</f>
        <v>0</v>
      </c>
      <c r="E84" s="115"/>
      <c r="F84" s="116"/>
      <c r="G84" s="115"/>
      <c r="H84" s="120"/>
      <c r="I84" s="13" t="s">
        <v>143</v>
      </c>
      <c r="J84" s="31">
        <f>(IF(B75&gt;3,(H75/(B75+2)+J83),0))</f>
        <v>0</v>
      </c>
    </row>
    <row r="85" spans="1:19" ht="15.75" customHeight="1" x14ac:dyDescent="0.25">
      <c r="A85" s="128" t="s">
        <v>137</v>
      </c>
      <c r="B85" s="129"/>
      <c r="C85" s="43">
        <v>0</v>
      </c>
      <c r="D85" s="19">
        <f ca="1">((100/H75)*C85)/100</f>
        <v>0</v>
      </c>
      <c r="E85" s="115"/>
      <c r="F85" s="116"/>
      <c r="G85" s="115"/>
      <c r="H85" s="120"/>
      <c r="I85" s="13" t="s">
        <v>144</v>
      </c>
      <c r="J85" s="30">
        <f>(IF(B75&gt;4,(H75/(B75+2)+J84),0))</f>
        <v>0</v>
      </c>
    </row>
    <row r="86" spans="1:19" ht="15.75" customHeight="1" x14ac:dyDescent="0.25">
      <c r="A86" s="128" t="s">
        <v>132</v>
      </c>
      <c r="B86" s="129" t="s">
        <v>132</v>
      </c>
      <c r="C86" s="43">
        <v>0</v>
      </c>
      <c r="D86" s="19">
        <f ca="1">((100/(H75))*C86)/100</f>
        <v>0</v>
      </c>
      <c r="E86" s="115"/>
      <c r="F86" s="116"/>
      <c r="G86" s="115"/>
      <c r="H86" s="120"/>
      <c r="I86" s="13" t="s">
        <v>148</v>
      </c>
      <c r="J86" s="30">
        <f ca="1">(IF(B75=1,(H75/(B75+3)+J81),IF(B75=0,(H75/4+J81),IF(B75&gt;1,0))))</f>
        <v>3</v>
      </c>
    </row>
    <row r="87" spans="1:19" ht="16.5" thickBot="1" x14ac:dyDescent="0.3">
      <c r="A87" s="167" t="s">
        <v>133</v>
      </c>
      <c r="B87" s="168"/>
      <c r="C87" s="44">
        <v>0</v>
      </c>
      <c r="D87" s="20">
        <f ca="1">((100/(H75))*C87)/100</f>
        <v>0</v>
      </c>
      <c r="E87" s="117"/>
      <c r="F87" s="118"/>
      <c r="G87" s="117"/>
      <c r="H87" s="121"/>
      <c r="I87" s="15" t="s">
        <v>101</v>
      </c>
      <c r="J87" s="32">
        <f ca="1">(IF(B75&gt;1.5,(H75/(B75+2)+J81+MAX(0,J82-J81)+MAX(0,J83-J82)+MAX(0,J84-J83)+MAX(0,J85-J84)+MAX(0,J86-J85)),IF(B75=1,(H75/(B75+3)+J86),IF(B75=0,H75/4+J86))))</f>
        <v>4</v>
      </c>
    </row>
    <row r="88" spans="1:19" ht="15.75" hidden="1" customHeight="1" x14ac:dyDescent="0.25">
      <c r="A88" s="156" t="s">
        <v>139</v>
      </c>
      <c r="B88" s="157"/>
      <c r="C88" s="158" t="e">
        <f>#REF!</f>
        <v>#REF!</v>
      </c>
      <c r="D88" s="159"/>
      <c r="E88" s="159"/>
      <c r="F88" s="159"/>
      <c r="G88" s="159"/>
      <c r="H88" s="160"/>
      <c r="I88" s="49" t="e">
        <f ca="1">IF(D101=100%,"All work Completed. Possession granted to the Building.",IF(D100=100%,"All work Completed, Waiting for OC",I89&amp;""&amp;I90&amp;""&amp;J89&amp;""&amp;J88&amp;" "&amp;J90))</f>
        <v>#REF!</v>
      </c>
      <c r="J88" s="50" t="e">
        <f ca="1">(IF(C94=(D89+F89+H89),"",IF(C94&gt;0,", RCC upto "&amp;C94&amp;" Slab","")))&amp;(IF(C95=H89,"",IF(C95&gt;0,", Brickwork upto "&amp;C95&amp;" Floor","")))&amp;(IF(C96=H89,"",IF(C96&gt;0,", Internal Plaster upto "&amp;C96&amp;" Floor","")))&amp;(IF(C97=H89,"",IF(C97&gt;0,", External Plaster upto "&amp;C97&amp;" Floor","")))&amp;(IF(C98=H89,"",IF(C98&gt;0,", Flooring upto "&amp;C98&amp;" Floor","")))&amp;(IF(C99=H89,"",IF(C99&gt;0,", Painting upto "&amp;C99&amp;" Floor","")))&amp;(IF(C100=H89,"",IF(C100&gt;0,", Finishing upto "&amp;C100&amp;" Floor","")))&amp;(IF(C101=H89,"",IF(C101&gt;0,", Possession upto "&amp;C101&amp;" Floor","")))</f>
        <v>#REF!</v>
      </c>
      <c r="S88"/>
    </row>
    <row r="89" spans="1:19" hidden="1" x14ac:dyDescent="0.25">
      <c r="A89" s="16" t="s">
        <v>141</v>
      </c>
      <c r="B89" s="47">
        <f>IF(AND(ISNUMBER(SEARCH("1B",C88))),1,IF(AND(ISNUMBER(SEARCH("2B",C88))),2,IF(AND(ISNUMBER(SEARCH("3B",C88))),3,IF(AND(ISNUMBER(SEARCH("4B",C88))),4,IF(ISNUMBER(SEARCH("5B",C88)),5,0)))))</f>
        <v>0</v>
      </c>
      <c r="C89" s="47" t="s">
        <v>68</v>
      </c>
      <c r="D89" s="47">
        <v>1</v>
      </c>
      <c r="E89" s="47" t="s">
        <v>67</v>
      </c>
      <c r="F89" s="14">
        <v>0</v>
      </c>
      <c r="G89" s="48" t="s">
        <v>76</v>
      </c>
      <c r="H89" s="17" t="e">
        <f ca="1">--TRIM(RIGHT(SUBSTITUTE(LEFT(C88,_xlfn.AGGREGATE(16,6,FIND({0,1,2,3,4,5,6,7,8,9},C88,ROW(INDIRECT("1:"&amp;LEN(C88)))),1))," ",REPT(" ",LEN(C88))),LEN(C88)))</f>
        <v>#REF!</v>
      </c>
      <c r="I89" s="51" t="e">
        <f ca="1">IF(D92=100%,"Excavation","")&amp;IF(D93=100%,", Plinth","")&amp;IF(D94=100%,", RCC Slab","")&amp;IF(D95=100%,", Brickwork","")&amp;IF(D96=100%,", Internal Plaster","")&amp;IF(D97=100%,", External Plaster","")&amp;IF(D98=100%,", Flooring","")&amp;IF(D99=100%,", Painting","")&amp;IF(D100=100%,", Building common Amenities","")</f>
        <v>#REF!</v>
      </c>
      <c r="J89" s="52" t="e">
        <f ca="1">(IF(C92=0,"Work not yet Started.",IF(D92=25%,"Piling work in process",IF(D92=50%,"Excavation work in process",IF(D92=100%,"","0")))))&amp;(IF(C93=0%,"",IF(C93=J94,", Footing work is process",IF(C93=J95,", Footing work Completed",IF(C93=J96,", 1st Basement Completed",IF(C93=J97,", 1st &amp; 2nd Basement Completed",IF(C93=J98,", 1st to 3rd Basement Completed",IF(C93=J99,", 1st to 4th Basement Completed",IF(C93=J100,", Plinth work is process",IF(C93=J101,"","0"))))))))))</f>
        <v>#REF!</v>
      </c>
      <c r="S89"/>
    </row>
    <row r="90" spans="1:19" ht="36.75" hidden="1" customHeight="1" x14ac:dyDescent="0.25">
      <c r="A90" s="154" t="s">
        <v>86</v>
      </c>
      <c r="B90" s="155"/>
      <c r="C90" s="162" t="e">
        <f ca="1">I88</f>
        <v>#REF!</v>
      </c>
      <c r="D90" s="162"/>
      <c r="E90" s="162"/>
      <c r="F90" s="162"/>
      <c r="G90" s="162"/>
      <c r="H90" s="163"/>
      <c r="I90" s="51" t="e">
        <f ca="1">IF(I89&lt;&gt;""," Completed","")</f>
        <v>#REF!</v>
      </c>
      <c r="J90" s="52" t="e">
        <f ca="1">IF(J88&lt;&gt;"","Completed","")</f>
        <v>#REF!</v>
      </c>
      <c r="S90"/>
    </row>
    <row r="91" spans="1:19" ht="15.75" hidden="1" customHeight="1" x14ac:dyDescent="0.25">
      <c r="A91" s="128" t="s">
        <v>47</v>
      </c>
      <c r="B91" s="129"/>
      <c r="C91" s="43" t="s">
        <v>138</v>
      </c>
      <c r="D91" s="43" t="s">
        <v>79</v>
      </c>
      <c r="E91" s="129" t="s">
        <v>81</v>
      </c>
      <c r="F91" s="129"/>
      <c r="G91" s="129" t="s">
        <v>80</v>
      </c>
      <c r="H91" s="166"/>
      <c r="I91" s="13" t="s">
        <v>140</v>
      </c>
      <c r="J91" s="28" t="e">
        <f ca="1">H89*25%</f>
        <v>#REF!</v>
      </c>
      <c r="S91"/>
    </row>
    <row r="92" spans="1:19" hidden="1" x14ac:dyDescent="0.25">
      <c r="A92" s="128" t="s">
        <v>127</v>
      </c>
      <c r="B92" s="129"/>
      <c r="C92" s="60" t="e">
        <f ca="1">J93</f>
        <v>#REF!</v>
      </c>
      <c r="D92" s="19" t="e">
        <f ca="1">((100/H89)*C92)/100</f>
        <v>#REF!</v>
      </c>
      <c r="E92" s="113" t="e">
        <f ca="1">(((C93/H89*10)+(40/(D89+F89+H89)*C94)+(7.5/(H89)*C95)+(7.5/(H89)*C96)+(10/H89*C97)+(10/H89*C98)+(5/H89*C99)+(5/H89*C100)+(5/H89*C101))/100)</f>
        <v>#REF!</v>
      </c>
      <c r="F92" s="114"/>
      <c r="G92" s="113" t="e">
        <f ca="1">((((C92/H89)*20)+((C93/H89)*25)+(30/(H89+F89+D89)*C94)+(5/H89*C95)+(5/H89*C96)+(5/H89*C97)+(5/H89*C98)+(0/H89*C99)+(0/H89*C100)+(5/H89*C101))/100)</f>
        <v>#REF!</v>
      </c>
      <c r="H92" s="119"/>
      <c r="I92" s="13" t="s">
        <v>97</v>
      </c>
      <c r="J92" s="29" t="e">
        <f ca="1">H89*50%</f>
        <v>#REF!</v>
      </c>
    </row>
    <row r="93" spans="1:19" hidden="1" x14ac:dyDescent="0.25">
      <c r="A93" s="128" t="s">
        <v>48</v>
      </c>
      <c r="B93" s="129"/>
      <c r="C93" s="43" t="e">
        <f ca="1">J101</f>
        <v>#REF!</v>
      </c>
      <c r="D93" s="19" t="e">
        <f ca="1">((100/H89)*C93)/100</f>
        <v>#REF!</v>
      </c>
      <c r="E93" s="115"/>
      <c r="F93" s="116"/>
      <c r="G93" s="115"/>
      <c r="H93" s="120"/>
      <c r="I93" s="13" t="s">
        <v>98</v>
      </c>
      <c r="J93" s="29" t="e">
        <f ca="1">H89</f>
        <v>#REF!</v>
      </c>
      <c r="S93"/>
    </row>
    <row r="94" spans="1:19" ht="15.75" hidden="1" customHeight="1" x14ac:dyDescent="0.25">
      <c r="A94" s="128" t="s">
        <v>128</v>
      </c>
      <c r="B94" s="129"/>
      <c r="C94" s="43">
        <v>0</v>
      </c>
      <c r="D94" s="19" t="e">
        <f ca="1">((100/(D89+F89+H89))*C94)/100</f>
        <v>#REF!</v>
      </c>
      <c r="E94" s="115"/>
      <c r="F94" s="116"/>
      <c r="G94" s="115"/>
      <c r="H94" s="120"/>
      <c r="I94" s="13" t="s">
        <v>99</v>
      </c>
      <c r="J94" s="30" t="e">
        <f ca="1">(IF(B89&gt;1,(H89/(B89+2)),H89/4))</f>
        <v>#REF!</v>
      </c>
      <c r="S94"/>
    </row>
    <row r="95" spans="1:19" ht="15.75" hidden="1" customHeight="1" x14ac:dyDescent="0.25">
      <c r="A95" s="128" t="s">
        <v>135</v>
      </c>
      <c r="B95" s="129" t="s">
        <v>129</v>
      </c>
      <c r="C95" s="43">
        <v>0</v>
      </c>
      <c r="D95" s="19" t="e">
        <f ca="1">((100/H89)*C95)/100</f>
        <v>#REF!</v>
      </c>
      <c r="E95" s="115"/>
      <c r="F95" s="116"/>
      <c r="G95" s="115"/>
      <c r="H95" s="120"/>
      <c r="I95" s="13" t="s">
        <v>100</v>
      </c>
      <c r="J95" s="30" t="e">
        <f ca="1">(IF(B89&gt;1,(H89/(B89+2)+J94),H89/4+J94))</f>
        <v>#REF!</v>
      </c>
    </row>
    <row r="96" spans="1:19" ht="15.75" hidden="1" customHeight="1" x14ac:dyDescent="0.25">
      <c r="A96" s="128" t="s">
        <v>136</v>
      </c>
      <c r="B96" s="129" t="s">
        <v>129</v>
      </c>
      <c r="C96" s="43">
        <v>0</v>
      </c>
      <c r="D96" s="19" t="e">
        <f ca="1">((100/H89)*C96)/100</f>
        <v>#REF!</v>
      </c>
      <c r="E96" s="115"/>
      <c r="F96" s="116"/>
      <c r="G96" s="115"/>
      <c r="H96" s="120"/>
      <c r="I96" s="13" t="s">
        <v>147</v>
      </c>
      <c r="J96" s="30">
        <f>(IF(B89&gt;1,(H89/(B89+2)+J95),0))</f>
        <v>0</v>
      </c>
    </row>
    <row r="97" spans="1:19" ht="15" hidden="1" customHeight="1" x14ac:dyDescent="0.25">
      <c r="A97" s="128" t="s">
        <v>134</v>
      </c>
      <c r="B97" s="129" t="s">
        <v>131</v>
      </c>
      <c r="C97" s="43">
        <v>0</v>
      </c>
      <c r="D97" s="19" t="e">
        <f ca="1">((100/(H89))*C97)/100</f>
        <v>#REF!</v>
      </c>
      <c r="E97" s="115"/>
      <c r="F97" s="116"/>
      <c r="G97" s="115"/>
      <c r="H97" s="120"/>
      <c r="I97" s="13" t="s">
        <v>142</v>
      </c>
      <c r="J97" s="30">
        <f>(IF(B89&gt;2,(H89/(B89+2)+J96),0))</f>
        <v>0</v>
      </c>
    </row>
    <row r="98" spans="1:19" ht="15.75" hidden="1" customHeight="1" x14ac:dyDescent="0.25">
      <c r="A98" s="128" t="s">
        <v>130</v>
      </c>
      <c r="B98" s="129" t="s">
        <v>130</v>
      </c>
      <c r="C98" s="43">
        <v>0</v>
      </c>
      <c r="D98" s="19" t="e">
        <f ca="1">((100/H89)*C98)/100</f>
        <v>#REF!</v>
      </c>
      <c r="E98" s="115"/>
      <c r="F98" s="116"/>
      <c r="G98" s="115"/>
      <c r="H98" s="120"/>
      <c r="I98" s="13" t="s">
        <v>143</v>
      </c>
      <c r="J98" s="31">
        <f>(IF(B89&gt;3,(H89/(B89+2)+J97),0))</f>
        <v>0</v>
      </c>
    </row>
    <row r="99" spans="1:19" ht="15.75" hidden="1" customHeight="1" x14ac:dyDescent="0.25">
      <c r="A99" s="128" t="s">
        <v>137</v>
      </c>
      <c r="B99" s="129"/>
      <c r="C99" s="43">
        <v>0</v>
      </c>
      <c r="D99" s="19" t="e">
        <f ca="1">((100/H89)*C99)/100</f>
        <v>#REF!</v>
      </c>
      <c r="E99" s="115"/>
      <c r="F99" s="116"/>
      <c r="G99" s="115"/>
      <c r="H99" s="120"/>
      <c r="I99" s="13" t="s">
        <v>144</v>
      </c>
      <c r="J99" s="30">
        <f>(IF(B89&gt;4,(H89/(B89+2)+J98),0))</f>
        <v>0</v>
      </c>
    </row>
    <row r="100" spans="1:19" ht="15.75" hidden="1" customHeight="1" x14ac:dyDescent="0.25">
      <c r="A100" s="128" t="s">
        <v>132</v>
      </c>
      <c r="B100" s="129" t="s">
        <v>132</v>
      </c>
      <c r="C100" s="43">
        <v>0</v>
      </c>
      <c r="D100" s="19" t="e">
        <f ca="1">((100/(H89))*C100)/100</f>
        <v>#REF!</v>
      </c>
      <c r="E100" s="115"/>
      <c r="F100" s="116"/>
      <c r="G100" s="115"/>
      <c r="H100" s="120"/>
      <c r="I100" s="13" t="s">
        <v>148</v>
      </c>
      <c r="J100" s="30" t="e">
        <f ca="1">(IF(B89=1,(H89/(B89+3)+J95),IF(B89=0,(H89/4+J95),IF(B89&gt;1,0))))</f>
        <v>#REF!</v>
      </c>
    </row>
    <row r="101" spans="1:19" ht="16.5" hidden="1" thickBot="1" x14ac:dyDescent="0.3">
      <c r="A101" s="167" t="s">
        <v>133</v>
      </c>
      <c r="B101" s="168"/>
      <c r="C101" s="44">
        <v>0</v>
      </c>
      <c r="D101" s="20" t="e">
        <f ca="1">((100/(H89))*C101)/100</f>
        <v>#REF!</v>
      </c>
      <c r="E101" s="117"/>
      <c r="F101" s="118"/>
      <c r="G101" s="117"/>
      <c r="H101" s="121"/>
      <c r="I101" s="15" t="s">
        <v>101</v>
      </c>
      <c r="J101" s="32" t="e">
        <f ca="1">(IF(B89&gt;1.5,(H89/(B89+2)+J95+MAX(0,J96-J95)+MAX(0,J97-J96)+MAX(0,J98-J97)+MAX(0,J99-J98)+MAX(0,J100-J99)),IF(B89=1,(H89/(B89+3)+J100),IF(B89=0,H89/4+J100))))</f>
        <v>#REF!</v>
      </c>
    </row>
    <row r="102" spans="1:19" ht="15.75" hidden="1" customHeight="1" x14ac:dyDescent="0.25">
      <c r="A102" s="156" t="s">
        <v>139</v>
      </c>
      <c r="B102" s="157"/>
      <c r="C102" s="158" t="e">
        <f>#REF!</f>
        <v>#REF!</v>
      </c>
      <c r="D102" s="159"/>
      <c r="E102" s="159"/>
      <c r="F102" s="159"/>
      <c r="G102" s="159"/>
      <c r="H102" s="160"/>
      <c r="I102" s="49" t="e">
        <f ca="1">IF(D115=100%,"All work Completed. Possession granted to the Building.",IF(D114=100%,"All work Completed, Waiting for OC",I103&amp;""&amp;I104&amp;""&amp;J103&amp;""&amp;J102&amp;" "&amp;J104))</f>
        <v>#REF!</v>
      </c>
      <c r="J102" s="50" t="e">
        <f ca="1">(IF(C108=(D103+F103+H103),"",IF(C108&gt;0,", RCC upto "&amp;C108&amp;" Slab","")))&amp;(IF(C109=H103,"",IF(C109&gt;0,", Brickwork upto "&amp;C109&amp;" Floor","")))&amp;(IF(C110=H103,"",IF(C110&gt;0,", Internal Plaster upto "&amp;C110&amp;" Floor","")))&amp;(IF(C111=H103,"",IF(C111&gt;0,", External Plaster upto "&amp;C111&amp;" Floor","")))&amp;(IF(C112=H103,"",IF(C112&gt;0,", Flooring upto "&amp;C112&amp;" Floor","")))&amp;(IF(C113=H103,"",IF(C113&gt;0,", Painting upto "&amp;C113&amp;" Floor","")))&amp;(IF(C114=H103,"",IF(C114&gt;0,", Finishing upto "&amp;C114&amp;" Floor","")))&amp;(IF(C115=H103,"",IF(C115&gt;0,", Possession upto "&amp;C115&amp;" Floor","")))</f>
        <v>#REF!</v>
      </c>
      <c r="S102"/>
    </row>
    <row r="103" spans="1:19" hidden="1" x14ac:dyDescent="0.25">
      <c r="A103" s="16" t="s">
        <v>141</v>
      </c>
      <c r="B103" s="47">
        <f>IF(AND(ISNUMBER(SEARCH("1B",C102))),1,IF(AND(ISNUMBER(SEARCH("2B",C102))),2,IF(AND(ISNUMBER(SEARCH("3B",C102))),3,IF(AND(ISNUMBER(SEARCH("4B",C102))),4,IF(ISNUMBER(SEARCH("5B",C102)),5,0)))))</f>
        <v>0</v>
      </c>
      <c r="C103" s="47" t="s">
        <v>68</v>
      </c>
      <c r="D103" s="47">
        <v>1</v>
      </c>
      <c r="E103" s="47" t="s">
        <v>67</v>
      </c>
      <c r="F103" s="14">
        <v>0</v>
      </c>
      <c r="G103" s="48" t="s">
        <v>76</v>
      </c>
      <c r="H103" s="17" t="e">
        <f ca="1">--TRIM(RIGHT(SUBSTITUTE(LEFT(C102,_xlfn.AGGREGATE(16,6,FIND({0,1,2,3,4,5,6,7,8,9},C102,ROW(INDIRECT("1:"&amp;LEN(C102)))),1))," ",REPT(" ",LEN(C102))),LEN(C102)))</f>
        <v>#REF!</v>
      </c>
      <c r="I103" s="51" t="e">
        <f ca="1">IF(D106=100%,"Excavation","")&amp;IF(D107=100%,", Plinth","")&amp;IF(D108=100%,", RCC Slab","")&amp;IF(D109=100%,", Brickwork","")&amp;IF(D110=100%,", Internal Plaster","")&amp;IF(D111=100%,", External Plaster","")&amp;IF(D112=100%,", Flooring","")&amp;IF(D113=100%,", Painting","")&amp;IF(D114=100%,", Building common Amenities","")</f>
        <v>#REF!</v>
      </c>
      <c r="J103" s="52" t="e">
        <f ca="1">(IF(C106=0,"Work not yet Started.",IF(D106=25%,"Piling work in process",IF(D106=50%,"Excavation work in process",IF(D106=100%,"","0")))))&amp;(IF(C107=0%,"",IF(C107=J108,", Footing work is process",IF(C107=J109,", Footing work Completed",IF(C107=J110,", 1st Basement Completed",IF(C107=J111,", 1st &amp; 2nd Basement Completed",IF(C107=J112,", 1st to 3rd Basement Completed",IF(C107=J113,", 1st to 4th Basement Completed",IF(C107=J114,", Plinth work is process",IF(C107=J115,"","0"))))))))))</f>
        <v>#REF!</v>
      </c>
      <c r="S103"/>
    </row>
    <row r="104" spans="1:19" hidden="1" x14ac:dyDescent="0.25">
      <c r="A104" s="154" t="s">
        <v>86</v>
      </c>
      <c r="B104" s="155"/>
      <c r="C104" s="162" t="e">
        <f ca="1">I102</f>
        <v>#REF!</v>
      </c>
      <c r="D104" s="162"/>
      <c r="E104" s="162"/>
      <c r="F104" s="162"/>
      <c r="G104" s="162"/>
      <c r="H104" s="163"/>
      <c r="I104" s="51" t="e">
        <f ca="1">IF(I103&lt;&gt;""," Completed","")</f>
        <v>#REF!</v>
      </c>
      <c r="J104" s="52" t="e">
        <f ca="1">IF(J102&lt;&gt;"","Completed","")</f>
        <v>#REF!</v>
      </c>
      <c r="S104"/>
    </row>
    <row r="105" spans="1:19" ht="15.75" hidden="1" customHeight="1" x14ac:dyDescent="0.25">
      <c r="A105" s="128" t="s">
        <v>47</v>
      </c>
      <c r="B105" s="129"/>
      <c r="C105" s="43" t="s">
        <v>138</v>
      </c>
      <c r="D105" s="43" t="s">
        <v>79</v>
      </c>
      <c r="E105" s="129" t="s">
        <v>81</v>
      </c>
      <c r="F105" s="129"/>
      <c r="G105" s="129" t="s">
        <v>80</v>
      </c>
      <c r="H105" s="166"/>
      <c r="I105" s="13" t="s">
        <v>140</v>
      </c>
      <c r="J105" s="28" t="e">
        <f ca="1">H103*25%</f>
        <v>#REF!</v>
      </c>
      <c r="S105"/>
    </row>
    <row r="106" spans="1:19" hidden="1" x14ac:dyDescent="0.25">
      <c r="A106" s="128" t="s">
        <v>127</v>
      </c>
      <c r="B106" s="129"/>
      <c r="C106" s="60" t="e">
        <f ca="1">J107</f>
        <v>#REF!</v>
      </c>
      <c r="D106" s="19" t="e">
        <f ca="1">((100/H103)*C106)/100</f>
        <v>#REF!</v>
      </c>
      <c r="E106" s="113" t="e">
        <f ca="1">(((C107/H103*10)+(40/(D103+F103+H103)*C108)+(7.5/(H103)*C109)+(7.5/(H103)*C110)+(10/H103*C111)+(10/H103*C112)+(5/H103*C113)+(5/H103*C114)+(5/H103*C115))/100)</f>
        <v>#REF!</v>
      </c>
      <c r="F106" s="114"/>
      <c r="G106" s="113" t="e">
        <f ca="1">((((C106/H103)*20)+((C107/H103)*25)+(30/(H103+F103+D103)*C108)+(5/H103*C109)+(5/H103*C110)+(5/H103*C111)+(5/H103*C112)+(0/H103*C113)+(0/H103*C114)+(5/H103*C115))/100)</f>
        <v>#REF!</v>
      </c>
      <c r="H106" s="119"/>
      <c r="I106" s="13" t="s">
        <v>97</v>
      </c>
      <c r="J106" s="29" t="e">
        <f ca="1">H103*50%</f>
        <v>#REF!</v>
      </c>
    </row>
    <row r="107" spans="1:19" hidden="1" x14ac:dyDescent="0.25">
      <c r="A107" s="128" t="s">
        <v>48</v>
      </c>
      <c r="B107" s="129"/>
      <c r="C107" s="43" t="e">
        <f ca="1">J115</f>
        <v>#REF!</v>
      </c>
      <c r="D107" s="19" t="e">
        <f ca="1">((100/H103)*C107)/100</f>
        <v>#REF!</v>
      </c>
      <c r="E107" s="115"/>
      <c r="F107" s="116"/>
      <c r="G107" s="115"/>
      <c r="H107" s="120"/>
      <c r="I107" s="13" t="s">
        <v>98</v>
      </c>
      <c r="J107" s="29" t="e">
        <f ca="1">H103</f>
        <v>#REF!</v>
      </c>
      <c r="S107"/>
    </row>
    <row r="108" spans="1:19" ht="15.75" hidden="1" customHeight="1" x14ac:dyDescent="0.25">
      <c r="A108" s="128" t="s">
        <v>128</v>
      </c>
      <c r="B108" s="129"/>
      <c r="C108" s="43">
        <v>0</v>
      </c>
      <c r="D108" s="19" t="e">
        <f ca="1">((100/(D103+F103+H103))*C108)/100</f>
        <v>#REF!</v>
      </c>
      <c r="E108" s="115"/>
      <c r="F108" s="116"/>
      <c r="G108" s="115"/>
      <c r="H108" s="120"/>
      <c r="I108" s="13" t="s">
        <v>99</v>
      </c>
      <c r="J108" s="30" t="e">
        <f ca="1">(IF(B103&gt;1,(H103/(B103+2)),H103/4))</f>
        <v>#REF!</v>
      </c>
      <c r="S108"/>
    </row>
    <row r="109" spans="1:19" ht="15.75" hidden="1" customHeight="1" x14ac:dyDescent="0.25">
      <c r="A109" s="128" t="s">
        <v>135</v>
      </c>
      <c r="B109" s="129" t="s">
        <v>129</v>
      </c>
      <c r="C109" s="43">
        <v>0</v>
      </c>
      <c r="D109" s="19" t="e">
        <f ca="1">((100/H103)*C109)/100</f>
        <v>#REF!</v>
      </c>
      <c r="E109" s="115"/>
      <c r="F109" s="116"/>
      <c r="G109" s="115"/>
      <c r="H109" s="120"/>
      <c r="I109" s="13" t="s">
        <v>100</v>
      </c>
      <c r="J109" s="30" t="e">
        <f ca="1">(IF(B103&gt;1,(H103/(B103+2)+J108),H103/4+J108))</f>
        <v>#REF!</v>
      </c>
    </row>
    <row r="110" spans="1:19" ht="15.75" hidden="1" customHeight="1" x14ac:dyDescent="0.25">
      <c r="A110" s="128" t="s">
        <v>136</v>
      </c>
      <c r="B110" s="129" t="s">
        <v>129</v>
      </c>
      <c r="C110" s="43">
        <v>0</v>
      </c>
      <c r="D110" s="19" t="e">
        <f ca="1">((100/H103)*C110)/100</f>
        <v>#REF!</v>
      </c>
      <c r="E110" s="115"/>
      <c r="F110" s="116"/>
      <c r="G110" s="115"/>
      <c r="H110" s="120"/>
      <c r="I110" s="13" t="s">
        <v>147</v>
      </c>
      <c r="J110" s="30">
        <f>(IF(B103&gt;1,(H103/(B103+2)+J109),0))</f>
        <v>0</v>
      </c>
    </row>
    <row r="111" spans="1:19" ht="15" hidden="1" customHeight="1" x14ac:dyDescent="0.25">
      <c r="A111" s="128" t="s">
        <v>134</v>
      </c>
      <c r="B111" s="129" t="s">
        <v>131</v>
      </c>
      <c r="C111" s="43">
        <v>0</v>
      </c>
      <c r="D111" s="19" t="e">
        <f ca="1">((100/(H103))*C111)/100</f>
        <v>#REF!</v>
      </c>
      <c r="E111" s="115"/>
      <c r="F111" s="116"/>
      <c r="G111" s="115"/>
      <c r="H111" s="120"/>
      <c r="I111" s="13" t="s">
        <v>142</v>
      </c>
      <c r="J111" s="30">
        <f>(IF(B103&gt;2,(H103/(B103+2)+J110),0))</f>
        <v>0</v>
      </c>
    </row>
    <row r="112" spans="1:19" ht="15.75" hidden="1" customHeight="1" x14ac:dyDescent="0.25">
      <c r="A112" s="128" t="s">
        <v>130</v>
      </c>
      <c r="B112" s="129" t="s">
        <v>130</v>
      </c>
      <c r="C112" s="43">
        <v>0</v>
      </c>
      <c r="D112" s="19" t="e">
        <f ca="1">((100/H103)*C112)/100</f>
        <v>#REF!</v>
      </c>
      <c r="E112" s="115"/>
      <c r="F112" s="116"/>
      <c r="G112" s="115"/>
      <c r="H112" s="120"/>
      <c r="I112" s="13" t="s">
        <v>143</v>
      </c>
      <c r="J112" s="31">
        <f>(IF(B103&gt;3,(H103/(B103+2)+J111),0))</f>
        <v>0</v>
      </c>
    </row>
    <row r="113" spans="1:22" ht="15.75" hidden="1" customHeight="1" x14ac:dyDescent="0.25">
      <c r="A113" s="128" t="s">
        <v>137</v>
      </c>
      <c r="B113" s="129"/>
      <c r="C113" s="43">
        <v>0</v>
      </c>
      <c r="D113" s="19" t="e">
        <f ca="1">((100/H103)*C113)/100</f>
        <v>#REF!</v>
      </c>
      <c r="E113" s="115"/>
      <c r="F113" s="116"/>
      <c r="G113" s="115"/>
      <c r="H113" s="120"/>
      <c r="I113" s="13" t="s">
        <v>144</v>
      </c>
      <c r="J113" s="30">
        <f>(IF(B103&gt;4,(H103/(B103+2)+J112),0))</f>
        <v>0</v>
      </c>
    </row>
    <row r="114" spans="1:22" ht="15.75" hidden="1" customHeight="1" x14ac:dyDescent="0.25">
      <c r="A114" s="128" t="s">
        <v>132</v>
      </c>
      <c r="B114" s="129" t="s">
        <v>132</v>
      </c>
      <c r="C114" s="43">
        <v>0</v>
      </c>
      <c r="D114" s="19" t="e">
        <f ca="1">((100/(H103))*C114)/100</f>
        <v>#REF!</v>
      </c>
      <c r="E114" s="115"/>
      <c r="F114" s="116"/>
      <c r="G114" s="115"/>
      <c r="H114" s="120"/>
      <c r="I114" s="13" t="s">
        <v>148</v>
      </c>
      <c r="J114" s="30" t="e">
        <f ca="1">(IF(B103=1,(H103/(B103+3)+J109),IF(B103=0,(H103/4+J109),IF(B103&gt;1,0))))</f>
        <v>#REF!</v>
      </c>
    </row>
    <row r="115" spans="1:22" ht="16.5" hidden="1" thickBot="1" x14ac:dyDescent="0.3">
      <c r="A115" s="167" t="s">
        <v>133</v>
      </c>
      <c r="B115" s="168"/>
      <c r="C115" s="44">
        <v>0</v>
      </c>
      <c r="D115" s="20" t="e">
        <f ca="1">((100/(H103))*C115)/100</f>
        <v>#REF!</v>
      </c>
      <c r="E115" s="117"/>
      <c r="F115" s="118"/>
      <c r="G115" s="117"/>
      <c r="H115" s="121"/>
      <c r="I115" s="15" t="s">
        <v>101</v>
      </c>
      <c r="J115" s="32" t="e">
        <f ca="1">(IF(B103&gt;1.5,(H103/(B103+2)+J109+MAX(0,J110-J109)+MAX(0,J111-J110)+MAX(0,J112-J111)+MAX(0,J113-J112)+MAX(0,J114-J113)),IF(B103=1,(H103/(B103+3)+J114),IF(B103=0,H103/4+J114))))</f>
        <v>#REF!</v>
      </c>
    </row>
    <row r="116" spans="1:22" x14ac:dyDescent="0.25">
      <c r="A116" s="198" t="s">
        <v>158</v>
      </c>
      <c r="B116" s="198"/>
      <c r="C116" s="198"/>
      <c r="D116" s="198"/>
      <c r="E116" s="198"/>
      <c r="F116" s="207" t="s">
        <v>162</v>
      </c>
      <c r="G116" s="207"/>
      <c r="H116" s="207"/>
      <c r="R116" t="s">
        <v>253</v>
      </c>
      <c r="S116" t="s">
        <v>173</v>
      </c>
      <c r="T116" t="s">
        <v>180</v>
      </c>
      <c r="U116" t="s">
        <v>194</v>
      </c>
      <c r="V116" t="s">
        <v>189</v>
      </c>
    </row>
    <row r="117" spans="1:22" x14ac:dyDescent="0.25">
      <c r="A117" s="161" t="s">
        <v>160</v>
      </c>
      <c r="B117" s="161"/>
      <c r="C117" s="161"/>
      <c r="D117" s="161"/>
      <c r="E117" s="161"/>
      <c r="F117" s="171">
        <v>3200</v>
      </c>
      <c r="G117" s="171"/>
      <c r="H117" s="171"/>
      <c r="R117"/>
      <c r="S117">
        <v>800000</v>
      </c>
      <c r="T117">
        <v>150000</v>
      </c>
      <c r="U117">
        <v>100000</v>
      </c>
      <c r="V117">
        <v>100000</v>
      </c>
    </row>
    <row r="118" spans="1:22" hidden="1" x14ac:dyDescent="0.25">
      <c r="A118" s="161" t="s">
        <v>159</v>
      </c>
      <c r="B118" s="161"/>
      <c r="C118" s="161"/>
      <c r="D118" s="161"/>
      <c r="E118" s="161"/>
      <c r="F118" s="171"/>
      <c r="G118" s="171"/>
      <c r="H118" s="171"/>
      <c r="R118"/>
      <c r="S118">
        <v>900000</v>
      </c>
      <c r="T118">
        <v>200000</v>
      </c>
      <c r="U118">
        <v>150000</v>
      </c>
      <c r="V118">
        <v>150000</v>
      </c>
    </row>
    <row r="119" spans="1:22" hidden="1" x14ac:dyDescent="0.25">
      <c r="A119" s="161" t="s">
        <v>161</v>
      </c>
      <c r="B119" s="161"/>
      <c r="C119" s="161"/>
      <c r="D119" s="161"/>
      <c r="E119" s="161"/>
      <c r="F119" s="171"/>
      <c r="G119" s="171"/>
      <c r="H119" s="171"/>
      <c r="R119"/>
      <c r="S119">
        <v>1000000</v>
      </c>
      <c r="T119">
        <v>250000</v>
      </c>
      <c r="U119">
        <v>200000</v>
      </c>
      <c r="V119">
        <v>200000</v>
      </c>
    </row>
    <row r="120" spans="1:22" s="33" customFormat="1" hidden="1" x14ac:dyDescent="0.25">
      <c r="A120" s="161" t="s">
        <v>175</v>
      </c>
      <c r="B120" s="161"/>
      <c r="C120" s="161"/>
      <c r="D120" s="161"/>
      <c r="E120" s="161"/>
      <c r="F120" s="171"/>
      <c r="G120" s="171"/>
      <c r="H120" s="171"/>
      <c r="R120"/>
      <c r="S120">
        <v>1100000</v>
      </c>
      <c r="T120">
        <v>300000</v>
      </c>
      <c r="U120">
        <v>250000</v>
      </c>
      <c r="V120" s="23">
        <v>250000</v>
      </c>
    </row>
    <row r="121" spans="1:22" s="33" customFormat="1" x14ac:dyDescent="0.25">
      <c r="A121" s="161" t="s">
        <v>91</v>
      </c>
      <c r="B121" s="161"/>
      <c r="C121" s="161"/>
      <c r="D121" s="161"/>
      <c r="E121" s="161"/>
      <c r="F121" s="171">
        <v>150000</v>
      </c>
      <c r="G121" s="171"/>
      <c r="H121" s="171"/>
      <c r="R121"/>
      <c r="S121">
        <v>1200000</v>
      </c>
      <c r="T121">
        <v>350000</v>
      </c>
      <c r="U121">
        <v>300000</v>
      </c>
      <c r="V121">
        <v>300000</v>
      </c>
    </row>
    <row r="122" spans="1:22" s="33" customFormat="1" hidden="1" x14ac:dyDescent="0.25">
      <c r="A122" s="161" t="s">
        <v>92</v>
      </c>
      <c r="B122" s="161"/>
      <c r="C122" s="161"/>
      <c r="D122" s="161"/>
      <c r="E122" s="161"/>
      <c r="F122" s="171"/>
      <c r="G122" s="171"/>
      <c r="H122" s="171"/>
      <c r="R122"/>
      <c r="S122">
        <v>1300000</v>
      </c>
      <c r="T122">
        <v>400000</v>
      </c>
      <c r="U122">
        <v>350000</v>
      </c>
      <c r="V122" s="23">
        <v>400000</v>
      </c>
    </row>
    <row r="123" spans="1:22" s="33" customFormat="1" hidden="1" x14ac:dyDescent="0.25">
      <c r="A123" s="161" t="s">
        <v>93</v>
      </c>
      <c r="B123" s="161"/>
      <c r="C123" s="161"/>
      <c r="D123" s="161"/>
      <c r="E123" s="161"/>
      <c r="F123" s="171"/>
      <c r="G123" s="171"/>
      <c r="H123" s="171"/>
      <c r="R123"/>
      <c r="S123">
        <v>1400000</v>
      </c>
      <c r="T123">
        <v>500000</v>
      </c>
      <c r="U123">
        <v>400000</v>
      </c>
      <c r="V123"/>
    </row>
    <row r="124" spans="1:22" s="33" customFormat="1" hidden="1" x14ac:dyDescent="0.25">
      <c r="A124" s="161" t="s">
        <v>94</v>
      </c>
      <c r="B124" s="161"/>
      <c r="C124" s="161"/>
      <c r="D124" s="161"/>
      <c r="E124" s="161"/>
      <c r="F124" s="171"/>
      <c r="G124" s="171"/>
      <c r="H124" s="171"/>
      <c r="R124"/>
      <c r="S124">
        <v>1500000</v>
      </c>
      <c r="T124">
        <v>600000</v>
      </c>
      <c r="U124">
        <v>500000</v>
      </c>
      <c r="V124" s="23"/>
    </row>
    <row r="125" spans="1:22" s="33" customFormat="1" hidden="1" x14ac:dyDescent="0.25">
      <c r="A125" s="161" t="s">
        <v>95</v>
      </c>
      <c r="B125" s="161"/>
      <c r="C125" s="161"/>
      <c r="D125" s="161"/>
      <c r="E125" s="161"/>
      <c r="F125" s="171"/>
      <c r="G125" s="171"/>
      <c r="H125" s="171"/>
      <c r="R125"/>
      <c r="S125">
        <v>1600000</v>
      </c>
      <c r="T125">
        <v>700000</v>
      </c>
      <c r="U125">
        <v>600000</v>
      </c>
      <c r="V125"/>
    </row>
    <row r="126" spans="1:22" s="33" customFormat="1" hidden="1" x14ac:dyDescent="0.25">
      <c r="A126" s="161" t="s">
        <v>96</v>
      </c>
      <c r="B126" s="161"/>
      <c r="C126" s="161"/>
      <c r="D126" s="161"/>
      <c r="E126" s="161"/>
      <c r="F126" s="171"/>
      <c r="G126" s="171"/>
      <c r="H126" s="171"/>
      <c r="R126"/>
      <c r="S126">
        <v>1700000</v>
      </c>
      <c r="T126">
        <v>800000</v>
      </c>
      <c r="U126"/>
      <c r="V126" s="23"/>
    </row>
    <row r="127" spans="1:22" x14ac:dyDescent="0.25">
      <c r="A127" s="161" t="s">
        <v>49</v>
      </c>
      <c r="B127" s="161"/>
      <c r="C127" s="161"/>
      <c r="D127" s="161"/>
      <c r="E127" s="161"/>
      <c r="F127" s="171">
        <v>100000</v>
      </c>
      <c r="G127" s="171"/>
      <c r="H127" s="171"/>
      <c r="R127"/>
      <c r="S127">
        <v>1800000</v>
      </c>
      <c r="T127">
        <v>900000</v>
      </c>
      <c r="U127"/>
    </row>
    <row r="128" spans="1:22" s="34" customFormat="1" x14ac:dyDescent="0.25">
      <c r="A128" s="212" t="s">
        <v>50</v>
      </c>
      <c r="B128" s="212"/>
      <c r="C128" s="212"/>
      <c r="D128" s="212"/>
      <c r="E128" s="212"/>
      <c r="F128" s="171">
        <f>F117*0.8</f>
        <v>2560</v>
      </c>
      <c r="G128" s="171"/>
      <c r="H128" s="171"/>
      <c r="R128" s="21"/>
      <c r="S128" s="21"/>
      <c r="T128">
        <v>1000000</v>
      </c>
      <c r="U128"/>
      <c r="V128" s="21"/>
    </row>
    <row r="129" spans="1:22" s="35" customFormat="1" ht="15.75" hidden="1" customHeight="1" x14ac:dyDescent="0.25">
      <c r="A129" s="211" t="s">
        <v>71</v>
      </c>
      <c r="B129" s="211"/>
      <c r="C129" s="211"/>
      <c r="D129" s="211"/>
      <c r="E129" s="211"/>
      <c r="F129" s="211"/>
      <c r="G129" s="211"/>
      <c r="H129" s="211"/>
      <c r="R129"/>
      <c r="S129" s="21"/>
      <c r="T129"/>
      <c r="U129"/>
      <c r="V129" s="21"/>
    </row>
    <row r="130" spans="1:22" s="35" customFormat="1" ht="15.75" hidden="1" customHeight="1" x14ac:dyDescent="0.25">
      <c r="A130" s="173" t="s">
        <v>51</v>
      </c>
      <c r="B130" s="173"/>
      <c r="C130" s="179" t="s">
        <v>74</v>
      </c>
      <c r="D130" s="179"/>
      <c r="E130" s="177" t="s">
        <v>52</v>
      </c>
      <c r="F130" s="177"/>
      <c r="G130" s="173" t="s">
        <v>53</v>
      </c>
      <c r="H130" s="173"/>
      <c r="R130"/>
      <c r="S130" s="21"/>
      <c r="T130"/>
      <c r="U130" s="21"/>
      <c r="V130" s="21"/>
    </row>
    <row r="131" spans="1:22" s="35" customFormat="1" hidden="1" x14ac:dyDescent="0.25">
      <c r="A131" s="178"/>
      <c r="B131" s="178"/>
      <c r="C131" s="255"/>
      <c r="D131" s="255"/>
      <c r="E131" s="259"/>
      <c r="F131" s="259"/>
      <c r="G131" s="187"/>
      <c r="H131" s="187"/>
      <c r="R131"/>
      <c r="S131" s="21"/>
      <c r="T131"/>
      <c r="U131" s="21"/>
      <c r="V131" s="21"/>
    </row>
    <row r="132" spans="1:22" s="35" customFormat="1" hidden="1" x14ac:dyDescent="0.25">
      <c r="A132" s="178"/>
      <c r="B132" s="178"/>
      <c r="C132" s="255"/>
      <c r="D132" s="255"/>
      <c r="E132" s="259"/>
      <c r="F132" s="259"/>
      <c r="G132" s="187"/>
      <c r="H132" s="187"/>
      <c r="R132"/>
      <c r="S132" s="21"/>
      <c r="T132"/>
      <c r="U132" s="21"/>
      <c r="V132" s="21"/>
    </row>
    <row r="133" spans="1:22" s="35" customFormat="1" hidden="1" x14ac:dyDescent="0.25">
      <c r="A133" s="211" t="s">
        <v>152</v>
      </c>
      <c r="B133" s="211"/>
      <c r="C133" s="179"/>
      <c r="D133" s="179"/>
      <c r="E133" s="177"/>
      <c r="F133" s="177"/>
      <c r="G133" s="173"/>
      <c r="H133" s="173"/>
      <c r="R133"/>
      <c r="S133" s="21"/>
      <c r="T133"/>
      <c r="U133" s="21"/>
      <c r="V133" s="21"/>
    </row>
    <row r="134" spans="1:22" s="35" customFormat="1" x14ac:dyDescent="0.25">
      <c r="A134" s="211" t="s">
        <v>66</v>
      </c>
      <c r="B134" s="211"/>
      <c r="C134" s="211"/>
      <c r="D134" s="211"/>
      <c r="E134" s="211"/>
      <c r="F134" s="211"/>
      <c r="G134" s="211"/>
      <c r="H134" s="211"/>
      <c r="I134" s="35">
        <f>2109750/570</f>
        <v>3701.3157894736842</v>
      </c>
      <c r="T134"/>
    </row>
    <row r="135" spans="1:22" s="35" customFormat="1" ht="15.75" customHeight="1" x14ac:dyDescent="0.25">
      <c r="A135" s="173" t="s">
        <v>51</v>
      </c>
      <c r="B135" s="173"/>
      <c r="C135" s="179" t="s">
        <v>74</v>
      </c>
      <c r="D135" s="179"/>
      <c r="E135" s="177" t="s">
        <v>52</v>
      </c>
      <c r="F135" s="177"/>
      <c r="G135" s="173" t="s">
        <v>53</v>
      </c>
      <c r="H135" s="173"/>
      <c r="I135" s="35">
        <f>2125625/575</f>
        <v>3696.7391304347825</v>
      </c>
      <c r="T135"/>
    </row>
    <row r="136" spans="1:22" s="35" customFormat="1" x14ac:dyDescent="0.25">
      <c r="A136" s="178" t="s">
        <v>65</v>
      </c>
      <c r="B136" s="178"/>
      <c r="C136" s="254">
        <f>COUNT(D152)+COUNT(D154:D156)*4</f>
        <v>13</v>
      </c>
      <c r="D136" s="255"/>
      <c r="E136" s="254">
        <f>SUM(F152)+SUM(F154:F156)*4</f>
        <v>4893.6254795999994</v>
      </c>
      <c r="F136" s="255"/>
      <c r="G136" s="254">
        <f>SUM(H152)+SUM(H154:H156)*4</f>
        <v>7095.7569454199993</v>
      </c>
      <c r="H136" s="255"/>
      <c r="I136" s="35">
        <f>2141500/580</f>
        <v>3692.2413793103447</v>
      </c>
      <c r="T136"/>
    </row>
    <row r="137" spans="1:22" s="35" customFormat="1" x14ac:dyDescent="0.25">
      <c r="A137" s="265" t="s">
        <v>152</v>
      </c>
      <c r="B137" s="265"/>
      <c r="C137" s="188">
        <f>C136</f>
        <v>13</v>
      </c>
      <c r="D137" s="189"/>
      <c r="E137" s="188">
        <f>E136</f>
        <v>4893.6254795999994</v>
      </c>
      <c r="F137" s="189"/>
      <c r="G137" s="188">
        <f>G136</f>
        <v>7095.7569454199993</v>
      </c>
      <c r="H137" s="189"/>
      <c r="T137"/>
    </row>
    <row r="138" spans="1:22" s="35" customFormat="1" hidden="1" x14ac:dyDescent="0.25">
      <c r="A138" s="196" t="s">
        <v>167</v>
      </c>
      <c r="B138" s="197"/>
      <c r="C138" s="214">
        <f>C133+C137</f>
        <v>13</v>
      </c>
      <c r="D138" s="214"/>
      <c r="E138" s="258">
        <f>E133+E137</f>
        <v>4893.6254795999994</v>
      </c>
      <c r="F138" s="258"/>
      <c r="G138" s="260">
        <f>G133+G137</f>
        <v>7095.7569454199993</v>
      </c>
      <c r="H138" s="261"/>
      <c r="T138"/>
    </row>
    <row r="139" spans="1:22" s="34" customFormat="1" x14ac:dyDescent="0.25">
      <c r="A139" s="216" t="s">
        <v>355</v>
      </c>
      <c r="B139" s="216"/>
      <c r="C139" s="216"/>
      <c r="D139" s="216"/>
      <c r="E139" s="216"/>
      <c r="F139" s="216"/>
      <c r="G139" s="216"/>
      <c r="H139" s="216"/>
      <c r="T139" s="35"/>
    </row>
    <row r="140" spans="1:22" x14ac:dyDescent="0.25">
      <c r="A140" s="172" t="s">
        <v>414</v>
      </c>
      <c r="B140" s="172"/>
      <c r="C140" s="172"/>
      <c r="D140" s="172"/>
      <c r="E140" s="172"/>
      <c r="F140" s="172"/>
      <c r="G140" s="172"/>
      <c r="H140" s="172"/>
      <c r="T140" s="35"/>
    </row>
    <row r="141" spans="1:22" ht="47.25" hidden="1" customHeight="1" x14ac:dyDescent="0.25">
      <c r="A141" s="122" t="s">
        <v>118</v>
      </c>
      <c r="B141" s="124" t="s">
        <v>176</v>
      </c>
      <c r="C141" s="122" t="s">
        <v>54</v>
      </c>
      <c r="D141" s="124" t="s">
        <v>232</v>
      </c>
      <c r="E141" s="256" t="s">
        <v>157</v>
      </c>
      <c r="F141" s="122" t="s">
        <v>55</v>
      </c>
      <c r="G141" s="199" t="s">
        <v>56</v>
      </c>
      <c r="H141" s="65" t="s">
        <v>150</v>
      </c>
      <c r="T141" s="35"/>
    </row>
    <row r="142" spans="1:22" s="37" customFormat="1" hidden="1" x14ac:dyDescent="0.25">
      <c r="A142" s="123"/>
      <c r="B142" s="125"/>
      <c r="C142" s="123"/>
      <c r="D142" s="125"/>
      <c r="E142" s="257"/>
      <c r="F142" s="123"/>
      <c r="G142" s="200"/>
      <c r="H142" s="55">
        <v>0.45</v>
      </c>
      <c r="T142" s="35"/>
    </row>
    <row r="143" spans="1:22" s="37" customFormat="1" hidden="1" x14ac:dyDescent="0.25">
      <c r="A143" s="133" t="s">
        <v>116</v>
      </c>
      <c r="B143" s="134"/>
      <c r="C143" s="134"/>
      <c r="D143" s="134"/>
      <c r="E143" s="134"/>
      <c r="F143" s="134"/>
      <c r="G143" s="134"/>
      <c r="H143" s="135"/>
      <c r="J143" s="36"/>
      <c r="T143" s="35"/>
    </row>
    <row r="144" spans="1:22" s="37" customFormat="1" ht="15.75" hidden="1" customHeight="1" x14ac:dyDescent="0.25">
      <c r="A144" s="126">
        <v>1</v>
      </c>
      <c r="B144" s="127"/>
      <c r="C144" s="42"/>
      <c r="D144" s="42">
        <v>0</v>
      </c>
      <c r="E144" s="42">
        <v>0</v>
      </c>
      <c r="F144" s="42">
        <f>D144+(IF(E144&lt;201,E144,IF(E144&lt;301,E144/2,E144/3)))</f>
        <v>0</v>
      </c>
      <c r="G144" s="42">
        <v>0</v>
      </c>
      <c r="H144" s="42">
        <f>(F144+(IF(G144&lt;101,G144,IF(G144&lt;201,G144/2,IF(G144&lt;=301,G144/3,G144/4)))))*(($H$142)+1)</f>
        <v>0</v>
      </c>
      <c r="I144" s="36"/>
      <c r="L144" s="253"/>
      <c r="M144" s="253"/>
      <c r="N144" s="36"/>
      <c r="T144" s="35"/>
    </row>
    <row r="145" spans="1:20" s="37" customFormat="1" ht="15.75" hidden="1" customHeight="1" x14ac:dyDescent="0.25">
      <c r="A145" s="126">
        <f>A144+1</f>
        <v>2</v>
      </c>
      <c r="B145" s="127"/>
      <c r="C145" s="42"/>
      <c r="D145" s="42"/>
      <c r="E145" s="42">
        <v>0</v>
      </c>
      <c r="F145" s="42">
        <f>D145+(IF(E145&lt;201,E145,IF(E145&lt;301,E145/2,E145/3)))</f>
        <v>0</v>
      </c>
      <c r="G145" s="42">
        <v>0</v>
      </c>
      <c r="H145" s="42">
        <f>(F145+(IF(G145&lt;101,G145,IF(G145&lt;201,G145/2,IF(G145&lt;=301,G145/3,G145/4)))))*(($H$142)+1)</f>
        <v>0</v>
      </c>
      <c r="I145" s="36"/>
      <c r="L145" s="253"/>
      <c r="M145" s="253"/>
      <c r="N145" s="36"/>
      <c r="T145" s="34"/>
    </row>
    <row r="146" spans="1:20" s="37" customFormat="1" ht="15.75" hidden="1" customHeight="1" x14ac:dyDescent="0.25">
      <c r="A146" s="126">
        <f>A145+1</f>
        <v>3</v>
      </c>
      <c r="B146" s="127"/>
      <c r="C146" s="42"/>
      <c r="D146" s="42"/>
      <c r="E146" s="42">
        <v>0</v>
      </c>
      <c r="F146" s="42">
        <f>D146+(IF(E146&lt;201,E146,IF(E146&lt;301,E146/2,E146/3)))</f>
        <v>0</v>
      </c>
      <c r="G146" s="42">
        <v>0</v>
      </c>
      <c r="H146" s="42">
        <f>(F146+(IF(G146&lt;101,G146,IF(G146&lt;201,G146/2,IF(G146&lt;=301,G146/3,G146/4)))))*(($H$142)+1)</f>
        <v>0</v>
      </c>
      <c r="I146" s="36"/>
      <c r="L146" s="253"/>
      <c r="M146" s="253"/>
      <c r="N146" s="36"/>
      <c r="T146" s="21"/>
    </row>
    <row r="147" spans="1:20" s="37" customFormat="1" ht="15.75" hidden="1" customHeight="1" x14ac:dyDescent="0.25">
      <c r="A147" s="126">
        <f>A146+1</f>
        <v>4</v>
      </c>
      <c r="B147" s="127"/>
      <c r="C147" s="42"/>
      <c r="D147" s="42"/>
      <c r="E147" s="42">
        <v>0</v>
      </c>
      <c r="F147" s="42">
        <f>D147+(IF(E147&lt;201,E147,IF(E147&lt;301,E147/2,E147/3)))</f>
        <v>0</v>
      </c>
      <c r="G147" s="42">
        <v>0</v>
      </c>
      <c r="H147" s="42">
        <f>(F147+(IF(G147&lt;101,G147,IF(G147&lt;201,G147/2,IF(G147&lt;=301,G147/3,G147/4)))))*(($H$142)+1)</f>
        <v>0</v>
      </c>
      <c r="I147" s="36"/>
      <c r="L147" s="253"/>
      <c r="M147" s="253"/>
      <c r="N147" s="36"/>
      <c r="T147" s="21"/>
    </row>
    <row r="148" spans="1:20" s="37" customFormat="1" hidden="1" x14ac:dyDescent="0.25">
      <c r="A148" s="126"/>
      <c r="B148" s="182"/>
      <c r="C148" s="182"/>
      <c r="D148" s="182"/>
      <c r="E148" s="182"/>
      <c r="F148" s="182"/>
      <c r="G148" s="182"/>
      <c r="H148" s="127"/>
      <c r="I148" s="36"/>
      <c r="N148" s="36"/>
    </row>
    <row r="149" spans="1:20" ht="47.25" customHeight="1" x14ac:dyDescent="0.25">
      <c r="A149" s="263" t="s">
        <v>119</v>
      </c>
      <c r="B149" s="185" t="s">
        <v>177</v>
      </c>
      <c r="C149" s="122" t="s">
        <v>54</v>
      </c>
      <c r="D149" s="185" t="s">
        <v>376</v>
      </c>
      <c r="E149" s="185" t="s">
        <v>422</v>
      </c>
      <c r="F149" s="122" t="s">
        <v>55</v>
      </c>
      <c r="G149" s="199" t="s">
        <v>56</v>
      </c>
      <c r="H149" s="64" t="s">
        <v>150</v>
      </c>
      <c r="I149" s="99">
        <v>10.763999999999999</v>
      </c>
      <c r="M149" s="21">
        <f>32.87+2.74</f>
        <v>35.61</v>
      </c>
      <c r="T149" s="37"/>
    </row>
    <row r="150" spans="1:20" s="37" customFormat="1" x14ac:dyDescent="0.25">
      <c r="A150" s="264"/>
      <c r="B150" s="186"/>
      <c r="C150" s="123"/>
      <c r="D150" s="186"/>
      <c r="E150" s="186"/>
      <c r="F150" s="123"/>
      <c r="G150" s="200"/>
      <c r="H150" s="105">
        <v>0.45</v>
      </c>
      <c r="I150" s="104">
        <f>3.96*2.75+3.05*1.76+2.75*3.05+1.22*(1.83+1.83)+1.05*1.2+2</f>
        <v>32.370699999999999</v>
      </c>
      <c r="J150" s="104">
        <f>2.75</f>
        <v>2.75</v>
      </c>
      <c r="K150" s="104">
        <f>I150+J150</f>
        <v>35.120699999999999</v>
      </c>
      <c r="L150" s="130">
        <f>K150*10.764</f>
        <v>378.03921479999997</v>
      </c>
      <c r="M150" s="130"/>
    </row>
    <row r="151" spans="1:20" s="100" customFormat="1" x14ac:dyDescent="0.25">
      <c r="A151" s="133" t="s">
        <v>415</v>
      </c>
      <c r="B151" s="134"/>
      <c r="C151" s="134"/>
      <c r="D151" s="134"/>
      <c r="E151" s="134"/>
      <c r="F151" s="134"/>
      <c r="G151" s="134"/>
      <c r="H151" s="135"/>
      <c r="I151" s="104">
        <f>3.96*2.75+2.32*2.29+3.5*2.74+1.22*(1.83+1.83)+1.25*1.3+1.15*0.9</f>
        <v>32.917999999999999</v>
      </c>
      <c r="J151" s="100">
        <f>2.75</f>
        <v>2.75</v>
      </c>
      <c r="K151" s="104">
        <f>I151+J151</f>
        <v>35.667999999999999</v>
      </c>
      <c r="L151" s="130">
        <f t="shared" ref="L151:L152" si="0">K151*10.764</f>
        <v>383.93035199999997</v>
      </c>
      <c r="M151" s="130"/>
    </row>
    <row r="152" spans="1:20" s="100" customFormat="1" ht="15.75" customHeight="1" x14ac:dyDescent="0.25">
      <c r="A152" s="136">
        <v>1</v>
      </c>
      <c r="B152" s="137"/>
      <c r="C152" s="99" t="s">
        <v>416</v>
      </c>
      <c r="D152" s="99">
        <f>(3.96*2.74+1.98*2.32+2.74*2.44+1.52*1.22+1.31*0.99+0.9*1.22)*10.764</f>
        <v>283.94247960000001</v>
      </c>
      <c r="E152" s="99">
        <v>0</v>
      </c>
      <c r="F152" s="99">
        <f>D152+E152</f>
        <v>283.94247960000001</v>
      </c>
      <c r="G152" s="99">
        <v>0</v>
      </c>
      <c r="H152" s="99">
        <f>F152*(($H$150)+1)+(IF(G152&lt;101,G152,IF(G152&lt;201,G152/2,IF(G152&lt;=301,G152/3,G152/4))))</f>
        <v>411.71659542000003</v>
      </c>
      <c r="I152" s="104">
        <f>3.96*2.75+2.29*2.32+2.74*3.5+1.22*(1.83+1.83)+1.25*1.2+1.25*0.9</f>
        <v>32.882999999999996</v>
      </c>
      <c r="J152" s="104">
        <f>1.15*2.75</f>
        <v>3.1624999999999996</v>
      </c>
      <c r="K152" s="104">
        <f>I152+J152</f>
        <v>36.045499999999997</v>
      </c>
      <c r="L152" s="130">
        <f t="shared" si="0"/>
        <v>387.99376199999995</v>
      </c>
      <c r="M152" s="130"/>
      <c r="N152" s="36"/>
    </row>
    <row r="153" spans="1:20" s="100" customFormat="1" x14ac:dyDescent="0.25">
      <c r="A153" s="133" t="s">
        <v>429</v>
      </c>
      <c r="B153" s="134"/>
      <c r="C153" s="134"/>
      <c r="D153" s="134"/>
      <c r="E153" s="134"/>
      <c r="F153" s="134"/>
      <c r="G153" s="134"/>
      <c r="H153" s="135"/>
      <c r="J153" s="108">
        <v>3200</v>
      </c>
      <c r="K153" s="107">
        <v>150000</v>
      </c>
      <c r="L153" s="107" t="s">
        <v>430</v>
      </c>
    </row>
    <row r="154" spans="1:20" s="100" customFormat="1" ht="15.75" customHeight="1" x14ac:dyDescent="0.25">
      <c r="A154" s="126">
        <v>1</v>
      </c>
      <c r="B154" s="127"/>
      <c r="C154" s="99" t="s">
        <v>416</v>
      </c>
      <c r="D154" s="99">
        <f>(33.06)*10.764</f>
        <v>355.85784000000001</v>
      </c>
      <c r="E154" s="99">
        <f>(2.75)*10.764</f>
        <v>29.600999999999999</v>
      </c>
      <c r="F154" s="99">
        <f>D154+E154</f>
        <v>385.45884000000001</v>
      </c>
      <c r="G154" s="99">
        <v>0</v>
      </c>
      <c r="H154" s="99">
        <f>F154*(($H$150)+1)+(IF(G154&lt;101,G154,IF(G154&lt;201,G154/2,IF(G154&lt;=301,G154/3,G154/4))))</f>
        <v>558.91531799999996</v>
      </c>
      <c r="I154" s="107">
        <f>1809750/H154</f>
        <v>3237.9681531648416</v>
      </c>
      <c r="J154" s="106">
        <f>H154*$J$153</f>
        <v>1788529.0175999999</v>
      </c>
      <c r="L154" s="106">
        <f>J154+$K$153</f>
        <v>1938529.0175999999</v>
      </c>
      <c r="N154" s="36"/>
    </row>
    <row r="155" spans="1:20" s="100" customFormat="1" ht="15.75" customHeight="1" x14ac:dyDescent="0.25">
      <c r="A155" s="126">
        <f>A154+1</f>
        <v>2</v>
      </c>
      <c r="B155" s="127"/>
      <c r="C155" s="99" t="s">
        <v>416</v>
      </c>
      <c r="D155" s="99">
        <f>(32.87)*10.764</f>
        <v>353.81267999999994</v>
      </c>
      <c r="E155" s="99">
        <f>(2.75)*10.764</f>
        <v>29.600999999999999</v>
      </c>
      <c r="F155" s="99">
        <f>D155+E155</f>
        <v>383.41367999999994</v>
      </c>
      <c r="G155" s="99">
        <v>0</v>
      </c>
      <c r="H155" s="99">
        <f>F155*(($H$150)+1)+(IF(G155&lt;101,G155,IF(G155&lt;201,G155/2,IF(G155&lt;=301,G155/3,G155/4))))</f>
        <v>555.94983599999989</v>
      </c>
      <c r="I155" s="100">
        <f>1550000/H155</f>
        <v>2788.0213278811011</v>
      </c>
      <c r="J155" s="106">
        <f t="shared" ref="J155:J185" si="1">H155*$J$153</f>
        <v>1779039.4751999998</v>
      </c>
      <c r="L155" s="106">
        <f t="shared" ref="L155:L185" si="2">J155+$K$153</f>
        <v>1929039.4751999998</v>
      </c>
      <c r="M155" s="101"/>
      <c r="N155" s="36"/>
    </row>
    <row r="156" spans="1:20" s="100" customFormat="1" ht="15.75" customHeight="1" x14ac:dyDescent="0.25">
      <c r="A156" s="126">
        <f>A155+1</f>
        <v>3</v>
      </c>
      <c r="B156" s="127"/>
      <c r="C156" s="99" t="s">
        <v>416</v>
      </c>
      <c r="D156" s="99">
        <f>(32.47)*10.764</f>
        <v>349.50707999999997</v>
      </c>
      <c r="E156" s="99">
        <f>(2.75*1.15)*10.764</f>
        <v>34.041149999999995</v>
      </c>
      <c r="F156" s="99">
        <f>D156+E156</f>
        <v>383.54822999999999</v>
      </c>
      <c r="G156" s="99">
        <v>0</v>
      </c>
      <c r="H156" s="99">
        <f>F156*(($H$150)+1)+(IF(G156&lt;101,G156,IF(G156&lt;201,G156/2,IF(G156&lt;=301,G156/3,G156/4))))</f>
        <v>556.14493349999998</v>
      </c>
      <c r="I156" s="107">
        <f>1809750/H156</f>
        <v>3254.0977917584501</v>
      </c>
      <c r="J156" s="108">
        <f t="shared" si="1"/>
        <v>1779663.7871999999</v>
      </c>
      <c r="L156" s="108">
        <f t="shared" si="2"/>
        <v>1929663.7871999999</v>
      </c>
      <c r="M156" s="101"/>
      <c r="N156" s="36"/>
      <c r="Q156" s="99">
        <f>(33.06)*10.764</f>
        <v>355.85784000000001</v>
      </c>
      <c r="R156" s="99">
        <f>(2.73)*10.764</f>
        <v>29.385719999999999</v>
      </c>
    </row>
    <row r="157" spans="1:20" s="37" customFormat="1" ht="15.75" hidden="1" customHeight="1" x14ac:dyDescent="0.25">
      <c r="A157" s="133" t="s">
        <v>116</v>
      </c>
      <c r="B157" s="134"/>
      <c r="C157" s="134"/>
      <c r="D157" s="134"/>
      <c r="E157" s="134"/>
      <c r="F157" s="134"/>
      <c r="G157" s="134"/>
      <c r="H157" s="135"/>
      <c r="J157" s="101">
        <f t="shared" si="1"/>
        <v>0</v>
      </c>
      <c r="L157" s="106">
        <f t="shared" si="2"/>
        <v>150000</v>
      </c>
      <c r="M157" s="101"/>
      <c r="Q157" s="99">
        <f>(32.87)*10.764</f>
        <v>353.81267999999994</v>
      </c>
      <c r="R157" s="99">
        <f>(2.74)*10.764</f>
        <v>29.493359999999999</v>
      </c>
    </row>
    <row r="158" spans="1:20" s="37" customFormat="1" ht="15.75" hidden="1" customHeight="1" x14ac:dyDescent="0.25">
      <c r="A158" s="126">
        <v>1</v>
      </c>
      <c r="B158" s="127"/>
      <c r="C158" s="42"/>
      <c r="D158" s="42"/>
      <c r="E158" s="42">
        <v>0</v>
      </c>
      <c r="F158" s="42">
        <f>D158+E158</f>
        <v>0</v>
      </c>
      <c r="G158" s="42">
        <v>0</v>
      </c>
      <c r="H158" s="42">
        <f>F158*(($H$150)+1)+(IF(G158&lt;101,G158,IF(G158&lt;201,G158/2,IF(G158&lt;=301,G158/3,G158/4))))</f>
        <v>0</v>
      </c>
      <c r="I158" s="36"/>
      <c r="J158" s="101">
        <f t="shared" si="1"/>
        <v>0</v>
      </c>
      <c r="L158" s="106">
        <f t="shared" si="2"/>
        <v>150000</v>
      </c>
      <c r="M158" s="109"/>
      <c r="N158" s="36"/>
      <c r="Q158" s="99">
        <f>(32.47)*10.764</f>
        <v>349.50707999999997</v>
      </c>
      <c r="R158" s="99">
        <f>(3.15)*10.764</f>
        <v>33.906599999999997</v>
      </c>
    </row>
    <row r="159" spans="1:20" s="37" customFormat="1" ht="15.75" hidden="1" customHeight="1" x14ac:dyDescent="0.25">
      <c r="A159" s="126">
        <f>A158+1</f>
        <v>2</v>
      </c>
      <c r="B159" s="127"/>
      <c r="C159" s="42"/>
      <c r="D159" s="42"/>
      <c r="E159" s="42">
        <v>0</v>
      </c>
      <c r="F159" s="42">
        <f>D159+E159</f>
        <v>0</v>
      </c>
      <c r="G159" s="42">
        <v>0</v>
      </c>
      <c r="H159" s="42">
        <f>F159*(($H$150)+1)+(IF(G159&lt;101,G159,IF(G159&lt;201,G159/2,IF(G159&lt;=301,G159/3,G159/4))))</f>
        <v>0</v>
      </c>
      <c r="I159" s="36"/>
      <c r="J159" s="101">
        <f t="shared" si="1"/>
        <v>0</v>
      </c>
      <c r="L159" s="106">
        <f t="shared" si="2"/>
        <v>150000</v>
      </c>
      <c r="M159" s="109"/>
      <c r="N159" s="36"/>
    </row>
    <row r="160" spans="1:20" s="37" customFormat="1" ht="15.75" hidden="1" customHeight="1" x14ac:dyDescent="0.25">
      <c r="A160" s="126">
        <f>A159+1</f>
        <v>3</v>
      </c>
      <c r="B160" s="127"/>
      <c r="C160" s="42"/>
      <c r="D160" s="42"/>
      <c r="E160" s="42">
        <v>0</v>
      </c>
      <c r="F160" s="42">
        <f>D160+E160</f>
        <v>0</v>
      </c>
      <c r="G160" s="42">
        <v>0</v>
      </c>
      <c r="H160" s="42">
        <f>F160*(($H$150)+1)+(IF(G160&lt;101,G160,IF(G160&lt;201,G160/2,IF(G160&lt;=301,G160/3,G160/4))))</f>
        <v>0</v>
      </c>
      <c r="I160" s="36"/>
      <c r="J160" s="101">
        <f t="shared" si="1"/>
        <v>0</v>
      </c>
      <c r="L160" s="106">
        <f t="shared" si="2"/>
        <v>150000</v>
      </c>
      <c r="M160" s="109"/>
      <c r="N160" s="36"/>
    </row>
    <row r="161" spans="1:20" s="37" customFormat="1" ht="15.75" hidden="1" customHeight="1" x14ac:dyDescent="0.25">
      <c r="A161" s="126">
        <f>A160+1</f>
        <v>4</v>
      </c>
      <c r="B161" s="127"/>
      <c r="C161" s="42"/>
      <c r="D161" s="42"/>
      <c r="E161" s="42">
        <v>0</v>
      </c>
      <c r="F161" s="42">
        <f>D161+E161</f>
        <v>0</v>
      </c>
      <c r="G161" s="42">
        <v>0</v>
      </c>
      <c r="H161" s="42">
        <f>F161*(($H$150)+1)+(IF(G161&lt;101,G161,IF(G161&lt;201,G161/2,IF(G161&lt;=301,G161/3,G161/4))))</f>
        <v>0</v>
      </c>
      <c r="I161" s="36"/>
      <c r="J161" s="101">
        <f t="shared" si="1"/>
        <v>0</v>
      </c>
      <c r="L161" s="106">
        <f t="shared" si="2"/>
        <v>150000</v>
      </c>
      <c r="M161" s="109"/>
      <c r="N161" s="36"/>
      <c r="T161" s="21"/>
    </row>
    <row r="162" spans="1:20" s="37" customFormat="1" ht="15.75" hidden="1" customHeight="1" x14ac:dyDescent="0.25">
      <c r="A162" s="213" t="s">
        <v>117</v>
      </c>
      <c r="B162" s="213"/>
      <c r="C162" s="213"/>
      <c r="D162" s="213"/>
      <c r="E162" s="213"/>
      <c r="F162" s="213"/>
      <c r="G162" s="213"/>
      <c r="H162" s="213"/>
      <c r="I162" s="36"/>
      <c r="J162" s="101">
        <f t="shared" si="1"/>
        <v>0</v>
      </c>
      <c r="L162" s="106">
        <f t="shared" si="2"/>
        <v>150000</v>
      </c>
      <c r="M162" s="109"/>
    </row>
    <row r="163" spans="1:20" s="37" customFormat="1" ht="15.75" hidden="1" customHeight="1" x14ac:dyDescent="0.25">
      <c r="A163" s="184">
        <f>LEFT(A162,SUM(LEN(A162)-LEN(SUBSTITUTE(A162,{"0","1","2","3","4","5","6","7","8","9"},""))))*100+1</f>
        <v>201</v>
      </c>
      <c r="B163" s="184"/>
      <c r="C163" s="42"/>
      <c r="D163" s="42"/>
      <c r="E163" s="42">
        <v>0</v>
      </c>
      <c r="F163" s="42">
        <f>D163+E163</f>
        <v>0</v>
      </c>
      <c r="G163" s="42">
        <v>0</v>
      </c>
      <c r="H163" s="42">
        <f>F163*(($H$150)+1)+(IF(G163&lt;101,G163,IF(G163&lt;201,G163/2,IF(G163&lt;=301,G163/3,G163/4))))</f>
        <v>0</v>
      </c>
      <c r="I163" s="36"/>
      <c r="J163" s="101">
        <f t="shared" si="1"/>
        <v>0</v>
      </c>
      <c r="L163" s="106">
        <f t="shared" si="2"/>
        <v>150000</v>
      </c>
      <c r="M163" s="101"/>
      <c r="N163" s="36"/>
    </row>
    <row r="164" spans="1:20" s="37" customFormat="1" ht="15.75" hidden="1" customHeight="1" x14ac:dyDescent="0.25">
      <c r="A164" s="184">
        <f>A163+1</f>
        <v>202</v>
      </c>
      <c r="B164" s="184"/>
      <c r="C164" s="42"/>
      <c r="D164" s="42"/>
      <c r="E164" s="42">
        <v>0</v>
      </c>
      <c r="F164" s="42">
        <f>D164+E164</f>
        <v>0</v>
      </c>
      <c r="G164" s="42">
        <v>0</v>
      </c>
      <c r="H164" s="42">
        <f>F164*(($H$150)+1)+(IF(G164&lt;101,G164,IF(G164&lt;201,G164/2,IF(G164&lt;=301,G164/3,G164/4))))</f>
        <v>0</v>
      </c>
      <c r="I164" s="36"/>
      <c r="J164" s="101">
        <f t="shared" si="1"/>
        <v>0</v>
      </c>
      <c r="L164" s="106">
        <f t="shared" si="2"/>
        <v>150000</v>
      </c>
      <c r="M164" s="101"/>
      <c r="N164" s="36"/>
    </row>
    <row r="165" spans="1:20" s="37" customFormat="1" ht="15.75" hidden="1" customHeight="1" x14ac:dyDescent="0.25">
      <c r="A165" s="184">
        <f>A164+1</f>
        <v>203</v>
      </c>
      <c r="B165" s="184"/>
      <c r="C165" s="42"/>
      <c r="D165" s="42"/>
      <c r="E165" s="42">
        <v>0</v>
      </c>
      <c r="F165" s="42">
        <f>D165+E165</f>
        <v>0</v>
      </c>
      <c r="G165" s="42">
        <v>0</v>
      </c>
      <c r="H165" s="42">
        <f>F165*(($H$150)+1)+(IF(G165&lt;101,G165,IF(G165&lt;201,G165/2,IF(G165&lt;=301,G165/3,G165/4))))</f>
        <v>0</v>
      </c>
      <c r="I165" s="36"/>
      <c r="J165" s="101">
        <f t="shared" si="1"/>
        <v>0</v>
      </c>
      <c r="L165" s="106">
        <f t="shared" si="2"/>
        <v>150000</v>
      </c>
      <c r="M165" s="101"/>
      <c r="N165" s="36"/>
    </row>
    <row r="166" spans="1:20" s="37" customFormat="1" ht="15.75" hidden="1" customHeight="1" x14ac:dyDescent="0.25">
      <c r="A166" s="184">
        <f>A165+1</f>
        <v>204</v>
      </c>
      <c r="B166" s="184"/>
      <c r="C166" s="42"/>
      <c r="D166" s="42"/>
      <c r="E166" s="42">
        <v>0</v>
      </c>
      <c r="F166" s="42">
        <f>D166+E166</f>
        <v>0</v>
      </c>
      <c r="G166" s="42">
        <v>0</v>
      </c>
      <c r="H166" s="42">
        <f>F166*(($H$150)+1)+(IF(G166&lt;101,G166,IF(G166&lt;201,G166/2,IF(G166&lt;=301,G166/3,G166/4))))</f>
        <v>0</v>
      </c>
      <c r="I166" s="36"/>
      <c r="J166" s="101">
        <f t="shared" si="1"/>
        <v>0</v>
      </c>
      <c r="L166" s="106">
        <f t="shared" si="2"/>
        <v>150000</v>
      </c>
      <c r="M166" s="101"/>
      <c r="N166" s="36"/>
    </row>
    <row r="167" spans="1:20" s="37" customFormat="1" ht="15.75" hidden="1" customHeight="1" x14ac:dyDescent="0.25">
      <c r="A167" s="184">
        <f>A166+1</f>
        <v>205</v>
      </c>
      <c r="B167" s="184"/>
      <c r="C167" s="42"/>
      <c r="D167" s="42"/>
      <c r="E167" s="42">
        <v>0</v>
      </c>
      <c r="F167" s="42">
        <f>D167+E167</f>
        <v>0</v>
      </c>
      <c r="G167" s="42">
        <v>0</v>
      </c>
      <c r="H167" s="42">
        <f>F167*(($H$150)+1)+(IF(G167&lt;101,G167,IF(G167&lt;201,G167/2,IF(G167&lt;=301,G167/3,G167/4))))</f>
        <v>0</v>
      </c>
      <c r="I167" s="36"/>
      <c r="J167" s="101">
        <f t="shared" si="1"/>
        <v>0</v>
      </c>
      <c r="L167" s="106">
        <f t="shared" si="2"/>
        <v>150000</v>
      </c>
      <c r="M167" s="101"/>
      <c r="N167" s="36"/>
    </row>
    <row r="168" spans="1:20" s="37" customFormat="1" ht="15.75" hidden="1" customHeight="1" x14ac:dyDescent="0.25">
      <c r="A168" s="133" t="s">
        <v>151</v>
      </c>
      <c r="B168" s="134"/>
      <c r="C168" s="134"/>
      <c r="D168" s="134"/>
      <c r="E168" s="134"/>
      <c r="F168" s="134"/>
      <c r="G168" s="134"/>
      <c r="H168" s="135"/>
      <c r="I168" s="36"/>
      <c r="J168" s="101">
        <f t="shared" si="1"/>
        <v>0</v>
      </c>
      <c r="L168" s="106">
        <f t="shared" si="2"/>
        <v>150000</v>
      </c>
      <c r="M168" s="101"/>
    </row>
    <row r="169" spans="1:20" s="37" customFormat="1" ht="15.75" hidden="1" customHeight="1" x14ac:dyDescent="0.25">
      <c r="A169" s="126" t="str">
        <f ca="1">(SUMPRODUCT(MID(0&amp;(LEFT(A168,SUM(LEN(A168)-LEN(SUBSTITUTE(A168,{"0","1","2"},""))))), LARGE(INDEX(ISNUMBER(--MID((LEFT(A168,SUM(LEN(A168)-LEN(SUBSTITUTE(A168,{"0","1","2"},""))))), ROW(INDIRECT("1:"&amp;LEN((LEFT(A168,SUM(LEN(A168)-LEN(SUBSTITUTE(A168,{"0","1","2"},"")))))))), 1)) * ROW(INDIRECT("1:"&amp;LEN((LEFT(A168,SUM(LEN(A168)-LEN(SUBSTITUTE(A168,{"0","1","2"},"")))))))), 0), ROW(INDIRECT("1:"&amp;LEN((LEFT(A168,SUM(LEN(A168)-LEN(SUBSTITUTE(A168,{"0","1","2"},"")))))))))+1, 1) * 10^ROW(INDIRECT("1:"&amp;LEN((LEFT(A168,SUM(LEN(A168)-LEN(SUBSTITUTE(A168,{"0","1","2"},""))))))))/10))*100+1&amp;""&amp;" ,.., "&amp;""&amp;(SUMPRODUCT(MID(0&amp;(--TRIM(RIGHT(SUBSTITUTE(LEFT(A168,_xlfn.AGGREGATE(16,6,FIND({0,1,2,3,4,5,6,7,8,9},A168,ROW(INDIRECT("1:"&amp;LEN(A168)))),1))," ",REPT(" ",LEN(A168))),LEN(A168)))), LARGE(INDEX(ISNUMBER(--MID((--TRIM(RIGHT(SUBSTITUTE(LEFT(A168,_xlfn.AGGREGATE(16,6,FIND({0,1,2,3,4,5,6,7,8,9},A168,ROW(INDIRECT("1:"&amp;LEN(A168)))),1))," ",REPT(" ",LEN(A168))),LEN(A168)))), ROW(INDIRECT("1:"&amp;LEN((--TRIM(RIGHT(SUBSTITUTE(LEFT(A168,_xlfn.AGGREGATE(16,6,FIND({0,1,2,3,4,5,6,7,8,9},A168,ROW(INDIRECT("1:"&amp;LEN(A168)))),1))," ",REPT(" ",LEN(A168))),LEN(A168))))))), 1)) * ROW(INDIRECT("1:"&amp;LEN((--TRIM(RIGHT(SUBSTITUTE(LEFT(A168,_xlfn.AGGREGATE(16,6,FIND({0,1,2,3,4,5,6,7,8,9},A168,ROW(INDIRECT("1:"&amp;LEN(A168)))),1))," ",REPT(" ",LEN(A168))),LEN(A168))))))), 0), ROW(INDIRECT("1:"&amp;LEN((--TRIM(RIGHT(SUBSTITUTE(LEFT(A168,_xlfn.AGGREGATE(16,6,FIND({0,1,2,3,4,5,6,7,8,9},A168,ROW(INDIRECT("1:"&amp;LEN(A168)))),1))," ",REPT(" ",LEN(A168))),LEN(A168))))))))+1, 1) * 10^ROW(INDIRECT("1:"&amp;LEN((--TRIM(RIGHT(SUBSTITUTE(LEFT(A168,_xlfn.AGGREGATE(16,6,FIND({0,1,2,3,4,5,6,7,8,9},A168,ROW(INDIRECT("1:"&amp;LEN(A168)))),1))," ",REPT(" ",LEN(A168))),LEN(A168)))))))/10))*100+1</f>
        <v>301 ,.., 1501</v>
      </c>
      <c r="B169" s="127"/>
      <c r="C169" s="42"/>
      <c r="D169" s="42"/>
      <c r="E169" s="42">
        <v>0</v>
      </c>
      <c r="F169" s="42">
        <f>D169+E169</f>
        <v>0</v>
      </c>
      <c r="G169" s="42">
        <v>0</v>
      </c>
      <c r="H169" s="42">
        <f>F169*(($H$150)+1)+(IF(G169&lt;101,G169,IF(G169&lt;201,G169/2,IF(G169&lt;=301,G169/3,G169/4))))</f>
        <v>0</v>
      </c>
      <c r="I169" s="36"/>
      <c r="J169" s="101">
        <f t="shared" si="1"/>
        <v>0</v>
      </c>
      <c r="L169" s="106">
        <f t="shared" si="2"/>
        <v>150000</v>
      </c>
      <c r="M169" s="101"/>
    </row>
    <row r="170" spans="1:20" s="37" customFormat="1" ht="15.75" hidden="1" customHeight="1" x14ac:dyDescent="0.25">
      <c r="A170" s="126" t="str">
        <f ca="1">(SUMPRODUCT(MID(0&amp;(LEFT(A169,SUM(LEN(A169)-LEN(SUBSTITUTE(A169,{"0","1","2"},""))))), LARGE(INDEX(ISNUMBER(--MID((LEFT(A169,SUM(LEN(A169)-LEN(SUBSTITUTE(A169,{"0","1","2"},""))))), ROW(INDIRECT("1:"&amp;LEN((LEFT(A169,SUM(LEN(A169)-LEN(SUBSTITUTE(A169,{"0","1","2"},"")))))))), 1)) * ROW(INDIRECT("1:"&amp;LEN((LEFT(A169,SUM(LEN(A169)-LEN(SUBSTITUTE(A169,{"0","1","2"},"")))))))), 0), ROW(INDIRECT("1:"&amp;LEN((LEFT(A169,SUM(LEN(A169)-LEN(SUBSTITUTE(A169,{"0","1","2"},"")))))))))+1, 1) * 10^ROW(INDIRECT("1:"&amp;LEN((LEFT(A169,SUM(LEN(A169)-LEN(SUBSTITUTE(A169,{"0","1","2"},""))))))))/10))*1+1&amp;""&amp;" ,.., "&amp;""&amp;(SUMPRODUCT(MID(0&amp;(--TRIM(RIGHT(SUBSTITUTE(LEFT(A169,_xlfn.AGGREGATE(16,6,FIND({0,1,2,3,4,5,6,7,8,9},A169,ROW(INDIRECT("1:"&amp;LEN(A169)))),1))," ",REPT(" ",LEN(A169))),LEN(A169)))), LARGE(INDEX(ISNUMBER(--MID((--TRIM(RIGHT(SUBSTITUTE(LEFT(A169,_xlfn.AGGREGATE(16,6,FIND({0,1,2,3,4,5,6,7,8,9},A169,ROW(INDIRECT("1:"&amp;LEN(A169)))),1))," ",REPT(" ",LEN(A169))),LEN(A169)))), ROW(INDIRECT("1:"&amp;LEN((--TRIM(RIGHT(SUBSTITUTE(LEFT(A169,_xlfn.AGGREGATE(16,6,FIND({0,1,2,3,4,5,6,7,8,9},A169,ROW(INDIRECT("1:"&amp;LEN(A169)))),1))," ",REPT(" ",LEN(A169))),LEN(A169))))))), 1)) * ROW(INDIRECT("1:"&amp;LEN((--TRIM(RIGHT(SUBSTITUTE(LEFT(A169,_xlfn.AGGREGATE(16,6,FIND({0,1,2,3,4,5,6,7,8,9},A169,ROW(INDIRECT("1:"&amp;LEN(A169)))),1))," ",REPT(" ",LEN(A169))),LEN(A169))))))), 0), ROW(INDIRECT("1:"&amp;LEN((--TRIM(RIGHT(SUBSTITUTE(LEFT(A169,_xlfn.AGGREGATE(16,6,FIND({0,1,2,3,4,5,6,7,8,9},A169,ROW(INDIRECT("1:"&amp;LEN(A169)))),1))," ",REPT(" ",LEN(A169))),LEN(A169))))))))+1, 1) * 10^ROW(INDIRECT("1:"&amp;LEN((--TRIM(RIGHT(SUBSTITUTE(LEFT(A169,_xlfn.AGGREGATE(16,6,FIND({0,1,2,3,4,5,6,7,8,9},A169,ROW(INDIRECT("1:"&amp;LEN(A169)))),1))," ",REPT(" ",LEN(A169))),LEN(A169)))))))/10))*1+1</f>
        <v>302 ,.., 1502</v>
      </c>
      <c r="B170" s="127"/>
      <c r="C170" s="42"/>
      <c r="D170" s="42"/>
      <c r="E170" s="42">
        <v>0</v>
      </c>
      <c r="F170" s="42">
        <f>D170+E170</f>
        <v>0</v>
      </c>
      <c r="G170" s="42">
        <v>0</v>
      </c>
      <c r="H170" s="42">
        <f>F170*(($H$150)+1)+(IF(G170&lt;101,G170,IF(G170&lt;201,G170/2,IF(G170&lt;=301,G170/3,G170/4))))</f>
        <v>0</v>
      </c>
      <c r="I170" s="36"/>
      <c r="J170" s="101">
        <f t="shared" si="1"/>
        <v>0</v>
      </c>
      <c r="L170" s="106">
        <f t="shared" si="2"/>
        <v>150000</v>
      </c>
      <c r="M170" s="101"/>
    </row>
    <row r="171" spans="1:20" s="37" customFormat="1" ht="15.75" hidden="1" customHeight="1" x14ac:dyDescent="0.25">
      <c r="A171" s="126" t="str">
        <f ca="1">(SUMPRODUCT(MID(0&amp;(LEFT(A170,SUM(LEN(A170)-LEN(SUBSTITUTE(A170,{"0","1","2"},""))))), LARGE(INDEX(ISNUMBER(--MID((LEFT(A170,SUM(LEN(A170)-LEN(SUBSTITUTE(A170,{"0","1","2"},""))))), ROW(INDIRECT("1:"&amp;LEN((LEFT(A170,SUM(LEN(A170)-LEN(SUBSTITUTE(A170,{"0","1","2"},"")))))))), 1)) * ROW(INDIRECT("1:"&amp;LEN((LEFT(A170,SUM(LEN(A170)-LEN(SUBSTITUTE(A170,{"0","1","2"},"")))))))), 0), ROW(INDIRECT("1:"&amp;LEN((LEFT(A170,SUM(LEN(A170)-LEN(SUBSTITUTE(A170,{"0","1","2"},"")))))))))+1, 1) * 10^ROW(INDIRECT("1:"&amp;LEN((LEFT(A170,SUM(LEN(A170)-LEN(SUBSTITUTE(A170,{"0","1","2"},""))))))))/10))*1+1&amp;""&amp;" ,.., "&amp;""&amp;(SUMPRODUCT(MID(0&amp;(--TRIM(RIGHT(SUBSTITUTE(LEFT(A170,_xlfn.AGGREGATE(16,6,FIND({0,1,2,3,4,5,6,7,8,9},A170,ROW(INDIRECT("1:"&amp;LEN(A170)))),1))," ",REPT(" ",LEN(A170))),LEN(A170)))), LARGE(INDEX(ISNUMBER(--MID((--TRIM(RIGHT(SUBSTITUTE(LEFT(A170,_xlfn.AGGREGATE(16,6,FIND({0,1,2,3,4,5,6,7,8,9},A170,ROW(INDIRECT("1:"&amp;LEN(A170)))),1))," ",REPT(" ",LEN(A170))),LEN(A170)))), ROW(INDIRECT("1:"&amp;LEN((--TRIM(RIGHT(SUBSTITUTE(LEFT(A170,_xlfn.AGGREGATE(16,6,FIND({0,1,2,3,4,5,6,7,8,9},A170,ROW(INDIRECT("1:"&amp;LEN(A170)))),1))," ",REPT(" ",LEN(A170))),LEN(A170))))))), 1)) * ROW(INDIRECT("1:"&amp;LEN((--TRIM(RIGHT(SUBSTITUTE(LEFT(A170,_xlfn.AGGREGATE(16,6,FIND({0,1,2,3,4,5,6,7,8,9},A170,ROW(INDIRECT("1:"&amp;LEN(A170)))),1))," ",REPT(" ",LEN(A170))),LEN(A170))))))), 0), ROW(INDIRECT("1:"&amp;LEN((--TRIM(RIGHT(SUBSTITUTE(LEFT(A170,_xlfn.AGGREGATE(16,6,FIND({0,1,2,3,4,5,6,7,8,9},A170,ROW(INDIRECT("1:"&amp;LEN(A170)))),1))," ",REPT(" ",LEN(A170))),LEN(A170))))))))+1, 1) * 10^ROW(INDIRECT("1:"&amp;LEN((--TRIM(RIGHT(SUBSTITUTE(LEFT(A170,_xlfn.AGGREGATE(16,6,FIND({0,1,2,3,4,5,6,7,8,9},A170,ROW(INDIRECT("1:"&amp;LEN(A170)))),1))," ",REPT(" ",LEN(A170))),LEN(A170)))))))/10))*1+1</f>
        <v>303 ,.., 1503</v>
      </c>
      <c r="B171" s="127"/>
      <c r="C171" s="42"/>
      <c r="D171" s="42"/>
      <c r="E171" s="42">
        <v>0</v>
      </c>
      <c r="F171" s="42">
        <f>D171+E171</f>
        <v>0</v>
      </c>
      <c r="G171" s="42">
        <v>0</v>
      </c>
      <c r="H171" s="42">
        <f>F171*(($H$150)+1)+(IF(G171&lt;101,G171,IF(G171&lt;201,G171/2,IF(G171&lt;=301,G171/3,G171/4))))</f>
        <v>0</v>
      </c>
      <c r="I171" s="36"/>
      <c r="J171" s="101">
        <f t="shared" si="1"/>
        <v>0</v>
      </c>
      <c r="L171" s="106">
        <f t="shared" si="2"/>
        <v>150000</v>
      </c>
      <c r="M171" s="101"/>
    </row>
    <row r="172" spans="1:20" s="37" customFormat="1" ht="15.75" hidden="1" customHeight="1" x14ac:dyDescent="0.25">
      <c r="A172" s="126" t="str">
        <f ca="1">(SUMPRODUCT(MID(0&amp;(LEFT(A171,SUM(LEN(A171)-LEN(SUBSTITUTE(A171,{"0","1","2"},""))))), LARGE(INDEX(ISNUMBER(--MID((LEFT(A171,SUM(LEN(A171)-LEN(SUBSTITUTE(A171,{"0","1","2"},""))))), ROW(INDIRECT("1:"&amp;LEN((LEFT(A171,SUM(LEN(A171)-LEN(SUBSTITUTE(A171,{"0","1","2"},"")))))))), 1)) * ROW(INDIRECT("1:"&amp;LEN((LEFT(A171,SUM(LEN(A171)-LEN(SUBSTITUTE(A171,{"0","1","2"},"")))))))), 0), ROW(INDIRECT("1:"&amp;LEN((LEFT(A171,SUM(LEN(A171)-LEN(SUBSTITUTE(A171,{"0","1","2"},"")))))))))+1, 1) * 10^ROW(INDIRECT("1:"&amp;LEN((LEFT(A171,SUM(LEN(A171)-LEN(SUBSTITUTE(A171,{"0","1","2"},""))))))))/10))*1+1&amp;""&amp;" ,.., "&amp;""&amp;(SUMPRODUCT(MID(0&amp;(--TRIM(RIGHT(SUBSTITUTE(LEFT(A171,_xlfn.AGGREGATE(16,6,FIND({0,1,2,3,4,5,6,7,8,9},A171,ROW(INDIRECT("1:"&amp;LEN(A171)))),1))," ",REPT(" ",LEN(A171))),LEN(A171)))), LARGE(INDEX(ISNUMBER(--MID((--TRIM(RIGHT(SUBSTITUTE(LEFT(A171,_xlfn.AGGREGATE(16,6,FIND({0,1,2,3,4,5,6,7,8,9},A171,ROW(INDIRECT("1:"&amp;LEN(A171)))),1))," ",REPT(" ",LEN(A171))),LEN(A171)))), ROW(INDIRECT("1:"&amp;LEN((--TRIM(RIGHT(SUBSTITUTE(LEFT(A171,_xlfn.AGGREGATE(16,6,FIND({0,1,2,3,4,5,6,7,8,9},A171,ROW(INDIRECT("1:"&amp;LEN(A171)))),1))," ",REPT(" ",LEN(A171))),LEN(A171))))))), 1)) * ROW(INDIRECT("1:"&amp;LEN((--TRIM(RIGHT(SUBSTITUTE(LEFT(A171,_xlfn.AGGREGATE(16,6,FIND({0,1,2,3,4,5,6,7,8,9},A171,ROW(INDIRECT("1:"&amp;LEN(A171)))),1))," ",REPT(" ",LEN(A171))),LEN(A171))))))), 0), ROW(INDIRECT("1:"&amp;LEN((--TRIM(RIGHT(SUBSTITUTE(LEFT(A171,_xlfn.AGGREGATE(16,6,FIND({0,1,2,3,4,5,6,7,8,9},A171,ROW(INDIRECT("1:"&amp;LEN(A171)))),1))," ",REPT(" ",LEN(A171))),LEN(A171))))))))+1, 1) * 10^ROW(INDIRECT("1:"&amp;LEN((--TRIM(RIGHT(SUBSTITUTE(LEFT(A171,_xlfn.AGGREGATE(16,6,FIND({0,1,2,3,4,5,6,7,8,9},A171,ROW(INDIRECT("1:"&amp;LEN(A171)))),1))," ",REPT(" ",LEN(A171))),LEN(A171)))))))/10))*1+1</f>
        <v>304 ,.., 1504</v>
      </c>
      <c r="B172" s="127"/>
      <c r="C172" s="42"/>
      <c r="D172" s="42"/>
      <c r="E172" s="42">
        <v>0</v>
      </c>
      <c r="F172" s="42">
        <f>D172+E172</f>
        <v>0</v>
      </c>
      <c r="G172" s="42">
        <v>0</v>
      </c>
      <c r="H172" s="42">
        <f>F172*(($H$150)+1)+(IF(G172&lt;101,G172,IF(G172&lt;201,G172/2,IF(G172&lt;=301,G172/3,G172/4))))</f>
        <v>0</v>
      </c>
      <c r="I172" s="36"/>
      <c r="J172" s="101">
        <f t="shared" si="1"/>
        <v>0</v>
      </c>
      <c r="L172" s="106">
        <f t="shared" si="2"/>
        <v>150000</v>
      </c>
      <c r="M172" s="101"/>
    </row>
    <row r="173" spans="1:20" s="37" customFormat="1" ht="15.75" hidden="1" customHeight="1" x14ac:dyDescent="0.25">
      <c r="A173" s="126" t="str">
        <f ca="1">(SUMPRODUCT(MID(0&amp;(LEFT(A172,SUM(LEN(A172)-LEN(SUBSTITUTE(A172,{"0","1","2"},""))))), LARGE(INDEX(ISNUMBER(--MID((LEFT(A172,SUM(LEN(A172)-LEN(SUBSTITUTE(A172,{"0","1","2"},""))))), ROW(INDIRECT("1:"&amp;LEN((LEFT(A172,SUM(LEN(A172)-LEN(SUBSTITUTE(A172,{"0","1","2"},"")))))))), 1)) * ROW(INDIRECT("1:"&amp;LEN((LEFT(A172,SUM(LEN(A172)-LEN(SUBSTITUTE(A172,{"0","1","2"},"")))))))), 0), ROW(INDIRECT("1:"&amp;LEN((LEFT(A172,SUM(LEN(A172)-LEN(SUBSTITUTE(A172,{"0","1","2"},"")))))))))+1, 1) * 10^ROW(INDIRECT("1:"&amp;LEN((LEFT(A172,SUM(LEN(A172)-LEN(SUBSTITUTE(A172,{"0","1","2"},""))))))))/10))*1+1&amp;""&amp;" ,.., "&amp;""&amp;(SUMPRODUCT(MID(0&amp;(--TRIM(RIGHT(SUBSTITUTE(LEFT(A172,_xlfn.AGGREGATE(16,6,FIND({0,1,2,3,4,5,6,7,8,9},A172,ROW(INDIRECT("1:"&amp;LEN(A172)))),1))," ",REPT(" ",LEN(A172))),LEN(A172)))), LARGE(INDEX(ISNUMBER(--MID((--TRIM(RIGHT(SUBSTITUTE(LEFT(A172,_xlfn.AGGREGATE(16,6,FIND({0,1,2,3,4,5,6,7,8,9},A172,ROW(INDIRECT("1:"&amp;LEN(A172)))),1))," ",REPT(" ",LEN(A172))),LEN(A172)))), ROW(INDIRECT("1:"&amp;LEN((--TRIM(RIGHT(SUBSTITUTE(LEFT(A172,_xlfn.AGGREGATE(16,6,FIND({0,1,2,3,4,5,6,7,8,9},A172,ROW(INDIRECT("1:"&amp;LEN(A172)))),1))," ",REPT(" ",LEN(A172))),LEN(A172))))))), 1)) * ROW(INDIRECT("1:"&amp;LEN((--TRIM(RIGHT(SUBSTITUTE(LEFT(A172,_xlfn.AGGREGATE(16,6,FIND({0,1,2,3,4,5,6,7,8,9},A172,ROW(INDIRECT("1:"&amp;LEN(A172)))),1))," ",REPT(" ",LEN(A172))),LEN(A172))))))), 0), ROW(INDIRECT("1:"&amp;LEN((--TRIM(RIGHT(SUBSTITUTE(LEFT(A172,_xlfn.AGGREGATE(16,6,FIND({0,1,2,3,4,5,6,7,8,9},A172,ROW(INDIRECT("1:"&amp;LEN(A172)))),1))," ",REPT(" ",LEN(A172))),LEN(A172))))))))+1, 1) * 10^ROW(INDIRECT("1:"&amp;LEN((--TRIM(RIGHT(SUBSTITUTE(LEFT(A172,_xlfn.AGGREGATE(16,6,FIND({0,1,2,3,4,5,6,7,8,9},A172,ROW(INDIRECT("1:"&amp;LEN(A172)))),1))," ",REPT(" ",LEN(A172))),LEN(A172)))))))/10))*1+1</f>
        <v>305 ,.., 1505</v>
      </c>
      <c r="B173" s="127"/>
      <c r="C173" s="42"/>
      <c r="D173" s="42"/>
      <c r="E173" s="42">
        <v>0</v>
      </c>
      <c r="F173" s="42">
        <f>D173+E173</f>
        <v>0</v>
      </c>
      <c r="G173" s="42">
        <v>0</v>
      </c>
      <c r="H173" s="42">
        <f>F173*(($H$150)+1)+(IF(G173&lt;101,G173,IF(G173&lt;201,G173/2,IF(G173&lt;=301,G173/3,G173/4))))</f>
        <v>0</v>
      </c>
      <c r="I173" s="36"/>
      <c r="J173" s="101">
        <f t="shared" si="1"/>
        <v>0</v>
      </c>
      <c r="L173" s="106">
        <f t="shared" si="2"/>
        <v>150000</v>
      </c>
      <c r="M173" s="101"/>
    </row>
    <row r="174" spans="1:20" s="37" customFormat="1" ht="15.75" hidden="1" customHeight="1" x14ac:dyDescent="0.25">
      <c r="A174" s="133" t="s">
        <v>145</v>
      </c>
      <c r="B174" s="134"/>
      <c r="C174" s="134"/>
      <c r="D174" s="134"/>
      <c r="E174" s="134"/>
      <c r="F174" s="134"/>
      <c r="G174" s="134"/>
      <c r="H174" s="135"/>
      <c r="I174" s="36"/>
      <c r="J174" s="101">
        <f t="shared" si="1"/>
        <v>0</v>
      </c>
      <c r="L174" s="106">
        <f t="shared" si="2"/>
        <v>150000</v>
      </c>
      <c r="M174" s="101"/>
    </row>
    <row r="175" spans="1:20" s="37" customFormat="1" ht="15.75" hidden="1" customHeight="1" x14ac:dyDescent="0.25">
      <c r="A175" s="126" t="str">
        <f ca="1">(SUMPRODUCT(MID(0&amp;(LEFT(A174,SUM(LEN(A174)-LEN(SUBSTITUTE(A174,{"0","1","2"},""))))), LARGE(INDEX(ISNUMBER(--MID((LEFT(A174,SUM(LEN(A174)-LEN(SUBSTITUTE(A174,{"0","1","2"},""))))), ROW(INDIRECT("1:"&amp;LEN((LEFT(A174,SUM(LEN(A174)-LEN(SUBSTITUTE(A174,{"0","1","2"},"")))))))), 1)) * ROW(INDIRECT("1:"&amp;LEN((LEFT(A174,SUM(LEN(A174)-LEN(SUBSTITUTE(A174,{"0","1","2"},"")))))))), 0), ROW(INDIRECT("1:"&amp;LEN((LEFT(A174,SUM(LEN(A174)-LEN(SUBSTITUTE(A174,{"0","1","2"},"")))))))))+1, 1) * 10^ROW(INDIRECT("1:"&amp;LEN((LEFT(A174,SUM(LEN(A174)-LEN(SUBSTITUTE(A174,{"0","1","2"},""))))))))/10))*100+1&amp;""&amp;" to "&amp;""&amp;(SUMPRODUCT(MID(0&amp;(--TRIM(RIGHT(SUBSTITUTE(LEFT(A174,_xlfn.AGGREGATE(16,6,FIND({0,1,2,3,4,5,6,7,8,9},A174,ROW(INDIRECT("1:"&amp;LEN(A174)))),1))," ",REPT(" ",LEN(A174))),LEN(A174)))), LARGE(INDEX(ISNUMBER(--MID((--TRIM(RIGHT(SUBSTITUTE(LEFT(A174,_xlfn.AGGREGATE(16,6,FIND({0,1,2,3,4,5,6,7,8,9},A174,ROW(INDIRECT("1:"&amp;LEN(A174)))),1))," ",REPT(" ",LEN(A174))),LEN(A174)))), ROW(INDIRECT("1:"&amp;LEN((--TRIM(RIGHT(SUBSTITUTE(LEFT(A174,_xlfn.AGGREGATE(16,6,FIND({0,1,2,3,4,5,6,7,8,9},A174,ROW(INDIRECT("1:"&amp;LEN(A174)))),1))," ",REPT(" ",LEN(A174))),LEN(A174))))))), 1)) * ROW(INDIRECT("1:"&amp;LEN((--TRIM(RIGHT(SUBSTITUTE(LEFT(A174,_xlfn.AGGREGATE(16,6,FIND({0,1,2,3,4,5,6,7,8,9},A174,ROW(INDIRECT("1:"&amp;LEN(A174)))),1))," ",REPT(" ",LEN(A174))),LEN(A174))))))), 0), ROW(INDIRECT("1:"&amp;LEN((--TRIM(RIGHT(SUBSTITUTE(LEFT(A174,_xlfn.AGGREGATE(16,6,FIND({0,1,2,3,4,5,6,7,8,9},A174,ROW(INDIRECT("1:"&amp;LEN(A174)))),1))," ",REPT(" ",LEN(A174))),LEN(A174))))))))+1, 1) * 10^ROW(INDIRECT("1:"&amp;LEN((--TRIM(RIGHT(SUBSTITUTE(LEFT(A174,_xlfn.AGGREGATE(16,6,FIND({0,1,2,3,4,5,6,7,8,9},A174,ROW(INDIRECT("1:"&amp;LEN(A174)))),1))," ",REPT(" ",LEN(A174))),LEN(A174)))))))/10))*100+1</f>
        <v>201 to 501</v>
      </c>
      <c r="B175" s="127"/>
      <c r="C175" s="42"/>
      <c r="D175" s="42"/>
      <c r="E175" s="42">
        <v>0</v>
      </c>
      <c r="F175" s="42">
        <f>D175+E175</f>
        <v>0</v>
      </c>
      <c r="G175" s="42">
        <v>0</v>
      </c>
      <c r="H175" s="42">
        <f>F175*(($H$150)+1)+(IF(G175&lt;101,G175,IF(G175&lt;201,G175/2,IF(G175&lt;=301,G175/3,G175/4))))</f>
        <v>0</v>
      </c>
      <c r="I175" s="36"/>
      <c r="J175" s="101">
        <f t="shared" si="1"/>
        <v>0</v>
      </c>
      <c r="L175" s="106">
        <f t="shared" si="2"/>
        <v>150000</v>
      </c>
      <c r="M175" s="101"/>
    </row>
    <row r="176" spans="1:20" s="37" customFormat="1" ht="15.75" hidden="1" customHeight="1" x14ac:dyDescent="0.25">
      <c r="A176" s="126" t="str">
        <f ca="1">(SUMPRODUCT(MID(0&amp;(LEFT(A175,SUM(LEN(A175)-LEN(SUBSTITUTE(A175,{"0","1","2"},""))))), LARGE(INDEX(ISNUMBER(--MID((LEFT(A175,SUM(LEN(A175)-LEN(SUBSTITUTE(A175,{"0","1","2"},""))))), ROW(INDIRECT("1:"&amp;LEN((LEFT(A175,SUM(LEN(A175)-LEN(SUBSTITUTE(A175,{"0","1","2"},"")))))))), 1)) * ROW(INDIRECT("1:"&amp;LEN((LEFT(A175,SUM(LEN(A175)-LEN(SUBSTITUTE(A175,{"0","1","2"},"")))))))), 0), ROW(INDIRECT("1:"&amp;LEN((LEFT(A175,SUM(LEN(A175)-LEN(SUBSTITUTE(A175,{"0","1","2"},"")))))))))+1, 1) * 10^ROW(INDIRECT("1:"&amp;LEN((LEFT(A175,SUM(LEN(A175)-LEN(SUBSTITUTE(A175,{"0","1","2"},""))))))))/10))*1+1&amp;""&amp;" to "&amp;""&amp;(SUMPRODUCT(MID(0&amp;(--TRIM(RIGHT(SUBSTITUTE(LEFT(A175,_xlfn.AGGREGATE(16,6,FIND({0,1,2,3,4,5,6,7,8,9},A175,ROW(INDIRECT("1:"&amp;LEN(A175)))),1))," ",REPT(" ",LEN(A175))),LEN(A175)))), LARGE(INDEX(ISNUMBER(--MID((--TRIM(RIGHT(SUBSTITUTE(LEFT(A175,_xlfn.AGGREGATE(16,6,FIND({0,1,2,3,4,5,6,7,8,9},A175,ROW(INDIRECT("1:"&amp;LEN(A175)))),1))," ",REPT(" ",LEN(A175))),LEN(A175)))), ROW(INDIRECT("1:"&amp;LEN((--TRIM(RIGHT(SUBSTITUTE(LEFT(A175,_xlfn.AGGREGATE(16,6,FIND({0,1,2,3,4,5,6,7,8,9},A175,ROW(INDIRECT("1:"&amp;LEN(A175)))),1))," ",REPT(" ",LEN(A175))),LEN(A175))))))), 1)) * ROW(INDIRECT("1:"&amp;LEN((--TRIM(RIGHT(SUBSTITUTE(LEFT(A175,_xlfn.AGGREGATE(16,6,FIND({0,1,2,3,4,5,6,7,8,9},A175,ROW(INDIRECT("1:"&amp;LEN(A175)))),1))," ",REPT(" ",LEN(A175))),LEN(A175))))))), 0), ROW(INDIRECT("1:"&amp;LEN((--TRIM(RIGHT(SUBSTITUTE(LEFT(A175,_xlfn.AGGREGATE(16,6,FIND({0,1,2,3,4,5,6,7,8,9},A175,ROW(INDIRECT("1:"&amp;LEN(A175)))),1))," ",REPT(" ",LEN(A175))),LEN(A175))))))))+1, 1) * 10^ROW(INDIRECT("1:"&amp;LEN((--TRIM(RIGHT(SUBSTITUTE(LEFT(A175,_xlfn.AGGREGATE(16,6,FIND({0,1,2,3,4,5,6,7,8,9},A175,ROW(INDIRECT("1:"&amp;LEN(A175)))),1))," ",REPT(" ",LEN(A175))),LEN(A175)))))))/10))*1+1</f>
        <v>202 to 502</v>
      </c>
      <c r="B176" s="127"/>
      <c r="C176" s="42"/>
      <c r="D176" s="42"/>
      <c r="E176" s="42">
        <v>0</v>
      </c>
      <c r="F176" s="42">
        <f>D176+E176</f>
        <v>0</v>
      </c>
      <c r="G176" s="42">
        <v>0</v>
      </c>
      <c r="H176" s="42">
        <f>F176*(($H$150)+1)+(IF(G176&lt;101,G176,IF(G176&lt;201,G176/2,IF(G176&lt;=301,G176/3,G176/4))))</f>
        <v>0</v>
      </c>
      <c r="I176" s="36"/>
      <c r="J176" s="101">
        <f t="shared" si="1"/>
        <v>0</v>
      </c>
      <c r="L176" s="106">
        <f t="shared" si="2"/>
        <v>150000</v>
      </c>
      <c r="M176" s="101"/>
    </row>
    <row r="177" spans="1:20" s="37" customFormat="1" ht="15.75" hidden="1" customHeight="1" x14ac:dyDescent="0.25">
      <c r="A177" s="126" t="str">
        <f ca="1">(SUMPRODUCT(MID(0&amp;(LEFT(A176,SUM(LEN(A176)-LEN(SUBSTITUTE(A176,{"0","1","2"},""))))), LARGE(INDEX(ISNUMBER(--MID((LEFT(A176,SUM(LEN(A176)-LEN(SUBSTITUTE(A176,{"0","1","2"},""))))), ROW(INDIRECT("1:"&amp;LEN((LEFT(A176,SUM(LEN(A176)-LEN(SUBSTITUTE(A176,{"0","1","2"},"")))))))), 1)) * ROW(INDIRECT("1:"&amp;LEN((LEFT(A176,SUM(LEN(A176)-LEN(SUBSTITUTE(A176,{"0","1","2"},"")))))))), 0), ROW(INDIRECT("1:"&amp;LEN((LEFT(A176,SUM(LEN(A176)-LEN(SUBSTITUTE(A176,{"0","1","2"},"")))))))))+1, 1) * 10^ROW(INDIRECT("1:"&amp;LEN((LEFT(A176,SUM(LEN(A176)-LEN(SUBSTITUTE(A176,{"0","1","2"},""))))))))/10))*1+1&amp;""&amp;" to "&amp;""&amp;(SUMPRODUCT(MID(0&amp;(--TRIM(RIGHT(SUBSTITUTE(LEFT(A176,_xlfn.AGGREGATE(16,6,FIND({0,1,2,3,4,5,6,7,8,9},A176,ROW(INDIRECT("1:"&amp;LEN(A176)))),1))," ",REPT(" ",LEN(A176))),LEN(A176)))), LARGE(INDEX(ISNUMBER(--MID((--TRIM(RIGHT(SUBSTITUTE(LEFT(A176,_xlfn.AGGREGATE(16,6,FIND({0,1,2,3,4,5,6,7,8,9},A176,ROW(INDIRECT("1:"&amp;LEN(A176)))),1))," ",REPT(" ",LEN(A176))),LEN(A176)))), ROW(INDIRECT("1:"&amp;LEN((--TRIM(RIGHT(SUBSTITUTE(LEFT(A176,_xlfn.AGGREGATE(16,6,FIND({0,1,2,3,4,5,6,7,8,9},A176,ROW(INDIRECT("1:"&amp;LEN(A176)))),1))," ",REPT(" ",LEN(A176))),LEN(A176))))))), 1)) * ROW(INDIRECT("1:"&amp;LEN((--TRIM(RIGHT(SUBSTITUTE(LEFT(A176,_xlfn.AGGREGATE(16,6,FIND({0,1,2,3,4,5,6,7,8,9},A176,ROW(INDIRECT("1:"&amp;LEN(A176)))),1))," ",REPT(" ",LEN(A176))),LEN(A176))))))), 0), ROW(INDIRECT("1:"&amp;LEN((--TRIM(RIGHT(SUBSTITUTE(LEFT(A176,_xlfn.AGGREGATE(16,6,FIND({0,1,2,3,4,5,6,7,8,9},A176,ROW(INDIRECT("1:"&amp;LEN(A176)))),1))," ",REPT(" ",LEN(A176))),LEN(A176))))))))+1, 1) * 10^ROW(INDIRECT("1:"&amp;LEN((--TRIM(RIGHT(SUBSTITUTE(LEFT(A176,_xlfn.AGGREGATE(16,6,FIND({0,1,2,3,4,5,6,7,8,9},A176,ROW(INDIRECT("1:"&amp;LEN(A176)))),1))," ",REPT(" ",LEN(A176))),LEN(A176)))))))/10))*1+1</f>
        <v>203 to 503</v>
      </c>
      <c r="B177" s="127"/>
      <c r="C177" s="42"/>
      <c r="D177" s="42"/>
      <c r="E177" s="42">
        <v>0</v>
      </c>
      <c r="F177" s="42">
        <f>D177+E177</f>
        <v>0</v>
      </c>
      <c r="G177" s="42">
        <v>0</v>
      </c>
      <c r="H177" s="42">
        <f>F177*(($H$150)+1)+(IF(G177&lt;101,G177,IF(G177&lt;201,G177/2,IF(G177&lt;=301,G177/3,G177/4))))</f>
        <v>0</v>
      </c>
      <c r="I177" s="36"/>
      <c r="J177" s="101">
        <f t="shared" si="1"/>
        <v>0</v>
      </c>
      <c r="L177" s="106">
        <f t="shared" si="2"/>
        <v>150000</v>
      </c>
      <c r="M177" s="101"/>
    </row>
    <row r="178" spans="1:20" s="37" customFormat="1" ht="15.75" hidden="1" customHeight="1" x14ac:dyDescent="0.25">
      <c r="A178" s="126" t="str">
        <f ca="1">(SUMPRODUCT(MID(0&amp;(LEFT(A177,SUM(LEN(A177)-LEN(SUBSTITUTE(A177,{"0","1","2"},""))))), LARGE(INDEX(ISNUMBER(--MID((LEFT(A177,SUM(LEN(A177)-LEN(SUBSTITUTE(A177,{"0","1","2"},""))))), ROW(INDIRECT("1:"&amp;LEN((LEFT(A177,SUM(LEN(A177)-LEN(SUBSTITUTE(A177,{"0","1","2"},"")))))))), 1)) * ROW(INDIRECT("1:"&amp;LEN((LEFT(A177,SUM(LEN(A177)-LEN(SUBSTITUTE(A177,{"0","1","2"},"")))))))), 0), ROW(INDIRECT("1:"&amp;LEN((LEFT(A177,SUM(LEN(A177)-LEN(SUBSTITUTE(A177,{"0","1","2"},"")))))))))+1, 1) * 10^ROW(INDIRECT("1:"&amp;LEN((LEFT(A177,SUM(LEN(A177)-LEN(SUBSTITUTE(A177,{"0","1","2"},""))))))))/10))*1+1&amp;""&amp;" to "&amp;""&amp;(SUMPRODUCT(MID(0&amp;(--TRIM(RIGHT(SUBSTITUTE(LEFT(A177,_xlfn.AGGREGATE(16,6,FIND({0,1,2,3,4,5,6,7,8,9},A177,ROW(INDIRECT("1:"&amp;LEN(A177)))),1))," ",REPT(" ",LEN(A177))),LEN(A177)))), LARGE(INDEX(ISNUMBER(--MID((--TRIM(RIGHT(SUBSTITUTE(LEFT(A177,_xlfn.AGGREGATE(16,6,FIND({0,1,2,3,4,5,6,7,8,9},A177,ROW(INDIRECT("1:"&amp;LEN(A177)))),1))," ",REPT(" ",LEN(A177))),LEN(A177)))), ROW(INDIRECT("1:"&amp;LEN((--TRIM(RIGHT(SUBSTITUTE(LEFT(A177,_xlfn.AGGREGATE(16,6,FIND({0,1,2,3,4,5,6,7,8,9},A177,ROW(INDIRECT("1:"&amp;LEN(A177)))),1))," ",REPT(" ",LEN(A177))),LEN(A177))))))), 1)) * ROW(INDIRECT("1:"&amp;LEN((--TRIM(RIGHT(SUBSTITUTE(LEFT(A177,_xlfn.AGGREGATE(16,6,FIND({0,1,2,3,4,5,6,7,8,9},A177,ROW(INDIRECT("1:"&amp;LEN(A177)))),1))," ",REPT(" ",LEN(A177))),LEN(A177))))))), 0), ROW(INDIRECT("1:"&amp;LEN((--TRIM(RIGHT(SUBSTITUTE(LEFT(A177,_xlfn.AGGREGATE(16,6,FIND({0,1,2,3,4,5,6,7,8,9},A177,ROW(INDIRECT("1:"&amp;LEN(A177)))),1))," ",REPT(" ",LEN(A177))),LEN(A177))))))))+1, 1) * 10^ROW(INDIRECT("1:"&amp;LEN((--TRIM(RIGHT(SUBSTITUTE(LEFT(A177,_xlfn.AGGREGATE(16,6,FIND({0,1,2,3,4,5,6,7,8,9},A177,ROW(INDIRECT("1:"&amp;LEN(A177)))),1))," ",REPT(" ",LEN(A177))),LEN(A177)))))))/10))*1+1</f>
        <v>204 to 504</v>
      </c>
      <c r="B178" s="127"/>
      <c r="C178" s="42"/>
      <c r="D178" s="42"/>
      <c r="E178" s="42">
        <v>0</v>
      </c>
      <c r="F178" s="42">
        <f>D178+E178</f>
        <v>0</v>
      </c>
      <c r="G178" s="42">
        <v>0</v>
      </c>
      <c r="H178" s="42">
        <f>F178*(($H$150)+1)+(IF(G178&lt;101,G178,IF(G178&lt;201,G178/2,IF(G178&lt;=301,G178/3,G178/4))))</f>
        <v>0</v>
      </c>
      <c r="I178" s="36"/>
      <c r="J178" s="101">
        <f t="shared" si="1"/>
        <v>0</v>
      </c>
      <c r="L178" s="106">
        <f t="shared" si="2"/>
        <v>150000</v>
      </c>
      <c r="M178" s="101"/>
    </row>
    <row r="179" spans="1:20" s="37" customFormat="1" ht="15.75" hidden="1" customHeight="1" x14ac:dyDescent="0.25">
      <c r="A179" s="126" t="str">
        <f ca="1">(SUMPRODUCT(MID(0&amp;(LEFT(A178,SUM(LEN(A178)-LEN(SUBSTITUTE(A178,{"0","1","2"},""))))), LARGE(INDEX(ISNUMBER(--MID((LEFT(A178,SUM(LEN(A178)-LEN(SUBSTITUTE(A178,{"0","1","2"},""))))), ROW(INDIRECT("1:"&amp;LEN((LEFT(A178,SUM(LEN(A178)-LEN(SUBSTITUTE(A178,{"0","1","2"},"")))))))), 1)) * ROW(INDIRECT("1:"&amp;LEN((LEFT(A178,SUM(LEN(A178)-LEN(SUBSTITUTE(A178,{"0","1","2"},"")))))))), 0), ROW(INDIRECT("1:"&amp;LEN((LEFT(A178,SUM(LEN(A178)-LEN(SUBSTITUTE(A178,{"0","1","2"},"")))))))))+1, 1) * 10^ROW(INDIRECT("1:"&amp;LEN((LEFT(A178,SUM(LEN(A178)-LEN(SUBSTITUTE(A178,{"0","1","2"},""))))))))/10))*1+1&amp;""&amp;" to "&amp;""&amp;(SUMPRODUCT(MID(0&amp;(--TRIM(RIGHT(SUBSTITUTE(LEFT(A178,_xlfn.AGGREGATE(16,6,FIND({0,1,2,3,4,5,6,7,8,9},A178,ROW(INDIRECT("1:"&amp;LEN(A178)))),1))," ",REPT(" ",LEN(A178))),LEN(A178)))), LARGE(INDEX(ISNUMBER(--MID((--TRIM(RIGHT(SUBSTITUTE(LEFT(A178,_xlfn.AGGREGATE(16,6,FIND({0,1,2,3,4,5,6,7,8,9},A178,ROW(INDIRECT("1:"&amp;LEN(A178)))),1))," ",REPT(" ",LEN(A178))),LEN(A178)))), ROW(INDIRECT("1:"&amp;LEN((--TRIM(RIGHT(SUBSTITUTE(LEFT(A178,_xlfn.AGGREGATE(16,6,FIND({0,1,2,3,4,5,6,7,8,9},A178,ROW(INDIRECT("1:"&amp;LEN(A178)))),1))," ",REPT(" ",LEN(A178))),LEN(A178))))))), 1)) * ROW(INDIRECT("1:"&amp;LEN((--TRIM(RIGHT(SUBSTITUTE(LEFT(A178,_xlfn.AGGREGATE(16,6,FIND({0,1,2,3,4,5,6,7,8,9},A178,ROW(INDIRECT("1:"&amp;LEN(A178)))),1))," ",REPT(" ",LEN(A178))),LEN(A178))))))), 0), ROW(INDIRECT("1:"&amp;LEN((--TRIM(RIGHT(SUBSTITUTE(LEFT(A178,_xlfn.AGGREGATE(16,6,FIND({0,1,2,3,4,5,6,7,8,9},A178,ROW(INDIRECT("1:"&amp;LEN(A178)))),1))," ",REPT(" ",LEN(A178))),LEN(A178))))))))+1, 1) * 10^ROW(INDIRECT("1:"&amp;LEN((--TRIM(RIGHT(SUBSTITUTE(LEFT(A178,_xlfn.AGGREGATE(16,6,FIND({0,1,2,3,4,5,6,7,8,9},A178,ROW(INDIRECT("1:"&amp;LEN(A178)))),1))," ",REPT(" ",LEN(A178))),LEN(A178)))))))/10))*1+1</f>
        <v>205 to 505</v>
      </c>
      <c r="B179" s="127"/>
      <c r="C179" s="42"/>
      <c r="D179" s="42"/>
      <c r="E179" s="42">
        <v>0</v>
      </c>
      <c r="F179" s="42">
        <f>D179+E179</f>
        <v>0</v>
      </c>
      <c r="G179" s="42">
        <v>0</v>
      </c>
      <c r="H179" s="42">
        <f>F179*(($H$150)+1)+(IF(G179&lt;101,G179,IF(G179&lt;201,G179/2,IF(G179&lt;=301,G179/3,G179/4))))</f>
        <v>0</v>
      </c>
      <c r="I179" s="36"/>
      <c r="J179" s="101">
        <f t="shared" si="1"/>
        <v>0</v>
      </c>
      <c r="L179" s="106">
        <f t="shared" si="2"/>
        <v>150000</v>
      </c>
      <c r="M179" s="101"/>
    </row>
    <row r="180" spans="1:20" s="37" customFormat="1" ht="15.75" hidden="1" customHeight="1" x14ac:dyDescent="0.25">
      <c r="A180" s="133" t="s">
        <v>146</v>
      </c>
      <c r="B180" s="134"/>
      <c r="C180" s="134"/>
      <c r="D180" s="134"/>
      <c r="E180" s="134"/>
      <c r="F180" s="134"/>
      <c r="G180" s="134"/>
      <c r="H180" s="135"/>
      <c r="I180" s="36"/>
      <c r="J180" s="101">
        <f t="shared" si="1"/>
        <v>0</v>
      </c>
      <c r="L180" s="106">
        <f t="shared" si="2"/>
        <v>150000</v>
      </c>
      <c r="M180" s="101"/>
    </row>
    <row r="181" spans="1:20" s="37" customFormat="1" ht="15.75" hidden="1" customHeight="1" x14ac:dyDescent="0.25">
      <c r="A181" s="126" t="str">
        <f ca="1">(SUMPRODUCT(MID(0&amp;(LEFT(A180,SUM(LEN(A180)-LEN(SUBSTITUTE(A180,{"0","1","2"},""))))), LARGE(INDEX(ISNUMBER(--MID((LEFT(A180,SUM(LEN(A180)-LEN(SUBSTITUTE(A180,{"0","1","2"},""))))), ROW(INDIRECT("1:"&amp;LEN((LEFT(A180,SUM(LEN(A180)-LEN(SUBSTITUTE(A180,{"0","1","2"},"")))))))), 1)) * ROW(INDIRECT("1:"&amp;LEN((LEFT(A180,SUM(LEN(A180)-LEN(SUBSTITUTE(A180,{"0","1","2"},"")))))))), 0), ROW(INDIRECT("1:"&amp;LEN((LEFT(A180,SUM(LEN(A180)-LEN(SUBSTITUTE(A180,{"0","1","2"},"")))))))))+1, 1) * 10^ROW(INDIRECT("1:"&amp;LEN((LEFT(A180,SUM(LEN(A180)-LEN(SUBSTITUTE(A180,{"0","1","2"},""))))))))/10))*100+1&amp;""&amp;" &amp; "&amp;""&amp;(SUMPRODUCT(MID(0&amp;(--TRIM(RIGHT(SUBSTITUTE(LEFT(A180,_xlfn.AGGREGATE(16,6,FIND({0,1,2,3,4,5,6,7,8,9},A180,ROW(INDIRECT("1:"&amp;LEN(A180)))),1))," ",REPT(" ",LEN(A180))),LEN(A180)))), LARGE(INDEX(ISNUMBER(--MID((--TRIM(RIGHT(SUBSTITUTE(LEFT(A180,_xlfn.AGGREGATE(16,6,FIND({0,1,2,3,4,5,6,7,8,9},A180,ROW(INDIRECT("1:"&amp;LEN(A180)))),1))," ",REPT(" ",LEN(A180))),LEN(A180)))), ROW(INDIRECT("1:"&amp;LEN((--TRIM(RIGHT(SUBSTITUTE(LEFT(A180,_xlfn.AGGREGATE(16,6,FIND({0,1,2,3,4,5,6,7,8,9},A180,ROW(INDIRECT("1:"&amp;LEN(A180)))),1))," ",REPT(" ",LEN(A180))),LEN(A180))))))), 1)) * ROW(INDIRECT("1:"&amp;LEN((--TRIM(RIGHT(SUBSTITUTE(LEFT(A180,_xlfn.AGGREGATE(16,6,FIND({0,1,2,3,4,5,6,7,8,9},A180,ROW(INDIRECT("1:"&amp;LEN(A180)))),1))," ",REPT(" ",LEN(A180))),LEN(A180))))))), 0), ROW(INDIRECT("1:"&amp;LEN((--TRIM(RIGHT(SUBSTITUTE(LEFT(A180,_xlfn.AGGREGATE(16,6,FIND({0,1,2,3,4,5,6,7,8,9},A180,ROW(INDIRECT("1:"&amp;LEN(A180)))),1))," ",REPT(" ",LEN(A180))),LEN(A180))))))))+1, 1) * 10^ROW(INDIRECT("1:"&amp;LEN((--TRIM(RIGHT(SUBSTITUTE(LEFT(A180,_xlfn.AGGREGATE(16,6,FIND({0,1,2,3,4,5,6,7,8,9},A180,ROW(INDIRECT("1:"&amp;LEN(A180)))),1))," ",REPT(" ",LEN(A180))),LEN(A180)))))))/10))*100+1</f>
        <v>201 &amp; 501</v>
      </c>
      <c r="B181" s="127"/>
      <c r="C181" s="42"/>
      <c r="D181" s="42"/>
      <c r="E181" s="42">
        <v>0</v>
      </c>
      <c r="F181" s="42">
        <f>D181+E181</f>
        <v>0</v>
      </c>
      <c r="G181" s="42">
        <v>0</v>
      </c>
      <c r="H181" s="42">
        <f>F181*(($H$150)+1)+(IF(G181&lt;101,G181,IF(G181&lt;201,G181/2,IF(G181&lt;=301,G181/3,G181/4))))</f>
        <v>0</v>
      </c>
      <c r="I181" s="36"/>
      <c r="J181" s="101">
        <f t="shared" si="1"/>
        <v>0</v>
      </c>
      <c r="L181" s="106">
        <f t="shared" si="2"/>
        <v>150000</v>
      </c>
      <c r="M181" s="101"/>
    </row>
    <row r="182" spans="1:20" s="37" customFormat="1" ht="15.75" hidden="1" customHeight="1" x14ac:dyDescent="0.25">
      <c r="A182" s="126" t="str">
        <f ca="1">(SUMPRODUCT(MID(0&amp;(LEFT(A181,SUM(LEN(A181)-LEN(SUBSTITUTE(A181,{"0","1","2"},""))))), LARGE(INDEX(ISNUMBER(--MID((LEFT(A181,SUM(LEN(A181)-LEN(SUBSTITUTE(A181,{"0","1","2"},""))))), ROW(INDIRECT("1:"&amp;LEN((LEFT(A181,SUM(LEN(A181)-LEN(SUBSTITUTE(A181,{"0","1","2"},"")))))))), 1)) * ROW(INDIRECT("1:"&amp;LEN((LEFT(A181,SUM(LEN(A181)-LEN(SUBSTITUTE(A181,{"0","1","2"},"")))))))), 0), ROW(INDIRECT("1:"&amp;LEN((LEFT(A181,SUM(LEN(A181)-LEN(SUBSTITUTE(A181,{"0","1","2"},"")))))))))+1, 1) * 10^ROW(INDIRECT("1:"&amp;LEN((LEFT(A181,SUM(LEN(A181)-LEN(SUBSTITUTE(A181,{"0","1","2"},""))))))))/10))*1+1&amp;""&amp;" &amp; "&amp;""&amp;(SUMPRODUCT(MID(0&amp;(--TRIM(RIGHT(SUBSTITUTE(LEFT(A181,_xlfn.AGGREGATE(16,6,FIND({0,1,2,3,4,5,6,7,8,9},A181,ROW(INDIRECT("1:"&amp;LEN(A181)))),1))," ",REPT(" ",LEN(A181))),LEN(A181)))), LARGE(INDEX(ISNUMBER(--MID((--TRIM(RIGHT(SUBSTITUTE(LEFT(A181,_xlfn.AGGREGATE(16,6,FIND({0,1,2,3,4,5,6,7,8,9},A181,ROW(INDIRECT("1:"&amp;LEN(A181)))),1))," ",REPT(" ",LEN(A181))),LEN(A181)))), ROW(INDIRECT("1:"&amp;LEN((--TRIM(RIGHT(SUBSTITUTE(LEFT(A181,_xlfn.AGGREGATE(16,6,FIND({0,1,2,3,4,5,6,7,8,9},A181,ROW(INDIRECT("1:"&amp;LEN(A181)))),1))," ",REPT(" ",LEN(A181))),LEN(A181))))))), 1)) * ROW(INDIRECT("1:"&amp;LEN((--TRIM(RIGHT(SUBSTITUTE(LEFT(A181,_xlfn.AGGREGATE(16,6,FIND({0,1,2,3,4,5,6,7,8,9},A181,ROW(INDIRECT("1:"&amp;LEN(A181)))),1))," ",REPT(" ",LEN(A181))),LEN(A181))))))), 0), ROW(INDIRECT("1:"&amp;LEN((--TRIM(RIGHT(SUBSTITUTE(LEFT(A181,_xlfn.AGGREGATE(16,6,FIND({0,1,2,3,4,5,6,7,8,9},A181,ROW(INDIRECT("1:"&amp;LEN(A181)))),1))," ",REPT(" ",LEN(A181))),LEN(A181))))))))+1, 1) * 10^ROW(INDIRECT("1:"&amp;LEN((--TRIM(RIGHT(SUBSTITUTE(LEFT(A181,_xlfn.AGGREGATE(16,6,FIND({0,1,2,3,4,5,6,7,8,9},A181,ROW(INDIRECT("1:"&amp;LEN(A181)))),1))," ",REPT(" ",LEN(A181))),LEN(A181)))))))/10))*1+1</f>
        <v>202 &amp; 502</v>
      </c>
      <c r="B182" s="127"/>
      <c r="C182" s="42"/>
      <c r="D182" s="42"/>
      <c r="E182" s="42">
        <v>0</v>
      </c>
      <c r="F182" s="42">
        <f>D182+E182</f>
        <v>0</v>
      </c>
      <c r="G182" s="42">
        <v>0</v>
      </c>
      <c r="H182" s="42">
        <f>F182*(($H$150)+1)+(IF(G182&lt;101,G182,IF(G182&lt;201,G182/2,IF(G182&lt;=301,G182/3,G182/4))))</f>
        <v>0</v>
      </c>
      <c r="I182" s="36"/>
      <c r="J182" s="101">
        <f t="shared" si="1"/>
        <v>0</v>
      </c>
      <c r="L182" s="106">
        <f t="shared" si="2"/>
        <v>150000</v>
      </c>
      <c r="M182" s="101"/>
    </row>
    <row r="183" spans="1:20" s="37" customFormat="1" ht="15.75" hidden="1" customHeight="1" x14ac:dyDescent="0.25">
      <c r="A183" s="126" t="str">
        <f ca="1">(SUMPRODUCT(MID(0&amp;(LEFT(A182,SUM(LEN(A182)-LEN(SUBSTITUTE(A182,{"0","1","2"},""))))), LARGE(INDEX(ISNUMBER(--MID((LEFT(A182,SUM(LEN(A182)-LEN(SUBSTITUTE(A182,{"0","1","2"},""))))), ROW(INDIRECT("1:"&amp;LEN((LEFT(A182,SUM(LEN(A182)-LEN(SUBSTITUTE(A182,{"0","1","2"},"")))))))), 1)) * ROW(INDIRECT("1:"&amp;LEN((LEFT(A182,SUM(LEN(A182)-LEN(SUBSTITUTE(A182,{"0","1","2"},"")))))))), 0), ROW(INDIRECT("1:"&amp;LEN((LEFT(A182,SUM(LEN(A182)-LEN(SUBSTITUTE(A182,{"0","1","2"},"")))))))))+1, 1) * 10^ROW(INDIRECT("1:"&amp;LEN((LEFT(A182,SUM(LEN(A182)-LEN(SUBSTITUTE(A182,{"0","1","2"},""))))))))/10))*1+1&amp;""&amp;" &amp; "&amp;""&amp;(SUMPRODUCT(MID(0&amp;(--TRIM(RIGHT(SUBSTITUTE(LEFT(A182,_xlfn.AGGREGATE(16,6,FIND({0,1,2,3,4,5,6,7,8,9},A182,ROW(INDIRECT("1:"&amp;LEN(A182)))),1))," ",REPT(" ",LEN(A182))),LEN(A182)))), LARGE(INDEX(ISNUMBER(--MID((--TRIM(RIGHT(SUBSTITUTE(LEFT(A182,_xlfn.AGGREGATE(16,6,FIND({0,1,2,3,4,5,6,7,8,9},A182,ROW(INDIRECT("1:"&amp;LEN(A182)))),1))," ",REPT(" ",LEN(A182))),LEN(A182)))), ROW(INDIRECT("1:"&amp;LEN((--TRIM(RIGHT(SUBSTITUTE(LEFT(A182,_xlfn.AGGREGATE(16,6,FIND({0,1,2,3,4,5,6,7,8,9},A182,ROW(INDIRECT("1:"&amp;LEN(A182)))),1))," ",REPT(" ",LEN(A182))),LEN(A182))))))), 1)) * ROW(INDIRECT("1:"&amp;LEN((--TRIM(RIGHT(SUBSTITUTE(LEFT(A182,_xlfn.AGGREGATE(16,6,FIND({0,1,2,3,4,5,6,7,8,9},A182,ROW(INDIRECT("1:"&amp;LEN(A182)))),1))," ",REPT(" ",LEN(A182))),LEN(A182))))))), 0), ROW(INDIRECT("1:"&amp;LEN((--TRIM(RIGHT(SUBSTITUTE(LEFT(A182,_xlfn.AGGREGATE(16,6,FIND({0,1,2,3,4,5,6,7,8,9},A182,ROW(INDIRECT("1:"&amp;LEN(A182)))),1))," ",REPT(" ",LEN(A182))),LEN(A182))))))))+1, 1) * 10^ROW(INDIRECT("1:"&amp;LEN((--TRIM(RIGHT(SUBSTITUTE(LEFT(A182,_xlfn.AGGREGATE(16,6,FIND({0,1,2,3,4,5,6,7,8,9},A182,ROW(INDIRECT("1:"&amp;LEN(A182)))),1))," ",REPT(" ",LEN(A182))),LEN(A182)))))))/10))*1+1</f>
        <v>203 &amp; 503</v>
      </c>
      <c r="B183" s="127"/>
      <c r="C183" s="42"/>
      <c r="D183" s="42"/>
      <c r="E183" s="42">
        <v>0</v>
      </c>
      <c r="F183" s="42">
        <f>D183+E183</f>
        <v>0</v>
      </c>
      <c r="G183" s="42">
        <v>0</v>
      </c>
      <c r="H183" s="42">
        <f>F183*(($H$150)+1)+(IF(G183&lt;101,G183,IF(G183&lt;201,G183/2,IF(G183&lt;=301,G183/3,G183/4))))</f>
        <v>0</v>
      </c>
      <c r="I183" s="36"/>
      <c r="J183" s="101">
        <f t="shared" si="1"/>
        <v>0</v>
      </c>
      <c r="L183" s="106">
        <f t="shared" si="2"/>
        <v>150000</v>
      </c>
      <c r="M183" s="101"/>
    </row>
    <row r="184" spans="1:20" s="37" customFormat="1" ht="15.75" hidden="1" customHeight="1" x14ac:dyDescent="0.25">
      <c r="A184" s="126" t="str">
        <f ca="1">(SUMPRODUCT(MID(0&amp;(LEFT(A183,SUM(LEN(A183)-LEN(SUBSTITUTE(A183,{"0","1","2"},""))))), LARGE(INDEX(ISNUMBER(--MID((LEFT(A183,SUM(LEN(A183)-LEN(SUBSTITUTE(A183,{"0","1","2"},""))))), ROW(INDIRECT("1:"&amp;LEN((LEFT(A183,SUM(LEN(A183)-LEN(SUBSTITUTE(A183,{"0","1","2"},"")))))))), 1)) * ROW(INDIRECT("1:"&amp;LEN((LEFT(A183,SUM(LEN(A183)-LEN(SUBSTITUTE(A183,{"0","1","2"},"")))))))), 0), ROW(INDIRECT("1:"&amp;LEN((LEFT(A183,SUM(LEN(A183)-LEN(SUBSTITUTE(A183,{"0","1","2"},"")))))))))+1, 1) * 10^ROW(INDIRECT("1:"&amp;LEN((LEFT(A183,SUM(LEN(A183)-LEN(SUBSTITUTE(A183,{"0","1","2"},""))))))))/10))*1+1&amp;""&amp;" &amp; "&amp;""&amp;(SUMPRODUCT(MID(0&amp;(--TRIM(RIGHT(SUBSTITUTE(LEFT(A183,_xlfn.AGGREGATE(16,6,FIND({0,1,2,3,4,5,6,7,8,9},A183,ROW(INDIRECT("1:"&amp;LEN(A183)))),1))," ",REPT(" ",LEN(A183))),LEN(A183)))), LARGE(INDEX(ISNUMBER(--MID((--TRIM(RIGHT(SUBSTITUTE(LEFT(A183,_xlfn.AGGREGATE(16,6,FIND({0,1,2,3,4,5,6,7,8,9},A183,ROW(INDIRECT("1:"&amp;LEN(A183)))),1))," ",REPT(" ",LEN(A183))),LEN(A183)))), ROW(INDIRECT("1:"&amp;LEN((--TRIM(RIGHT(SUBSTITUTE(LEFT(A183,_xlfn.AGGREGATE(16,6,FIND({0,1,2,3,4,5,6,7,8,9},A183,ROW(INDIRECT("1:"&amp;LEN(A183)))),1))," ",REPT(" ",LEN(A183))),LEN(A183))))))), 1)) * ROW(INDIRECT("1:"&amp;LEN((--TRIM(RIGHT(SUBSTITUTE(LEFT(A183,_xlfn.AGGREGATE(16,6,FIND({0,1,2,3,4,5,6,7,8,9},A183,ROW(INDIRECT("1:"&amp;LEN(A183)))),1))," ",REPT(" ",LEN(A183))),LEN(A183))))))), 0), ROW(INDIRECT("1:"&amp;LEN((--TRIM(RIGHT(SUBSTITUTE(LEFT(A183,_xlfn.AGGREGATE(16,6,FIND({0,1,2,3,4,5,6,7,8,9},A183,ROW(INDIRECT("1:"&amp;LEN(A183)))),1))," ",REPT(" ",LEN(A183))),LEN(A183))))))))+1, 1) * 10^ROW(INDIRECT("1:"&amp;LEN((--TRIM(RIGHT(SUBSTITUTE(LEFT(A183,_xlfn.AGGREGATE(16,6,FIND({0,1,2,3,4,5,6,7,8,9},A183,ROW(INDIRECT("1:"&amp;LEN(A183)))),1))," ",REPT(" ",LEN(A183))),LEN(A183)))))))/10))*1+1</f>
        <v>204 &amp; 504</v>
      </c>
      <c r="B184" s="127"/>
      <c r="C184" s="42"/>
      <c r="D184" s="42"/>
      <c r="E184" s="42">
        <v>0</v>
      </c>
      <c r="F184" s="42">
        <f>D184+E184</f>
        <v>0</v>
      </c>
      <c r="G184" s="42">
        <v>0</v>
      </c>
      <c r="H184" s="42">
        <f>F184*(($H$150)+1)+(IF(G184&lt;101,G184,IF(G184&lt;201,G184/2,IF(G184&lt;=301,G184/3,G184/4))))</f>
        <v>0</v>
      </c>
      <c r="I184" s="36"/>
      <c r="J184" s="101">
        <f t="shared" si="1"/>
        <v>0</v>
      </c>
      <c r="L184" s="106">
        <f t="shared" si="2"/>
        <v>150000</v>
      </c>
      <c r="M184" s="101"/>
    </row>
    <row r="185" spans="1:20" s="37" customFormat="1" ht="15.75" hidden="1" customHeight="1" x14ac:dyDescent="0.25">
      <c r="A185" s="126" t="str">
        <f ca="1">(SUMPRODUCT(MID(0&amp;(LEFT(A184,SUM(LEN(A184)-LEN(SUBSTITUTE(A184,{"0","1","2"},""))))), LARGE(INDEX(ISNUMBER(--MID((LEFT(A184,SUM(LEN(A184)-LEN(SUBSTITUTE(A184,{"0","1","2"},""))))), ROW(INDIRECT("1:"&amp;LEN((LEFT(A184,SUM(LEN(A184)-LEN(SUBSTITUTE(A184,{"0","1","2"},"")))))))), 1)) * ROW(INDIRECT("1:"&amp;LEN((LEFT(A184,SUM(LEN(A184)-LEN(SUBSTITUTE(A184,{"0","1","2"},"")))))))), 0), ROW(INDIRECT("1:"&amp;LEN((LEFT(A184,SUM(LEN(A184)-LEN(SUBSTITUTE(A184,{"0","1","2"},"")))))))))+1, 1) * 10^ROW(INDIRECT("1:"&amp;LEN((LEFT(A184,SUM(LEN(A184)-LEN(SUBSTITUTE(A184,{"0","1","2"},""))))))))/10))*1+1&amp;""&amp;" &amp; "&amp;""&amp;(SUMPRODUCT(MID(0&amp;(--TRIM(RIGHT(SUBSTITUTE(LEFT(A184,_xlfn.AGGREGATE(16,6,FIND({0,1,2,3,4,5,6,7,8,9},A184,ROW(INDIRECT("1:"&amp;LEN(A184)))),1))," ",REPT(" ",LEN(A184))),LEN(A184)))), LARGE(INDEX(ISNUMBER(--MID((--TRIM(RIGHT(SUBSTITUTE(LEFT(A184,_xlfn.AGGREGATE(16,6,FIND({0,1,2,3,4,5,6,7,8,9},A184,ROW(INDIRECT("1:"&amp;LEN(A184)))),1))," ",REPT(" ",LEN(A184))),LEN(A184)))), ROW(INDIRECT("1:"&amp;LEN((--TRIM(RIGHT(SUBSTITUTE(LEFT(A184,_xlfn.AGGREGATE(16,6,FIND({0,1,2,3,4,5,6,7,8,9},A184,ROW(INDIRECT("1:"&amp;LEN(A184)))),1))," ",REPT(" ",LEN(A184))),LEN(A184))))))), 1)) * ROW(INDIRECT("1:"&amp;LEN((--TRIM(RIGHT(SUBSTITUTE(LEFT(A184,_xlfn.AGGREGATE(16,6,FIND({0,1,2,3,4,5,6,7,8,9},A184,ROW(INDIRECT("1:"&amp;LEN(A184)))),1))," ",REPT(" ",LEN(A184))),LEN(A184))))))), 0), ROW(INDIRECT("1:"&amp;LEN((--TRIM(RIGHT(SUBSTITUTE(LEFT(A184,_xlfn.AGGREGATE(16,6,FIND({0,1,2,3,4,5,6,7,8,9},A184,ROW(INDIRECT("1:"&amp;LEN(A184)))),1))," ",REPT(" ",LEN(A184))),LEN(A184))))))))+1, 1) * 10^ROW(INDIRECT("1:"&amp;LEN((--TRIM(RIGHT(SUBSTITUTE(LEFT(A184,_xlfn.AGGREGATE(16,6,FIND({0,1,2,3,4,5,6,7,8,9},A184,ROW(INDIRECT("1:"&amp;LEN(A184)))),1))," ",REPT(" ",LEN(A184))),LEN(A184)))))))/10))*1+1</f>
        <v>205 &amp; 505</v>
      </c>
      <c r="B185" s="127"/>
      <c r="C185" s="42"/>
      <c r="D185" s="42"/>
      <c r="E185" s="42">
        <v>0</v>
      </c>
      <c r="F185" s="42">
        <f>D185+E185</f>
        <v>0</v>
      </c>
      <c r="G185" s="42">
        <v>0</v>
      </c>
      <c r="H185" s="42">
        <f>F185*(($H$150)+1)+(IF(G185&lt;101,G185,IF(G185&lt;201,G185/2,IF(G185&lt;=301,G185/3,G185/4))))</f>
        <v>0</v>
      </c>
      <c r="I185" s="36"/>
      <c r="J185" s="101">
        <f t="shared" si="1"/>
        <v>0</v>
      </c>
      <c r="L185" s="106">
        <f t="shared" si="2"/>
        <v>150000</v>
      </c>
      <c r="M185" s="101"/>
    </row>
    <row r="186" spans="1:20" s="35" customFormat="1" x14ac:dyDescent="0.25">
      <c r="A186" s="262" t="s">
        <v>64</v>
      </c>
      <c r="B186" s="262"/>
      <c r="C186" s="262"/>
      <c r="D186" s="262"/>
      <c r="E186" s="262"/>
      <c r="F186" s="262"/>
      <c r="G186" s="262"/>
      <c r="H186" s="262"/>
      <c r="L186" s="106"/>
      <c r="Q186" s="99">
        <f>(32.87)*10.764</f>
        <v>353.81267999999994</v>
      </c>
      <c r="R186" s="99">
        <f>(2.74)*10.764</f>
        <v>29.493359999999999</v>
      </c>
      <c r="T186" s="37"/>
    </row>
    <row r="187" spans="1:20" s="35" customFormat="1" x14ac:dyDescent="0.25">
      <c r="A187" s="46" t="s">
        <v>155</v>
      </c>
      <c r="B187" s="190" t="s">
        <v>420</v>
      </c>
      <c r="C187" s="191"/>
      <c r="D187" s="191"/>
      <c r="E187" s="191"/>
      <c r="F187" s="191"/>
      <c r="G187" s="191"/>
      <c r="H187" s="192"/>
      <c r="O187" s="99"/>
      <c r="P187" s="99"/>
      <c r="Q187" s="99">
        <f>(32.47)*10.764</f>
        <v>349.50707999999997</v>
      </c>
      <c r="R187" s="99">
        <f>(3.15)*10.764</f>
        <v>33.906599999999997</v>
      </c>
      <c r="T187" s="37"/>
    </row>
    <row r="188" spans="1:20" s="35" customFormat="1" x14ac:dyDescent="0.25">
      <c r="A188" s="46" t="s">
        <v>155</v>
      </c>
      <c r="B188" s="201" t="str">
        <f>(IF(H149="Saleable area Loading :","We have considered Saleable area of Flats as per our Calculation.","We considered Saleable area of Flat as per Builder area Sheet."))</f>
        <v>We have considered Saleable area of Flats as per our Calculation.</v>
      </c>
      <c r="C188" s="202"/>
      <c r="D188" s="202"/>
      <c r="E188" s="202"/>
      <c r="F188" s="202"/>
      <c r="G188" s="202"/>
      <c r="H188" s="203"/>
      <c r="O188" s="99"/>
      <c r="P188" s="99"/>
      <c r="T188" s="37"/>
    </row>
    <row r="189" spans="1:20" s="35" customFormat="1" hidden="1" x14ac:dyDescent="0.25">
      <c r="A189" s="46" t="s">
        <v>155</v>
      </c>
      <c r="B189" s="193" t="str">
        <f>(IF(H141="Saleable area Loading :","We have considered Saleable area of Commercial as per our Calculation.","We considered Saleable area of Commercial as per Builder area Sheet."))</f>
        <v>We have considered Saleable area of Commercial as per our Calculation.</v>
      </c>
      <c r="C189" s="194"/>
      <c r="D189" s="194"/>
      <c r="E189" s="194"/>
      <c r="F189" s="194"/>
      <c r="G189" s="194"/>
      <c r="H189" s="195"/>
      <c r="O189" s="99">
        <f>(32.47)*10.764</f>
        <v>349.50707999999997</v>
      </c>
      <c r="P189" s="99">
        <f>(3.15)*10.764</f>
        <v>33.906599999999997</v>
      </c>
      <c r="T189" s="37"/>
    </row>
    <row r="190" spans="1:20" s="35" customFormat="1" x14ac:dyDescent="0.25">
      <c r="A190" s="46" t="s">
        <v>155</v>
      </c>
      <c r="B190" s="204" t="s">
        <v>122</v>
      </c>
      <c r="C190" s="205"/>
      <c r="D190" s="205"/>
      <c r="E190" s="205"/>
      <c r="F190" s="205"/>
      <c r="G190" s="205"/>
      <c r="H190" s="206"/>
      <c r="T190" s="37"/>
    </row>
    <row r="191" spans="1:20" s="35" customFormat="1" x14ac:dyDescent="0.25">
      <c r="A191" s="46" t="s">
        <v>155</v>
      </c>
      <c r="B191" s="190" t="s">
        <v>417</v>
      </c>
      <c r="C191" s="191"/>
      <c r="D191" s="191"/>
      <c r="E191" s="191"/>
      <c r="F191" s="191"/>
      <c r="G191" s="191"/>
      <c r="H191" s="192"/>
      <c r="T191" s="37"/>
    </row>
    <row r="192" spans="1:20" s="35" customFormat="1" x14ac:dyDescent="0.25">
      <c r="A192" s="46" t="s">
        <v>155</v>
      </c>
      <c r="B192" s="204" t="s">
        <v>154</v>
      </c>
      <c r="C192" s="205"/>
      <c r="D192" s="205"/>
      <c r="E192" s="205"/>
      <c r="F192" s="205"/>
      <c r="G192" s="205"/>
      <c r="H192" s="206"/>
    </row>
    <row r="193" spans="1:20" s="35" customFormat="1" x14ac:dyDescent="0.25">
      <c r="A193" s="46" t="s">
        <v>155</v>
      </c>
      <c r="B193" s="204" t="s">
        <v>123</v>
      </c>
      <c r="C193" s="205"/>
      <c r="D193" s="205"/>
      <c r="E193" s="205"/>
      <c r="F193" s="205"/>
      <c r="G193" s="205"/>
      <c r="H193" s="206"/>
    </row>
    <row r="194" spans="1:20" s="35" customFormat="1" ht="34.5" customHeight="1" x14ac:dyDescent="0.25">
      <c r="A194" s="46" t="s">
        <v>155</v>
      </c>
      <c r="B194" s="190" t="s">
        <v>156</v>
      </c>
      <c r="C194" s="191"/>
      <c r="D194" s="191"/>
      <c r="E194" s="191"/>
      <c r="F194" s="191"/>
      <c r="G194" s="191"/>
      <c r="H194" s="192"/>
    </row>
    <row r="195" spans="1:20" s="35" customFormat="1" x14ac:dyDescent="0.25">
      <c r="A195" s="46" t="s">
        <v>155</v>
      </c>
      <c r="B195" s="204" t="s">
        <v>124</v>
      </c>
      <c r="C195" s="205"/>
      <c r="D195" s="205"/>
      <c r="E195" s="205"/>
      <c r="F195" s="205"/>
      <c r="G195" s="205"/>
      <c r="H195" s="206"/>
    </row>
    <row r="196" spans="1:20" s="35" customFormat="1" ht="32.25" hidden="1" customHeight="1" x14ac:dyDescent="0.25">
      <c r="A196" s="46" t="s">
        <v>155</v>
      </c>
      <c r="B196" s="193" t="s">
        <v>178</v>
      </c>
      <c r="C196" s="194"/>
      <c r="D196" s="194"/>
      <c r="E196" s="194"/>
      <c r="F196" s="194"/>
      <c r="G196" s="194"/>
      <c r="H196" s="195"/>
    </row>
    <row r="197" spans="1:20" s="35" customFormat="1" ht="38.25" hidden="1" customHeight="1" x14ac:dyDescent="0.25">
      <c r="A197" s="46" t="s">
        <v>155</v>
      </c>
      <c r="B197" s="193" t="s">
        <v>349</v>
      </c>
      <c r="C197" s="194"/>
      <c r="D197" s="194"/>
      <c r="E197" s="194"/>
      <c r="F197" s="194"/>
      <c r="G197" s="194"/>
      <c r="H197" s="195"/>
    </row>
    <row r="198" spans="1:20" s="35" customFormat="1" hidden="1" x14ac:dyDescent="0.25">
      <c r="A198" s="46" t="s">
        <v>155</v>
      </c>
      <c r="B198" s="193" t="s">
        <v>350</v>
      </c>
      <c r="C198" s="194"/>
      <c r="D198" s="194"/>
      <c r="E198" s="194"/>
      <c r="F198" s="194"/>
      <c r="G198" s="194"/>
      <c r="H198" s="195"/>
    </row>
    <row r="199" spans="1:20" s="35" customFormat="1" hidden="1" x14ac:dyDescent="0.25">
      <c r="A199" s="46" t="s">
        <v>155</v>
      </c>
      <c r="B199" s="193" t="str">
        <f ca="1">IF(G52&gt;EDATE(E3,-48),"NO REMARK FOR CC","REMARK FOR CC")</f>
        <v>NO REMARK FOR CC</v>
      </c>
      <c r="C199" s="194"/>
      <c r="D199" s="194"/>
      <c r="E199" s="194"/>
      <c r="F199" s="194"/>
      <c r="G199" s="194"/>
      <c r="H199" s="195"/>
    </row>
    <row r="200" spans="1:20" s="35" customFormat="1" ht="81.75" hidden="1" customHeight="1" x14ac:dyDescent="0.25">
      <c r="A200" s="46" t="s">
        <v>155</v>
      </c>
      <c r="B200" s="193" t="s">
        <v>351</v>
      </c>
      <c r="C200" s="194"/>
      <c r="D200" s="194"/>
      <c r="E200" s="194"/>
      <c r="F200" s="194"/>
      <c r="G200" s="194"/>
      <c r="H200" s="195"/>
    </row>
    <row r="201" spans="1:20" x14ac:dyDescent="0.25">
      <c r="A201" s="153" t="s">
        <v>57</v>
      </c>
      <c r="B201" s="153"/>
      <c r="C201" s="153"/>
      <c r="D201" s="153"/>
      <c r="E201" s="153"/>
      <c r="F201" s="153"/>
      <c r="G201" s="153"/>
      <c r="H201" s="153"/>
      <c r="T201" s="35"/>
    </row>
    <row r="202" spans="1:20" x14ac:dyDescent="0.25">
      <c r="A202" s="161" t="s">
        <v>58</v>
      </c>
      <c r="B202" s="161"/>
      <c r="C202" s="161"/>
      <c r="D202" s="161"/>
      <c r="E202" s="161"/>
      <c r="F202" s="161"/>
      <c r="G202" s="161"/>
      <c r="H202" s="161"/>
      <c r="T202" s="35"/>
    </row>
    <row r="203" spans="1:20" ht="15.75" customHeight="1" x14ac:dyDescent="0.25">
      <c r="A203" s="183" t="s">
        <v>59</v>
      </c>
      <c r="B203" s="183"/>
      <c r="C203" s="183"/>
      <c r="D203" s="183"/>
      <c r="E203" s="183"/>
      <c r="F203" s="183"/>
      <c r="G203" s="183"/>
      <c r="H203" s="183"/>
      <c r="T203" s="35"/>
    </row>
    <row r="204" spans="1:20" x14ac:dyDescent="0.25">
      <c r="A204" s="161" t="s">
        <v>60</v>
      </c>
      <c r="B204" s="161"/>
      <c r="C204" s="161"/>
      <c r="D204" s="161"/>
      <c r="E204" s="161"/>
      <c r="F204" s="161"/>
      <c r="G204" s="161"/>
      <c r="H204" s="161"/>
      <c r="T204" s="35"/>
    </row>
    <row r="205" spans="1:20" x14ac:dyDescent="0.25">
      <c r="A205" s="161" t="s">
        <v>61</v>
      </c>
      <c r="B205" s="161"/>
      <c r="C205" s="161"/>
      <c r="D205" s="161"/>
      <c r="E205" s="161"/>
      <c r="F205" s="161"/>
      <c r="G205" s="161"/>
      <c r="H205" s="161"/>
      <c r="T205" s="35"/>
    </row>
    <row r="206" spans="1:20" x14ac:dyDescent="0.25">
      <c r="A206" s="161" t="s">
        <v>125</v>
      </c>
      <c r="B206" s="161"/>
      <c r="C206" s="161"/>
      <c r="D206" s="161"/>
      <c r="E206" s="161"/>
      <c r="F206" s="161"/>
      <c r="G206" s="161"/>
      <c r="H206" s="161"/>
      <c r="T206" s="35"/>
    </row>
    <row r="207" spans="1:20" ht="33.950000000000003" customHeight="1" x14ac:dyDescent="0.25">
      <c r="A207" s="164" t="s">
        <v>126</v>
      </c>
      <c r="B207" s="164"/>
      <c r="C207" s="164"/>
      <c r="D207" s="164"/>
      <c r="E207" s="164"/>
      <c r="F207" s="164"/>
      <c r="G207" s="164"/>
      <c r="H207" s="164"/>
    </row>
    <row r="208" spans="1:20" x14ac:dyDescent="0.25">
      <c r="A208" s="209" t="s">
        <v>73</v>
      </c>
      <c r="B208" s="209"/>
      <c r="C208" s="209" t="s">
        <v>419</v>
      </c>
      <c r="D208" s="209"/>
      <c r="E208" s="209" t="s">
        <v>103</v>
      </c>
      <c r="F208" s="209"/>
      <c r="G208" s="210" t="s">
        <v>418</v>
      </c>
      <c r="H208" s="210"/>
    </row>
    <row r="209" spans="1:8" x14ac:dyDescent="0.25">
      <c r="A209" s="208" t="s">
        <v>75</v>
      </c>
      <c r="B209" s="208"/>
      <c r="C209" s="208"/>
      <c r="D209" s="208"/>
      <c r="E209" s="208"/>
      <c r="F209" s="208"/>
      <c r="G209" s="208"/>
      <c r="H209" s="208"/>
    </row>
    <row r="210" spans="1:8" x14ac:dyDescent="0.25">
      <c r="A210" s="208"/>
      <c r="B210" s="208"/>
      <c r="C210" s="208"/>
      <c r="D210" s="208"/>
      <c r="E210" s="208"/>
      <c r="F210" s="208"/>
      <c r="G210" s="208"/>
      <c r="H210" s="208"/>
    </row>
    <row r="211" spans="1:8" x14ac:dyDescent="0.25">
      <c r="A211" s="208"/>
      <c r="B211" s="208"/>
      <c r="C211" s="208"/>
      <c r="D211" s="208"/>
      <c r="E211" s="208"/>
      <c r="F211" s="208"/>
      <c r="G211" s="208"/>
      <c r="H211" s="208"/>
    </row>
    <row r="212" spans="1:8" x14ac:dyDescent="0.25">
      <c r="A212" s="208"/>
      <c r="B212" s="208"/>
      <c r="C212" s="208"/>
      <c r="D212" s="208"/>
      <c r="E212" s="208"/>
      <c r="F212" s="208"/>
      <c r="G212" s="208"/>
      <c r="H212" s="208"/>
    </row>
    <row r="213" spans="1:8" x14ac:dyDescent="0.25">
      <c r="A213" s="38" t="s">
        <v>62</v>
      </c>
      <c r="B213" s="39"/>
      <c r="C213" s="39"/>
      <c r="D213" s="38" t="str">
        <f>E9</f>
        <v>Classic Sapphire</v>
      </c>
      <c r="F213" s="39"/>
      <c r="G213" s="39"/>
      <c r="H213" s="39"/>
    </row>
    <row r="214" spans="1:8" x14ac:dyDescent="0.25">
      <c r="A214" s="39"/>
      <c r="B214" s="39"/>
      <c r="C214" s="39"/>
      <c r="D214" s="39"/>
      <c r="E214" s="39"/>
      <c r="F214" s="39"/>
      <c r="G214" s="39"/>
      <c r="H214" s="39"/>
    </row>
    <row r="215" spans="1:8" x14ac:dyDescent="0.25">
      <c r="A215" s="39"/>
      <c r="B215" s="39"/>
      <c r="C215" s="39"/>
      <c r="D215" s="39"/>
      <c r="E215" s="39"/>
      <c r="F215" s="39"/>
      <c r="G215" s="39"/>
      <c r="H215" s="39"/>
    </row>
    <row r="216" spans="1:8" ht="15" customHeight="1" x14ac:dyDescent="0.25"/>
    <row r="257" spans="1:1" x14ac:dyDescent="0.25">
      <c r="A257" s="41" t="s">
        <v>165</v>
      </c>
    </row>
    <row r="301" spans="1:1" x14ac:dyDescent="0.25">
      <c r="A301" s="41" t="s">
        <v>63</v>
      </c>
    </row>
  </sheetData>
  <mergeCells count="362">
    <mergeCell ref="B200:H200"/>
    <mergeCell ref="A115:B115"/>
    <mergeCell ref="C141:C142"/>
    <mergeCell ref="B149:B150"/>
    <mergeCell ref="B189:H189"/>
    <mergeCell ref="A91:B91"/>
    <mergeCell ref="E91:F91"/>
    <mergeCell ref="E92:F101"/>
    <mergeCell ref="A102:B102"/>
    <mergeCell ref="C102:H102"/>
    <mergeCell ref="A104:B104"/>
    <mergeCell ref="C104:H104"/>
    <mergeCell ref="A105:B105"/>
    <mergeCell ref="E105:F105"/>
    <mergeCell ref="G105:H105"/>
    <mergeCell ref="A106:B106"/>
    <mergeCell ref="B197:H197"/>
    <mergeCell ref="A121:E121"/>
    <mergeCell ref="A137:B137"/>
    <mergeCell ref="E137:F137"/>
    <mergeCell ref="A126:E126"/>
    <mergeCell ref="G137:H137"/>
    <mergeCell ref="C132:D132"/>
    <mergeCell ref="E132:F132"/>
    <mergeCell ref="E133:F133"/>
    <mergeCell ref="G133:H133"/>
    <mergeCell ref="B193:H193"/>
    <mergeCell ref="A144:B144"/>
    <mergeCell ref="A167:B167"/>
    <mergeCell ref="A164:B164"/>
    <mergeCell ref="A165:B165"/>
    <mergeCell ref="A175:B175"/>
    <mergeCell ref="A159:B159"/>
    <mergeCell ref="A160:B160"/>
    <mergeCell ref="G138:H138"/>
    <mergeCell ref="A186:H186"/>
    <mergeCell ref="A178:B178"/>
    <mergeCell ref="A179:B179"/>
    <mergeCell ref="A174:H174"/>
    <mergeCell ref="A168:H168"/>
    <mergeCell ref="A183:B183"/>
    <mergeCell ref="A180:H180"/>
    <mergeCell ref="E135:F135"/>
    <mergeCell ref="A139:H139"/>
    <mergeCell ref="A149:A150"/>
    <mergeCell ref="B195:H195"/>
    <mergeCell ref="A169:B169"/>
    <mergeCell ref="A66:C66"/>
    <mergeCell ref="D66:H66"/>
    <mergeCell ref="A90:B90"/>
    <mergeCell ref="A63:C63"/>
    <mergeCell ref="A67:C67"/>
    <mergeCell ref="A68:C68"/>
    <mergeCell ref="E106:F115"/>
    <mergeCell ref="G106:H115"/>
    <mergeCell ref="A107:B107"/>
    <mergeCell ref="A108:B108"/>
    <mergeCell ref="A109:B109"/>
    <mergeCell ref="A111:B111"/>
    <mergeCell ref="A97:B97"/>
    <mergeCell ref="G91:H91"/>
    <mergeCell ref="A99:B99"/>
    <mergeCell ref="F141:F142"/>
    <mergeCell ref="C131:D131"/>
    <mergeCell ref="E131:F131"/>
    <mergeCell ref="B141:B142"/>
    <mergeCell ref="A141:A142"/>
    <mergeCell ref="C149:C150"/>
    <mergeCell ref="G149:G150"/>
    <mergeCell ref="G58:H58"/>
    <mergeCell ref="A110:B110"/>
    <mergeCell ref="L147:M147"/>
    <mergeCell ref="L146:M146"/>
    <mergeCell ref="L145:M145"/>
    <mergeCell ref="L144:M144"/>
    <mergeCell ref="A85:B85"/>
    <mergeCell ref="C136:D136"/>
    <mergeCell ref="E136:F136"/>
    <mergeCell ref="G136:H136"/>
    <mergeCell ref="A117:E117"/>
    <mergeCell ref="A88:B88"/>
    <mergeCell ref="C88:H88"/>
    <mergeCell ref="A143:H143"/>
    <mergeCell ref="E141:E142"/>
    <mergeCell ref="A92:B92"/>
    <mergeCell ref="C90:H90"/>
    <mergeCell ref="A93:B93"/>
    <mergeCell ref="A94:B94"/>
    <mergeCell ref="G92:H101"/>
    <mergeCell ref="A95:B95"/>
    <mergeCell ref="F118:H118"/>
    <mergeCell ref="A118:E118"/>
    <mergeCell ref="E138:F138"/>
    <mergeCell ref="A39:B39"/>
    <mergeCell ref="C39:H39"/>
    <mergeCell ref="C55:H55"/>
    <mergeCell ref="A52:B53"/>
    <mergeCell ref="C54:E54"/>
    <mergeCell ref="C52:E52"/>
    <mergeCell ref="C56:E56"/>
    <mergeCell ref="G54:H54"/>
    <mergeCell ref="A56:B57"/>
    <mergeCell ref="C53:H53"/>
    <mergeCell ref="A40:B40"/>
    <mergeCell ref="C40:H40"/>
    <mergeCell ref="C51:E51"/>
    <mergeCell ref="C50:E50"/>
    <mergeCell ref="G50:H50"/>
    <mergeCell ref="A51:B51"/>
    <mergeCell ref="G56:H56"/>
    <mergeCell ref="G51:H51"/>
    <mergeCell ref="F34:H34"/>
    <mergeCell ref="F35:H35"/>
    <mergeCell ref="G59:H59"/>
    <mergeCell ref="E42:H42"/>
    <mergeCell ref="A41:H41"/>
    <mergeCell ref="A77:B77"/>
    <mergeCell ref="A46:D46"/>
    <mergeCell ref="A47:D47"/>
    <mergeCell ref="D68:H68"/>
    <mergeCell ref="A44:D44"/>
    <mergeCell ref="E44:H44"/>
    <mergeCell ref="E45:H45"/>
    <mergeCell ref="E46:H46"/>
    <mergeCell ref="E47:H47"/>
    <mergeCell ref="C57:H57"/>
    <mergeCell ref="A48:H48"/>
    <mergeCell ref="D65:H65"/>
    <mergeCell ref="A65:C65"/>
    <mergeCell ref="A45:D45"/>
    <mergeCell ref="A49:B49"/>
    <mergeCell ref="C49:H49"/>
    <mergeCell ref="E43:H43"/>
    <mergeCell ref="A43:D43"/>
    <mergeCell ref="A50:B50"/>
    <mergeCell ref="A37:B37"/>
    <mergeCell ref="C37:E37"/>
    <mergeCell ref="A42:D42"/>
    <mergeCell ref="F37:H37"/>
    <mergeCell ref="A38:H38"/>
    <mergeCell ref="A25:D25"/>
    <mergeCell ref="E25:H25"/>
    <mergeCell ref="A30:D30"/>
    <mergeCell ref="E30:H30"/>
    <mergeCell ref="A27:D27"/>
    <mergeCell ref="A36:B36"/>
    <mergeCell ref="C36:E36"/>
    <mergeCell ref="A31:D31"/>
    <mergeCell ref="E31:H31"/>
    <mergeCell ref="A32:D32"/>
    <mergeCell ref="E32:H32"/>
    <mergeCell ref="C33:E33"/>
    <mergeCell ref="F36:H36"/>
    <mergeCell ref="F33:H33"/>
    <mergeCell ref="A34:B34"/>
    <mergeCell ref="A33:B33"/>
    <mergeCell ref="C34:E34"/>
    <mergeCell ref="A35:B35"/>
    <mergeCell ref="C35:E35"/>
    <mergeCell ref="E27:H27"/>
    <mergeCell ref="A29:D29"/>
    <mergeCell ref="E29:H29"/>
    <mergeCell ref="A26:D26"/>
    <mergeCell ref="E26:H26"/>
    <mergeCell ref="A28:D28"/>
    <mergeCell ref="E28:H28"/>
    <mergeCell ref="E14:H14"/>
    <mergeCell ref="A15:D15"/>
    <mergeCell ref="E20:F20"/>
    <mergeCell ref="G20:H20"/>
    <mergeCell ref="A21:B21"/>
    <mergeCell ref="C21:D21"/>
    <mergeCell ref="E21:F21"/>
    <mergeCell ref="G21:H21"/>
    <mergeCell ref="A22:B22"/>
    <mergeCell ref="C22:D22"/>
    <mergeCell ref="E22:F22"/>
    <mergeCell ref="G22:H22"/>
    <mergeCell ref="A11:D11"/>
    <mergeCell ref="E11:H11"/>
    <mergeCell ref="A23:D24"/>
    <mergeCell ref="A12:D12"/>
    <mergeCell ref="E12:H12"/>
    <mergeCell ref="A17:B17"/>
    <mergeCell ref="A14:D14"/>
    <mergeCell ref="A19:B19"/>
    <mergeCell ref="C19:D19"/>
    <mergeCell ref="E19:F19"/>
    <mergeCell ref="G19:H19"/>
    <mergeCell ref="A20:B20"/>
    <mergeCell ref="C20:D20"/>
    <mergeCell ref="E15:H15"/>
    <mergeCell ref="A16:B16"/>
    <mergeCell ref="C16:H16"/>
    <mergeCell ref="C17:H17"/>
    <mergeCell ref="A18:B18"/>
    <mergeCell ref="C18:H18"/>
    <mergeCell ref="A13:D13"/>
    <mergeCell ref="E13:H13"/>
    <mergeCell ref="E23:H24"/>
    <mergeCell ref="A1:H1"/>
    <mergeCell ref="A2:H2"/>
    <mergeCell ref="A3:D3"/>
    <mergeCell ref="E3:H3"/>
    <mergeCell ref="A5:D5"/>
    <mergeCell ref="A9:D9"/>
    <mergeCell ref="E9:H9"/>
    <mergeCell ref="A10:D10"/>
    <mergeCell ref="E10:H10"/>
    <mergeCell ref="E5:H5"/>
    <mergeCell ref="A6:D6"/>
    <mergeCell ref="E6:H6"/>
    <mergeCell ref="A7:D7"/>
    <mergeCell ref="E7:H7"/>
    <mergeCell ref="A8:D8"/>
    <mergeCell ref="E8:H8"/>
    <mergeCell ref="A4:D4"/>
    <mergeCell ref="E4:H4"/>
    <mergeCell ref="A209:H212"/>
    <mergeCell ref="A208:B208"/>
    <mergeCell ref="E208:F208"/>
    <mergeCell ref="C208:D208"/>
    <mergeCell ref="G208:H208"/>
    <mergeCell ref="A129:H129"/>
    <mergeCell ref="A127:E127"/>
    <mergeCell ref="F127:H127"/>
    <mergeCell ref="A128:E128"/>
    <mergeCell ref="F128:H128"/>
    <mergeCell ref="A162:H162"/>
    <mergeCell ref="A136:B136"/>
    <mergeCell ref="A171:B171"/>
    <mergeCell ref="A131:B131"/>
    <mergeCell ref="A204:H204"/>
    <mergeCell ref="A134:H134"/>
    <mergeCell ref="A207:H207"/>
    <mergeCell ref="A205:H205"/>
    <mergeCell ref="A201:H201"/>
    <mergeCell ref="G135:H135"/>
    <mergeCell ref="B192:H192"/>
    <mergeCell ref="A177:B177"/>
    <mergeCell ref="A166:B166"/>
    <mergeCell ref="C138:D138"/>
    <mergeCell ref="B196:H196"/>
    <mergeCell ref="A138:B138"/>
    <mergeCell ref="A100:B100"/>
    <mergeCell ref="A119:E119"/>
    <mergeCell ref="A116:E116"/>
    <mergeCell ref="F120:H120"/>
    <mergeCell ref="A173:B173"/>
    <mergeCell ref="A120:E120"/>
    <mergeCell ref="A161:B161"/>
    <mergeCell ref="B194:H194"/>
    <mergeCell ref="G141:G142"/>
    <mergeCell ref="A176:B176"/>
    <mergeCell ref="A184:B184"/>
    <mergeCell ref="B187:H187"/>
    <mergeCell ref="B188:H188"/>
    <mergeCell ref="B190:H190"/>
    <mergeCell ref="F116:H116"/>
    <mergeCell ref="F121:H121"/>
    <mergeCell ref="A158:B158"/>
    <mergeCell ref="A147:B147"/>
    <mergeCell ref="A146:B146"/>
    <mergeCell ref="F122:H122"/>
    <mergeCell ref="A124:E124"/>
    <mergeCell ref="A113:B113"/>
    <mergeCell ref="A206:H206"/>
    <mergeCell ref="A203:H203"/>
    <mergeCell ref="A163:B163"/>
    <mergeCell ref="A135:B135"/>
    <mergeCell ref="D149:D150"/>
    <mergeCell ref="E149:E150"/>
    <mergeCell ref="A96:B96"/>
    <mergeCell ref="A98:B98"/>
    <mergeCell ref="F117:H117"/>
    <mergeCell ref="G131:H131"/>
    <mergeCell ref="A101:B101"/>
    <mergeCell ref="F123:H123"/>
    <mergeCell ref="C130:D130"/>
    <mergeCell ref="C137:D137"/>
    <mergeCell ref="A157:H157"/>
    <mergeCell ref="A172:B172"/>
    <mergeCell ref="B191:H191"/>
    <mergeCell ref="A181:B181"/>
    <mergeCell ref="A182:B182"/>
    <mergeCell ref="A185:B185"/>
    <mergeCell ref="B199:H199"/>
    <mergeCell ref="B198:H198"/>
    <mergeCell ref="F119:H119"/>
    <mergeCell ref="A123:E123"/>
    <mergeCell ref="A202:H202"/>
    <mergeCell ref="A122:E122"/>
    <mergeCell ref="A84:B84"/>
    <mergeCell ref="I15:P15"/>
    <mergeCell ref="F126:H126"/>
    <mergeCell ref="F124:H124"/>
    <mergeCell ref="A170:B170"/>
    <mergeCell ref="A140:H140"/>
    <mergeCell ref="G130:H130"/>
    <mergeCell ref="A125:E125"/>
    <mergeCell ref="A145:B145"/>
    <mergeCell ref="A61:B61"/>
    <mergeCell ref="C61:E61"/>
    <mergeCell ref="D63:H63"/>
    <mergeCell ref="F125:H125"/>
    <mergeCell ref="E130:F130"/>
    <mergeCell ref="A130:B130"/>
    <mergeCell ref="A132:B132"/>
    <mergeCell ref="C135:D135"/>
    <mergeCell ref="D71:H71"/>
    <mergeCell ref="D64:H64"/>
    <mergeCell ref="G61:H61"/>
    <mergeCell ref="A54:B55"/>
    <mergeCell ref="A148:H148"/>
    <mergeCell ref="A156:B156"/>
    <mergeCell ref="L152:M152"/>
    <mergeCell ref="G52:H52"/>
    <mergeCell ref="A151:H151"/>
    <mergeCell ref="A152:B152"/>
    <mergeCell ref="A153:H153"/>
    <mergeCell ref="A154:B154"/>
    <mergeCell ref="L150:M150"/>
    <mergeCell ref="A83:B83"/>
    <mergeCell ref="A58:B60"/>
    <mergeCell ref="C60:H60"/>
    <mergeCell ref="C58:E59"/>
    <mergeCell ref="A62:H62"/>
    <mergeCell ref="A76:B76"/>
    <mergeCell ref="A74:B74"/>
    <mergeCell ref="C74:H74"/>
    <mergeCell ref="A69:C69"/>
    <mergeCell ref="D69:H69"/>
    <mergeCell ref="C76:H76"/>
    <mergeCell ref="A71:C71"/>
    <mergeCell ref="D72:H72"/>
    <mergeCell ref="A78:B78"/>
    <mergeCell ref="G77:H77"/>
    <mergeCell ref="A86:B86"/>
    <mergeCell ref="D67:H67"/>
    <mergeCell ref="A64:C64"/>
    <mergeCell ref="E78:F87"/>
    <mergeCell ref="G78:H87"/>
    <mergeCell ref="F149:F150"/>
    <mergeCell ref="D141:D142"/>
    <mergeCell ref="A155:B155"/>
    <mergeCell ref="A80:B80"/>
    <mergeCell ref="L151:M151"/>
    <mergeCell ref="A87:B87"/>
    <mergeCell ref="A82:B82"/>
    <mergeCell ref="A81:B81"/>
    <mergeCell ref="E77:F77"/>
    <mergeCell ref="A79:B79"/>
    <mergeCell ref="A114:B114"/>
    <mergeCell ref="A70:C70"/>
    <mergeCell ref="D70:H70"/>
    <mergeCell ref="A73:C73"/>
    <mergeCell ref="D73:H73"/>
    <mergeCell ref="A72:C72"/>
    <mergeCell ref="A112:B112"/>
    <mergeCell ref="G132:H132"/>
    <mergeCell ref="A133:B133"/>
    <mergeCell ref="C133:D133"/>
  </mergeCells>
  <dataValidations disablePrompts="1" count="18">
    <dataValidation type="list" allowBlank="1" showInputMessage="1" showErrorMessage="1" sqref="E5:H5">
      <formula1>OFFSET($L$3,1,MATCH($E4,$L$3:$P$3,0)-1,10,1)</formula1>
    </dataValidation>
    <dataValidation type="list" allowBlank="1" showInputMessage="1" showErrorMessage="1" sqref="A17:B17">
      <formula1>"CTS No,Survey No,Plot No,Gut No,FP No,"</formula1>
    </dataValidation>
    <dataValidation type="list" allowBlank="1" showInputMessage="1" showErrorMessage="1" sqref="G20:H20">
      <formula1>$S$13:$W$13</formula1>
    </dataValidation>
    <dataValidation type="list" allowBlank="1" showInputMessage="1" showErrorMessage="1" sqref="E141:E142">
      <formula1>"Attached Loft area,Attached Otla area,Attached Mezzanine area"</formula1>
    </dataValidation>
    <dataValidation type="list" allowBlank="1" showInputMessage="1" showErrorMessage="1" sqref="G208:H208">
      <formula1>"Kunal Kadam,Pranita Mhatre,Shruti Fule,Pooja Kawale,Gaurav Panchal,Shruti Tathare, Dipti Gothawade,Saurav Panse, Sachin Sawant"</formula1>
    </dataValidation>
    <dataValidation type="list" allowBlank="1" showInputMessage="1" showErrorMessage="1" sqref="F116:H116">
      <formula1>"On Saleable Area,On Builtup Area,On Carpet Area,On Plot Area"</formula1>
    </dataValidation>
    <dataValidation type="list" allowBlank="1" showInputMessage="1" showErrorMessage="1" sqref="F127:H127">
      <formula1>OFFSET($S$116,1,MATCH($G20,$S$116:$W$116,0)-1,15,1)</formula1>
    </dataValidation>
    <dataValidation type="list" allowBlank="1" showInputMessage="1" showErrorMessage="1" sqref="B141:B142">
      <formula1>"Shop No. (Sale Plan),Sale / Rehab,Sale / Mhada"</formula1>
    </dataValidation>
    <dataValidation type="list" allowBlank="1" showInputMessage="1" showErrorMessage="1" sqref="B149:B150">
      <formula1>"Flat No. (Sale Plan),Sale / Rehab,Sale / Mhada"</formula1>
    </dataValidation>
    <dataValidation type="list" allowBlank="1" showInputMessage="1" showErrorMessage="1" sqref="C21:D21">
      <formula1>OFFSET($S$13,1,MATCH($G20,$S$13:$W$13,0)-1,15,1)</formula1>
    </dataValidation>
    <dataValidation type="list" allowBlank="1" showInputMessage="1" showErrorMessage="1" sqref="Y13">
      <formula1>$D$5:$H$5</formula1>
    </dataValidation>
    <dataValidation type="list" allowBlank="1" showInputMessage="1" showErrorMessage="1" sqref="E149:E150">
      <formula1>"Fungible area,Balcony Area,Chajja Area,Cornice Area,AP Area,WS Area"</formula1>
    </dataValidation>
    <dataValidation type="list" allowBlank="1" showInputMessage="1" showErrorMessage="1" sqref="H142 H150">
      <formula1>".45,.50,.55,.60"</formula1>
    </dataValidation>
    <dataValidation type="list" allowBlank="1" showInputMessage="1" showErrorMessage="1" sqref="E4:H4">
      <formula1>$L$3:$P$3</formula1>
    </dataValidation>
    <dataValidation type="list" allowBlank="1" showInputMessage="1" showErrorMessage="1" sqref="C49:H49">
      <formula1>OFFSET($S$49,1,MATCH($G20,$S$49:$W$49,0)-1,15,1)</formula1>
    </dataValidation>
    <dataValidation type="list" allowBlank="1" showInputMessage="1" showErrorMessage="1" sqref="H141 H149">
      <formula1>"Saleable area Loading :,Builder Saleable Area"</formula1>
    </dataValidation>
    <dataValidation type="list" allowBlank="1" showInputMessage="1" showErrorMessage="1" sqref="D141:D142">
      <formula1>"Carpet area,RERA Carpet area"</formula1>
    </dataValidation>
    <dataValidation type="list" allowBlank="1" showInputMessage="1" showErrorMessage="1" sqref="D149:D150">
      <formula1>"Carpet Area,Carpet + Encl Balcony Area,RERA Carpet area"</formula1>
    </dataValidation>
  </dataValidations>
  <hyperlinks>
    <hyperlink ref="C40" r:id="rId1"/>
  </hyperlinks>
  <printOptions horizontalCentered="1"/>
  <pageMargins left="0.39370078740157483" right="0.39370078740157483" top="0.82677165354330717" bottom="0.78740157480314965" header="0.15748031496062992" footer="0.19685039370078741"/>
  <pageSetup paperSize="2" fitToHeight="0" orientation="portrait" r:id="rId2"/>
  <headerFooter>
    <oddHeader>&amp;C&amp;G</oddHeader>
    <oddFooter>&amp;L&amp;"Times New Roman,Bold"&amp;12Ref No: &amp;F&amp;C&amp;G&amp;R&amp;"Times New Roman,Bold"&amp;12&amp;P</oddFooter>
  </headerFooter>
  <rowBreaks count="5" manualBreakCount="5">
    <brk id="73" max="16383" man="1"/>
    <brk id="185" max="7" man="1"/>
    <brk id="212" max="16383" man="1"/>
    <brk id="256" max="16383" man="1"/>
    <brk id="300" max="16383" man="1"/>
  </rowBreaks>
  <drawing r:id="rId3"/>
  <legacyDrawing r:id="rId4"/>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I16"/>
  <sheetViews>
    <sheetView zoomScale="85" zoomScaleNormal="85" workbookViewId="0">
      <selection activeCell="K3" sqref="K3"/>
    </sheetView>
  </sheetViews>
  <sheetFormatPr defaultColWidth="8.7109375" defaultRowHeight="15" x14ac:dyDescent="0.25"/>
  <cols>
    <col min="1" max="1" width="8.7109375" style="1"/>
    <col min="2" max="2" width="22.140625" style="1" customWidth="1"/>
    <col min="3" max="3" width="37" style="1" customWidth="1"/>
    <col min="4" max="5" width="11.42578125" style="1" customWidth="1"/>
    <col min="6" max="6" width="14" style="1" customWidth="1"/>
    <col min="7" max="7" width="20" style="1" customWidth="1"/>
    <col min="8" max="8" width="16.42578125" style="1" customWidth="1"/>
    <col min="9" max="16384" width="8.7109375" style="1"/>
  </cols>
  <sheetData>
    <row r="1" spans="1:9" ht="15" customHeight="1" x14ac:dyDescent="0.25"/>
    <row r="2" spans="1:9" ht="15" customHeight="1" x14ac:dyDescent="0.25">
      <c r="A2" s="2"/>
      <c r="B2" s="2"/>
      <c r="C2" s="2"/>
      <c r="D2" s="2"/>
      <c r="E2" s="2"/>
      <c r="F2" s="2"/>
      <c r="G2" s="2"/>
      <c r="H2" s="2"/>
    </row>
    <row r="3" spans="1:9" ht="15.75" customHeight="1" x14ac:dyDescent="0.25">
      <c r="A3" s="2"/>
      <c r="B3" s="266" t="s">
        <v>104</v>
      </c>
      <c r="C3" s="266"/>
      <c r="D3" s="266"/>
      <c r="E3" s="266"/>
      <c r="F3" s="266"/>
      <c r="G3" s="266"/>
      <c r="H3" s="266"/>
    </row>
    <row r="4" spans="1:9" x14ac:dyDescent="0.25">
      <c r="A4" s="2"/>
      <c r="B4" s="3" t="s">
        <v>105</v>
      </c>
      <c r="C4" s="3" t="s">
        <v>106</v>
      </c>
      <c r="D4" s="3" t="s">
        <v>65</v>
      </c>
      <c r="E4" s="3" t="s">
        <v>107</v>
      </c>
      <c r="F4" s="3" t="s">
        <v>113</v>
      </c>
      <c r="G4" s="3" t="s">
        <v>114</v>
      </c>
      <c r="H4" s="3" t="s">
        <v>108</v>
      </c>
    </row>
    <row r="5" spans="1:9" ht="15" customHeight="1" x14ac:dyDescent="0.25">
      <c r="A5" s="2"/>
      <c r="B5" s="5" t="s">
        <v>109</v>
      </c>
      <c r="C5" s="6"/>
      <c r="D5" s="5"/>
      <c r="E5" s="5"/>
      <c r="F5" s="7">
        <f>E5*1.6</f>
        <v>0</v>
      </c>
      <c r="G5" s="7" t="e">
        <f>H5/F5</f>
        <v>#DIV/0!</v>
      </c>
      <c r="H5" s="8"/>
    </row>
    <row r="6" spans="1:9" x14ac:dyDescent="0.25">
      <c r="A6" s="2"/>
      <c r="B6" s="5" t="s">
        <v>109</v>
      </c>
      <c r="C6" s="9"/>
      <c r="D6" s="5"/>
      <c r="E6" s="5"/>
      <c r="F6" s="7">
        <f t="shared" ref="F6:F11" si="0">E6*1.6</f>
        <v>0</v>
      </c>
      <c r="G6" s="7" t="e">
        <f t="shared" ref="G6:G11" si="1">H6/F6</f>
        <v>#DIV/0!</v>
      </c>
      <c r="H6" s="8"/>
    </row>
    <row r="7" spans="1:9" ht="15" customHeight="1" x14ac:dyDescent="0.25">
      <c r="A7" s="2"/>
      <c r="B7" s="5" t="s">
        <v>109</v>
      </c>
      <c r="C7" s="6"/>
      <c r="D7" s="5"/>
      <c r="E7" s="5"/>
      <c r="F7" s="7">
        <f t="shared" si="0"/>
        <v>0</v>
      </c>
      <c r="G7" s="7" t="e">
        <f t="shared" si="1"/>
        <v>#DIV/0!</v>
      </c>
      <c r="H7" s="8"/>
    </row>
    <row r="8" spans="1:9" x14ac:dyDescent="0.25">
      <c r="A8" s="2"/>
      <c r="B8" s="5" t="s">
        <v>109</v>
      </c>
      <c r="C8" s="9"/>
      <c r="D8" s="5"/>
      <c r="E8" s="5"/>
      <c r="F8" s="7">
        <f t="shared" si="0"/>
        <v>0</v>
      </c>
      <c r="G8" s="7" t="e">
        <f t="shared" si="1"/>
        <v>#DIV/0!</v>
      </c>
      <c r="H8" s="8"/>
    </row>
    <row r="9" spans="1:9" ht="15" customHeight="1" x14ac:dyDescent="0.25">
      <c r="A9" s="2"/>
      <c r="B9" s="5" t="s">
        <v>109</v>
      </c>
      <c r="C9" s="9"/>
      <c r="D9" s="5"/>
      <c r="E9" s="5"/>
      <c r="F9" s="7">
        <f t="shared" si="0"/>
        <v>0</v>
      </c>
      <c r="G9" s="7" t="e">
        <f t="shared" si="1"/>
        <v>#DIV/0!</v>
      </c>
      <c r="H9" s="8"/>
    </row>
    <row r="10" spans="1:9" ht="15" customHeight="1" x14ac:dyDescent="0.25">
      <c r="A10" s="2"/>
      <c r="B10" s="5" t="s">
        <v>110</v>
      </c>
      <c r="C10" s="6"/>
      <c r="D10" s="5"/>
      <c r="E10" s="5"/>
      <c r="F10" s="7">
        <f t="shared" si="0"/>
        <v>0</v>
      </c>
      <c r="G10" s="7" t="e">
        <f t="shared" si="1"/>
        <v>#DIV/0!</v>
      </c>
      <c r="H10" s="8"/>
    </row>
    <row r="11" spans="1:9" ht="15" customHeight="1" x14ac:dyDescent="0.25">
      <c r="A11" s="2"/>
      <c r="B11" s="5" t="s">
        <v>110</v>
      </c>
      <c r="C11" s="6"/>
      <c r="D11" s="5"/>
      <c r="E11" s="5"/>
      <c r="F11" s="7">
        <f t="shared" si="0"/>
        <v>0</v>
      </c>
      <c r="G11" s="7" t="e">
        <f t="shared" si="1"/>
        <v>#DIV/0!</v>
      </c>
      <c r="H11" s="8"/>
    </row>
    <row r="12" spans="1:9" ht="15" customHeight="1" x14ac:dyDescent="0.25">
      <c r="A12" s="2"/>
      <c r="B12" s="10" t="s">
        <v>111</v>
      </c>
      <c r="C12" s="5"/>
      <c r="D12" s="5"/>
      <c r="E12" s="5"/>
      <c r="F12" s="5"/>
      <c r="G12" s="11" t="e">
        <f>AVERAGE(G5:G11)</f>
        <v>#DIV/0!</v>
      </c>
      <c r="H12" s="5"/>
    </row>
    <row r="13" spans="1:9" ht="15" customHeight="1" x14ac:dyDescent="0.25">
      <c r="B13" s="10" t="s">
        <v>112</v>
      </c>
      <c r="C13" s="5"/>
      <c r="D13" s="5"/>
      <c r="E13" s="5"/>
      <c r="F13" s="12"/>
      <c r="G13" s="10"/>
      <c r="H13" s="10"/>
      <c r="I13" s="4"/>
    </row>
    <row r="14" spans="1:9" ht="15" customHeight="1" x14ac:dyDescent="0.25"/>
    <row r="15" spans="1:9" ht="15" customHeight="1" x14ac:dyDescent="0.25"/>
    <row r="16" spans="1:9" ht="15" customHeight="1" x14ac:dyDescent="0.25"/>
  </sheetData>
  <mergeCells count="1">
    <mergeCell ref="B3:H3"/>
  </mergeCells>
  <pageMargins left="0.7" right="0.7" top="0.75" bottom="0.75" header="0.3" footer="0.3"/>
  <pageSetup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3:K69"/>
  <sheetViews>
    <sheetView topLeftCell="A55" zoomScale="130" zoomScaleNormal="130" workbookViewId="0">
      <selection activeCell="C43" sqref="C43:D69"/>
    </sheetView>
  </sheetViews>
  <sheetFormatPr defaultRowHeight="15" x14ac:dyDescent="0.25"/>
  <cols>
    <col min="4" max="4" width="13.85546875" bestFit="1" customWidth="1"/>
    <col min="5" max="5" width="10.42578125" bestFit="1" customWidth="1"/>
    <col min="6" max="6" width="12.42578125" bestFit="1" customWidth="1"/>
    <col min="7" max="7" width="18.140625" customWidth="1"/>
    <col min="8" max="8" width="10.5703125" bestFit="1" customWidth="1"/>
  </cols>
  <sheetData>
    <row r="3" spans="2:11" x14ac:dyDescent="0.25">
      <c r="J3">
        <v>1</v>
      </c>
      <c r="K3">
        <v>2</v>
      </c>
    </row>
    <row r="4" spans="2:11" x14ac:dyDescent="0.25">
      <c r="B4" s="53"/>
      <c r="C4" s="53" t="s">
        <v>11</v>
      </c>
      <c r="D4" s="54" t="s">
        <v>179</v>
      </c>
      <c r="E4" s="54" t="s">
        <v>189</v>
      </c>
      <c r="F4" s="54" t="s">
        <v>173</v>
      </c>
      <c r="G4" s="54" t="s">
        <v>194</v>
      </c>
      <c r="H4" s="54" t="s">
        <v>212</v>
      </c>
      <c r="J4" t="s">
        <v>194</v>
      </c>
      <c r="K4" t="s">
        <v>210</v>
      </c>
    </row>
    <row r="5" spans="2:11" x14ac:dyDescent="0.25">
      <c r="B5" s="53"/>
      <c r="C5" s="53"/>
      <c r="D5" s="54" t="s">
        <v>180</v>
      </c>
      <c r="E5" s="54" t="s">
        <v>187</v>
      </c>
      <c r="F5" s="54" t="s">
        <v>209</v>
      </c>
      <c r="G5" s="54" t="s">
        <v>195</v>
      </c>
      <c r="H5" s="54" t="s">
        <v>213</v>
      </c>
    </row>
    <row r="6" spans="2:11" x14ac:dyDescent="0.25">
      <c r="B6" s="53"/>
      <c r="C6" s="53"/>
      <c r="D6" s="54" t="s">
        <v>181</v>
      </c>
      <c r="E6" s="54" t="s">
        <v>188</v>
      </c>
      <c r="F6" s="54" t="s">
        <v>210</v>
      </c>
      <c r="G6" s="54" t="s">
        <v>196</v>
      </c>
      <c r="H6" s="54" t="s">
        <v>226</v>
      </c>
    </row>
    <row r="7" spans="2:11" x14ac:dyDescent="0.25">
      <c r="B7" s="53"/>
      <c r="C7" s="53"/>
      <c r="D7" s="54" t="s">
        <v>182</v>
      </c>
      <c r="E7" s="54" t="s">
        <v>190</v>
      </c>
      <c r="F7" s="54" t="s">
        <v>211</v>
      </c>
      <c r="G7" s="54" t="s">
        <v>197</v>
      </c>
      <c r="H7" s="54" t="s">
        <v>214</v>
      </c>
    </row>
    <row r="8" spans="2:11" x14ac:dyDescent="0.25">
      <c r="B8" s="53"/>
      <c r="C8" s="53"/>
      <c r="D8" s="54" t="s">
        <v>183</v>
      </c>
      <c r="E8" s="54" t="s">
        <v>191</v>
      </c>
      <c r="F8" s="54"/>
      <c r="G8" s="54" t="s">
        <v>198</v>
      </c>
      <c r="H8" s="54" t="s">
        <v>215</v>
      </c>
    </row>
    <row r="9" spans="2:11" x14ac:dyDescent="0.25">
      <c r="B9" s="53"/>
      <c r="C9" s="53"/>
      <c r="D9" s="54" t="s">
        <v>184</v>
      </c>
      <c r="E9" s="54" t="s">
        <v>189</v>
      </c>
      <c r="F9" s="54"/>
      <c r="G9" s="54" t="s">
        <v>199</v>
      </c>
      <c r="H9" s="54" t="s">
        <v>216</v>
      </c>
    </row>
    <row r="10" spans="2:11" x14ac:dyDescent="0.25">
      <c r="B10" s="53"/>
      <c r="C10" s="53"/>
      <c r="D10" s="54" t="s">
        <v>185</v>
      </c>
      <c r="E10" s="54" t="s">
        <v>192</v>
      </c>
      <c r="F10" s="54"/>
      <c r="G10" s="54" t="s">
        <v>200</v>
      </c>
      <c r="H10" s="54" t="s">
        <v>217</v>
      </c>
    </row>
    <row r="11" spans="2:11" x14ac:dyDescent="0.25">
      <c r="B11" s="53"/>
      <c r="C11" s="53"/>
      <c r="D11" s="54" t="s">
        <v>186</v>
      </c>
      <c r="E11" s="54" t="s">
        <v>193</v>
      </c>
      <c r="F11" s="54"/>
      <c r="G11" s="54" t="s">
        <v>201</v>
      </c>
      <c r="H11" s="54" t="s">
        <v>218</v>
      </c>
    </row>
    <row r="12" spans="2:11" x14ac:dyDescent="0.25">
      <c r="B12" s="53"/>
      <c r="C12" s="53"/>
      <c r="D12" s="54"/>
      <c r="E12" s="54"/>
      <c r="F12" s="54"/>
      <c r="G12" s="54" t="s">
        <v>202</v>
      </c>
      <c r="H12" s="54" t="s">
        <v>219</v>
      </c>
    </row>
    <row r="13" spans="2:11" x14ac:dyDescent="0.25">
      <c r="B13" s="53"/>
      <c r="C13" s="53"/>
      <c r="D13" s="54"/>
      <c r="E13" s="54"/>
      <c r="F13" s="54"/>
      <c r="G13" s="54" t="s">
        <v>203</v>
      </c>
      <c r="H13" s="54" t="s">
        <v>220</v>
      </c>
    </row>
    <row r="14" spans="2:11" x14ac:dyDescent="0.25">
      <c r="B14" s="53"/>
      <c r="C14" s="53"/>
      <c r="D14" s="54"/>
      <c r="E14" s="54"/>
      <c r="F14" s="54"/>
      <c r="G14" s="54" t="s">
        <v>204</v>
      </c>
      <c r="H14" s="54" t="s">
        <v>221</v>
      </c>
    </row>
    <row r="15" spans="2:11" x14ac:dyDescent="0.25">
      <c r="B15" s="53"/>
      <c r="C15" s="53"/>
      <c r="D15" s="54"/>
      <c r="E15" s="54"/>
      <c r="F15" s="54"/>
      <c r="G15" s="54" t="s">
        <v>205</v>
      </c>
      <c r="H15" s="54" t="s">
        <v>222</v>
      </c>
    </row>
    <row r="16" spans="2:11" x14ac:dyDescent="0.25">
      <c r="B16" s="53"/>
      <c r="C16" s="53"/>
      <c r="D16" s="54"/>
      <c r="E16" s="54"/>
      <c r="F16" s="54"/>
      <c r="G16" s="54" t="s">
        <v>206</v>
      </c>
      <c r="H16" s="54" t="s">
        <v>223</v>
      </c>
    </row>
    <row r="17" spans="2:8" x14ac:dyDescent="0.25">
      <c r="B17" s="53"/>
      <c r="C17" s="53"/>
      <c r="D17" s="54"/>
      <c r="E17" s="54"/>
      <c r="F17" s="54"/>
      <c r="G17" s="54" t="s">
        <v>207</v>
      </c>
      <c r="H17" s="54" t="s">
        <v>224</v>
      </c>
    </row>
    <row r="18" spans="2:8" x14ac:dyDescent="0.25">
      <c r="B18" s="53"/>
      <c r="C18" s="53"/>
      <c r="D18" s="54"/>
      <c r="E18" s="54"/>
      <c r="F18" s="54"/>
      <c r="G18" s="54" t="s">
        <v>208</v>
      </c>
      <c r="H18" s="54" t="s">
        <v>225</v>
      </c>
    </row>
    <row r="24" spans="2:8" x14ac:dyDescent="0.25">
      <c r="C24" t="s">
        <v>170</v>
      </c>
    </row>
    <row r="25" spans="2:8" x14ac:dyDescent="0.25">
      <c r="C25" t="s">
        <v>227</v>
      </c>
    </row>
    <row r="26" spans="2:8" x14ac:dyDescent="0.25">
      <c r="C26" t="s">
        <v>228</v>
      </c>
    </row>
    <row r="27" spans="2:8" x14ac:dyDescent="0.25">
      <c r="C27" t="s">
        <v>229</v>
      </c>
    </row>
    <row r="28" spans="2:8" x14ac:dyDescent="0.25">
      <c r="C28" t="s">
        <v>230</v>
      </c>
    </row>
    <row r="29" spans="2:8" x14ac:dyDescent="0.25">
      <c r="C29" t="s">
        <v>231</v>
      </c>
    </row>
    <row r="30" spans="2:8" x14ac:dyDescent="0.25">
      <c r="C30" t="s">
        <v>170</v>
      </c>
    </row>
    <row r="33" spans="3:11" x14ac:dyDescent="0.25">
      <c r="J33">
        <v>1</v>
      </c>
      <c r="K33">
        <v>2</v>
      </c>
    </row>
    <row r="34" spans="3:11" x14ac:dyDescent="0.25">
      <c r="C34" s="56" t="s">
        <v>236</v>
      </c>
      <c r="D34" s="54" t="s">
        <v>234</v>
      </c>
      <c r="E34" s="54" t="s">
        <v>239</v>
      </c>
      <c r="F34" s="54" t="s">
        <v>237</v>
      </c>
      <c r="G34" s="54" t="s">
        <v>238</v>
      </c>
      <c r="H34" s="54" t="s">
        <v>240</v>
      </c>
      <c r="J34" t="s">
        <v>194</v>
      </c>
      <c r="K34" t="s">
        <v>210</v>
      </c>
    </row>
    <row r="35" spans="3:11" x14ac:dyDescent="0.25">
      <c r="C35" s="53" t="s">
        <v>235</v>
      </c>
      <c r="D35" s="54" t="s">
        <v>171</v>
      </c>
      <c r="E35" s="54" t="s">
        <v>244</v>
      </c>
      <c r="F35" s="54" t="s">
        <v>246</v>
      </c>
      <c r="G35" s="54" t="s">
        <v>248</v>
      </c>
      <c r="H35" s="54"/>
    </row>
    <row r="36" spans="3:11" x14ac:dyDescent="0.25">
      <c r="C36" s="53"/>
      <c r="D36" s="54" t="s">
        <v>241</v>
      </c>
      <c r="E36" s="54" t="s">
        <v>245</v>
      </c>
      <c r="F36" s="54" t="s">
        <v>247</v>
      </c>
      <c r="G36" s="54" t="s">
        <v>249</v>
      </c>
      <c r="H36" s="54"/>
    </row>
    <row r="37" spans="3:11" x14ac:dyDescent="0.25">
      <c r="C37" s="53"/>
      <c r="D37" s="54" t="s">
        <v>242</v>
      </c>
      <c r="E37" s="54"/>
      <c r="F37" s="54"/>
      <c r="G37" s="54" t="s">
        <v>250</v>
      </c>
      <c r="H37" s="54"/>
    </row>
    <row r="38" spans="3:11" x14ac:dyDescent="0.25">
      <c r="C38" s="53"/>
      <c r="D38" s="54" t="s">
        <v>243</v>
      </c>
      <c r="E38" s="54"/>
      <c r="F38" s="54"/>
      <c r="G38" s="54" t="s">
        <v>250</v>
      </c>
      <c r="H38" s="54"/>
    </row>
    <row r="39" spans="3:11" x14ac:dyDescent="0.25">
      <c r="C39" s="53"/>
      <c r="D39" s="54"/>
      <c r="E39" s="54"/>
      <c r="F39" s="54"/>
      <c r="G39" s="54" t="s">
        <v>251</v>
      </c>
      <c r="H39" s="54"/>
    </row>
    <row r="40" spans="3:11" x14ac:dyDescent="0.25">
      <c r="C40" s="53"/>
      <c r="D40" s="54"/>
      <c r="E40" s="54"/>
      <c r="F40" s="54"/>
      <c r="G40" s="54" t="s">
        <v>252</v>
      </c>
      <c r="H40" s="54"/>
    </row>
    <row r="41" spans="3:11" x14ac:dyDescent="0.25">
      <c r="C41" s="53"/>
      <c r="D41" s="54"/>
      <c r="E41" s="54"/>
      <c r="F41" s="54"/>
      <c r="G41" s="54"/>
      <c r="H41" s="54"/>
    </row>
    <row r="43" spans="3:11" x14ac:dyDescent="0.25">
      <c r="C43" t="s">
        <v>253</v>
      </c>
    </row>
    <row r="44" spans="3:11" x14ac:dyDescent="0.25">
      <c r="C44" t="s">
        <v>173</v>
      </c>
      <c r="D44" t="s">
        <v>254</v>
      </c>
    </row>
    <row r="45" spans="3:11" x14ac:dyDescent="0.25">
      <c r="D45" t="s">
        <v>255</v>
      </c>
    </row>
    <row r="46" spans="3:11" x14ac:dyDescent="0.25">
      <c r="D46" t="s">
        <v>256</v>
      </c>
    </row>
    <row r="47" spans="3:11" x14ac:dyDescent="0.25">
      <c r="D47" t="s">
        <v>257</v>
      </c>
    </row>
    <row r="48" spans="3:11" x14ac:dyDescent="0.25">
      <c r="D48" t="s">
        <v>258</v>
      </c>
    </row>
    <row r="49" spans="3:4" x14ac:dyDescent="0.25">
      <c r="C49" t="s">
        <v>179</v>
      </c>
      <c r="D49" t="s">
        <v>259</v>
      </c>
    </row>
    <row r="50" spans="3:4" x14ac:dyDescent="0.25">
      <c r="D50" t="s">
        <v>260</v>
      </c>
    </row>
    <row r="51" spans="3:4" x14ac:dyDescent="0.25">
      <c r="D51" t="s">
        <v>261</v>
      </c>
    </row>
    <row r="52" spans="3:4" x14ac:dyDescent="0.25">
      <c r="D52" t="s">
        <v>264</v>
      </c>
    </row>
    <row r="53" spans="3:4" x14ac:dyDescent="0.25">
      <c r="D53" t="s">
        <v>262</v>
      </c>
    </row>
    <row r="54" spans="3:4" x14ac:dyDescent="0.25">
      <c r="D54" t="s">
        <v>263</v>
      </c>
    </row>
    <row r="55" spans="3:4" x14ac:dyDescent="0.25">
      <c r="D55" t="s">
        <v>265</v>
      </c>
    </row>
    <row r="56" spans="3:4" x14ac:dyDescent="0.25">
      <c r="D56" t="s">
        <v>266</v>
      </c>
    </row>
    <row r="57" spans="3:4" x14ac:dyDescent="0.25">
      <c r="D57" t="s">
        <v>267</v>
      </c>
    </row>
    <row r="58" spans="3:4" x14ac:dyDescent="0.25">
      <c r="D58" t="s">
        <v>269</v>
      </c>
    </row>
    <row r="59" spans="3:4" x14ac:dyDescent="0.25">
      <c r="D59" t="s">
        <v>278</v>
      </c>
    </row>
    <row r="60" spans="3:4" x14ac:dyDescent="0.25">
      <c r="C60" t="s">
        <v>194</v>
      </c>
      <c r="D60" t="s">
        <v>270</v>
      </c>
    </row>
    <row r="61" spans="3:4" x14ac:dyDescent="0.25">
      <c r="D61" t="s">
        <v>268</v>
      </c>
    </row>
    <row r="62" spans="3:4" x14ac:dyDescent="0.25">
      <c r="D62" t="s">
        <v>258</v>
      </c>
    </row>
    <row r="63" spans="3:4" x14ac:dyDescent="0.25">
      <c r="D63" t="s">
        <v>271</v>
      </c>
    </row>
    <row r="64" spans="3:4" x14ac:dyDescent="0.25">
      <c r="D64" t="s">
        <v>272</v>
      </c>
    </row>
    <row r="65" spans="3:4" x14ac:dyDescent="0.25">
      <c r="D65" t="s">
        <v>273</v>
      </c>
    </row>
    <row r="66" spans="3:4" x14ac:dyDescent="0.25">
      <c r="D66" t="s">
        <v>274</v>
      </c>
    </row>
    <row r="67" spans="3:4" x14ac:dyDescent="0.25">
      <c r="C67" t="s">
        <v>189</v>
      </c>
      <c r="D67" t="s">
        <v>275</v>
      </c>
    </row>
    <row r="68" spans="3:4" x14ac:dyDescent="0.25">
      <c r="D68" t="s">
        <v>276</v>
      </c>
    </row>
    <row r="69" spans="3:4" x14ac:dyDescent="0.25">
      <c r="D69" t="s">
        <v>277</v>
      </c>
    </row>
  </sheetData>
  <dataValidations count="2">
    <dataValidation type="list" allowBlank="1" showInputMessage="1" showErrorMessage="1" sqref="J4 J34">
      <formula1>$D$4:$H$4</formula1>
    </dataValidation>
    <dataValidation type="list" allowBlank="1" showInputMessage="1" showErrorMessage="1" sqref="K4 K34">
      <formula1>OFFSET($D$4,1,MATCH($J4,$D$4:$H$4,0)-1,15,1)</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F55"/>
  <sheetViews>
    <sheetView topLeftCell="A43" zoomScaleNormal="100" workbookViewId="0">
      <selection activeCell="C57" sqref="C57"/>
    </sheetView>
  </sheetViews>
  <sheetFormatPr defaultRowHeight="15" x14ac:dyDescent="0.25"/>
  <cols>
    <col min="2" max="2" width="3" bestFit="1" customWidth="1"/>
    <col min="3" max="3" width="155.28515625" customWidth="1"/>
  </cols>
  <sheetData>
    <row r="2" spans="2:3" ht="15" customHeight="1" x14ac:dyDescent="0.25">
      <c r="B2" s="57">
        <v>1</v>
      </c>
      <c r="C2" s="59" t="s">
        <v>283</v>
      </c>
    </row>
    <row r="3" spans="2:3" x14ac:dyDescent="0.25">
      <c r="B3" s="57">
        <v>2</v>
      </c>
      <c r="C3" s="58" t="s">
        <v>284</v>
      </c>
    </row>
    <row r="4" spans="2:3" x14ac:dyDescent="0.25">
      <c r="B4" s="57">
        <v>3</v>
      </c>
      <c r="C4" s="57" t="s">
        <v>285</v>
      </c>
    </row>
    <row r="5" spans="2:3" x14ac:dyDescent="0.25">
      <c r="B5" s="57">
        <v>4</v>
      </c>
      <c r="C5" s="58" t="s">
        <v>286</v>
      </c>
    </row>
    <row r="6" spans="2:3" x14ac:dyDescent="0.25">
      <c r="B6" s="57">
        <v>5</v>
      </c>
      <c r="C6" s="57" t="s">
        <v>287</v>
      </c>
    </row>
    <row r="7" spans="2:3" ht="30" x14ac:dyDescent="0.25">
      <c r="B7" s="57">
        <v>6</v>
      </c>
      <c r="C7" s="58" t="s">
        <v>288</v>
      </c>
    </row>
    <row r="8" spans="2:3" ht="75" x14ac:dyDescent="0.25">
      <c r="B8" s="57">
        <v>7</v>
      </c>
      <c r="C8" s="58" t="s">
        <v>289</v>
      </c>
    </row>
    <row r="9" spans="2:3" x14ac:dyDescent="0.25">
      <c r="B9" s="57">
        <v>8</v>
      </c>
      <c r="C9" s="57" t="s">
        <v>290</v>
      </c>
    </row>
    <row r="10" spans="2:3" x14ac:dyDescent="0.25">
      <c r="B10" s="57">
        <v>9</v>
      </c>
      <c r="C10" s="57" t="s">
        <v>291</v>
      </c>
    </row>
    <row r="11" spans="2:3" x14ac:dyDescent="0.25">
      <c r="B11" s="57">
        <v>10</v>
      </c>
      <c r="C11" s="57" t="s">
        <v>292</v>
      </c>
    </row>
    <row r="12" spans="2:3" x14ac:dyDescent="0.25">
      <c r="B12" s="57">
        <v>11</v>
      </c>
      <c r="C12" s="57" t="s">
        <v>293</v>
      </c>
    </row>
    <row r="13" spans="2:3" x14ac:dyDescent="0.25">
      <c r="B13" s="57">
        <v>12</v>
      </c>
      <c r="C13" s="57" t="s">
        <v>294</v>
      </c>
    </row>
    <row r="14" spans="2:3" x14ac:dyDescent="0.25">
      <c r="B14" s="57">
        <v>13</v>
      </c>
      <c r="C14" s="57" t="s">
        <v>295</v>
      </c>
    </row>
    <row r="15" spans="2:3" x14ac:dyDescent="0.25">
      <c r="B15" s="57">
        <v>14</v>
      </c>
      <c r="C15" s="57" t="s">
        <v>285</v>
      </c>
    </row>
    <row r="16" spans="2:3" x14ac:dyDescent="0.25">
      <c r="B16" s="57">
        <v>15</v>
      </c>
      <c r="C16" s="57" t="s">
        <v>297</v>
      </c>
    </row>
    <row r="17" spans="2:3" x14ac:dyDescent="0.25">
      <c r="B17" s="78">
        <v>16</v>
      </c>
      <c r="C17" s="63" t="s">
        <v>298</v>
      </c>
    </row>
    <row r="18" spans="2:3" x14ac:dyDescent="0.25">
      <c r="B18" s="62">
        <v>17</v>
      </c>
      <c r="C18" s="63" t="s">
        <v>299</v>
      </c>
    </row>
    <row r="19" spans="2:3" x14ac:dyDescent="0.25">
      <c r="B19" s="61">
        <v>18</v>
      </c>
      <c r="C19" s="57" t="s">
        <v>300</v>
      </c>
    </row>
    <row r="20" spans="2:3" x14ac:dyDescent="0.25">
      <c r="B20" s="62">
        <v>19</v>
      </c>
      <c r="C20" s="57" t="s">
        <v>336</v>
      </c>
    </row>
    <row r="21" spans="2:3" x14ac:dyDescent="0.25">
      <c r="B21" s="57">
        <v>20</v>
      </c>
      <c r="C21" s="57" t="s">
        <v>301</v>
      </c>
    </row>
    <row r="22" spans="2:3" x14ac:dyDescent="0.25">
      <c r="B22" s="62">
        <v>21</v>
      </c>
      <c r="C22" s="57" t="s">
        <v>300</v>
      </c>
    </row>
    <row r="23" spans="2:3" s="73" customFormat="1" ht="29.25" customHeight="1" x14ac:dyDescent="0.25">
      <c r="B23" s="72">
        <v>22</v>
      </c>
      <c r="C23" s="59" t="s">
        <v>328</v>
      </c>
    </row>
    <row r="24" spans="2:3" s="73" customFormat="1" ht="30.75" customHeight="1" x14ac:dyDescent="0.25">
      <c r="B24" s="74">
        <v>23</v>
      </c>
      <c r="C24" s="59" t="s">
        <v>329</v>
      </c>
    </row>
    <row r="25" spans="2:3" x14ac:dyDescent="0.25">
      <c r="B25" s="57">
        <v>24</v>
      </c>
      <c r="C25" s="57" t="s">
        <v>332</v>
      </c>
    </row>
    <row r="26" spans="2:3" x14ac:dyDescent="0.25">
      <c r="B26" s="62">
        <v>25</v>
      </c>
      <c r="C26" s="57" t="s">
        <v>330</v>
      </c>
    </row>
    <row r="27" spans="2:3" x14ac:dyDescent="0.25">
      <c r="B27" s="74">
        <v>26</v>
      </c>
      <c r="C27" s="57" t="s">
        <v>331</v>
      </c>
    </row>
    <row r="28" spans="2:3" x14ac:dyDescent="0.25">
      <c r="B28" s="62">
        <v>27</v>
      </c>
      <c r="C28" s="57" t="s">
        <v>333</v>
      </c>
    </row>
    <row r="29" spans="2:3" ht="60" x14ac:dyDescent="0.25">
      <c r="B29" s="77">
        <v>28</v>
      </c>
      <c r="C29" s="58" t="s">
        <v>334</v>
      </c>
    </row>
    <row r="30" spans="2:3" x14ac:dyDescent="0.25">
      <c r="B30" s="74">
        <v>29</v>
      </c>
      <c r="C30" s="57" t="s">
        <v>335</v>
      </c>
    </row>
    <row r="31" spans="2:3" ht="30" x14ac:dyDescent="0.25">
      <c r="B31" s="74">
        <v>30</v>
      </c>
      <c r="C31" s="58" t="s">
        <v>337</v>
      </c>
    </row>
    <row r="32" spans="2:3" x14ac:dyDescent="0.25">
      <c r="B32" s="74">
        <v>31</v>
      </c>
      <c r="C32" s="57" t="s">
        <v>338</v>
      </c>
    </row>
    <row r="33" spans="2:4" x14ac:dyDescent="0.25">
      <c r="B33" s="74">
        <v>32</v>
      </c>
      <c r="C33" s="57" t="s">
        <v>339</v>
      </c>
    </row>
    <row r="34" spans="2:4" ht="36.75" customHeight="1" x14ac:dyDescent="0.25">
      <c r="B34" s="74">
        <v>33</v>
      </c>
      <c r="C34" s="63" t="s">
        <v>340</v>
      </c>
    </row>
    <row r="35" spans="2:4" x14ac:dyDescent="0.25">
      <c r="B35" s="72">
        <v>34</v>
      </c>
      <c r="C35" s="57" t="s">
        <v>348</v>
      </c>
    </row>
    <row r="36" spans="2:4" ht="60" x14ac:dyDescent="0.25">
      <c r="B36" s="72">
        <v>35</v>
      </c>
      <c r="C36" s="58" t="s">
        <v>351</v>
      </c>
    </row>
    <row r="37" spans="2:4" x14ac:dyDescent="0.25">
      <c r="B37" s="57">
        <v>36</v>
      </c>
      <c r="C37" s="58" t="s">
        <v>362</v>
      </c>
    </row>
    <row r="38" spans="2:4" x14ac:dyDescent="0.25">
      <c r="B38" s="57">
        <f t="shared" ref="B38:B44" si="0">B37+1</f>
        <v>37</v>
      </c>
      <c r="C38" s="57" t="s">
        <v>358</v>
      </c>
    </row>
    <row r="39" spans="2:4" x14ac:dyDescent="0.25">
      <c r="B39" s="57">
        <f t="shared" si="0"/>
        <v>38</v>
      </c>
      <c r="C39" s="57" t="s">
        <v>359</v>
      </c>
    </row>
    <row r="40" spans="2:4" x14ac:dyDescent="0.25">
      <c r="B40" s="57">
        <f t="shared" si="0"/>
        <v>39</v>
      </c>
      <c r="C40" s="57" t="s">
        <v>360</v>
      </c>
    </row>
    <row r="41" spans="2:4" x14ac:dyDescent="0.25">
      <c r="B41" s="57">
        <f t="shared" si="0"/>
        <v>40</v>
      </c>
      <c r="C41" s="57" t="s">
        <v>361</v>
      </c>
    </row>
    <row r="42" spans="2:4" ht="30.75" thickBot="1" x14ac:dyDescent="0.3">
      <c r="B42" s="81">
        <f t="shared" si="0"/>
        <v>41</v>
      </c>
      <c r="C42" s="82" t="s">
        <v>363</v>
      </c>
    </row>
    <row r="43" spans="2:4" ht="30" x14ac:dyDescent="0.25">
      <c r="B43" s="85">
        <f t="shared" si="0"/>
        <v>42</v>
      </c>
      <c r="C43" s="90" t="s">
        <v>368</v>
      </c>
      <c r="D43" t="s">
        <v>369</v>
      </c>
    </row>
    <row r="44" spans="2:4" ht="15.75" thickBot="1" x14ac:dyDescent="0.3">
      <c r="B44" s="87">
        <f t="shared" si="0"/>
        <v>43</v>
      </c>
      <c r="C44" s="89" t="s">
        <v>364</v>
      </c>
    </row>
    <row r="45" spans="2:4" ht="15.75" thickBot="1" x14ac:dyDescent="0.3">
      <c r="B45" s="83">
        <f t="shared" ref="B45:B54" si="1">B44+1</f>
        <v>44</v>
      </c>
      <c r="C45" s="84" t="s">
        <v>365</v>
      </c>
    </row>
    <row r="46" spans="2:4" ht="30" x14ac:dyDescent="0.25">
      <c r="B46" s="85">
        <f t="shared" si="1"/>
        <v>45</v>
      </c>
      <c r="C46" s="86" t="s">
        <v>366</v>
      </c>
    </row>
    <row r="47" spans="2:4" ht="15.75" thickBot="1" x14ac:dyDescent="0.3">
      <c r="B47" s="87">
        <f t="shared" si="1"/>
        <v>46</v>
      </c>
      <c r="C47" s="88" t="s">
        <v>367</v>
      </c>
    </row>
    <row r="48" spans="2:4" x14ac:dyDescent="0.25">
      <c r="B48" s="91">
        <f t="shared" si="1"/>
        <v>47</v>
      </c>
      <c r="C48" s="92" t="s">
        <v>370</v>
      </c>
    </row>
    <row r="49" spans="2:6" x14ac:dyDescent="0.25">
      <c r="B49" s="91">
        <f t="shared" si="1"/>
        <v>48</v>
      </c>
      <c r="C49" s="92" t="s">
        <v>371</v>
      </c>
    </row>
    <row r="50" spans="2:6" x14ac:dyDescent="0.25">
      <c r="B50" s="91">
        <f t="shared" si="1"/>
        <v>49</v>
      </c>
      <c r="C50" s="92" t="s">
        <v>373</v>
      </c>
      <c r="D50" t="s">
        <v>372</v>
      </c>
    </row>
    <row r="51" spans="2:6" ht="30" x14ac:dyDescent="0.25">
      <c r="B51" s="93">
        <f t="shared" si="1"/>
        <v>50</v>
      </c>
      <c r="C51" s="94" t="s">
        <v>374</v>
      </c>
    </row>
    <row r="52" spans="2:6" x14ac:dyDescent="0.25">
      <c r="B52" s="93">
        <f t="shared" si="1"/>
        <v>51</v>
      </c>
      <c r="C52" s="95" t="s">
        <v>377</v>
      </c>
      <c r="D52" t="s">
        <v>378</v>
      </c>
    </row>
    <row r="53" spans="2:6" x14ac:dyDescent="0.25">
      <c r="B53" s="93">
        <f t="shared" si="1"/>
        <v>52</v>
      </c>
      <c r="C53" s="95" t="s">
        <v>380</v>
      </c>
      <c r="D53" t="s">
        <v>381</v>
      </c>
    </row>
    <row r="54" spans="2:6" ht="45" x14ac:dyDescent="0.25">
      <c r="B54" s="93">
        <f t="shared" si="1"/>
        <v>53</v>
      </c>
      <c r="C54" s="63" t="s">
        <v>385</v>
      </c>
      <c r="D54" t="s">
        <v>384</v>
      </c>
    </row>
    <row r="55" spans="2:6" ht="30" x14ac:dyDescent="0.25">
      <c r="B55">
        <v>54</v>
      </c>
      <c r="C55" s="97" t="s">
        <v>386</v>
      </c>
      <c r="D55" s="267" t="s">
        <v>387</v>
      </c>
      <c r="E55" s="268"/>
      <c r="F55" s="268"/>
    </row>
  </sheetData>
  <mergeCells count="1">
    <mergeCell ref="D55:F55"/>
  </mergeCells>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44"/>
  <sheetViews>
    <sheetView workbookViewId="0">
      <selection sqref="A1:XFD1048576"/>
    </sheetView>
  </sheetViews>
  <sheetFormatPr defaultColWidth="9.140625" defaultRowHeight="15" x14ac:dyDescent="0.25"/>
  <cols>
    <col min="1" max="1" width="9.140625" style="53"/>
    <col min="2" max="2" width="12.28515625" style="53" customWidth="1"/>
    <col min="3" max="16384" width="9.140625" style="53"/>
  </cols>
  <sheetData>
    <row r="2" spans="1:12" x14ac:dyDescent="0.25">
      <c r="B2" s="66" t="s">
        <v>302</v>
      </c>
      <c r="C2" s="269"/>
      <c r="D2" s="269"/>
    </row>
    <row r="3" spans="1:12" x14ac:dyDescent="0.25">
      <c r="D3" s="67"/>
      <c r="E3" s="67"/>
      <c r="F3" s="67"/>
      <c r="G3" s="67"/>
      <c r="H3" s="67"/>
      <c r="I3" s="67"/>
    </row>
    <row r="4" spans="1:12" x14ac:dyDescent="0.25">
      <c r="A4" s="66" t="s">
        <v>65</v>
      </c>
      <c r="B4" s="68" t="s">
        <v>303</v>
      </c>
      <c r="C4" s="270" t="s">
        <v>304</v>
      </c>
      <c r="D4" s="270"/>
      <c r="E4" s="270"/>
      <c r="F4" s="68"/>
      <c r="G4" s="271" t="s">
        <v>305</v>
      </c>
      <c r="H4" s="271"/>
      <c r="I4" s="271"/>
      <c r="J4" s="272" t="s">
        <v>306</v>
      </c>
      <c r="K4" s="272"/>
      <c r="L4" s="272"/>
    </row>
    <row r="5" spans="1:12" x14ac:dyDescent="0.25">
      <c r="A5" s="66"/>
      <c r="B5" s="68"/>
      <c r="C5" s="68" t="s">
        <v>307</v>
      </c>
      <c r="D5" s="68" t="s">
        <v>308</v>
      </c>
      <c r="E5" s="68" t="s">
        <v>309</v>
      </c>
      <c r="F5" s="68"/>
      <c r="G5" s="68" t="s">
        <v>307</v>
      </c>
      <c r="H5" s="68" t="s">
        <v>308</v>
      </c>
      <c r="I5" s="68" t="s">
        <v>309</v>
      </c>
      <c r="J5" s="68" t="s">
        <v>307</v>
      </c>
      <c r="K5" s="68" t="s">
        <v>308</v>
      </c>
      <c r="L5" s="68" t="s">
        <v>309</v>
      </c>
    </row>
    <row r="6" spans="1:12" x14ac:dyDescent="0.25">
      <c r="B6" s="54" t="s">
        <v>310</v>
      </c>
      <c r="C6" s="54"/>
      <c r="D6" s="54"/>
      <c r="E6" s="54">
        <f>C6*D6</f>
        <v>0</v>
      </c>
      <c r="F6" s="54" t="s">
        <v>327</v>
      </c>
      <c r="G6" s="54"/>
      <c r="H6" s="54"/>
      <c r="I6" s="54">
        <f>G6*H6</f>
        <v>0</v>
      </c>
      <c r="J6" s="54"/>
      <c r="K6" s="54"/>
      <c r="L6" s="54">
        <f>J6*K6</f>
        <v>0</v>
      </c>
    </row>
    <row r="7" spans="1:12" x14ac:dyDescent="0.25">
      <c r="B7" s="54"/>
      <c r="C7" s="54"/>
      <c r="D7" s="54"/>
      <c r="E7" s="54">
        <f t="shared" ref="E7:E41" si="0">C7*D7</f>
        <v>0</v>
      </c>
      <c r="F7" s="54" t="s">
        <v>327</v>
      </c>
      <c r="G7" s="54"/>
      <c r="H7" s="54"/>
      <c r="I7" s="54">
        <f t="shared" ref="I7:I35" si="1">G7*H7</f>
        <v>0</v>
      </c>
      <c r="J7" s="54"/>
      <c r="K7" s="54"/>
      <c r="L7" s="54">
        <f t="shared" ref="L7:L35" si="2">J7*K7</f>
        <v>0</v>
      </c>
    </row>
    <row r="8" spans="1:12" x14ac:dyDescent="0.25">
      <c r="B8" s="54"/>
      <c r="C8" s="54"/>
      <c r="D8" s="54"/>
      <c r="E8" s="54">
        <f t="shared" si="0"/>
        <v>0</v>
      </c>
      <c r="F8" s="54"/>
      <c r="G8" s="54"/>
      <c r="H8" s="54"/>
      <c r="I8" s="54">
        <f t="shared" si="1"/>
        <v>0</v>
      </c>
      <c r="J8" s="54"/>
      <c r="K8" s="54"/>
      <c r="L8" s="54">
        <f t="shared" si="2"/>
        <v>0</v>
      </c>
    </row>
    <row r="9" spans="1:12" x14ac:dyDescent="0.25">
      <c r="B9" s="54"/>
      <c r="C9" s="54"/>
      <c r="D9" s="54"/>
      <c r="E9" s="54">
        <f t="shared" si="0"/>
        <v>0</v>
      </c>
      <c r="F9" s="54" t="s">
        <v>311</v>
      </c>
      <c r="G9" s="54"/>
      <c r="H9" s="54"/>
      <c r="I9" s="54">
        <f t="shared" si="1"/>
        <v>0</v>
      </c>
      <c r="J9" s="54"/>
      <c r="K9" s="54"/>
      <c r="L9" s="54">
        <f t="shared" si="2"/>
        <v>0</v>
      </c>
    </row>
    <row r="10" spans="1:12" x14ac:dyDescent="0.25">
      <c r="B10" s="54" t="s">
        <v>312</v>
      </c>
      <c r="C10" s="54"/>
      <c r="D10" s="54"/>
      <c r="E10" s="54">
        <f t="shared" si="0"/>
        <v>0</v>
      </c>
      <c r="F10" s="54" t="s">
        <v>311</v>
      </c>
      <c r="G10" s="54"/>
      <c r="H10" s="54"/>
      <c r="I10" s="54">
        <f t="shared" si="1"/>
        <v>0</v>
      </c>
      <c r="J10" s="54"/>
      <c r="K10" s="54"/>
      <c r="L10" s="54">
        <f t="shared" si="2"/>
        <v>0</v>
      </c>
    </row>
    <row r="11" spans="1:12" x14ac:dyDescent="0.25">
      <c r="B11" s="54"/>
      <c r="C11" s="54"/>
      <c r="D11" s="54"/>
      <c r="E11" s="54">
        <f t="shared" si="0"/>
        <v>0</v>
      </c>
      <c r="F11" s="54" t="s">
        <v>313</v>
      </c>
      <c r="G11" s="54"/>
      <c r="H11" s="54"/>
      <c r="I11" s="54">
        <f t="shared" si="1"/>
        <v>0</v>
      </c>
      <c r="J11" s="54"/>
      <c r="K11" s="54"/>
      <c r="L11" s="54">
        <f t="shared" si="2"/>
        <v>0</v>
      </c>
    </row>
    <row r="12" spans="1:12" x14ac:dyDescent="0.25">
      <c r="B12" s="54"/>
      <c r="C12" s="54"/>
      <c r="D12" s="54"/>
      <c r="E12" s="54">
        <f t="shared" si="0"/>
        <v>0</v>
      </c>
      <c r="F12" s="54"/>
      <c r="G12" s="54"/>
      <c r="H12" s="54"/>
      <c r="I12" s="54">
        <f t="shared" si="1"/>
        <v>0</v>
      </c>
      <c r="J12" s="54"/>
      <c r="K12" s="54"/>
      <c r="L12" s="54">
        <f t="shared" si="2"/>
        <v>0</v>
      </c>
    </row>
    <row r="13" spans="1:12" x14ac:dyDescent="0.25">
      <c r="B13" s="54"/>
      <c r="C13" s="54"/>
      <c r="D13" s="54"/>
      <c r="E13" s="54">
        <f t="shared" si="0"/>
        <v>0</v>
      </c>
      <c r="F13" s="54"/>
      <c r="G13" s="54"/>
      <c r="H13" s="54"/>
      <c r="I13" s="54">
        <f t="shared" si="1"/>
        <v>0</v>
      </c>
      <c r="J13" s="54"/>
      <c r="K13" s="54"/>
      <c r="L13" s="54">
        <f t="shared" si="2"/>
        <v>0</v>
      </c>
    </row>
    <row r="14" spans="1:12" x14ac:dyDescent="0.25">
      <c r="B14" s="54" t="s">
        <v>314</v>
      </c>
      <c r="C14" s="54"/>
      <c r="D14" s="54"/>
      <c r="E14" s="54">
        <f t="shared" si="0"/>
        <v>0</v>
      </c>
      <c r="F14" s="54" t="s">
        <v>311</v>
      </c>
      <c r="G14" s="54"/>
      <c r="H14" s="54"/>
      <c r="I14" s="54">
        <f t="shared" si="1"/>
        <v>0</v>
      </c>
      <c r="J14" s="54"/>
      <c r="K14" s="54"/>
      <c r="L14" s="54">
        <f t="shared" si="2"/>
        <v>0</v>
      </c>
    </row>
    <row r="15" spans="1:12" x14ac:dyDescent="0.25">
      <c r="B15" s="54"/>
      <c r="C15" s="54"/>
      <c r="D15" s="54"/>
      <c r="E15" s="54">
        <f t="shared" si="0"/>
        <v>0</v>
      </c>
      <c r="F15" s="54" t="s">
        <v>313</v>
      </c>
      <c r="G15" s="54"/>
      <c r="H15" s="54"/>
      <c r="I15" s="54">
        <f t="shared" si="1"/>
        <v>0</v>
      </c>
      <c r="J15" s="54"/>
      <c r="K15" s="54"/>
      <c r="L15" s="54">
        <f t="shared" si="2"/>
        <v>0</v>
      </c>
    </row>
    <row r="16" spans="1:12" x14ac:dyDescent="0.25">
      <c r="B16" s="54"/>
      <c r="C16" s="54"/>
      <c r="D16" s="54"/>
      <c r="E16" s="54">
        <f t="shared" si="0"/>
        <v>0</v>
      </c>
      <c r="F16" s="54"/>
      <c r="G16" s="54"/>
      <c r="H16" s="54"/>
      <c r="I16" s="54">
        <f t="shared" si="1"/>
        <v>0</v>
      </c>
      <c r="J16" s="54"/>
      <c r="K16" s="54"/>
      <c r="L16" s="54">
        <f t="shared" si="2"/>
        <v>0</v>
      </c>
    </row>
    <row r="17" spans="2:12" x14ac:dyDescent="0.25">
      <c r="B17" s="54"/>
      <c r="C17" s="54"/>
      <c r="D17" s="54"/>
      <c r="E17" s="54">
        <f t="shared" si="0"/>
        <v>0</v>
      </c>
      <c r="F17" s="54"/>
      <c r="G17" s="54"/>
      <c r="H17" s="54"/>
      <c r="I17" s="54">
        <f t="shared" si="1"/>
        <v>0</v>
      </c>
      <c r="J17" s="54"/>
      <c r="K17" s="54"/>
      <c r="L17" s="54">
        <f t="shared" si="2"/>
        <v>0</v>
      </c>
    </row>
    <row r="18" spans="2:12" x14ac:dyDescent="0.25">
      <c r="B18" s="54" t="s">
        <v>315</v>
      </c>
      <c r="C18" s="54"/>
      <c r="D18" s="54"/>
      <c r="E18" s="54">
        <f t="shared" si="0"/>
        <v>0</v>
      </c>
      <c r="F18" s="54" t="s">
        <v>311</v>
      </c>
      <c r="G18" s="54"/>
      <c r="H18" s="54"/>
      <c r="I18" s="54">
        <f t="shared" si="1"/>
        <v>0</v>
      </c>
      <c r="J18" s="54"/>
      <c r="K18" s="54"/>
      <c r="L18" s="54">
        <f t="shared" si="2"/>
        <v>0</v>
      </c>
    </row>
    <row r="19" spans="2:12" x14ac:dyDescent="0.25">
      <c r="B19" s="54"/>
      <c r="C19" s="54"/>
      <c r="D19" s="54"/>
      <c r="E19" s="54">
        <f t="shared" si="0"/>
        <v>0</v>
      </c>
      <c r="F19" s="54" t="s">
        <v>313</v>
      </c>
      <c r="G19" s="54"/>
      <c r="H19" s="54"/>
      <c r="I19" s="54">
        <f t="shared" si="1"/>
        <v>0</v>
      </c>
      <c r="J19" s="54"/>
      <c r="K19" s="54"/>
      <c r="L19" s="54">
        <f t="shared" si="2"/>
        <v>0</v>
      </c>
    </row>
    <row r="20" spans="2:12" x14ac:dyDescent="0.25">
      <c r="B20" s="54"/>
      <c r="C20" s="54"/>
      <c r="D20" s="54"/>
      <c r="E20" s="54">
        <f t="shared" si="0"/>
        <v>0</v>
      </c>
      <c r="F20" s="54"/>
      <c r="G20" s="54"/>
      <c r="H20" s="54"/>
      <c r="I20" s="54">
        <f t="shared" si="1"/>
        <v>0</v>
      </c>
      <c r="J20" s="54"/>
      <c r="K20" s="54"/>
      <c r="L20" s="54">
        <f t="shared" si="2"/>
        <v>0</v>
      </c>
    </row>
    <row r="21" spans="2:12" x14ac:dyDescent="0.25">
      <c r="B21" s="54" t="s">
        <v>316</v>
      </c>
      <c r="C21" s="54"/>
      <c r="D21" s="54"/>
      <c r="E21" s="54">
        <f t="shared" si="0"/>
        <v>0</v>
      </c>
      <c r="F21" s="54" t="s">
        <v>311</v>
      </c>
      <c r="G21" s="54"/>
      <c r="H21" s="54"/>
      <c r="I21" s="54">
        <f t="shared" si="1"/>
        <v>0</v>
      </c>
      <c r="J21" s="54"/>
      <c r="K21" s="54"/>
      <c r="L21" s="54">
        <f t="shared" si="2"/>
        <v>0</v>
      </c>
    </row>
    <row r="22" spans="2:12" x14ac:dyDescent="0.25">
      <c r="B22" s="54"/>
      <c r="C22" s="54"/>
      <c r="D22" s="54"/>
      <c r="E22" s="54">
        <f t="shared" si="0"/>
        <v>0</v>
      </c>
      <c r="F22" s="54" t="s">
        <v>313</v>
      </c>
      <c r="G22" s="54"/>
      <c r="H22" s="54"/>
      <c r="I22" s="54">
        <f t="shared" si="1"/>
        <v>0</v>
      </c>
      <c r="J22" s="54"/>
      <c r="K22" s="54"/>
      <c r="L22" s="54">
        <f t="shared" si="2"/>
        <v>0</v>
      </c>
    </row>
    <row r="23" spans="2:12" x14ac:dyDescent="0.25">
      <c r="B23" s="54"/>
      <c r="C23" s="54"/>
      <c r="D23" s="54"/>
      <c r="E23" s="54">
        <f t="shared" si="0"/>
        <v>0</v>
      </c>
      <c r="F23" s="54"/>
      <c r="G23" s="54"/>
      <c r="H23" s="54"/>
      <c r="I23" s="54">
        <f t="shared" si="1"/>
        <v>0</v>
      </c>
      <c r="J23" s="54"/>
      <c r="K23" s="54"/>
      <c r="L23" s="54">
        <f t="shared" si="2"/>
        <v>0</v>
      </c>
    </row>
    <row r="24" spans="2:12" x14ac:dyDescent="0.25">
      <c r="B24" s="54" t="s">
        <v>317</v>
      </c>
      <c r="C24" s="54"/>
      <c r="D24" s="54"/>
      <c r="E24" s="54">
        <f t="shared" si="0"/>
        <v>0</v>
      </c>
      <c r="F24" s="54" t="s">
        <v>318</v>
      </c>
      <c r="G24" s="54"/>
      <c r="H24" s="54"/>
      <c r="I24" s="54">
        <f t="shared" si="1"/>
        <v>0</v>
      </c>
      <c r="J24" s="54"/>
      <c r="K24" s="54"/>
      <c r="L24" s="54">
        <f t="shared" si="2"/>
        <v>0</v>
      </c>
    </row>
    <row r="25" spans="2:12" x14ac:dyDescent="0.25">
      <c r="B25" s="54"/>
      <c r="C25" s="54"/>
      <c r="D25" s="54"/>
      <c r="E25" s="54">
        <f>C25*D25</f>
        <v>0</v>
      </c>
      <c r="F25" s="54" t="s">
        <v>318</v>
      </c>
      <c r="G25" s="54"/>
      <c r="H25" s="54"/>
      <c r="I25" s="54">
        <f>G25*H25</f>
        <v>0</v>
      </c>
      <c r="J25" s="54"/>
      <c r="K25" s="54"/>
      <c r="L25" s="54">
        <f>J25*K25</f>
        <v>0</v>
      </c>
    </row>
    <row r="26" spans="2:12" x14ac:dyDescent="0.25">
      <c r="B26" s="54"/>
      <c r="C26" s="54"/>
      <c r="D26" s="54"/>
      <c r="E26" s="54">
        <f>C26*D26</f>
        <v>0</v>
      </c>
      <c r="F26" s="54" t="s">
        <v>318</v>
      </c>
      <c r="G26" s="54"/>
      <c r="H26" s="54"/>
      <c r="I26" s="54">
        <f>G26*H26</f>
        <v>0</v>
      </c>
      <c r="J26" s="54"/>
      <c r="K26" s="54"/>
      <c r="L26" s="54">
        <f>J26*K26</f>
        <v>0</v>
      </c>
    </row>
    <row r="27" spans="2:12" x14ac:dyDescent="0.25">
      <c r="B27" s="54"/>
      <c r="C27" s="54"/>
      <c r="D27" s="54"/>
      <c r="E27" s="54">
        <f>C27*D27</f>
        <v>0</v>
      </c>
      <c r="F27" s="54" t="s">
        <v>318</v>
      </c>
      <c r="G27" s="54"/>
      <c r="H27" s="54"/>
      <c r="I27" s="54">
        <f>G27*H27</f>
        <v>0</v>
      </c>
      <c r="J27" s="54"/>
      <c r="K27" s="54"/>
      <c r="L27" s="54">
        <f>J27*K27</f>
        <v>0</v>
      </c>
    </row>
    <row r="28" spans="2:12" x14ac:dyDescent="0.25">
      <c r="B28" s="54" t="s">
        <v>319</v>
      </c>
      <c r="C28" s="54"/>
      <c r="D28" s="54"/>
      <c r="E28" s="54">
        <f t="shared" si="0"/>
        <v>0</v>
      </c>
      <c r="F28" s="54" t="s">
        <v>318</v>
      </c>
      <c r="G28" s="54"/>
      <c r="H28" s="54"/>
      <c r="I28" s="54">
        <f t="shared" si="1"/>
        <v>0</v>
      </c>
      <c r="J28" s="54"/>
      <c r="K28" s="54"/>
      <c r="L28" s="54">
        <f t="shared" si="2"/>
        <v>0</v>
      </c>
    </row>
    <row r="29" spans="2:12" x14ac:dyDescent="0.25">
      <c r="B29" s="54" t="s">
        <v>320</v>
      </c>
      <c r="C29" s="54"/>
      <c r="D29" s="54"/>
      <c r="E29" s="54">
        <f t="shared" si="0"/>
        <v>0</v>
      </c>
      <c r="F29" s="54" t="s">
        <v>318</v>
      </c>
      <c r="G29" s="54"/>
      <c r="H29" s="54"/>
      <c r="I29" s="54">
        <f t="shared" si="1"/>
        <v>0</v>
      </c>
      <c r="J29" s="54"/>
      <c r="K29" s="54"/>
      <c r="L29" s="54">
        <f t="shared" si="2"/>
        <v>0</v>
      </c>
    </row>
    <row r="30" spans="2:12" x14ac:dyDescent="0.25">
      <c r="B30" s="54" t="s">
        <v>324</v>
      </c>
      <c r="C30" s="54"/>
      <c r="D30" s="54"/>
      <c r="E30" s="54">
        <f t="shared" si="0"/>
        <v>0</v>
      </c>
      <c r="F30" s="54"/>
      <c r="G30" s="54"/>
      <c r="H30" s="54"/>
      <c r="I30" s="54">
        <f t="shared" si="1"/>
        <v>0</v>
      </c>
      <c r="J30" s="54"/>
      <c r="K30" s="54"/>
      <c r="L30" s="54">
        <f t="shared" si="2"/>
        <v>0</v>
      </c>
    </row>
    <row r="31" spans="2:12" x14ac:dyDescent="0.25">
      <c r="B31" s="54"/>
      <c r="C31" s="54"/>
      <c r="D31" s="54"/>
      <c r="E31" s="54">
        <f>C31*D31</f>
        <v>0</v>
      </c>
      <c r="F31" s="54"/>
      <c r="G31" s="54"/>
      <c r="H31" s="54"/>
      <c r="I31" s="54">
        <f>G31*H31</f>
        <v>0</v>
      </c>
      <c r="J31" s="54"/>
      <c r="K31" s="54"/>
      <c r="L31" s="54">
        <f>J31*K31</f>
        <v>0</v>
      </c>
    </row>
    <row r="32" spans="2:12" x14ac:dyDescent="0.25">
      <c r="B32" s="54"/>
      <c r="C32" s="54"/>
      <c r="D32" s="54"/>
      <c r="E32" s="54">
        <f>C32*D32</f>
        <v>0</v>
      </c>
      <c r="F32" s="54"/>
      <c r="G32" s="54"/>
      <c r="H32" s="54"/>
      <c r="I32" s="54">
        <f>G32*H32</f>
        <v>0</v>
      </c>
      <c r="J32" s="54"/>
      <c r="K32" s="54"/>
      <c r="L32" s="54">
        <f>J32*K32</f>
        <v>0</v>
      </c>
    </row>
    <row r="33" spans="2:12" x14ac:dyDescent="0.25">
      <c r="B33" s="54" t="s">
        <v>321</v>
      </c>
      <c r="C33" s="54"/>
      <c r="D33" s="54"/>
      <c r="E33" s="54">
        <f t="shared" si="0"/>
        <v>0</v>
      </c>
      <c r="F33" s="54"/>
      <c r="G33" s="54"/>
      <c r="H33" s="54"/>
      <c r="I33" s="54">
        <f t="shared" si="1"/>
        <v>0</v>
      </c>
      <c r="J33" s="54"/>
      <c r="K33" s="54"/>
      <c r="L33" s="54">
        <f t="shared" si="2"/>
        <v>0</v>
      </c>
    </row>
    <row r="34" spans="2:12" x14ac:dyDescent="0.25">
      <c r="B34" s="54" t="s">
        <v>325</v>
      </c>
      <c r="C34" s="54"/>
      <c r="D34" s="54"/>
      <c r="E34" s="54">
        <f t="shared" si="0"/>
        <v>0</v>
      </c>
      <c r="F34" s="54"/>
      <c r="G34" s="54"/>
      <c r="H34" s="54"/>
      <c r="I34" s="54">
        <f t="shared" si="1"/>
        <v>0</v>
      </c>
      <c r="J34" s="54"/>
      <c r="K34" s="54"/>
      <c r="L34" s="54">
        <f t="shared" si="2"/>
        <v>0</v>
      </c>
    </row>
    <row r="35" spans="2:12" x14ac:dyDescent="0.25">
      <c r="B35" s="54" t="s">
        <v>322</v>
      </c>
      <c r="C35" s="54"/>
      <c r="D35" s="54"/>
      <c r="E35" s="54">
        <f t="shared" si="0"/>
        <v>0</v>
      </c>
      <c r="F35" s="54"/>
      <c r="G35" s="54"/>
      <c r="H35" s="54"/>
      <c r="I35" s="54">
        <f t="shared" si="1"/>
        <v>0</v>
      </c>
      <c r="J35" s="54"/>
      <c r="K35" s="54"/>
      <c r="L35" s="54">
        <f t="shared" si="2"/>
        <v>0</v>
      </c>
    </row>
    <row r="36" spans="2:12" x14ac:dyDescent="0.25">
      <c r="B36" s="54" t="s">
        <v>323</v>
      </c>
      <c r="C36" s="54"/>
      <c r="D36" s="54"/>
      <c r="E36" s="54">
        <f t="shared" si="0"/>
        <v>0</v>
      </c>
      <c r="F36" s="54"/>
      <c r="G36" s="54"/>
      <c r="H36" s="54"/>
      <c r="I36" s="54">
        <f t="shared" ref="I36:I41" si="3">G36*H36</f>
        <v>0</v>
      </c>
      <c r="J36" s="54"/>
      <c r="K36" s="54"/>
      <c r="L36" s="54">
        <f t="shared" ref="L36:L41" si="4">J36*K36</f>
        <v>0</v>
      </c>
    </row>
    <row r="37" spans="2:12" x14ac:dyDescent="0.25">
      <c r="B37" s="54"/>
      <c r="C37" s="54"/>
      <c r="D37" s="54"/>
      <c r="E37" s="54">
        <f>C37*D37</f>
        <v>0</v>
      </c>
      <c r="F37" s="54"/>
      <c r="G37" s="54"/>
      <c r="H37" s="54"/>
      <c r="I37" s="54">
        <f t="shared" si="3"/>
        <v>0</v>
      </c>
      <c r="J37" s="54"/>
      <c r="K37" s="54"/>
      <c r="L37" s="54">
        <f t="shared" si="4"/>
        <v>0</v>
      </c>
    </row>
    <row r="38" spans="2:12" x14ac:dyDescent="0.25">
      <c r="B38" s="54" t="s">
        <v>326</v>
      </c>
      <c r="C38" s="54"/>
      <c r="D38" s="54"/>
      <c r="E38" s="54">
        <f>C38*D38</f>
        <v>0</v>
      </c>
      <c r="F38" s="54"/>
      <c r="G38" s="54"/>
      <c r="H38" s="54"/>
      <c r="I38" s="54">
        <f t="shared" si="3"/>
        <v>0</v>
      </c>
      <c r="J38" s="54"/>
      <c r="K38" s="54"/>
      <c r="L38" s="54">
        <f t="shared" si="4"/>
        <v>0</v>
      </c>
    </row>
    <row r="39" spans="2:12" x14ac:dyDescent="0.25">
      <c r="B39" s="54"/>
      <c r="C39" s="54"/>
      <c r="D39" s="54"/>
      <c r="E39" s="54">
        <f t="shared" si="0"/>
        <v>0</v>
      </c>
      <c r="F39" s="54"/>
      <c r="G39" s="54"/>
      <c r="H39" s="54"/>
      <c r="I39" s="54">
        <f t="shared" si="3"/>
        <v>0</v>
      </c>
      <c r="J39" s="54"/>
      <c r="K39" s="54"/>
      <c r="L39" s="54">
        <f t="shared" si="4"/>
        <v>0</v>
      </c>
    </row>
    <row r="40" spans="2:12" x14ac:dyDescent="0.25">
      <c r="B40" s="54"/>
      <c r="C40" s="54"/>
      <c r="D40" s="54"/>
      <c r="E40" s="54">
        <f t="shared" si="0"/>
        <v>0</v>
      </c>
      <c r="F40" s="54"/>
      <c r="G40" s="54"/>
      <c r="H40" s="54"/>
      <c r="I40" s="54">
        <f t="shared" si="3"/>
        <v>0</v>
      </c>
      <c r="J40" s="54"/>
      <c r="K40" s="54"/>
      <c r="L40" s="54">
        <f t="shared" si="4"/>
        <v>0</v>
      </c>
    </row>
    <row r="41" spans="2:12" x14ac:dyDescent="0.25">
      <c r="B41" s="54"/>
      <c r="C41" s="54"/>
      <c r="D41" s="54"/>
      <c r="E41" s="54">
        <f t="shared" si="0"/>
        <v>0</v>
      </c>
      <c r="F41" s="54"/>
      <c r="G41" s="54"/>
      <c r="H41" s="54"/>
      <c r="I41" s="54">
        <f t="shared" si="3"/>
        <v>0</v>
      </c>
      <c r="J41" s="54"/>
      <c r="K41" s="54"/>
      <c r="L41" s="54">
        <f t="shared" si="4"/>
        <v>0</v>
      </c>
    </row>
    <row r="42" spans="2:12" x14ac:dyDescent="0.25">
      <c r="B42" s="54" t="s">
        <v>152</v>
      </c>
      <c r="C42" s="54"/>
      <c r="D42" s="54">
        <f>E42*10.764</f>
        <v>0</v>
      </c>
      <c r="E42" s="71">
        <f>SUM(E6:E41)</f>
        <v>0</v>
      </c>
      <c r="F42" s="54"/>
      <c r="G42" s="54"/>
      <c r="H42" s="54">
        <f>I42*10.764</f>
        <v>0</v>
      </c>
      <c r="I42" s="70">
        <f>SUM(I6:I41)</f>
        <v>0</v>
      </c>
      <c r="J42" s="54"/>
      <c r="K42" s="54">
        <f>L42*10.764</f>
        <v>0</v>
      </c>
      <c r="L42" s="69">
        <f>SUM(L6:L41)</f>
        <v>0</v>
      </c>
    </row>
    <row r="44" spans="2:12" x14ac:dyDescent="0.25">
      <c r="D44" s="53">
        <f>D42+H42</f>
        <v>0</v>
      </c>
      <c r="E44" s="53">
        <f>E42+I42</f>
        <v>0</v>
      </c>
    </row>
  </sheetData>
  <mergeCells count="4">
    <mergeCell ref="C2:D2"/>
    <mergeCell ref="C4:E4"/>
    <mergeCell ref="G4:I4"/>
    <mergeCell ref="J4:L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Report</vt:lpstr>
      <vt:lpstr>valuation</vt:lpstr>
      <vt:lpstr>Research</vt:lpstr>
      <vt:lpstr>Remarks</vt:lpstr>
      <vt:lpstr>Area Calculation</vt:lpstr>
      <vt:lpstr>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VSJC-06</cp:lastModifiedBy>
  <cp:lastPrinted>2025-09-16T11:20:35Z</cp:lastPrinted>
  <dcterms:created xsi:type="dcterms:W3CDTF">2019-07-16T09:29:46Z</dcterms:created>
  <dcterms:modified xsi:type="dcterms:W3CDTF">2025-09-16T11:27:01Z</dcterms:modified>
</cp:coreProperties>
</file>