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4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1" l="1"/>
  <c r="D212" i="1"/>
  <c r="K212" i="1" s="1"/>
  <c r="D211" i="1"/>
  <c r="K211" i="1" s="1"/>
  <c r="D210" i="1"/>
  <c r="K210" i="1" s="1"/>
  <c r="A210" i="1"/>
  <c r="A211" i="1" s="1"/>
  <c r="A212" i="1" s="1"/>
  <c r="G209" i="1"/>
  <c r="D209" i="1"/>
  <c r="K209" i="1" s="1"/>
  <c r="D207" i="1"/>
  <c r="K207" i="1" s="1"/>
  <c r="D206" i="1"/>
  <c r="K206" i="1" s="1"/>
  <c r="A206" i="1"/>
  <c r="A207" i="1" s="1"/>
  <c r="D205" i="1"/>
  <c r="K205" i="1" s="1"/>
  <c r="A205" i="1"/>
  <c r="G204" i="1"/>
  <c r="D204" i="1"/>
  <c r="K204" i="1" s="1"/>
  <c r="D202" i="1"/>
  <c r="K202" i="1" s="1"/>
  <c r="D201" i="1"/>
  <c r="K201" i="1" s="1"/>
  <c r="A201" i="1"/>
  <c r="A202" i="1" s="1"/>
  <c r="D200" i="1"/>
  <c r="K200" i="1" s="1"/>
  <c r="A200" i="1"/>
  <c r="G199" i="1"/>
  <c r="D199" i="1"/>
  <c r="K199" i="1" s="1"/>
  <c r="D190" i="1"/>
  <c r="K190" i="1" s="1"/>
  <c r="D189" i="1"/>
  <c r="K189" i="1" s="1"/>
  <c r="D188" i="1"/>
  <c r="K188" i="1" s="1"/>
  <c r="A188" i="1"/>
  <c r="A189" i="1" s="1"/>
  <c r="A190" i="1" s="1"/>
  <c r="G187" i="1"/>
  <c r="D187" i="1"/>
  <c r="K187" i="1" s="1"/>
  <c r="D185" i="1"/>
  <c r="K185" i="1" s="1"/>
  <c r="D184" i="1"/>
  <c r="K184" i="1" s="1"/>
  <c r="D183" i="1"/>
  <c r="K183" i="1" s="1"/>
  <c r="A183" i="1"/>
  <c r="A184" i="1" s="1"/>
  <c r="A185" i="1" s="1"/>
  <c r="G182" i="1"/>
  <c r="D182" i="1"/>
  <c r="K182" i="1" s="1"/>
  <c r="D180" i="1"/>
  <c r="K180" i="1" s="1"/>
  <c r="D179" i="1"/>
  <c r="K179" i="1" s="1"/>
  <c r="D178" i="1"/>
  <c r="K178" i="1" s="1"/>
  <c r="A178" i="1"/>
  <c r="A179" i="1" s="1"/>
  <c r="A180" i="1" s="1"/>
  <c r="G177" i="1"/>
  <c r="D177" i="1"/>
  <c r="K177" i="1" s="1"/>
  <c r="D164" i="1"/>
  <c r="K164" i="1" s="1"/>
  <c r="D168" i="1"/>
  <c r="K168" i="1" s="1"/>
  <c r="D167" i="1"/>
  <c r="K167" i="1" s="1"/>
  <c r="D166" i="1"/>
  <c r="K166" i="1" s="1"/>
  <c r="D165" i="1"/>
  <c r="K165" i="1" s="1"/>
  <c r="K163" i="1"/>
  <c r="D163" i="1"/>
  <c r="D162" i="1"/>
  <c r="K162" i="1" s="1"/>
  <c r="A162" i="1"/>
  <c r="A163" i="1" s="1"/>
  <c r="A164" i="1" s="1"/>
  <c r="A165" i="1" s="1"/>
  <c r="A166" i="1" s="1"/>
  <c r="A167" i="1" s="1"/>
  <c r="A168" i="1" s="1"/>
  <c r="G161" i="1"/>
  <c r="D161" i="1"/>
  <c r="K161" i="1" s="1"/>
  <c r="D159" i="1"/>
  <c r="K159" i="1" s="1"/>
  <c r="K158" i="1"/>
  <c r="D158" i="1"/>
  <c r="D157" i="1"/>
  <c r="K157" i="1" s="1"/>
  <c r="D156" i="1"/>
  <c r="K156" i="1" s="1"/>
  <c r="D155" i="1"/>
  <c r="K155" i="1" s="1"/>
  <c r="D154" i="1"/>
  <c r="K154" i="1" s="1"/>
  <c r="D153" i="1"/>
  <c r="K153" i="1" s="1"/>
  <c r="A153" i="1"/>
  <c r="A154" i="1" s="1"/>
  <c r="A155" i="1" s="1"/>
  <c r="A156" i="1" s="1"/>
  <c r="A157" i="1" s="1"/>
  <c r="A158" i="1" s="1"/>
  <c r="A159" i="1" s="1"/>
  <c r="G152" i="1"/>
  <c r="D152" i="1"/>
  <c r="K152" i="1" s="1"/>
  <c r="D150" i="1"/>
  <c r="K150" i="1" s="1"/>
  <c r="D149" i="1"/>
  <c r="K149" i="1" s="1"/>
  <c r="D148" i="1"/>
  <c r="K148" i="1" s="1"/>
  <c r="D147" i="1"/>
  <c r="K147" i="1" s="1"/>
  <c r="D146" i="1"/>
  <c r="K146" i="1" s="1"/>
  <c r="D145" i="1"/>
  <c r="K145" i="1" s="1"/>
  <c r="D144" i="1"/>
  <c r="K144" i="1" s="1"/>
  <c r="A144" i="1"/>
  <c r="A145" i="1" s="1"/>
  <c r="A146" i="1" s="1"/>
  <c r="A147" i="1" s="1"/>
  <c r="A148" i="1" s="1"/>
  <c r="A149" i="1" s="1"/>
  <c r="A150" i="1" s="1"/>
  <c r="G143" i="1"/>
  <c r="D143" i="1"/>
  <c r="K143" i="1" s="1"/>
  <c r="D134" i="1"/>
  <c r="J105" i="1" l="1"/>
  <c r="J104" i="1"/>
  <c r="J103" i="1"/>
  <c r="J102" i="1"/>
  <c r="D139" i="1" l="1"/>
  <c r="K139" i="1" s="1"/>
  <c r="I6" i="5"/>
  <c r="I7" i="5"/>
  <c r="C9" i="5"/>
  <c r="I8" i="5"/>
  <c r="J8" i="5" s="1"/>
  <c r="G125" i="1"/>
  <c r="G126" i="1"/>
  <c r="D197" i="1"/>
  <c r="K197" i="1" s="1"/>
  <c r="D196" i="1"/>
  <c r="K196" i="1" s="1"/>
  <c r="D195" i="1"/>
  <c r="K195" i="1" s="1"/>
  <c r="D175" i="1"/>
  <c r="K175" i="1" s="1"/>
  <c r="D174" i="1"/>
  <c r="K174" i="1" s="1"/>
  <c r="D173" i="1"/>
  <c r="D172" i="1"/>
  <c r="K172" i="1" s="1"/>
  <c r="D141" i="1"/>
  <c r="K141" i="1" s="1"/>
  <c r="D140" i="1"/>
  <c r="K140" i="1" s="1"/>
  <c r="D138" i="1"/>
  <c r="K138" i="1" s="1"/>
  <c r="D137" i="1"/>
  <c r="K137" i="1" s="1"/>
  <c r="D136" i="1"/>
  <c r="K136" i="1" s="1"/>
  <c r="D135" i="1"/>
  <c r="K135" i="1" s="1"/>
  <c r="K134" i="1"/>
  <c r="A195" i="1"/>
  <c r="A196" i="1" s="1"/>
  <c r="A197" i="1" s="1"/>
  <c r="G194" i="1"/>
  <c r="A173" i="1"/>
  <c r="A174" i="1" s="1"/>
  <c r="A175" i="1" s="1"/>
  <c r="G172" i="1"/>
  <c r="B215" i="1"/>
  <c r="I45" i="1"/>
  <c r="I43" i="1"/>
  <c r="E126" i="1" l="1"/>
  <c r="E125" i="1"/>
  <c r="K194" i="1"/>
  <c r="C124" i="1"/>
  <c r="K173" i="1"/>
  <c r="E124" i="1"/>
  <c r="C125" i="1"/>
  <c r="C126" i="1"/>
  <c r="J6" i="5"/>
  <c r="K6" i="5" s="1"/>
  <c r="G124" i="1"/>
  <c r="G127" i="1" s="1"/>
  <c r="A135" i="1"/>
  <c r="A136" i="1" s="1"/>
  <c r="A137" i="1" s="1"/>
  <c r="A138" i="1" s="1"/>
  <c r="A139" i="1" s="1"/>
  <c r="A140" i="1" s="1"/>
  <c r="A141" i="1" s="1"/>
  <c r="G134" i="1"/>
  <c r="E127" i="1" l="1"/>
  <c r="C127" i="1"/>
  <c r="C14" i="1"/>
  <c r="E29" i="1" l="1"/>
  <c r="F121" i="1" l="1"/>
  <c r="D238" i="1" l="1"/>
  <c r="J91" i="1"/>
  <c r="J90" i="1"/>
  <c r="J89" i="1"/>
  <c r="J88" i="1"/>
  <c r="J77" i="1"/>
  <c r="J76" i="1"/>
  <c r="J75" i="1"/>
  <c r="J74" i="1"/>
  <c r="D54" i="1"/>
  <c r="C50" i="1"/>
  <c r="E42" i="1"/>
  <c r="E43" i="1" s="1"/>
  <c r="E26" i="1"/>
  <c r="E24" i="1"/>
  <c r="E7" i="1"/>
  <c r="E3" i="1"/>
  <c r="H81" i="1"/>
  <c r="H67" i="1"/>
  <c r="D60" i="1" l="1"/>
  <c r="D91" i="1"/>
  <c r="D92" i="1"/>
  <c r="D93" i="1"/>
  <c r="I80" i="1" s="1"/>
  <c r="D87" i="1"/>
  <c r="D88" i="1"/>
  <c r="D89" i="1"/>
  <c r="D90" i="1"/>
  <c r="C86" i="1"/>
  <c r="J80" i="1" s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C85" i="1" s="1"/>
  <c r="J84" i="1"/>
  <c r="J85" i="1"/>
  <c r="C84" i="1" s="1"/>
  <c r="J83" i="1"/>
  <c r="D86" i="1" l="1"/>
  <c r="D72" i="1"/>
  <c r="J68" i="1"/>
  <c r="E70" i="1"/>
  <c r="D71" i="1"/>
  <c r="G70" i="1"/>
  <c r="D64" i="1" s="1"/>
  <c r="D65" i="1" s="1"/>
  <c r="D70" i="1"/>
  <c r="E84" i="1"/>
  <c r="D85" i="1"/>
  <c r="G84" i="1"/>
  <c r="D84" i="1"/>
  <c r="J81" i="1" s="1"/>
  <c r="H95" i="1"/>
  <c r="C100" i="1" l="1"/>
  <c r="J94" i="1" s="1"/>
  <c r="J96" i="1" s="1"/>
  <c r="J98" i="1"/>
  <c r="D107" i="1"/>
  <c r="I94" i="1" s="1"/>
  <c r="D105" i="1"/>
  <c r="D103" i="1"/>
  <c r="D101" i="1"/>
  <c r="J99" i="1"/>
  <c r="C98" i="1" s="1"/>
  <c r="D98" i="1" s="1"/>
  <c r="J97" i="1"/>
  <c r="D104" i="1"/>
  <c r="J100" i="1"/>
  <c r="J101" i="1" s="1"/>
  <c r="J106" i="1" s="1"/>
  <c r="J107" i="1" s="1"/>
  <c r="C99" i="1" s="1"/>
  <c r="D106" i="1"/>
  <c r="D102" i="1"/>
  <c r="I67" i="1"/>
  <c r="J67" i="1"/>
  <c r="I81" i="1"/>
  <c r="F65" i="1"/>
  <c r="D100" i="1" l="1"/>
  <c r="E98" i="1"/>
  <c r="D99" i="1"/>
  <c r="G98" i="1"/>
  <c r="J95" i="1"/>
  <c r="I68" i="1"/>
  <c r="I66" i="1" s="1"/>
  <c r="C68" i="1" s="1"/>
  <c r="I82" i="1"/>
  <c r="I95" i="1" l="1"/>
  <c r="I96" i="1" s="1"/>
</calcChain>
</file>

<file path=xl/sharedStrings.xml><?xml version="1.0" encoding="utf-8"?>
<sst xmlns="http://schemas.openxmlformats.org/spreadsheetml/2006/main" count="342" uniqueCount="224">
  <si>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</si>
  <si>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</si>
  <si>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</si>
  <si>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</si>
  <si>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</si>
  <si>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</si>
  <si>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</si>
  <si>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</si>
  <si>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</si>
  <si>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</si>
  <si>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</si>
  <si>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</si>
  <si>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</si>
  <si>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</si>
  <si>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</si>
  <si>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</si>
  <si>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</si>
  <si>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</si>
  <si>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</si>
  <si>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</si>
  <si>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</si>
  <si>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</si>
  <si>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</si>
  <si>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</si>
  <si>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</si>
  <si>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</si>
  <si>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</si>
  <si>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</si>
  <si>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</si>
  <si>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</si>
  <si>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</si>
  <si>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</si>
  <si>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</si>
  <si>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</si>
  <si>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</si>
  <si>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</si>
  <si>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</si>
  <si>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</si>
  <si>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</si>
  <si>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</si>
  <si>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</si>
  <si>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</si>
  <si>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</si>
  <si>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</si>
  <si>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</si>
  <si>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</si>
  <si>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</si>
  <si>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</si>
  <si>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</si>
  <si>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</si>
  <si>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</si>
  <si>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</si>
  <si>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</si>
  <si>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</si>
  <si>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</si>
  <si>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</si>
  <si>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</si>
  <si>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</si>
  <si>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</si>
  <si>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</si>
  <si>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</si>
  <si>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</si>
  <si>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</si>
  <si>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</si>
  <si>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</si>
  <si>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</si>
  <si>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</si>
  <si>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</si>
  <si>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</si>
  <si>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</si>
  <si>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</si>
  <si>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</si>
  <si>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</si>
  <si>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</si>
  <si>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</si>
  <si>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</si>
  <si>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</si>
  <si>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</si>
  <si>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</si>
  <si>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</si>
  <si>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</si>
  <si>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</si>
  <si>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</si>
  <si>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</si>
  <si>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</si>
  <si>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</si>
  <si>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</si>
  <si>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</si>
  <si>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</si>
  <si>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</si>
  <si>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</si>
  <si>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</si>
  <si>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</si>
  <si>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</si>
  <si>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</si>
  <si>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</si>
  <si>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</si>
  <si>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</si>
  <si>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</si>
  <si>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</si>
  <si>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</si>
  <si>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</si>
  <si>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</si>
  <si>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</si>
  <si>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</si>
  <si>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</si>
  <si>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</si>
  <si>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</si>
  <si>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</si>
  <si>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</si>
  <si>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</si>
  <si>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Average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</si>
  <si>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</si>
  <si>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</si>
  <si>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</si>
  <si>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</si>
  <si>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</si>
  <si>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</si>
  <si>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</si>
  <si>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</si>
  <si>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</si>
  <si>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</si>
  <si>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</si>
  <si>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</si>
  <si>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</si>
  <si>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</si>
  <si>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</si>
  <si>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</si>
  <si>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</si>
  <si>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</si>
  <si>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</si>
  <si>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</si>
  <si>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</si>
  <si>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</si>
  <si>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</si>
  <si>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</si>
  <si>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</si>
  <si>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</si>
  <si>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</si>
  <si>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</si>
  <si>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</si>
  <si>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</si>
  <si>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</si>
  <si>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</si>
  <si>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</si>
  <si>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</si>
  <si>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</si>
  <si>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</si>
  <si>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</si>
  <si>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</si>
  <si>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</si>
  <si>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</si>
  <si>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</si>
  <si>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</si>
  <si>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</si>
  <si>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</si>
  <si>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</si>
  <si>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</si>
  <si>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</si>
  <si>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Thane</t>
  </si>
  <si>
    <t>Vijay Bhushan Developers</t>
  </si>
  <si>
    <t>Hazare Heights</t>
  </si>
  <si>
    <t>Laxmikant Soni - 9763556888 / 9881171777</t>
  </si>
  <si>
    <t>P52000028097</t>
  </si>
  <si>
    <t>https://goo.gl/maps/cvReC3Am2R2VHphL6</t>
  </si>
  <si>
    <t>Open Plot</t>
  </si>
  <si>
    <t>Building</t>
  </si>
  <si>
    <t>Space Housing Karjat Apartment Complex</t>
  </si>
  <si>
    <t>2.3 KM from Karjat Railway Station</t>
  </si>
  <si>
    <t>Raigad</t>
  </si>
  <si>
    <t>Karjat</t>
  </si>
  <si>
    <t>CTS No</t>
  </si>
  <si>
    <t>Dahivali</t>
  </si>
  <si>
    <t>Poojan Palacia Apartment Building</t>
  </si>
  <si>
    <t>Shivaji Nagar</t>
  </si>
  <si>
    <t>Internal Road</t>
  </si>
  <si>
    <t>Wing 1, 2 &amp; 3</t>
  </si>
  <si>
    <t>Karjat Municipal Council</t>
  </si>
  <si>
    <t>3 Wings</t>
  </si>
  <si>
    <t>CCRUM/B/2018/APL/00006</t>
  </si>
  <si>
    <t>Wing 1, 2 &amp; 3 = Gr/Stilt + 1st to 4th Floor</t>
  </si>
  <si>
    <t>Wing 1 = Gr/Stilt + 1st to 4th Floor</t>
  </si>
  <si>
    <t>Wing 2 &amp; 3 = Gr/Stilt + 1st to 4th Floor</t>
  </si>
  <si>
    <t>Ground/stilt floor for Parking</t>
  </si>
  <si>
    <t>Wing 1</t>
  </si>
  <si>
    <t>Wing 2</t>
  </si>
  <si>
    <t>Wing 3</t>
  </si>
  <si>
    <t>We considered Gross carpet area = Net carpet + Enclose balcony + C.B Area + A.P Area.</t>
  </si>
  <si>
    <t>Flats - 64</t>
  </si>
  <si>
    <t>As Per Builder</t>
  </si>
  <si>
    <t>As per Inspection Sheet</t>
  </si>
  <si>
    <t>As per MIS</t>
  </si>
  <si>
    <t>As per Online</t>
  </si>
  <si>
    <t>As per Magic bricks</t>
  </si>
  <si>
    <t>For 1BHK</t>
  </si>
  <si>
    <t>450 Sq ft</t>
  </si>
  <si>
    <t>396 Sq ft</t>
  </si>
  <si>
    <t>For 2BHK</t>
  </si>
  <si>
    <t>518 Sq ft</t>
  </si>
  <si>
    <t>Rate per Sq ft</t>
  </si>
  <si>
    <t>Total Average</t>
  </si>
  <si>
    <t>Builder Saleable area</t>
  </si>
  <si>
    <t>Wing 3 = Gr/Stilt + 1st to 4th Floor</t>
  </si>
  <si>
    <t>All work Completed, Waiting for OC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</si>
  <si>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</si>
  <si>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 xml:space="preserve">1. Vitrified tiles flooring 2. Granite Kitchen Platform 3. Decorative Enternace etc.
</t>
  </si>
  <si>
    <t>All work Completed, Waiting for OC.</t>
  </si>
  <si>
    <t>On site we met Mr. Laxmikant : 9763556888.</t>
  </si>
  <si>
    <t>CCRUM/PO/2023/APL/00003</t>
  </si>
  <si>
    <t>1st Floor For Residential</t>
  </si>
  <si>
    <t>2nd Floor For Residential</t>
  </si>
  <si>
    <t>3rd Floor For Residential</t>
  </si>
  <si>
    <t>4th Floor For Residential</t>
  </si>
  <si>
    <t xml:space="preserve"> 4th Floor For Residential</t>
  </si>
  <si>
    <t xml:space="preserve">We have updated revised approved floor plan (on 05/03/2024).
</t>
  </si>
  <si>
    <t>Completed</t>
  </si>
  <si>
    <t>CCRUM/FO/2024/APL/00052
Approved upto : Gr/Stilt + 1st to 4th Floor</t>
  </si>
  <si>
    <t>Wing 1, 2 &amp; 3 = All work Completed. OC Received.
Wing 2 &amp; 3 = All work Completed, Waiting for OC.</t>
  </si>
  <si>
    <t>We have updated OC from Rera (On 01/10/2024).</t>
  </si>
  <si>
    <t>Naynesh Sunil Lovanshi</t>
  </si>
  <si>
    <t>Mr. Gulab Jalse 9112812365</t>
  </si>
  <si>
    <t>Pooja</t>
  </si>
  <si>
    <t>Rate 3800 by smith verbal on 15/09/2025</t>
  </si>
  <si>
    <t>Recommended Rates of the Property have been revised on 15/09/2025.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</si>
</sst>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6" fillId="0" borderId="0" xfId="4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7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2" fontId="8" fillId="0" borderId="0" xfId="1" applyNumberFormat="1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2" fillId="0" borderId="0" xfId="5"/>
    <xf numFmtId="0" fontId="10" fillId="0" borderId="0" xfId="5" applyFont="1" applyAlignment="1">
      <alignment horizontal="center" vertical="top" wrapText="1"/>
    </xf>
    <xf numFmtId="0" fontId="2" fillId="0" borderId="0" xfId="5" applyAlignment="1">
      <alignment horizontal="center" vertical="center"/>
    </xf>
    <xf numFmtId="0" fontId="2" fillId="0" borderId="0" xfId="5" applyAlignment="1">
      <alignment horizontal="left" vertical="center"/>
    </xf>
    <xf numFmtId="1" fontId="2" fillId="0" borderId="0" xfId="5" applyNumberFormat="1" applyAlignment="1">
      <alignment horizontal="center" vertical="center"/>
    </xf>
    <xf numFmtId="166" fontId="2" fillId="0" borderId="0" xfId="6" applyNumberFormat="1" applyFont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1" fontId="19" fillId="0" borderId="0" xfId="5" applyNumberFormat="1" applyFont="1" applyAlignment="1">
      <alignment horizontal="center" vertical="center"/>
    </xf>
    <xf numFmtId="0" fontId="6" fillId="0" borderId="0" xfId="4" applyAlignment="1">
      <alignment horizontal="center" vertical="center"/>
    </xf>
    <xf numFmtId="0" fontId="20" fillId="0" borderId="0" xfId="4" applyFont="1"/>
    <xf numFmtId="0" fontId="1" fillId="0" borderId="1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 wrapText="1"/>
    </xf>
    <xf numFmtId="0" fontId="6" fillId="0" borderId="0" xfId="4" applyAlignment="1">
      <alignment vertical="center"/>
    </xf>
    <xf numFmtId="1" fontId="1" fillId="0" borderId="1" xfId="5" applyNumberFormat="1" applyFont="1" applyBorder="1" applyAlignment="1">
      <alignment horizontal="center" vertical="center"/>
    </xf>
    <xf numFmtId="0" fontId="6" fillId="0" borderId="1" xfId="4" applyBorder="1"/>
    <xf numFmtId="166" fontId="1" fillId="0" borderId="1" xfId="6" applyNumberFormat="1" applyFont="1" applyBorder="1" applyAlignment="1">
      <alignment horizontal="right" vertical="center"/>
    </xf>
    <xf numFmtId="1" fontId="6" fillId="0" borderId="1" xfId="4" applyNumberFormat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25" fillId="2" borderId="15" xfId="0" applyFont="1" applyFill="1" applyBorder="1"/>
    <xf numFmtId="0" fontId="26" fillId="0" borderId="9" xfId="0" applyFont="1" applyBorder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10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67" fontId="16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left" vertical="top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9" fontId="8" fillId="0" borderId="1" xfId="8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7" fillId="0" borderId="1" xfId="10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4" fontId="9" fillId="0" borderId="8" xfId="1" applyNumberFormat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9" fillId="0" borderId="32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2" xfId="1" applyFont="1" applyBorder="1" applyAlignment="1" applyProtection="1">
      <alignment horizontal="left" vertical="top" wrapText="1"/>
      <protection locked="0"/>
    </xf>
    <xf numFmtId="0" fontId="9" fillId="0" borderId="33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10" fillId="0" borderId="0" xfId="5" applyFont="1" applyAlignment="1">
      <alignment horizontal="left"/>
    </xf>
    <xf numFmtId="1" fontId="1" fillId="0" borderId="1" xfId="5" applyNumberFormat="1" applyFont="1" applyBorder="1" applyAlignment="1">
      <alignment horizontal="center" vertical="center"/>
    </xf>
    <xf numFmtId="1" fontId="6" fillId="0" borderId="1" xfId="4" applyNumberFormat="1" applyBorder="1" applyAlignment="1">
      <alignment horizontal="center" vertical="center"/>
    </xf>
    <xf numFmtId="0" fontId="6" fillId="0" borderId="1" xfId="4" applyBorder="1" applyAlignment="1">
      <alignment horizontal="center" vertical="center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282</xdr:row>
      <xdr:rowOff>95250</xdr:rowOff>
    </xdr:from>
    <xdr:to>
      <xdr:col>7</xdr:col>
      <xdr:colOff>624225</xdr:colOff>
      <xdr:row>297</xdr:row>
      <xdr:rowOff>98844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62626875"/>
          <a:ext cx="6444000" cy="30039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247650</xdr:colOff>
      <xdr:row>298</xdr:row>
      <xdr:rowOff>0</xdr:rowOff>
    </xdr:from>
    <xdr:to>
      <xdr:col>7</xdr:col>
      <xdr:colOff>677220</xdr:colOff>
      <xdr:row>319</xdr:row>
      <xdr:rowOff>47475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4F054AD-33ED-E6A3-95E3-F0074D867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650" y="60559950"/>
          <a:ext cx="6544620" cy="424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703214</xdr:colOff>
      <xdr:row>304</xdr:row>
      <xdr:rowOff>92531</xdr:rowOff>
    </xdr:from>
    <xdr:to>
      <xdr:col>5</xdr:col>
      <xdr:colOff>336348</xdr:colOff>
      <xdr:row>313</xdr:row>
      <xdr:rowOff>129279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8BF639F-9A75-5A3A-7C8A-0C8664C40A4A}"/>
            </a:ext>
          </a:extLst>
        </xdr:cNvPr>
        <xdr:cNvSpPr/>
      </xdr:nvSpPr>
      <xdr:spPr>
        <a:xfrm rot="1502561">
          <a:off x="2379614" y="61852631"/>
          <a:ext cx="2395384" cy="1836973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5</xdr:col>
      <xdr:colOff>381000</xdr:colOff>
      <xdr:row>301</xdr:row>
      <xdr:rowOff>9525</xdr:rowOff>
    </xdr:from>
    <xdr:ext cx="1507977" cy="37414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C56AA55-AF79-6532-078A-F2D70D35EA2C}"/>
            </a:ext>
          </a:extLst>
        </xdr:cNvPr>
        <xdr:cNvSpPr txBox="1"/>
      </xdr:nvSpPr>
      <xdr:spPr>
        <a:xfrm>
          <a:off x="4819650" y="61169550"/>
          <a:ext cx="1507977" cy="37414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Proposed Site</a:t>
          </a:r>
          <a:endParaRPr lang="x-none" sz="1800" b="1"/>
        </a:p>
      </xdr:txBody>
    </xdr:sp>
    <xdr:clientData/>
  </xdr:oneCellAnchor>
  <xdr:twoCellAnchor>
    <xdr:from>
      <xdr:col>4</xdr:col>
      <xdr:colOff>714375</xdr:colOff>
      <xdr:row>302</xdr:row>
      <xdr:rowOff>190500</xdr:rowOff>
    </xdr:from>
    <xdr:to>
      <xdr:col>5</xdr:col>
      <xdr:colOff>361950</xdr:colOff>
      <xdr:row>305</xdr:row>
      <xdr:rowOff>76200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9AE2BD81-E96D-AFCE-03F5-E6108AE446A3}"/>
            </a:ext>
          </a:extLst>
        </xdr:cNvPr>
        <xdr:cNvCxnSpPr/>
      </xdr:nvCxnSpPr>
      <xdr:spPr>
        <a:xfrm flipH="1">
          <a:off x="4314825" y="61550550"/>
          <a:ext cx="485775" cy="48577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256171</xdr:colOff>
      <xdr:row>237</xdr:row>
      <xdr:rowOff>0</xdr:rowOff>
    </xdr:from>
    <xdr:to>
      <xdr:col>11</xdr:col>
      <xdr:colOff>619276</xdr:colOff>
      <xdr:row>238</xdr:row>
      <xdr:rowOff>169307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698785" y="35891932"/>
          <a:ext cx="1064491" cy="36846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2</a:t>
          </a:r>
        </a:p>
      </xdr:txBody>
    </xdr:sp>
    <xdr:clientData/>
  </xdr:twoCellAnchor>
  <xdr:twoCellAnchor>
    <xdr:from>
      <xdr:col>12</xdr:col>
      <xdr:colOff>334341</xdr:colOff>
      <xdr:row>237</xdr:row>
      <xdr:rowOff>0</xdr:rowOff>
    </xdr:from>
    <xdr:to>
      <xdr:col>13</xdr:col>
      <xdr:colOff>340601</xdr:colOff>
      <xdr:row>238</xdr:row>
      <xdr:rowOff>169307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179727" y="35891932"/>
          <a:ext cx="794238" cy="36846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3</a:t>
          </a:r>
        </a:p>
      </xdr:txBody>
    </xdr:sp>
    <xdr:clientData/>
  </xdr:twoCellAnchor>
  <xdr:twoCellAnchor>
    <xdr:from>
      <xdr:col>8</xdr:col>
      <xdr:colOff>0</xdr:colOff>
      <xdr:row>261</xdr:row>
      <xdr:rowOff>33775</xdr:rowOff>
    </xdr:from>
    <xdr:to>
      <xdr:col>8</xdr:col>
      <xdr:colOff>795969</xdr:colOff>
      <xdr:row>271</xdr:row>
      <xdr:rowOff>192659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520295" y="40696866"/>
          <a:ext cx="795969" cy="215047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2</a:t>
          </a:r>
        </a:p>
      </xdr:txBody>
    </xdr:sp>
    <xdr:clientData/>
  </xdr:twoCellAnchor>
  <xdr:twoCellAnchor>
    <xdr:from>
      <xdr:col>8</xdr:col>
      <xdr:colOff>161925</xdr:colOff>
      <xdr:row>238</xdr:row>
      <xdr:rowOff>158750</xdr:rowOff>
    </xdr:from>
    <xdr:to>
      <xdr:col>15</xdr:col>
      <xdr:colOff>410367</xdr:colOff>
      <xdr:row>276</xdr:row>
      <xdr:rowOff>194402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D19B314-E8D2-3DA1-130C-A812B457F86C}"/>
            </a:ext>
          </a:extLst>
        </xdr:cNvPr>
        <xdr:cNvGrpSpPr/>
      </xdr:nvGrpSpPr>
      <xdr:grpSpPr>
        <a:xfrm>
          <a:off x="7013575" y="41916350"/>
          <a:ext cx="6128542" cy="7509602"/>
          <a:chOff x="304800" y="42411650"/>
          <a:chExt cx="5868192" cy="7627077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2570" y="47843802"/>
            <a:ext cx="1538938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4800" y="42411650"/>
            <a:ext cx="3671344" cy="292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2571" y="45490901"/>
            <a:ext cx="1538938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51" y="45490901"/>
            <a:ext cx="1542113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541" y="42411650"/>
            <a:ext cx="2043451" cy="292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541" y="45490901"/>
            <a:ext cx="1542113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139700</xdr:colOff>
      <xdr:row>238</xdr:row>
      <xdr:rowOff>101600</xdr:rowOff>
    </xdr:from>
    <xdr:to>
      <xdr:col>7</xdr:col>
      <xdr:colOff>768711</xdr:colOff>
      <xdr:row>278</xdr:row>
      <xdr:rowOff>6038</xdr:rowOff>
    </xdr:to>
    <xdr:grpSp>
      <xdr:nvGrpSpPr>
        <xdr:cNvPr id="5" name="Group 4"/>
        <xdr:cNvGrpSpPr/>
      </xdr:nvGrpSpPr>
      <xdr:grpSpPr>
        <a:xfrm>
          <a:off x="139700" y="41859200"/>
          <a:ext cx="6604361" cy="7772088"/>
          <a:chOff x="139700" y="41662350"/>
          <a:chExt cx="6604361" cy="7772088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6664" y="4738243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804" y="4452239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8688" y="4738243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805" y="41662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3515" y="41662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7225" y="41662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4738243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7224" y="4452239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117" y="4452239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7676" y="4738243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933265" y="41897300"/>
            <a:ext cx="1099705" cy="36615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Wing 2</a:t>
            </a: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5378275" y="41802050"/>
            <a:ext cx="1099705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Wing 3</a:t>
            </a: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1008955" y="42043350"/>
            <a:ext cx="1099705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Wing 1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11</xdr:row>
      <xdr:rowOff>21619</xdr:rowOff>
    </xdr:from>
    <xdr:to>
      <xdr:col>8</xdr:col>
      <xdr:colOff>428175</xdr:colOff>
      <xdr:row>20</xdr:row>
      <xdr:rowOff>127045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45BC2-3193-21CB-7C95-E5B88CB91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91025" y="2126644"/>
          <a:ext cx="3600000" cy="18199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4</xdr:col>
      <xdr:colOff>313875</xdr:colOff>
      <xdr:row>20</xdr:row>
      <xdr:rowOff>109904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E0ED3-9EE6-9A5D-0387-ED0D20576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2105025"/>
          <a:ext cx="3600000" cy="18244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21</xdr:row>
      <xdr:rowOff>95910</xdr:rowOff>
    </xdr:from>
    <xdr:to>
      <xdr:col>4</xdr:col>
      <xdr:colOff>313875</xdr:colOff>
      <xdr:row>31</xdr:row>
      <xdr:rowOff>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E9682C-E0BB-E4DB-42EC-733DE3669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513"/>
        <a:stretch/>
      </xdr:blipFill>
      <xdr:spPr>
        <a:xfrm>
          <a:off x="581025" y="4105935"/>
          <a:ext cx="3600000" cy="180918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vReC3Am2R2VHphL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0"/>
  <sheetViews>
    <sheetView tabSelected="1" view="pageBreakPreview" zoomScaleNormal="100" zoomScaleSheetLayoutView="100" workbookViewId="0">
      <selection activeCell="A226" sqref="A226:H226"/>
    </sheetView>
  </sheetViews>
  <sheetFormatPr defaultColWidth="9.1796875" defaultRowHeight="15.5" x14ac:dyDescent="0.35"/>
  <cols>
    <col min="1" max="1" width="11.453125" style="31" customWidth="1"/>
    <col min="2" max="2" width="12" style="31" customWidth="1"/>
    <col min="3" max="3" width="12.7265625" style="31" customWidth="1"/>
    <col min="4" max="4" width="14.1796875" style="31" customWidth="1"/>
    <col min="5" max="7" width="11.7265625" style="31" customWidth="1"/>
    <col min="8" max="8" width="12.54296875" style="31" customWidth="1"/>
    <col min="9" max="9" width="17.453125" style="12" customWidth="1"/>
    <col min="10" max="10" width="11.453125" style="12" customWidth="1"/>
    <col min="11" max="11" width="10.54296875" style="12" bestFit="1" customWidth="1"/>
    <col min="12" max="12" width="10.54296875" style="12" customWidth="1"/>
    <col min="13" max="13" width="11.81640625" style="12" customWidth="1"/>
    <col min="14" max="14" width="12.54296875" style="12" customWidth="1"/>
    <col min="15" max="15" width="9.81640625" style="12" customWidth="1"/>
    <col min="16" max="16" width="11.7265625" style="12" customWidth="1"/>
    <col min="17" max="247" width="9.1796875" style="12"/>
    <col min="248" max="248" width="8.7265625" style="12" customWidth="1"/>
    <col min="249" max="249" width="9.81640625" style="12" customWidth="1"/>
    <col min="250" max="250" width="14.453125" style="12" customWidth="1"/>
    <col min="251" max="251" width="7.26953125" style="12" customWidth="1"/>
    <col min="252" max="252" width="5.54296875" style="12" customWidth="1"/>
    <col min="253" max="253" width="9" style="12" customWidth="1"/>
    <col min="254" max="255" width="9.81640625" style="12" customWidth="1"/>
    <col min="256" max="256" width="11.1796875" style="12" customWidth="1"/>
    <col min="257" max="257" width="2.81640625" style="12" customWidth="1"/>
    <col min="258" max="258" width="3.54296875" style="12" customWidth="1"/>
    <col min="259" max="503" width="9.1796875" style="12"/>
    <col min="504" max="504" width="8.7265625" style="12" customWidth="1"/>
    <col min="505" max="505" width="9.81640625" style="12" customWidth="1"/>
    <col min="506" max="506" width="14.453125" style="12" customWidth="1"/>
    <col min="507" max="507" width="7.26953125" style="12" customWidth="1"/>
    <col min="508" max="508" width="5.54296875" style="12" customWidth="1"/>
    <col min="509" max="509" width="9" style="12" customWidth="1"/>
    <col min="510" max="511" width="9.81640625" style="12" customWidth="1"/>
    <col min="512" max="512" width="11.1796875" style="12" customWidth="1"/>
    <col min="513" max="513" width="2.81640625" style="12" customWidth="1"/>
    <col min="514" max="514" width="3.54296875" style="12" customWidth="1"/>
    <col min="515" max="759" width="9.1796875" style="12"/>
    <col min="760" max="760" width="8.7265625" style="12" customWidth="1"/>
    <col min="761" max="761" width="9.81640625" style="12" customWidth="1"/>
    <col min="762" max="762" width="14.453125" style="12" customWidth="1"/>
    <col min="763" max="763" width="7.26953125" style="12" customWidth="1"/>
    <col min="764" max="764" width="5.54296875" style="12" customWidth="1"/>
    <col min="765" max="765" width="9" style="12" customWidth="1"/>
    <col min="766" max="767" width="9.81640625" style="12" customWidth="1"/>
    <col min="768" max="768" width="11.1796875" style="12" customWidth="1"/>
    <col min="769" max="769" width="2.81640625" style="12" customWidth="1"/>
    <col min="770" max="770" width="3.54296875" style="12" customWidth="1"/>
    <col min="771" max="1015" width="9.1796875" style="12"/>
    <col min="1016" max="1016" width="8.7265625" style="12" customWidth="1"/>
    <col min="1017" max="1017" width="9.81640625" style="12" customWidth="1"/>
    <col min="1018" max="1018" width="14.453125" style="12" customWidth="1"/>
    <col min="1019" max="1019" width="7.26953125" style="12" customWidth="1"/>
    <col min="1020" max="1020" width="5.54296875" style="12" customWidth="1"/>
    <col min="1021" max="1021" width="9" style="12" customWidth="1"/>
    <col min="1022" max="1023" width="9.81640625" style="12" customWidth="1"/>
    <col min="1024" max="1024" width="11.1796875" style="12" customWidth="1"/>
    <col min="1025" max="1025" width="2.81640625" style="12" customWidth="1"/>
    <col min="1026" max="1026" width="3.54296875" style="12" customWidth="1"/>
    <col min="1027" max="1271" width="9.1796875" style="12"/>
    <col min="1272" max="1272" width="8.7265625" style="12" customWidth="1"/>
    <col min="1273" max="1273" width="9.81640625" style="12" customWidth="1"/>
    <col min="1274" max="1274" width="14.453125" style="12" customWidth="1"/>
    <col min="1275" max="1275" width="7.26953125" style="12" customWidth="1"/>
    <col min="1276" max="1276" width="5.54296875" style="12" customWidth="1"/>
    <col min="1277" max="1277" width="9" style="12" customWidth="1"/>
    <col min="1278" max="1279" width="9.81640625" style="12" customWidth="1"/>
    <col min="1280" max="1280" width="11.1796875" style="12" customWidth="1"/>
    <col min="1281" max="1281" width="2.81640625" style="12" customWidth="1"/>
    <col min="1282" max="1282" width="3.54296875" style="12" customWidth="1"/>
    <col min="1283" max="1527" width="9.1796875" style="12"/>
    <col min="1528" max="1528" width="8.7265625" style="12" customWidth="1"/>
    <col min="1529" max="1529" width="9.81640625" style="12" customWidth="1"/>
    <col min="1530" max="1530" width="14.453125" style="12" customWidth="1"/>
    <col min="1531" max="1531" width="7.26953125" style="12" customWidth="1"/>
    <col min="1532" max="1532" width="5.54296875" style="12" customWidth="1"/>
    <col min="1533" max="1533" width="9" style="12" customWidth="1"/>
    <col min="1534" max="1535" width="9.81640625" style="12" customWidth="1"/>
    <col min="1536" max="1536" width="11.1796875" style="12" customWidth="1"/>
    <col min="1537" max="1537" width="2.81640625" style="12" customWidth="1"/>
    <col min="1538" max="1538" width="3.54296875" style="12" customWidth="1"/>
    <col min="1539" max="1783" width="9.1796875" style="12"/>
    <col min="1784" max="1784" width="8.7265625" style="12" customWidth="1"/>
    <col min="1785" max="1785" width="9.81640625" style="12" customWidth="1"/>
    <col min="1786" max="1786" width="14.453125" style="12" customWidth="1"/>
    <col min="1787" max="1787" width="7.26953125" style="12" customWidth="1"/>
    <col min="1788" max="1788" width="5.54296875" style="12" customWidth="1"/>
    <col min="1789" max="1789" width="9" style="12" customWidth="1"/>
    <col min="1790" max="1791" width="9.81640625" style="12" customWidth="1"/>
    <col min="1792" max="1792" width="11.1796875" style="12" customWidth="1"/>
    <col min="1793" max="1793" width="2.81640625" style="12" customWidth="1"/>
    <col min="1794" max="1794" width="3.54296875" style="12" customWidth="1"/>
    <col min="1795" max="2039" width="9.1796875" style="12"/>
    <col min="2040" max="2040" width="8.7265625" style="12" customWidth="1"/>
    <col min="2041" max="2041" width="9.81640625" style="12" customWidth="1"/>
    <col min="2042" max="2042" width="14.453125" style="12" customWidth="1"/>
    <col min="2043" max="2043" width="7.26953125" style="12" customWidth="1"/>
    <col min="2044" max="2044" width="5.54296875" style="12" customWidth="1"/>
    <col min="2045" max="2045" width="9" style="12" customWidth="1"/>
    <col min="2046" max="2047" width="9.81640625" style="12" customWidth="1"/>
    <col min="2048" max="2048" width="11.1796875" style="12" customWidth="1"/>
    <col min="2049" max="2049" width="2.81640625" style="12" customWidth="1"/>
    <col min="2050" max="2050" width="3.54296875" style="12" customWidth="1"/>
    <col min="2051" max="2295" width="9.1796875" style="12"/>
    <col min="2296" max="2296" width="8.7265625" style="12" customWidth="1"/>
    <col min="2297" max="2297" width="9.81640625" style="12" customWidth="1"/>
    <col min="2298" max="2298" width="14.453125" style="12" customWidth="1"/>
    <col min="2299" max="2299" width="7.26953125" style="12" customWidth="1"/>
    <col min="2300" max="2300" width="5.54296875" style="12" customWidth="1"/>
    <col min="2301" max="2301" width="9" style="12" customWidth="1"/>
    <col min="2302" max="2303" width="9.81640625" style="12" customWidth="1"/>
    <col min="2304" max="2304" width="11.1796875" style="12" customWidth="1"/>
    <col min="2305" max="2305" width="2.81640625" style="12" customWidth="1"/>
    <col min="2306" max="2306" width="3.54296875" style="12" customWidth="1"/>
    <col min="2307" max="2551" width="9.1796875" style="12"/>
    <col min="2552" max="2552" width="8.7265625" style="12" customWidth="1"/>
    <col min="2553" max="2553" width="9.81640625" style="12" customWidth="1"/>
    <col min="2554" max="2554" width="14.453125" style="12" customWidth="1"/>
    <col min="2555" max="2555" width="7.26953125" style="12" customWidth="1"/>
    <col min="2556" max="2556" width="5.54296875" style="12" customWidth="1"/>
    <col min="2557" max="2557" width="9" style="12" customWidth="1"/>
    <col min="2558" max="2559" width="9.81640625" style="12" customWidth="1"/>
    <col min="2560" max="2560" width="11.1796875" style="12" customWidth="1"/>
    <col min="2561" max="2561" width="2.81640625" style="12" customWidth="1"/>
    <col min="2562" max="2562" width="3.54296875" style="12" customWidth="1"/>
    <col min="2563" max="2807" width="9.1796875" style="12"/>
    <col min="2808" max="2808" width="8.7265625" style="12" customWidth="1"/>
    <col min="2809" max="2809" width="9.81640625" style="12" customWidth="1"/>
    <col min="2810" max="2810" width="14.453125" style="12" customWidth="1"/>
    <col min="2811" max="2811" width="7.26953125" style="12" customWidth="1"/>
    <col min="2812" max="2812" width="5.54296875" style="12" customWidth="1"/>
    <col min="2813" max="2813" width="9" style="12" customWidth="1"/>
    <col min="2814" max="2815" width="9.81640625" style="12" customWidth="1"/>
    <col min="2816" max="2816" width="11.1796875" style="12" customWidth="1"/>
    <col min="2817" max="2817" width="2.81640625" style="12" customWidth="1"/>
    <col min="2818" max="2818" width="3.54296875" style="12" customWidth="1"/>
    <col min="2819" max="3063" width="9.1796875" style="12"/>
    <col min="3064" max="3064" width="8.7265625" style="12" customWidth="1"/>
    <col min="3065" max="3065" width="9.81640625" style="12" customWidth="1"/>
    <col min="3066" max="3066" width="14.453125" style="12" customWidth="1"/>
    <col min="3067" max="3067" width="7.26953125" style="12" customWidth="1"/>
    <col min="3068" max="3068" width="5.54296875" style="12" customWidth="1"/>
    <col min="3069" max="3069" width="9" style="12" customWidth="1"/>
    <col min="3070" max="3071" width="9.81640625" style="12" customWidth="1"/>
    <col min="3072" max="3072" width="11.1796875" style="12" customWidth="1"/>
    <col min="3073" max="3073" width="2.81640625" style="12" customWidth="1"/>
    <col min="3074" max="3074" width="3.54296875" style="12" customWidth="1"/>
    <col min="3075" max="3319" width="9.1796875" style="12"/>
    <col min="3320" max="3320" width="8.7265625" style="12" customWidth="1"/>
    <col min="3321" max="3321" width="9.81640625" style="12" customWidth="1"/>
    <col min="3322" max="3322" width="14.453125" style="12" customWidth="1"/>
    <col min="3323" max="3323" width="7.26953125" style="12" customWidth="1"/>
    <col min="3324" max="3324" width="5.54296875" style="12" customWidth="1"/>
    <col min="3325" max="3325" width="9" style="12" customWidth="1"/>
    <col min="3326" max="3327" width="9.81640625" style="12" customWidth="1"/>
    <col min="3328" max="3328" width="11.1796875" style="12" customWidth="1"/>
    <col min="3329" max="3329" width="2.81640625" style="12" customWidth="1"/>
    <col min="3330" max="3330" width="3.54296875" style="12" customWidth="1"/>
    <col min="3331" max="3575" width="9.1796875" style="12"/>
    <col min="3576" max="3576" width="8.7265625" style="12" customWidth="1"/>
    <col min="3577" max="3577" width="9.81640625" style="12" customWidth="1"/>
    <col min="3578" max="3578" width="14.453125" style="12" customWidth="1"/>
    <col min="3579" max="3579" width="7.26953125" style="12" customWidth="1"/>
    <col min="3580" max="3580" width="5.54296875" style="12" customWidth="1"/>
    <col min="3581" max="3581" width="9" style="12" customWidth="1"/>
    <col min="3582" max="3583" width="9.81640625" style="12" customWidth="1"/>
    <col min="3584" max="3584" width="11.1796875" style="12" customWidth="1"/>
    <col min="3585" max="3585" width="2.81640625" style="12" customWidth="1"/>
    <col min="3586" max="3586" width="3.54296875" style="12" customWidth="1"/>
    <col min="3587" max="3831" width="9.1796875" style="12"/>
    <col min="3832" max="3832" width="8.7265625" style="12" customWidth="1"/>
    <col min="3833" max="3833" width="9.81640625" style="12" customWidth="1"/>
    <col min="3834" max="3834" width="14.453125" style="12" customWidth="1"/>
    <col min="3835" max="3835" width="7.26953125" style="12" customWidth="1"/>
    <col min="3836" max="3836" width="5.54296875" style="12" customWidth="1"/>
    <col min="3837" max="3837" width="9" style="12" customWidth="1"/>
    <col min="3838" max="3839" width="9.81640625" style="12" customWidth="1"/>
    <col min="3840" max="3840" width="11.1796875" style="12" customWidth="1"/>
    <col min="3841" max="3841" width="2.81640625" style="12" customWidth="1"/>
    <col min="3842" max="3842" width="3.54296875" style="12" customWidth="1"/>
    <col min="3843" max="4087" width="9.1796875" style="12"/>
    <col min="4088" max="4088" width="8.7265625" style="12" customWidth="1"/>
    <col min="4089" max="4089" width="9.81640625" style="12" customWidth="1"/>
    <col min="4090" max="4090" width="14.453125" style="12" customWidth="1"/>
    <col min="4091" max="4091" width="7.26953125" style="12" customWidth="1"/>
    <col min="4092" max="4092" width="5.54296875" style="12" customWidth="1"/>
    <col min="4093" max="4093" width="9" style="12" customWidth="1"/>
    <col min="4094" max="4095" width="9.81640625" style="12" customWidth="1"/>
    <col min="4096" max="4096" width="11.1796875" style="12" customWidth="1"/>
    <col min="4097" max="4097" width="2.81640625" style="12" customWidth="1"/>
    <col min="4098" max="4098" width="3.54296875" style="12" customWidth="1"/>
    <col min="4099" max="4343" width="9.1796875" style="12"/>
    <col min="4344" max="4344" width="8.7265625" style="12" customWidth="1"/>
    <col min="4345" max="4345" width="9.81640625" style="12" customWidth="1"/>
    <col min="4346" max="4346" width="14.453125" style="12" customWidth="1"/>
    <col min="4347" max="4347" width="7.26953125" style="12" customWidth="1"/>
    <col min="4348" max="4348" width="5.54296875" style="12" customWidth="1"/>
    <col min="4349" max="4349" width="9" style="12" customWidth="1"/>
    <col min="4350" max="4351" width="9.81640625" style="12" customWidth="1"/>
    <col min="4352" max="4352" width="11.1796875" style="12" customWidth="1"/>
    <col min="4353" max="4353" width="2.81640625" style="12" customWidth="1"/>
    <col min="4354" max="4354" width="3.54296875" style="12" customWidth="1"/>
    <col min="4355" max="4599" width="9.1796875" style="12"/>
    <col min="4600" max="4600" width="8.7265625" style="12" customWidth="1"/>
    <col min="4601" max="4601" width="9.81640625" style="12" customWidth="1"/>
    <col min="4602" max="4602" width="14.453125" style="12" customWidth="1"/>
    <col min="4603" max="4603" width="7.26953125" style="12" customWidth="1"/>
    <col min="4604" max="4604" width="5.54296875" style="12" customWidth="1"/>
    <col min="4605" max="4605" width="9" style="12" customWidth="1"/>
    <col min="4606" max="4607" width="9.81640625" style="12" customWidth="1"/>
    <col min="4608" max="4608" width="11.1796875" style="12" customWidth="1"/>
    <col min="4609" max="4609" width="2.81640625" style="12" customWidth="1"/>
    <col min="4610" max="4610" width="3.54296875" style="12" customWidth="1"/>
    <col min="4611" max="4855" width="9.1796875" style="12"/>
    <col min="4856" max="4856" width="8.7265625" style="12" customWidth="1"/>
    <col min="4857" max="4857" width="9.81640625" style="12" customWidth="1"/>
    <col min="4858" max="4858" width="14.453125" style="12" customWidth="1"/>
    <col min="4859" max="4859" width="7.26953125" style="12" customWidth="1"/>
    <col min="4860" max="4860" width="5.54296875" style="12" customWidth="1"/>
    <col min="4861" max="4861" width="9" style="12" customWidth="1"/>
    <col min="4862" max="4863" width="9.81640625" style="12" customWidth="1"/>
    <col min="4864" max="4864" width="11.1796875" style="12" customWidth="1"/>
    <col min="4865" max="4865" width="2.81640625" style="12" customWidth="1"/>
    <col min="4866" max="4866" width="3.54296875" style="12" customWidth="1"/>
    <col min="4867" max="5111" width="9.1796875" style="12"/>
    <col min="5112" max="5112" width="8.7265625" style="12" customWidth="1"/>
    <col min="5113" max="5113" width="9.81640625" style="12" customWidth="1"/>
    <col min="5114" max="5114" width="14.453125" style="12" customWidth="1"/>
    <col min="5115" max="5115" width="7.26953125" style="12" customWidth="1"/>
    <col min="5116" max="5116" width="5.54296875" style="12" customWidth="1"/>
    <col min="5117" max="5117" width="9" style="12" customWidth="1"/>
    <col min="5118" max="5119" width="9.81640625" style="12" customWidth="1"/>
    <col min="5120" max="5120" width="11.1796875" style="12" customWidth="1"/>
    <col min="5121" max="5121" width="2.81640625" style="12" customWidth="1"/>
    <col min="5122" max="5122" width="3.54296875" style="12" customWidth="1"/>
    <col min="5123" max="5367" width="9.1796875" style="12"/>
    <col min="5368" max="5368" width="8.7265625" style="12" customWidth="1"/>
    <col min="5369" max="5369" width="9.81640625" style="12" customWidth="1"/>
    <col min="5370" max="5370" width="14.453125" style="12" customWidth="1"/>
    <col min="5371" max="5371" width="7.26953125" style="12" customWidth="1"/>
    <col min="5372" max="5372" width="5.54296875" style="12" customWidth="1"/>
    <col min="5373" max="5373" width="9" style="12" customWidth="1"/>
    <col min="5374" max="5375" width="9.81640625" style="12" customWidth="1"/>
    <col min="5376" max="5376" width="11.1796875" style="12" customWidth="1"/>
    <col min="5377" max="5377" width="2.81640625" style="12" customWidth="1"/>
    <col min="5378" max="5378" width="3.54296875" style="12" customWidth="1"/>
    <col min="5379" max="5623" width="9.1796875" style="12"/>
    <col min="5624" max="5624" width="8.7265625" style="12" customWidth="1"/>
    <col min="5625" max="5625" width="9.81640625" style="12" customWidth="1"/>
    <col min="5626" max="5626" width="14.453125" style="12" customWidth="1"/>
    <col min="5627" max="5627" width="7.26953125" style="12" customWidth="1"/>
    <col min="5628" max="5628" width="5.54296875" style="12" customWidth="1"/>
    <col min="5629" max="5629" width="9" style="12" customWidth="1"/>
    <col min="5630" max="5631" width="9.81640625" style="12" customWidth="1"/>
    <col min="5632" max="5632" width="11.1796875" style="12" customWidth="1"/>
    <col min="5633" max="5633" width="2.81640625" style="12" customWidth="1"/>
    <col min="5634" max="5634" width="3.54296875" style="12" customWidth="1"/>
    <col min="5635" max="5879" width="9.1796875" style="12"/>
    <col min="5880" max="5880" width="8.7265625" style="12" customWidth="1"/>
    <col min="5881" max="5881" width="9.81640625" style="12" customWidth="1"/>
    <col min="5882" max="5882" width="14.453125" style="12" customWidth="1"/>
    <col min="5883" max="5883" width="7.26953125" style="12" customWidth="1"/>
    <col min="5884" max="5884" width="5.54296875" style="12" customWidth="1"/>
    <col min="5885" max="5885" width="9" style="12" customWidth="1"/>
    <col min="5886" max="5887" width="9.81640625" style="12" customWidth="1"/>
    <col min="5888" max="5888" width="11.1796875" style="12" customWidth="1"/>
    <col min="5889" max="5889" width="2.81640625" style="12" customWidth="1"/>
    <col min="5890" max="5890" width="3.54296875" style="12" customWidth="1"/>
    <col min="5891" max="6135" width="9.1796875" style="12"/>
    <col min="6136" max="6136" width="8.7265625" style="12" customWidth="1"/>
    <col min="6137" max="6137" width="9.81640625" style="12" customWidth="1"/>
    <col min="6138" max="6138" width="14.453125" style="12" customWidth="1"/>
    <col min="6139" max="6139" width="7.26953125" style="12" customWidth="1"/>
    <col min="6140" max="6140" width="5.54296875" style="12" customWidth="1"/>
    <col min="6141" max="6141" width="9" style="12" customWidth="1"/>
    <col min="6142" max="6143" width="9.81640625" style="12" customWidth="1"/>
    <col min="6144" max="6144" width="11.1796875" style="12" customWidth="1"/>
    <col min="6145" max="6145" width="2.81640625" style="12" customWidth="1"/>
    <col min="6146" max="6146" width="3.54296875" style="12" customWidth="1"/>
    <col min="6147" max="6391" width="9.1796875" style="12"/>
    <col min="6392" max="6392" width="8.7265625" style="12" customWidth="1"/>
    <col min="6393" max="6393" width="9.81640625" style="12" customWidth="1"/>
    <col min="6394" max="6394" width="14.453125" style="12" customWidth="1"/>
    <col min="6395" max="6395" width="7.26953125" style="12" customWidth="1"/>
    <col min="6396" max="6396" width="5.54296875" style="12" customWidth="1"/>
    <col min="6397" max="6397" width="9" style="12" customWidth="1"/>
    <col min="6398" max="6399" width="9.81640625" style="12" customWidth="1"/>
    <col min="6400" max="6400" width="11.1796875" style="12" customWidth="1"/>
    <col min="6401" max="6401" width="2.81640625" style="12" customWidth="1"/>
    <col min="6402" max="6402" width="3.54296875" style="12" customWidth="1"/>
    <col min="6403" max="6647" width="9.1796875" style="12"/>
    <col min="6648" max="6648" width="8.7265625" style="12" customWidth="1"/>
    <col min="6649" max="6649" width="9.81640625" style="12" customWidth="1"/>
    <col min="6650" max="6650" width="14.453125" style="12" customWidth="1"/>
    <col min="6651" max="6651" width="7.26953125" style="12" customWidth="1"/>
    <col min="6652" max="6652" width="5.54296875" style="12" customWidth="1"/>
    <col min="6653" max="6653" width="9" style="12" customWidth="1"/>
    <col min="6654" max="6655" width="9.81640625" style="12" customWidth="1"/>
    <col min="6656" max="6656" width="11.1796875" style="12" customWidth="1"/>
    <col min="6657" max="6657" width="2.81640625" style="12" customWidth="1"/>
    <col min="6658" max="6658" width="3.54296875" style="12" customWidth="1"/>
    <col min="6659" max="6903" width="9.1796875" style="12"/>
    <col min="6904" max="6904" width="8.7265625" style="12" customWidth="1"/>
    <col min="6905" max="6905" width="9.81640625" style="12" customWidth="1"/>
    <col min="6906" max="6906" width="14.453125" style="12" customWidth="1"/>
    <col min="6907" max="6907" width="7.26953125" style="12" customWidth="1"/>
    <col min="6908" max="6908" width="5.54296875" style="12" customWidth="1"/>
    <col min="6909" max="6909" width="9" style="12" customWidth="1"/>
    <col min="6910" max="6911" width="9.81640625" style="12" customWidth="1"/>
    <col min="6912" max="6912" width="11.1796875" style="12" customWidth="1"/>
    <col min="6913" max="6913" width="2.81640625" style="12" customWidth="1"/>
    <col min="6914" max="6914" width="3.54296875" style="12" customWidth="1"/>
    <col min="6915" max="7159" width="9.1796875" style="12"/>
    <col min="7160" max="7160" width="8.7265625" style="12" customWidth="1"/>
    <col min="7161" max="7161" width="9.81640625" style="12" customWidth="1"/>
    <col min="7162" max="7162" width="14.453125" style="12" customWidth="1"/>
    <col min="7163" max="7163" width="7.26953125" style="12" customWidth="1"/>
    <col min="7164" max="7164" width="5.54296875" style="12" customWidth="1"/>
    <col min="7165" max="7165" width="9" style="12" customWidth="1"/>
    <col min="7166" max="7167" width="9.81640625" style="12" customWidth="1"/>
    <col min="7168" max="7168" width="11.1796875" style="12" customWidth="1"/>
    <col min="7169" max="7169" width="2.81640625" style="12" customWidth="1"/>
    <col min="7170" max="7170" width="3.54296875" style="12" customWidth="1"/>
    <col min="7171" max="7415" width="9.1796875" style="12"/>
    <col min="7416" max="7416" width="8.7265625" style="12" customWidth="1"/>
    <col min="7417" max="7417" width="9.81640625" style="12" customWidth="1"/>
    <col min="7418" max="7418" width="14.453125" style="12" customWidth="1"/>
    <col min="7419" max="7419" width="7.26953125" style="12" customWidth="1"/>
    <col min="7420" max="7420" width="5.54296875" style="12" customWidth="1"/>
    <col min="7421" max="7421" width="9" style="12" customWidth="1"/>
    <col min="7422" max="7423" width="9.81640625" style="12" customWidth="1"/>
    <col min="7424" max="7424" width="11.1796875" style="12" customWidth="1"/>
    <col min="7425" max="7425" width="2.81640625" style="12" customWidth="1"/>
    <col min="7426" max="7426" width="3.54296875" style="12" customWidth="1"/>
    <col min="7427" max="7671" width="9.1796875" style="12"/>
    <col min="7672" max="7672" width="8.7265625" style="12" customWidth="1"/>
    <col min="7673" max="7673" width="9.81640625" style="12" customWidth="1"/>
    <col min="7674" max="7674" width="14.453125" style="12" customWidth="1"/>
    <col min="7675" max="7675" width="7.26953125" style="12" customWidth="1"/>
    <col min="7676" max="7676" width="5.54296875" style="12" customWidth="1"/>
    <col min="7677" max="7677" width="9" style="12" customWidth="1"/>
    <col min="7678" max="7679" width="9.81640625" style="12" customWidth="1"/>
    <col min="7680" max="7680" width="11.1796875" style="12" customWidth="1"/>
    <col min="7681" max="7681" width="2.81640625" style="12" customWidth="1"/>
    <col min="7682" max="7682" width="3.54296875" style="12" customWidth="1"/>
    <col min="7683" max="7927" width="9.1796875" style="12"/>
    <col min="7928" max="7928" width="8.7265625" style="12" customWidth="1"/>
    <col min="7929" max="7929" width="9.81640625" style="12" customWidth="1"/>
    <col min="7930" max="7930" width="14.453125" style="12" customWidth="1"/>
    <col min="7931" max="7931" width="7.26953125" style="12" customWidth="1"/>
    <col min="7932" max="7932" width="5.54296875" style="12" customWidth="1"/>
    <col min="7933" max="7933" width="9" style="12" customWidth="1"/>
    <col min="7934" max="7935" width="9.81640625" style="12" customWidth="1"/>
    <col min="7936" max="7936" width="11.1796875" style="12" customWidth="1"/>
    <col min="7937" max="7937" width="2.81640625" style="12" customWidth="1"/>
    <col min="7938" max="7938" width="3.54296875" style="12" customWidth="1"/>
    <col min="7939" max="8183" width="9.1796875" style="12"/>
    <col min="8184" max="8184" width="8.7265625" style="12" customWidth="1"/>
    <col min="8185" max="8185" width="9.81640625" style="12" customWidth="1"/>
    <col min="8186" max="8186" width="14.453125" style="12" customWidth="1"/>
    <col min="8187" max="8187" width="7.26953125" style="12" customWidth="1"/>
    <col min="8188" max="8188" width="5.54296875" style="12" customWidth="1"/>
    <col min="8189" max="8189" width="9" style="12" customWidth="1"/>
    <col min="8190" max="8191" width="9.81640625" style="12" customWidth="1"/>
    <col min="8192" max="8192" width="11.1796875" style="12" customWidth="1"/>
    <col min="8193" max="8193" width="2.81640625" style="12" customWidth="1"/>
    <col min="8194" max="8194" width="3.54296875" style="12" customWidth="1"/>
    <col min="8195" max="8439" width="9.1796875" style="12"/>
    <col min="8440" max="8440" width="8.7265625" style="12" customWidth="1"/>
    <col min="8441" max="8441" width="9.81640625" style="12" customWidth="1"/>
    <col min="8442" max="8442" width="14.453125" style="12" customWidth="1"/>
    <col min="8443" max="8443" width="7.26953125" style="12" customWidth="1"/>
    <col min="8444" max="8444" width="5.54296875" style="12" customWidth="1"/>
    <col min="8445" max="8445" width="9" style="12" customWidth="1"/>
    <col min="8446" max="8447" width="9.81640625" style="12" customWidth="1"/>
    <col min="8448" max="8448" width="11.1796875" style="12" customWidth="1"/>
    <col min="8449" max="8449" width="2.81640625" style="12" customWidth="1"/>
    <col min="8450" max="8450" width="3.54296875" style="12" customWidth="1"/>
    <col min="8451" max="8695" width="9.1796875" style="12"/>
    <col min="8696" max="8696" width="8.7265625" style="12" customWidth="1"/>
    <col min="8697" max="8697" width="9.81640625" style="12" customWidth="1"/>
    <col min="8698" max="8698" width="14.453125" style="12" customWidth="1"/>
    <col min="8699" max="8699" width="7.26953125" style="12" customWidth="1"/>
    <col min="8700" max="8700" width="5.54296875" style="12" customWidth="1"/>
    <col min="8701" max="8701" width="9" style="12" customWidth="1"/>
    <col min="8702" max="8703" width="9.81640625" style="12" customWidth="1"/>
    <col min="8704" max="8704" width="11.1796875" style="12" customWidth="1"/>
    <col min="8705" max="8705" width="2.81640625" style="12" customWidth="1"/>
    <col min="8706" max="8706" width="3.54296875" style="12" customWidth="1"/>
    <col min="8707" max="8951" width="9.1796875" style="12"/>
    <col min="8952" max="8952" width="8.7265625" style="12" customWidth="1"/>
    <col min="8953" max="8953" width="9.81640625" style="12" customWidth="1"/>
    <col min="8954" max="8954" width="14.453125" style="12" customWidth="1"/>
    <col min="8955" max="8955" width="7.26953125" style="12" customWidth="1"/>
    <col min="8956" max="8956" width="5.54296875" style="12" customWidth="1"/>
    <col min="8957" max="8957" width="9" style="12" customWidth="1"/>
    <col min="8958" max="8959" width="9.81640625" style="12" customWidth="1"/>
    <col min="8960" max="8960" width="11.1796875" style="12" customWidth="1"/>
    <col min="8961" max="8961" width="2.81640625" style="12" customWidth="1"/>
    <col min="8962" max="8962" width="3.54296875" style="12" customWidth="1"/>
    <col min="8963" max="9207" width="9.1796875" style="12"/>
    <col min="9208" max="9208" width="8.7265625" style="12" customWidth="1"/>
    <col min="9209" max="9209" width="9.81640625" style="12" customWidth="1"/>
    <col min="9210" max="9210" width="14.453125" style="12" customWidth="1"/>
    <col min="9211" max="9211" width="7.26953125" style="12" customWidth="1"/>
    <col min="9212" max="9212" width="5.54296875" style="12" customWidth="1"/>
    <col min="9213" max="9213" width="9" style="12" customWidth="1"/>
    <col min="9214" max="9215" width="9.81640625" style="12" customWidth="1"/>
    <col min="9216" max="9216" width="11.1796875" style="12" customWidth="1"/>
    <col min="9217" max="9217" width="2.81640625" style="12" customWidth="1"/>
    <col min="9218" max="9218" width="3.54296875" style="12" customWidth="1"/>
    <col min="9219" max="9463" width="9.1796875" style="12"/>
    <col min="9464" max="9464" width="8.7265625" style="12" customWidth="1"/>
    <col min="9465" max="9465" width="9.81640625" style="12" customWidth="1"/>
    <col min="9466" max="9466" width="14.453125" style="12" customWidth="1"/>
    <col min="9467" max="9467" width="7.26953125" style="12" customWidth="1"/>
    <col min="9468" max="9468" width="5.54296875" style="12" customWidth="1"/>
    <col min="9469" max="9469" width="9" style="12" customWidth="1"/>
    <col min="9470" max="9471" width="9.81640625" style="12" customWidth="1"/>
    <col min="9472" max="9472" width="11.1796875" style="12" customWidth="1"/>
    <col min="9473" max="9473" width="2.81640625" style="12" customWidth="1"/>
    <col min="9474" max="9474" width="3.54296875" style="12" customWidth="1"/>
    <col min="9475" max="9719" width="9.1796875" style="12"/>
    <col min="9720" max="9720" width="8.7265625" style="12" customWidth="1"/>
    <col min="9721" max="9721" width="9.81640625" style="12" customWidth="1"/>
    <col min="9722" max="9722" width="14.453125" style="12" customWidth="1"/>
    <col min="9723" max="9723" width="7.26953125" style="12" customWidth="1"/>
    <col min="9724" max="9724" width="5.54296875" style="12" customWidth="1"/>
    <col min="9725" max="9725" width="9" style="12" customWidth="1"/>
    <col min="9726" max="9727" width="9.81640625" style="12" customWidth="1"/>
    <col min="9728" max="9728" width="11.1796875" style="12" customWidth="1"/>
    <col min="9729" max="9729" width="2.81640625" style="12" customWidth="1"/>
    <col min="9730" max="9730" width="3.54296875" style="12" customWidth="1"/>
    <col min="9731" max="9975" width="9.1796875" style="12"/>
    <col min="9976" max="9976" width="8.7265625" style="12" customWidth="1"/>
    <col min="9977" max="9977" width="9.81640625" style="12" customWidth="1"/>
    <col min="9978" max="9978" width="14.453125" style="12" customWidth="1"/>
    <col min="9979" max="9979" width="7.26953125" style="12" customWidth="1"/>
    <col min="9980" max="9980" width="5.54296875" style="12" customWidth="1"/>
    <col min="9981" max="9981" width="9" style="12" customWidth="1"/>
    <col min="9982" max="9983" width="9.81640625" style="12" customWidth="1"/>
    <col min="9984" max="9984" width="11.1796875" style="12" customWidth="1"/>
    <col min="9985" max="9985" width="2.81640625" style="12" customWidth="1"/>
    <col min="9986" max="9986" width="3.54296875" style="12" customWidth="1"/>
    <col min="9987" max="10231" width="9.1796875" style="12"/>
    <col min="10232" max="10232" width="8.7265625" style="12" customWidth="1"/>
    <col min="10233" max="10233" width="9.81640625" style="12" customWidth="1"/>
    <col min="10234" max="10234" width="14.453125" style="12" customWidth="1"/>
    <col min="10235" max="10235" width="7.26953125" style="12" customWidth="1"/>
    <col min="10236" max="10236" width="5.54296875" style="12" customWidth="1"/>
    <col min="10237" max="10237" width="9" style="12" customWidth="1"/>
    <col min="10238" max="10239" width="9.81640625" style="12" customWidth="1"/>
    <col min="10240" max="10240" width="11.1796875" style="12" customWidth="1"/>
    <col min="10241" max="10241" width="2.81640625" style="12" customWidth="1"/>
    <col min="10242" max="10242" width="3.54296875" style="12" customWidth="1"/>
    <col min="10243" max="10487" width="9.1796875" style="12"/>
    <col min="10488" max="10488" width="8.7265625" style="12" customWidth="1"/>
    <col min="10489" max="10489" width="9.81640625" style="12" customWidth="1"/>
    <col min="10490" max="10490" width="14.453125" style="12" customWidth="1"/>
    <col min="10491" max="10491" width="7.26953125" style="12" customWidth="1"/>
    <col min="10492" max="10492" width="5.54296875" style="12" customWidth="1"/>
    <col min="10493" max="10493" width="9" style="12" customWidth="1"/>
    <col min="10494" max="10495" width="9.81640625" style="12" customWidth="1"/>
    <col min="10496" max="10496" width="11.1796875" style="12" customWidth="1"/>
    <col min="10497" max="10497" width="2.81640625" style="12" customWidth="1"/>
    <col min="10498" max="10498" width="3.54296875" style="12" customWidth="1"/>
    <col min="10499" max="10743" width="9.1796875" style="12"/>
    <col min="10744" max="10744" width="8.7265625" style="12" customWidth="1"/>
    <col min="10745" max="10745" width="9.81640625" style="12" customWidth="1"/>
    <col min="10746" max="10746" width="14.453125" style="12" customWidth="1"/>
    <col min="10747" max="10747" width="7.26953125" style="12" customWidth="1"/>
    <col min="10748" max="10748" width="5.54296875" style="12" customWidth="1"/>
    <col min="10749" max="10749" width="9" style="12" customWidth="1"/>
    <col min="10750" max="10751" width="9.81640625" style="12" customWidth="1"/>
    <col min="10752" max="10752" width="11.1796875" style="12" customWidth="1"/>
    <col min="10753" max="10753" width="2.81640625" style="12" customWidth="1"/>
    <col min="10754" max="10754" width="3.54296875" style="12" customWidth="1"/>
    <col min="10755" max="10999" width="9.1796875" style="12"/>
    <col min="11000" max="11000" width="8.7265625" style="12" customWidth="1"/>
    <col min="11001" max="11001" width="9.81640625" style="12" customWidth="1"/>
    <col min="11002" max="11002" width="14.453125" style="12" customWidth="1"/>
    <col min="11003" max="11003" width="7.26953125" style="12" customWidth="1"/>
    <col min="11004" max="11004" width="5.54296875" style="12" customWidth="1"/>
    <col min="11005" max="11005" width="9" style="12" customWidth="1"/>
    <col min="11006" max="11007" width="9.81640625" style="12" customWidth="1"/>
    <col min="11008" max="11008" width="11.1796875" style="12" customWidth="1"/>
    <col min="11009" max="11009" width="2.81640625" style="12" customWidth="1"/>
    <col min="11010" max="11010" width="3.54296875" style="12" customWidth="1"/>
    <col min="11011" max="11255" width="9.1796875" style="12"/>
    <col min="11256" max="11256" width="8.7265625" style="12" customWidth="1"/>
    <col min="11257" max="11257" width="9.81640625" style="12" customWidth="1"/>
    <col min="11258" max="11258" width="14.453125" style="12" customWidth="1"/>
    <col min="11259" max="11259" width="7.26953125" style="12" customWidth="1"/>
    <col min="11260" max="11260" width="5.54296875" style="12" customWidth="1"/>
    <col min="11261" max="11261" width="9" style="12" customWidth="1"/>
    <col min="11262" max="11263" width="9.81640625" style="12" customWidth="1"/>
    <col min="11264" max="11264" width="11.1796875" style="12" customWidth="1"/>
    <col min="11265" max="11265" width="2.81640625" style="12" customWidth="1"/>
    <col min="11266" max="11266" width="3.54296875" style="12" customWidth="1"/>
    <col min="11267" max="11511" width="9.1796875" style="12"/>
    <col min="11512" max="11512" width="8.7265625" style="12" customWidth="1"/>
    <col min="11513" max="11513" width="9.81640625" style="12" customWidth="1"/>
    <col min="11514" max="11514" width="14.453125" style="12" customWidth="1"/>
    <col min="11515" max="11515" width="7.26953125" style="12" customWidth="1"/>
    <col min="11516" max="11516" width="5.54296875" style="12" customWidth="1"/>
    <col min="11517" max="11517" width="9" style="12" customWidth="1"/>
    <col min="11518" max="11519" width="9.81640625" style="12" customWidth="1"/>
    <col min="11520" max="11520" width="11.1796875" style="12" customWidth="1"/>
    <col min="11521" max="11521" width="2.81640625" style="12" customWidth="1"/>
    <col min="11522" max="11522" width="3.54296875" style="12" customWidth="1"/>
    <col min="11523" max="11767" width="9.1796875" style="12"/>
    <col min="11768" max="11768" width="8.7265625" style="12" customWidth="1"/>
    <col min="11769" max="11769" width="9.81640625" style="12" customWidth="1"/>
    <col min="11770" max="11770" width="14.453125" style="12" customWidth="1"/>
    <col min="11771" max="11771" width="7.26953125" style="12" customWidth="1"/>
    <col min="11772" max="11772" width="5.54296875" style="12" customWidth="1"/>
    <col min="11773" max="11773" width="9" style="12" customWidth="1"/>
    <col min="11774" max="11775" width="9.81640625" style="12" customWidth="1"/>
    <col min="11776" max="11776" width="11.1796875" style="12" customWidth="1"/>
    <col min="11777" max="11777" width="2.81640625" style="12" customWidth="1"/>
    <col min="11778" max="11778" width="3.54296875" style="12" customWidth="1"/>
    <col min="11779" max="12023" width="9.1796875" style="12"/>
    <col min="12024" max="12024" width="8.7265625" style="12" customWidth="1"/>
    <col min="12025" max="12025" width="9.81640625" style="12" customWidth="1"/>
    <col min="12026" max="12026" width="14.453125" style="12" customWidth="1"/>
    <col min="12027" max="12027" width="7.26953125" style="12" customWidth="1"/>
    <col min="12028" max="12028" width="5.54296875" style="12" customWidth="1"/>
    <col min="12029" max="12029" width="9" style="12" customWidth="1"/>
    <col min="12030" max="12031" width="9.81640625" style="12" customWidth="1"/>
    <col min="12032" max="12032" width="11.1796875" style="12" customWidth="1"/>
    <col min="12033" max="12033" width="2.81640625" style="12" customWidth="1"/>
    <col min="12034" max="12034" width="3.54296875" style="12" customWidth="1"/>
    <col min="12035" max="12279" width="9.1796875" style="12"/>
    <col min="12280" max="12280" width="8.7265625" style="12" customWidth="1"/>
    <col min="12281" max="12281" width="9.81640625" style="12" customWidth="1"/>
    <col min="12282" max="12282" width="14.453125" style="12" customWidth="1"/>
    <col min="12283" max="12283" width="7.26953125" style="12" customWidth="1"/>
    <col min="12284" max="12284" width="5.54296875" style="12" customWidth="1"/>
    <col min="12285" max="12285" width="9" style="12" customWidth="1"/>
    <col min="12286" max="12287" width="9.81640625" style="12" customWidth="1"/>
    <col min="12288" max="12288" width="11.1796875" style="12" customWidth="1"/>
    <col min="12289" max="12289" width="2.81640625" style="12" customWidth="1"/>
    <col min="12290" max="12290" width="3.54296875" style="12" customWidth="1"/>
    <col min="12291" max="12535" width="9.1796875" style="12"/>
    <col min="12536" max="12536" width="8.7265625" style="12" customWidth="1"/>
    <col min="12537" max="12537" width="9.81640625" style="12" customWidth="1"/>
    <col min="12538" max="12538" width="14.453125" style="12" customWidth="1"/>
    <col min="12539" max="12539" width="7.26953125" style="12" customWidth="1"/>
    <col min="12540" max="12540" width="5.54296875" style="12" customWidth="1"/>
    <col min="12541" max="12541" width="9" style="12" customWidth="1"/>
    <col min="12542" max="12543" width="9.81640625" style="12" customWidth="1"/>
    <col min="12544" max="12544" width="11.1796875" style="12" customWidth="1"/>
    <col min="12545" max="12545" width="2.81640625" style="12" customWidth="1"/>
    <col min="12546" max="12546" width="3.54296875" style="12" customWidth="1"/>
    <col min="12547" max="12791" width="9.1796875" style="12"/>
    <col min="12792" max="12792" width="8.7265625" style="12" customWidth="1"/>
    <col min="12793" max="12793" width="9.81640625" style="12" customWidth="1"/>
    <col min="12794" max="12794" width="14.453125" style="12" customWidth="1"/>
    <col min="12795" max="12795" width="7.26953125" style="12" customWidth="1"/>
    <col min="12796" max="12796" width="5.54296875" style="12" customWidth="1"/>
    <col min="12797" max="12797" width="9" style="12" customWidth="1"/>
    <col min="12798" max="12799" width="9.81640625" style="12" customWidth="1"/>
    <col min="12800" max="12800" width="11.1796875" style="12" customWidth="1"/>
    <col min="12801" max="12801" width="2.81640625" style="12" customWidth="1"/>
    <col min="12802" max="12802" width="3.54296875" style="12" customWidth="1"/>
    <col min="12803" max="13047" width="9.1796875" style="12"/>
    <col min="13048" max="13048" width="8.7265625" style="12" customWidth="1"/>
    <col min="13049" max="13049" width="9.81640625" style="12" customWidth="1"/>
    <col min="13050" max="13050" width="14.453125" style="12" customWidth="1"/>
    <col min="13051" max="13051" width="7.26953125" style="12" customWidth="1"/>
    <col min="13052" max="13052" width="5.54296875" style="12" customWidth="1"/>
    <col min="13053" max="13053" width="9" style="12" customWidth="1"/>
    <col min="13054" max="13055" width="9.81640625" style="12" customWidth="1"/>
    <col min="13056" max="13056" width="11.1796875" style="12" customWidth="1"/>
    <col min="13057" max="13057" width="2.81640625" style="12" customWidth="1"/>
    <col min="13058" max="13058" width="3.54296875" style="12" customWidth="1"/>
    <col min="13059" max="13303" width="9.1796875" style="12"/>
    <col min="13304" max="13304" width="8.7265625" style="12" customWidth="1"/>
    <col min="13305" max="13305" width="9.81640625" style="12" customWidth="1"/>
    <col min="13306" max="13306" width="14.453125" style="12" customWidth="1"/>
    <col min="13307" max="13307" width="7.26953125" style="12" customWidth="1"/>
    <col min="13308" max="13308" width="5.54296875" style="12" customWidth="1"/>
    <col min="13309" max="13309" width="9" style="12" customWidth="1"/>
    <col min="13310" max="13311" width="9.81640625" style="12" customWidth="1"/>
    <col min="13312" max="13312" width="11.1796875" style="12" customWidth="1"/>
    <col min="13313" max="13313" width="2.81640625" style="12" customWidth="1"/>
    <col min="13314" max="13314" width="3.54296875" style="12" customWidth="1"/>
    <col min="13315" max="13559" width="9.1796875" style="12"/>
    <col min="13560" max="13560" width="8.7265625" style="12" customWidth="1"/>
    <col min="13561" max="13561" width="9.81640625" style="12" customWidth="1"/>
    <col min="13562" max="13562" width="14.453125" style="12" customWidth="1"/>
    <col min="13563" max="13563" width="7.26953125" style="12" customWidth="1"/>
    <col min="13564" max="13564" width="5.54296875" style="12" customWidth="1"/>
    <col min="13565" max="13565" width="9" style="12" customWidth="1"/>
    <col min="13566" max="13567" width="9.81640625" style="12" customWidth="1"/>
    <col min="13568" max="13568" width="11.1796875" style="12" customWidth="1"/>
    <col min="13569" max="13569" width="2.81640625" style="12" customWidth="1"/>
    <col min="13570" max="13570" width="3.54296875" style="12" customWidth="1"/>
    <col min="13571" max="13815" width="9.1796875" style="12"/>
    <col min="13816" max="13816" width="8.7265625" style="12" customWidth="1"/>
    <col min="13817" max="13817" width="9.81640625" style="12" customWidth="1"/>
    <col min="13818" max="13818" width="14.453125" style="12" customWidth="1"/>
    <col min="13819" max="13819" width="7.26953125" style="12" customWidth="1"/>
    <col min="13820" max="13820" width="5.54296875" style="12" customWidth="1"/>
    <col min="13821" max="13821" width="9" style="12" customWidth="1"/>
    <col min="13822" max="13823" width="9.81640625" style="12" customWidth="1"/>
    <col min="13824" max="13824" width="11.1796875" style="12" customWidth="1"/>
    <col min="13825" max="13825" width="2.81640625" style="12" customWidth="1"/>
    <col min="13826" max="13826" width="3.54296875" style="12" customWidth="1"/>
    <col min="13827" max="14071" width="9.1796875" style="12"/>
    <col min="14072" max="14072" width="8.7265625" style="12" customWidth="1"/>
    <col min="14073" max="14073" width="9.81640625" style="12" customWidth="1"/>
    <col min="14074" max="14074" width="14.453125" style="12" customWidth="1"/>
    <col min="14075" max="14075" width="7.26953125" style="12" customWidth="1"/>
    <col min="14076" max="14076" width="5.54296875" style="12" customWidth="1"/>
    <col min="14077" max="14077" width="9" style="12" customWidth="1"/>
    <col min="14078" max="14079" width="9.81640625" style="12" customWidth="1"/>
    <col min="14080" max="14080" width="11.1796875" style="12" customWidth="1"/>
    <col min="14081" max="14081" width="2.81640625" style="12" customWidth="1"/>
    <col min="14082" max="14082" width="3.54296875" style="12" customWidth="1"/>
    <col min="14083" max="14327" width="9.1796875" style="12"/>
    <col min="14328" max="14328" width="8.7265625" style="12" customWidth="1"/>
    <col min="14329" max="14329" width="9.81640625" style="12" customWidth="1"/>
    <col min="14330" max="14330" width="14.453125" style="12" customWidth="1"/>
    <col min="14331" max="14331" width="7.26953125" style="12" customWidth="1"/>
    <col min="14332" max="14332" width="5.54296875" style="12" customWidth="1"/>
    <col min="14333" max="14333" width="9" style="12" customWidth="1"/>
    <col min="14334" max="14335" width="9.81640625" style="12" customWidth="1"/>
    <col min="14336" max="14336" width="11.1796875" style="12" customWidth="1"/>
    <col min="14337" max="14337" width="2.81640625" style="12" customWidth="1"/>
    <col min="14338" max="14338" width="3.54296875" style="12" customWidth="1"/>
    <col min="14339" max="14583" width="9.1796875" style="12"/>
    <col min="14584" max="14584" width="8.7265625" style="12" customWidth="1"/>
    <col min="14585" max="14585" width="9.81640625" style="12" customWidth="1"/>
    <col min="14586" max="14586" width="14.453125" style="12" customWidth="1"/>
    <col min="14587" max="14587" width="7.26953125" style="12" customWidth="1"/>
    <col min="14588" max="14588" width="5.54296875" style="12" customWidth="1"/>
    <col min="14589" max="14589" width="9" style="12" customWidth="1"/>
    <col min="14590" max="14591" width="9.81640625" style="12" customWidth="1"/>
    <col min="14592" max="14592" width="11.1796875" style="12" customWidth="1"/>
    <col min="14593" max="14593" width="2.81640625" style="12" customWidth="1"/>
    <col min="14594" max="14594" width="3.54296875" style="12" customWidth="1"/>
    <col min="14595" max="14839" width="9.1796875" style="12"/>
    <col min="14840" max="14840" width="8.7265625" style="12" customWidth="1"/>
    <col min="14841" max="14841" width="9.81640625" style="12" customWidth="1"/>
    <col min="14842" max="14842" width="14.453125" style="12" customWidth="1"/>
    <col min="14843" max="14843" width="7.26953125" style="12" customWidth="1"/>
    <col min="14844" max="14844" width="5.54296875" style="12" customWidth="1"/>
    <col min="14845" max="14845" width="9" style="12" customWidth="1"/>
    <col min="14846" max="14847" width="9.81640625" style="12" customWidth="1"/>
    <col min="14848" max="14848" width="11.1796875" style="12" customWidth="1"/>
    <col min="14849" max="14849" width="2.81640625" style="12" customWidth="1"/>
    <col min="14850" max="14850" width="3.54296875" style="12" customWidth="1"/>
    <col min="14851" max="15095" width="9.1796875" style="12"/>
    <col min="15096" max="15096" width="8.7265625" style="12" customWidth="1"/>
    <col min="15097" max="15097" width="9.81640625" style="12" customWidth="1"/>
    <col min="15098" max="15098" width="14.453125" style="12" customWidth="1"/>
    <col min="15099" max="15099" width="7.26953125" style="12" customWidth="1"/>
    <col min="15100" max="15100" width="5.54296875" style="12" customWidth="1"/>
    <col min="15101" max="15101" width="9" style="12" customWidth="1"/>
    <col min="15102" max="15103" width="9.81640625" style="12" customWidth="1"/>
    <col min="15104" max="15104" width="11.1796875" style="12" customWidth="1"/>
    <col min="15105" max="15105" width="2.81640625" style="12" customWidth="1"/>
    <col min="15106" max="15106" width="3.54296875" style="12" customWidth="1"/>
    <col min="15107" max="15351" width="9.1796875" style="12"/>
    <col min="15352" max="15352" width="8.7265625" style="12" customWidth="1"/>
    <col min="15353" max="15353" width="9.81640625" style="12" customWidth="1"/>
    <col min="15354" max="15354" width="14.453125" style="12" customWidth="1"/>
    <col min="15355" max="15355" width="7.26953125" style="12" customWidth="1"/>
    <col min="15356" max="15356" width="5.54296875" style="12" customWidth="1"/>
    <col min="15357" max="15357" width="9" style="12" customWidth="1"/>
    <col min="15358" max="15359" width="9.81640625" style="12" customWidth="1"/>
    <col min="15360" max="15360" width="11.1796875" style="12" customWidth="1"/>
    <col min="15361" max="15361" width="2.81640625" style="12" customWidth="1"/>
    <col min="15362" max="15362" width="3.54296875" style="12" customWidth="1"/>
    <col min="15363" max="15607" width="9.1796875" style="12"/>
    <col min="15608" max="15608" width="8.7265625" style="12" customWidth="1"/>
    <col min="15609" max="15609" width="9.81640625" style="12" customWidth="1"/>
    <col min="15610" max="15610" width="14.453125" style="12" customWidth="1"/>
    <col min="15611" max="15611" width="7.26953125" style="12" customWidth="1"/>
    <col min="15612" max="15612" width="5.54296875" style="12" customWidth="1"/>
    <col min="15613" max="15613" width="9" style="12" customWidth="1"/>
    <col min="15614" max="15615" width="9.81640625" style="12" customWidth="1"/>
    <col min="15616" max="15616" width="11.1796875" style="12" customWidth="1"/>
    <col min="15617" max="15617" width="2.81640625" style="12" customWidth="1"/>
    <col min="15618" max="15618" width="3.54296875" style="12" customWidth="1"/>
    <col min="15619" max="15863" width="9.1796875" style="12"/>
    <col min="15864" max="15864" width="8.7265625" style="12" customWidth="1"/>
    <col min="15865" max="15865" width="9.81640625" style="12" customWidth="1"/>
    <col min="15866" max="15866" width="14.453125" style="12" customWidth="1"/>
    <col min="15867" max="15867" width="7.26953125" style="12" customWidth="1"/>
    <col min="15868" max="15868" width="5.54296875" style="12" customWidth="1"/>
    <col min="15869" max="15869" width="9" style="12" customWidth="1"/>
    <col min="15870" max="15871" width="9.81640625" style="12" customWidth="1"/>
    <col min="15872" max="15872" width="11.1796875" style="12" customWidth="1"/>
    <col min="15873" max="15873" width="2.81640625" style="12" customWidth="1"/>
    <col min="15874" max="15874" width="3.54296875" style="12" customWidth="1"/>
    <col min="15875" max="16119" width="9.1796875" style="12"/>
    <col min="16120" max="16120" width="8.7265625" style="12" customWidth="1"/>
    <col min="16121" max="16121" width="9.81640625" style="12" customWidth="1"/>
    <col min="16122" max="16122" width="14.453125" style="12" customWidth="1"/>
    <col min="16123" max="16123" width="7.26953125" style="12" customWidth="1"/>
    <col min="16124" max="16124" width="5.54296875" style="12" customWidth="1"/>
    <col min="16125" max="16125" width="9" style="12" customWidth="1"/>
    <col min="16126" max="16127" width="9.81640625" style="12" customWidth="1"/>
    <col min="16128" max="16128" width="11.1796875" style="12" customWidth="1"/>
    <col min="16129" max="16129" width="2.81640625" style="12" customWidth="1"/>
    <col min="16130" max="16130" width="3.54296875" style="12" customWidth="1"/>
    <col min="16131" max="16384" width="9.1796875" style="12"/>
  </cols>
  <sheetData>
    <row r="1" spans="1:8" ht="46.5" customHeight="1" x14ac:dyDescent="0.35">
      <c r="A1" s="153" t="s">
        <v>204</v>
      </c>
      <c r="B1" s="153"/>
      <c r="C1" s="153"/>
      <c r="D1" s="153"/>
      <c r="E1" s="153"/>
      <c r="F1" s="153"/>
      <c r="G1" s="153"/>
      <c r="H1" s="153"/>
    </row>
    <row r="2" spans="1:8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5">
      <c r="A3" s="137" t="s">
        <v>1</v>
      </c>
      <c r="B3" s="137"/>
      <c r="C3" s="137"/>
      <c r="D3" s="137"/>
      <c r="E3" s="137" t="str">
        <f ca="1">TEXT(TODAY(),"DD/MM/YYYY")</f>
        <v>15/09/2025</v>
      </c>
      <c r="F3" s="137"/>
      <c r="G3" s="137"/>
      <c r="H3" s="137"/>
    </row>
    <row r="4" spans="1:8" ht="15" customHeight="1" x14ac:dyDescent="0.35">
      <c r="A4" s="137" t="s">
        <v>2</v>
      </c>
      <c r="B4" s="137"/>
      <c r="C4" s="137"/>
      <c r="D4" s="137"/>
      <c r="E4" s="137" t="s">
        <v>159</v>
      </c>
      <c r="F4" s="137"/>
      <c r="G4" s="137"/>
      <c r="H4" s="137"/>
    </row>
    <row r="5" spans="1:8" x14ac:dyDescent="0.35">
      <c r="A5" s="137" t="s">
        <v>3</v>
      </c>
      <c r="B5" s="137"/>
      <c r="C5" s="137"/>
      <c r="D5" s="137"/>
      <c r="E5" s="154">
        <v>45913</v>
      </c>
      <c r="F5" s="137"/>
      <c r="G5" s="137"/>
      <c r="H5" s="137"/>
    </row>
    <row r="6" spans="1:8" ht="16.5" customHeight="1" x14ac:dyDescent="0.35">
      <c r="A6" s="137" t="s">
        <v>4</v>
      </c>
      <c r="B6" s="137"/>
      <c r="C6" s="137"/>
      <c r="D6" s="137"/>
      <c r="E6" s="137" t="s">
        <v>160</v>
      </c>
      <c r="F6" s="137"/>
      <c r="G6" s="137"/>
      <c r="H6" s="137"/>
    </row>
    <row r="7" spans="1:8" ht="15" customHeight="1" x14ac:dyDescent="0.35">
      <c r="A7" s="137" t="s">
        <v>5</v>
      </c>
      <c r="B7" s="137"/>
      <c r="C7" s="137"/>
      <c r="D7" s="137"/>
      <c r="E7" s="137" t="str">
        <f>E6</f>
        <v>Vijay Bhushan Developers</v>
      </c>
      <c r="F7" s="137"/>
      <c r="G7" s="137"/>
      <c r="H7" s="137"/>
    </row>
    <row r="8" spans="1:8" x14ac:dyDescent="0.35">
      <c r="A8" s="137" t="s">
        <v>6</v>
      </c>
      <c r="B8" s="137"/>
      <c r="C8" s="137"/>
      <c r="D8" s="137"/>
      <c r="E8" s="108" t="s">
        <v>161</v>
      </c>
      <c r="F8" s="108"/>
      <c r="G8" s="108"/>
      <c r="H8" s="108"/>
    </row>
    <row r="9" spans="1:8" x14ac:dyDescent="0.35">
      <c r="A9" s="137" t="s">
        <v>157</v>
      </c>
      <c r="B9" s="137"/>
      <c r="C9" s="137"/>
      <c r="D9" s="137"/>
      <c r="E9" s="137" t="s">
        <v>162</v>
      </c>
      <c r="F9" s="137"/>
      <c r="G9" s="137"/>
      <c r="H9" s="137"/>
    </row>
    <row r="10" spans="1:8" hidden="1" x14ac:dyDescent="0.35">
      <c r="A10" s="137" t="s">
        <v>158</v>
      </c>
      <c r="B10" s="137"/>
      <c r="C10" s="137"/>
      <c r="D10" s="137"/>
      <c r="E10" s="137" t="s">
        <v>220</v>
      </c>
      <c r="F10" s="137"/>
      <c r="G10" s="137"/>
      <c r="H10" s="137"/>
    </row>
    <row r="11" spans="1:8" x14ac:dyDescent="0.35">
      <c r="A11" s="137" t="s">
        <v>7</v>
      </c>
      <c r="B11" s="137"/>
      <c r="C11" s="137"/>
      <c r="D11" s="137"/>
      <c r="E11" s="137" t="s">
        <v>176</v>
      </c>
      <c r="F11" s="137"/>
      <c r="G11" s="137"/>
      <c r="H11" s="137"/>
    </row>
    <row r="12" spans="1:8" ht="32.25" customHeight="1" x14ac:dyDescent="0.35">
      <c r="A12" s="106" t="s">
        <v>8</v>
      </c>
      <c r="B12" s="106"/>
      <c r="C12" s="106"/>
      <c r="D12" s="106"/>
      <c r="E12" s="138" t="s">
        <v>109</v>
      </c>
      <c r="F12" s="138"/>
      <c r="G12" s="138"/>
      <c r="H12" s="138"/>
    </row>
    <row r="13" spans="1:8" x14ac:dyDescent="0.35">
      <c r="A13" s="106" t="s">
        <v>9</v>
      </c>
      <c r="B13" s="106"/>
      <c r="C13" s="106"/>
      <c r="D13" s="106"/>
      <c r="E13" s="138" t="s">
        <v>163</v>
      </c>
      <c r="F13" s="137"/>
      <c r="G13" s="137"/>
      <c r="H13" s="137"/>
    </row>
    <row r="14" spans="1:8" ht="33" customHeight="1" x14ac:dyDescent="0.35">
      <c r="A14" s="139" t="s">
        <v>10</v>
      </c>
      <c r="B14" s="139"/>
      <c r="C14" s="13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Hazare Heights, CTS No.96, near Poojan Palacia Apartment Building, Internal Road, Shivaji Nagar, Dahivali, Karjat, Karjat, Raigad - 410201.</v>
      </c>
      <c r="D14" s="139"/>
      <c r="E14" s="139"/>
      <c r="F14" s="139"/>
      <c r="G14" s="139"/>
      <c r="H14" s="139"/>
    </row>
    <row r="15" spans="1:8" x14ac:dyDescent="0.35">
      <c r="A15" s="138" t="s">
        <v>171</v>
      </c>
      <c r="B15" s="138"/>
      <c r="C15" s="138">
        <v>96</v>
      </c>
      <c r="D15" s="138"/>
      <c r="E15" s="138"/>
      <c r="F15" s="138"/>
      <c r="G15" s="138"/>
      <c r="H15" s="138"/>
    </row>
    <row r="16" spans="1:8" ht="15.75" customHeight="1" x14ac:dyDescent="0.35">
      <c r="A16" s="138" t="s">
        <v>156</v>
      </c>
      <c r="B16" s="138"/>
      <c r="C16" s="138" t="s">
        <v>174</v>
      </c>
      <c r="D16" s="138"/>
      <c r="E16" s="138"/>
      <c r="F16" s="138"/>
      <c r="G16" s="138"/>
      <c r="H16" s="138"/>
    </row>
    <row r="17" spans="1:8" ht="15.75" customHeight="1" x14ac:dyDescent="0.35">
      <c r="A17" s="139" t="s">
        <v>11</v>
      </c>
      <c r="B17" s="139"/>
      <c r="C17" s="137" t="s">
        <v>175</v>
      </c>
      <c r="D17" s="137"/>
      <c r="E17" s="139" t="s">
        <v>76</v>
      </c>
      <c r="F17" s="139"/>
      <c r="G17" s="138" t="s">
        <v>172</v>
      </c>
      <c r="H17" s="138"/>
    </row>
    <row r="18" spans="1:8" x14ac:dyDescent="0.35">
      <c r="A18" s="106" t="s">
        <v>13</v>
      </c>
      <c r="B18" s="106"/>
      <c r="C18" s="138" t="s">
        <v>170</v>
      </c>
      <c r="D18" s="138"/>
      <c r="E18" s="139" t="s">
        <v>12</v>
      </c>
      <c r="F18" s="139"/>
      <c r="G18" s="155" t="s">
        <v>169</v>
      </c>
      <c r="H18" s="155"/>
    </row>
    <row r="19" spans="1:8" x14ac:dyDescent="0.35">
      <c r="A19" s="106" t="s">
        <v>77</v>
      </c>
      <c r="B19" s="106"/>
      <c r="C19" s="138" t="s">
        <v>170</v>
      </c>
      <c r="D19" s="138"/>
      <c r="E19" s="139" t="s">
        <v>14</v>
      </c>
      <c r="F19" s="139"/>
      <c r="G19" s="138">
        <v>410201</v>
      </c>
      <c r="H19" s="138"/>
    </row>
    <row r="20" spans="1:8" ht="32.25" customHeight="1" x14ac:dyDescent="0.35">
      <c r="A20" s="106" t="s">
        <v>115</v>
      </c>
      <c r="B20" s="106"/>
      <c r="C20" s="138" t="s">
        <v>173</v>
      </c>
      <c r="D20" s="138"/>
      <c r="E20" s="139" t="s">
        <v>15</v>
      </c>
      <c r="F20" s="139"/>
      <c r="G20" s="138" t="s">
        <v>168</v>
      </c>
      <c r="H20" s="138"/>
    </row>
    <row r="21" spans="1:8" ht="15" customHeight="1" x14ac:dyDescent="0.35">
      <c r="A21" s="139" t="s">
        <v>79</v>
      </c>
      <c r="B21" s="139"/>
      <c r="C21" s="139"/>
      <c r="D21" s="139"/>
      <c r="E21" s="137" t="s">
        <v>16</v>
      </c>
      <c r="F21" s="137"/>
      <c r="G21" s="137"/>
      <c r="H21" s="137"/>
    </row>
    <row r="22" spans="1:8" ht="18.75" customHeight="1" x14ac:dyDescent="0.35">
      <c r="A22" s="139"/>
      <c r="B22" s="139"/>
      <c r="C22" s="139"/>
      <c r="D22" s="139"/>
      <c r="E22" s="137"/>
      <c r="F22" s="137"/>
      <c r="G22" s="137"/>
      <c r="H22" s="137"/>
    </row>
    <row r="23" spans="1:8" ht="15" customHeight="1" x14ac:dyDescent="0.35">
      <c r="A23" s="139" t="s">
        <v>17</v>
      </c>
      <c r="B23" s="139"/>
      <c r="C23" s="139"/>
      <c r="D23" s="139"/>
      <c r="E23" s="138" t="s">
        <v>18</v>
      </c>
      <c r="F23" s="138"/>
      <c r="G23" s="138"/>
      <c r="H23" s="138"/>
    </row>
    <row r="24" spans="1:8" ht="15" customHeight="1" x14ac:dyDescent="0.35">
      <c r="A24" s="106" t="s">
        <v>19</v>
      </c>
      <c r="B24" s="106"/>
      <c r="C24" s="106"/>
      <c r="D24" s="106"/>
      <c r="E24" s="138" t="str">
        <f>IF(AND(G18="Mumbai"),"Upper Class","Middle Class")</f>
        <v>Middle Class</v>
      </c>
      <c r="F24" s="138"/>
      <c r="G24" s="138"/>
      <c r="H24" s="138"/>
    </row>
    <row r="25" spans="1:8" x14ac:dyDescent="0.35">
      <c r="A25" s="106" t="s">
        <v>20</v>
      </c>
      <c r="B25" s="106"/>
      <c r="C25" s="106"/>
      <c r="D25" s="106"/>
      <c r="E25" s="138" t="s">
        <v>21</v>
      </c>
      <c r="F25" s="138"/>
      <c r="G25" s="138"/>
      <c r="H25" s="138"/>
    </row>
    <row r="26" spans="1:8" ht="15.75" customHeight="1" x14ac:dyDescent="0.35">
      <c r="A26" s="106" t="s">
        <v>22</v>
      </c>
      <c r="B26" s="106"/>
      <c r="C26" s="106"/>
      <c r="D26" s="106"/>
      <c r="E26" s="138" t="str">
        <f>IF(AND(G18="Mumbai"),"Developed","Developing")</f>
        <v>Developing</v>
      </c>
      <c r="F26" s="138"/>
      <c r="G26" s="138"/>
      <c r="H26" s="138"/>
    </row>
    <row r="27" spans="1:8" x14ac:dyDescent="0.35">
      <c r="A27" s="106" t="s">
        <v>23</v>
      </c>
      <c r="B27" s="106"/>
      <c r="C27" s="106"/>
      <c r="D27" s="106"/>
      <c r="E27" s="138" t="s">
        <v>24</v>
      </c>
      <c r="F27" s="138"/>
      <c r="G27" s="138"/>
      <c r="H27" s="138"/>
    </row>
    <row r="28" spans="1:8" ht="15.75" customHeight="1" x14ac:dyDescent="0.35">
      <c r="A28" s="106" t="s">
        <v>84</v>
      </c>
      <c r="B28" s="106"/>
      <c r="C28" s="106"/>
      <c r="D28" s="106"/>
      <c r="E28" s="138" t="s">
        <v>85</v>
      </c>
      <c r="F28" s="138"/>
      <c r="G28" s="138"/>
      <c r="H28" s="138"/>
    </row>
    <row r="29" spans="1:8" ht="15" customHeight="1" x14ac:dyDescent="0.35">
      <c r="A29" s="106" t="s">
        <v>35</v>
      </c>
      <c r="B29" s="106"/>
      <c r="C29" s="106"/>
      <c r="D29" s="106"/>
      <c r="E29" s="13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38"/>
      <c r="G29" s="138"/>
      <c r="H29" s="138"/>
    </row>
    <row r="30" spans="1:8" ht="15.75" customHeight="1" x14ac:dyDescent="0.35">
      <c r="A30" s="106" t="s">
        <v>96</v>
      </c>
      <c r="B30" s="106"/>
      <c r="C30" s="106"/>
      <c r="D30" s="106"/>
      <c r="E30" s="138" t="s">
        <v>36</v>
      </c>
      <c r="F30" s="138"/>
      <c r="G30" s="138"/>
      <c r="H30" s="138"/>
    </row>
    <row r="31" spans="1:8" s="13" customFormat="1" x14ac:dyDescent="0.35">
      <c r="A31" s="152" t="s">
        <v>97</v>
      </c>
      <c r="B31" s="152"/>
      <c r="C31" s="151" t="s">
        <v>29</v>
      </c>
      <c r="D31" s="151"/>
      <c r="E31" s="151"/>
      <c r="F31" s="151" t="s">
        <v>31</v>
      </c>
      <c r="G31" s="151"/>
      <c r="H31" s="151"/>
    </row>
    <row r="32" spans="1:8" s="13" customFormat="1" x14ac:dyDescent="0.35">
      <c r="A32" s="143" t="s">
        <v>25</v>
      </c>
      <c r="B32" s="143" t="s">
        <v>30</v>
      </c>
      <c r="C32" s="144" t="s">
        <v>30</v>
      </c>
      <c r="D32" s="144"/>
      <c r="E32" s="144"/>
      <c r="F32" s="144" t="s">
        <v>165</v>
      </c>
      <c r="G32" s="144"/>
      <c r="H32" s="144"/>
    </row>
    <row r="33" spans="1:9" x14ac:dyDescent="0.35">
      <c r="A33" s="143" t="s">
        <v>26</v>
      </c>
      <c r="B33" s="143" t="s">
        <v>30</v>
      </c>
      <c r="C33" s="144" t="s">
        <v>30</v>
      </c>
      <c r="D33" s="144"/>
      <c r="E33" s="144"/>
      <c r="F33" s="144" t="s">
        <v>166</v>
      </c>
      <c r="G33" s="144"/>
      <c r="H33" s="144"/>
    </row>
    <row r="34" spans="1:9" s="13" customFormat="1" x14ac:dyDescent="0.35">
      <c r="A34" s="143" t="s">
        <v>28</v>
      </c>
      <c r="B34" s="143" t="s">
        <v>30</v>
      </c>
      <c r="C34" s="144" t="s">
        <v>30</v>
      </c>
      <c r="D34" s="144"/>
      <c r="E34" s="144"/>
      <c r="F34" s="144" t="s">
        <v>165</v>
      </c>
      <c r="G34" s="144"/>
      <c r="H34" s="144"/>
    </row>
    <row r="35" spans="1:9" x14ac:dyDescent="0.35">
      <c r="A35" s="143" t="s">
        <v>27</v>
      </c>
      <c r="B35" s="143" t="s">
        <v>30</v>
      </c>
      <c r="C35" s="144" t="s">
        <v>30</v>
      </c>
      <c r="D35" s="144"/>
      <c r="E35" s="144"/>
      <c r="F35" s="144" t="s">
        <v>167</v>
      </c>
      <c r="G35" s="144"/>
      <c r="H35" s="144"/>
    </row>
    <row r="36" spans="1:9" x14ac:dyDescent="0.35">
      <c r="A36" s="106" t="s">
        <v>32</v>
      </c>
      <c r="B36" s="106"/>
      <c r="C36" s="106"/>
      <c r="D36" s="106"/>
      <c r="E36" s="106"/>
      <c r="F36" s="106"/>
      <c r="G36" s="106"/>
      <c r="H36" s="106"/>
    </row>
    <row r="37" spans="1:9" ht="15.75" customHeight="1" x14ac:dyDescent="0.35">
      <c r="A37" s="117" t="s">
        <v>33</v>
      </c>
      <c r="B37" s="117"/>
      <c r="C37" s="147">
        <v>18.907212399999999</v>
      </c>
      <c r="D37" s="147"/>
      <c r="E37" s="117" t="s">
        <v>34</v>
      </c>
      <c r="F37" s="117"/>
      <c r="G37" s="148">
        <v>73.337507700000003</v>
      </c>
      <c r="H37" s="148"/>
    </row>
    <row r="38" spans="1:9" x14ac:dyDescent="0.35">
      <c r="A38" s="117" t="s">
        <v>155</v>
      </c>
      <c r="B38" s="117"/>
      <c r="C38" s="149" t="s">
        <v>164</v>
      </c>
      <c r="D38" s="150"/>
      <c r="E38" s="150"/>
      <c r="F38" s="150"/>
      <c r="G38" s="150"/>
      <c r="H38" s="150"/>
    </row>
    <row r="39" spans="1:9" x14ac:dyDescent="0.35">
      <c r="A39" s="146" t="s">
        <v>37</v>
      </c>
      <c r="B39" s="146"/>
      <c r="C39" s="146"/>
      <c r="D39" s="146"/>
      <c r="E39" s="146"/>
      <c r="F39" s="146"/>
      <c r="G39" s="146"/>
      <c r="H39" s="146"/>
    </row>
    <row r="40" spans="1:9" x14ac:dyDescent="0.35">
      <c r="A40" s="106" t="s">
        <v>38</v>
      </c>
      <c r="B40" s="106"/>
      <c r="C40" s="106"/>
      <c r="D40" s="106"/>
      <c r="E40" s="145">
        <v>1945.02</v>
      </c>
      <c r="F40" s="145"/>
      <c r="G40" s="145"/>
      <c r="H40" s="145"/>
    </row>
    <row r="41" spans="1:9" x14ac:dyDescent="0.35">
      <c r="A41" s="106" t="s">
        <v>39</v>
      </c>
      <c r="B41" s="106"/>
      <c r="C41" s="106"/>
      <c r="D41" s="106"/>
      <c r="E41" s="135">
        <v>1.35</v>
      </c>
      <c r="F41" s="135"/>
      <c r="G41" s="135"/>
      <c r="H41" s="135"/>
      <c r="I41" s="12">
        <v>1945.02</v>
      </c>
    </row>
    <row r="42" spans="1:9" x14ac:dyDescent="0.35">
      <c r="A42" s="106" t="s">
        <v>40</v>
      </c>
      <c r="B42" s="106"/>
      <c r="C42" s="106"/>
      <c r="D42" s="106"/>
      <c r="E42" s="135">
        <f>E44/E40-E41</f>
        <v>1.5424005923581063E-6</v>
      </c>
      <c r="F42" s="135"/>
      <c r="G42" s="135"/>
      <c r="H42" s="135"/>
      <c r="I42" s="12">
        <v>1.21</v>
      </c>
    </row>
    <row r="43" spans="1:9" x14ac:dyDescent="0.35">
      <c r="A43" s="106" t="s">
        <v>41</v>
      </c>
      <c r="B43" s="106"/>
      <c r="C43" s="106"/>
      <c r="D43" s="106"/>
      <c r="E43" s="135">
        <f>E41+E42</f>
        <v>1.3500015424005924</v>
      </c>
      <c r="F43" s="135"/>
      <c r="G43" s="135"/>
      <c r="H43" s="135"/>
      <c r="I43" s="12">
        <f>I42*I41</f>
        <v>2353.4742000000001</v>
      </c>
    </row>
    <row r="44" spans="1:9" x14ac:dyDescent="0.35">
      <c r="A44" s="106" t="s">
        <v>95</v>
      </c>
      <c r="B44" s="106"/>
      <c r="C44" s="106"/>
      <c r="D44" s="106"/>
      <c r="E44" s="136">
        <v>2625.78</v>
      </c>
      <c r="F44" s="136"/>
      <c r="G44" s="136"/>
      <c r="H44" s="136"/>
      <c r="I44" s="12">
        <v>2625.78</v>
      </c>
    </row>
    <row r="45" spans="1:9" x14ac:dyDescent="0.35">
      <c r="A45" s="137" t="s">
        <v>42</v>
      </c>
      <c r="B45" s="137"/>
      <c r="C45" s="137"/>
      <c r="D45" s="137"/>
      <c r="E45" s="137" t="s">
        <v>178</v>
      </c>
      <c r="F45" s="137"/>
      <c r="G45" s="137"/>
      <c r="H45" s="137"/>
      <c r="I45" s="12">
        <f>I44/I41</f>
        <v>1.3500015424005924</v>
      </c>
    </row>
    <row r="46" spans="1:9" x14ac:dyDescent="0.35">
      <c r="A46" s="146" t="s">
        <v>43</v>
      </c>
      <c r="B46" s="146"/>
      <c r="C46" s="146"/>
      <c r="D46" s="146"/>
      <c r="E46" s="146"/>
      <c r="F46" s="146"/>
      <c r="G46" s="146"/>
      <c r="H46" s="146"/>
    </row>
    <row r="47" spans="1:9" ht="33.75" customHeight="1" x14ac:dyDescent="0.35">
      <c r="A47" s="91" t="s">
        <v>143</v>
      </c>
      <c r="B47" s="93"/>
      <c r="C47" s="94" t="s">
        <v>177</v>
      </c>
      <c r="D47" s="95"/>
      <c r="E47" s="95"/>
      <c r="F47" s="95"/>
      <c r="G47" s="95"/>
      <c r="H47" s="96"/>
    </row>
    <row r="48" spans="1:9" ht="15.75" customHeight="1" x14ac:dyDescent="0.35">
      <c r="A48" s="91" t="s">
        <v>44</v>
      </c>
      <c r="B48" s="93"/>
      <c r="C48" s="91" t="s">
        <v>179</v>
      </c>
      <c r="D48" s="92"/>
      <c r="E48" s="93"/>
      <c r="F48" s="9" t="s">
        <v>45</v>
      </c>
      <c r="G48" s="142">
        <v>43392</v>
      </c>
      <c r="H48" s="93"/>
    </row>
    <row r="49" spans="1:14" x14ac:dyDescent="0.35">
      <c r="A49" s="91" t="s">
        <v>46</v>
      </c>
      <c r="B49" s="93"/>
      <c r="C49" s="91" t="s">
        <v>208</v>
      </c>
      <c r="D49" s="92"/>
      <c r="E49" s="93"/>
      <c r="F49" s="9" t="s">
        <v>45</v>
      </c>
      <c r="G49" s="142">
        <v>45072</v>
      </c>
      <c r="H49" s="160"/>
    </row>
    <row r="50" spans="1:14" s="14" customFormat="1" x14ac:dyDescent="0.35">
      <c r="A50" s="161" t="s">
        <v>147</v>
      </c>
      <c r="B50" s="162"/>
      <c r="C50" s="91" t="str">
        <f>C49</f>
        <v>CCRUM/PO/2023/APL/00003</v>
      </c>
      <c r="D50" s="92"/>
      <c r="E50" s="93"/>
      <c r="F50" s="9" t="s">
        <v>45</v>
      </c>
      <c r="G50" s="142">
        <v>43297</v>
      </c>
      <c r="H50" s="160"/>
    </row>
    <row r="51" spans="1:14" s="14" customFormat="1" ht="15.75" customHeight="1" x14ac:dyDescent="0.35">
      <c r="A51" s="163"/>
      <c r="B51" s="164"/>
      <c r="C51" s="91" t="s">
        <v>180</v>
      </c>
      <c r="D51" s="92"/>
      <c r="E51" s="92"/>
      <c r="F51" s="92"/>
      <c r="G51" s="92"/>
      <c r="H51" s="93"/>
    </row>
    <row r="52" spans="1:14" ht="46.5" customHeight="1" x14ac:dyDescent="0.35">
      <c r="A52" s="166" t="s">
        <v>47</v>
      </c>
      <c r="B52" s="168"/>
      <c r="C52" s="166" t="s">
        <v>216</v>
      </c>
      <c r="D52" s="167"/>
      <c r="E52" s="168"/>
      <c r="F52" s="37" t="s">
        <v>45</v>
      </c>
      <c r="G52" s="170">
        <v>45467</v>
      </c>
      <c r="H52" s="171"/>
    </row>
    <row r="53" spans="1:14" x14ac:dyDescent="0.35">
      <c r="A53" s="169" t="s">
        <v>49</v>
      </c>
      <c r="B53" s="169"/>
      <c r="C53" s="169"/>
      <c r="D53" s="169"/>
      <c r="E53" s="169"/>
      <c r="F53" s="169"/>
      <c r="G53" s="169"/>
      <c r="H53" s="169"/>
    </row>
    <row r="54" spans="1:14" x14ac:dyDescent="0.35">
      <c r="A54" s="139" t="s">
        <v>94</v>
      </c>
      <c r="B54" s="139"/>
      <c r="C54" s="139"/>
      <c r="D54" s="106">
        <f>E44</f>
        <v>2625.78</v>
      </c>
      <c r="E54" s="106"/>
      <c r="F54" s="106"/>
      <c r="G54" s="106"/>
      <c r="H54" s="106"/>
    </row>
    <row r="55" spans="1:14" x14ac:dyDescent="0.35">
      <c r="A55" s="138" t="s">
        <v>50</v>
      </c>
      <c r="B55" s="137"/>
      <c r="C55" s="137"/>
      <c r="D55" s="137" t="s">
        <v>188</v>
      </c>
      <c r="E55" s="137"/>
      <c r="F55" s="137"/>
      <c r="G55" s="137"/>
      <c r="H55" s="137"/>
      <c r="I55" s="15"/>
    </row>
    <row r="56" spans="1:14" x14ac:dyDescent="0.35">
      <c r="A56" s="157" t="s">
        <v>51</v>
      </c>
      <c r="B56" s="158"/>
      <c r="C56" s="159"/>
      <c r="D56" s="141" t="s">
        <v>180</v>
      </c>
      <c r="E56" s="156"/>
      <c r="F56" s="156"/>
      <c r="G56" s="156"/>
      <c r="H56" s="156"/>
    </row>
    <row r="57" spans="1:14" ht="15.75" customHeight="1" x14ac:dyDescent="0.35">
      <c r="A57" s="157" t="s">
        <v>92</v>
      </c>
      <c r="B57" s="158"/>
      <c r="C57" s="158"/>
      <c r="D57" s="185" t="s">
        <v>181</v>
      </c>
      <c r="E57" s="186"/>
      <c r="F57" s="186"/>
      <c r="G57" s="186"/>
      <c r="H57" s="187"/>
    </row>
    <row r="58" spans="1:14" ht="15.75" customHeight="1" x14ac:dyDescent="0.35">
      <c r="A58" s="183"/>
      <c r="B58" s="184"/>
      <c r="C58" s="184"/>
      <c r="D58" s="188" t="s">
        <v>182</v>
      </c>
      <c r="E58" s="189"/>
      <c r="F58" s="189"/>
      <c r="G58" s="189"/>
      <c r="H58" s="190"/>
    </row>
    <row r="59" spans="1:14" ht="15.75" customHeight="1" x14ac:dyDescent="0.35">
      <c r="A59" s="106" t="s">
        <v>48</v>
      </c>
      <c r="B59" s="106"/>
      <c r="C59" s="106"/>
      <c r="D59" s="132" t="s">
        <v>215</v>
      </c>
      <c r="E59" s="132"/>
      <c r="F59" s="132"/>
      <c r="G59" s="132"/>
      <c r="H59" s="132"/>
      <c r="J59" s="16"/>
      <c r="K59" s="15"/>
      <c r="N59" s="15"/>
    </row>
    <row r="60" spans="1:14" ht="15.75" customHeight="1" x14ac:dyDescent="0.35">
      <c r="A60" s="106" t="s">
        <v>90</v>
      </c>
      <c r="B60" s="106"/>
      <c r="C60" s="106"/>
      <c r="D60" s="134" t="str">
        <f ca="1">(IF(G52="NA","60 Years After Completion",IF(G52&lt;&gt;"NA",""&amp;60-ROUNDDOWN((E3-G52)/360,0)&amp;" Years"," ")))</f>
        <v>59 Years</v>
      </c>
      <c r="E60" s="134"/>
      <c r="F60" s="134"/>
      <c r="G60" s="134"/>
      <c r="H60" s="134"/>
      <c r="N60" s="15"/>
    </row>
    <row r="61" spans="1:14" ht="15.75" customHeight="1" x14ac:dyDescent="0.35">
      <c r="A61" s="106" t="s">
        <v>91</v>
      </c>
      <c r="B61" s="106"/>
      <c r="C61" s="106"/>
      <c r="D61" s="139" t="s">
        <v>24</v>
      </c>
      <c r="E61" s="139"/>
      <c r="F61" s="139"/>
      <c r="G61" s="139"/>
      <c r="H61" s="139"/>
      <c r="J61" s="17"/>
      <c r="K61" s="17"/>
    </row>
    <row r="62" spans="1:14" ht="30.75" customHeight="1" x14ac:dyDescent="0.35">
      <c r="A62" s="106" t="s">
        <v>78</v>
      </c>
      <c r="B62" s="106"/>
      <c r="C62" s="106"/>
      <c r="D62" s="138" t="s">
        <v>205</v>
      </c>
      <c r="E62" s="139"/>
      <c r="F62" s="139"/>
      <c r="G62" s="139"/>
      <c r="H62" s="139"/>
    </row>
    <row r="63" spans="1:14" x14ac:dyDescent="0.35">
      <c r="A63" s="139" t="s">
        <v>141</v>
      </c>
      <c r="B63" s="139"/>
      <c r="C63" s="139"/>
      <c r="D63" s="139" t="s">
        <v>30</v>
      </c>
      <c r="E63" s="139"/>
      <c r="F63" s="139"/>
      <c r="G63" s="139"/>
      <c r="H63" s="139"/>
      <c r="I63" s="18"/>
      <c r="J63" s="18"/>
      <c r="K63" s="18"/>
      <c r="L63" s="18"/>
      <c r="M63" s="18"/>
      <c r="N63" s="18"/>
    </row>
    <row r="64" spans="1:14" ht="15.75" customHeight="1" x14ac:dyDescent="0.35">
      <c r="A64" s="140" t="s">
        <v>89</v>
      </c>
      <c r="B64" s="140"/>
      <c r="C64" s="140"/>
      <c r="D64" s="141" t="str">
        <f ca="1">(IF(G70&gt;95%,"Nothing",IF(G70&gt;0%,"Cement, Aggregate, Steel, etc",IF(G70=0%,"Work not yet Started"))))</f>
        <v>Nothing</v>
      </c>
      <c r="E64" s="141"/>
      <c r="F64" s="141"/>
      <c r="G64" s="141"/>
      <c r="H64" s="141"/>
      <c r="J64" s="17"/>
    </row>
    <row r="65" spans="1:10" ht="33.75" customHeight="1" thickBot="1" x14ac:dyDescent="0.4">
      <c r="A65" s="139" t="s">
        <v>112</v>
      </c>
      <c r="B65" s="139"/>
      <c r="C65" s="139"/>
      <c r="D65" s="138" t="str">
        <f ca="1">(IF(D64="Nothing","Yes",IF(D64="Cement, Aggregate, Steel, etc","Under Construction",IF(D64="Work not yet Started","Work not yet Started"))))</f>
        <v>Yes</v>
      </c>
      <c r="E65" s="138"/>
      <c r="F65" s="138" t="str">
        <f ca="1">(IF(D64="Nothing","Yes",IF(D64="Cement, Aggregate, Steel, etc","Under Construction",IF(D64="Work not yet Started","Work not yet Started"))))</f>
        <v>Yes</v>
      </c>
      <c r="G65" s="138"/>
      <c r="H65" s="138"/>
    </row>
    <row r="66" spans="1:10" ht="15.75" customHeight="1" x14ac:dyDescent="0.35">
      <c r="A66" s="165" t="s">
        <v>133</v>
      </c>
      <c r="B66" s="165"/>
      <c r="C66" s="165" t="s">
        <v>180</v>
      </c>
      <c r="D66" s="165"/>
      <c r="E66" s="165"/>
      <c r="F66" s="165"/>
      <c r="G66" s="165"/>
      <c r="H66" s="165"/>
      <c r="I66" s="71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35">
      <c r="A67" s="70" t="s">
        <v>135</v>
      </c>
      <c r="B67" s="70">
        <v>0</v>
      </c>
      <c r="C67" s="70" t="s">
        <v>75</v>
      </c>
      <c r="D67" s="70">
        <v>1</v>
      </c>
      <c r="E67" s="70" t="s">
        <v>74</v>
      </c>
      <c r="F67" s="70">
        <v>0</v>
      </c>
      <c r="G67" s="70" t="s">
        <v>83</v>
      </c>
      <c r="H67" s="70">
        <f ca="1">--TRIM(RIGHT(SUBSTITUTE(LEFT(C66,_xlfn.AGGREGATE(16,6,FIND({0,1,2,3,4,5,6,7,8,9},C66,ROW(INDIRECT("1:"&amp;LEN(C66)))),1))," ",REPT(" ",LEN(C66))),LEN(C66)))</f>
        <v>4</v>
      </c>
      <c r="I67" s="7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5">
      <c r="A68" s="108" t="s">
        <v>93</v>
      </c>
      <c r="B68" s="108"/>
      <c r="C68" s="109" t="str">
        <f ca="1">I66</f>
        <v>All work Completed. Possession granted to the Building.</v>
      </c>
      <c r="D68" s="109"/>
      <c r="E68" s="109"/>
      <c r="F68" s="109"/>
      <c r="G68" s="109"/>
      <c r="H68" s="109"/>
      <c r="I68" s="72" t="str">
        <f ca="1">IF(I67&lt;&gt;""," Completed","")</f>
        <v xml:space="preserve"> Completed</v>
      </c>
      <c r="J68" s="42" t="str">
        <f ca="1">IF(J66&lt;&gt;"","Completed","")</f>
        <v/>
      </c>
    </row>
    <row r="69" spans="1:10" ht="15.75" customHeight="1" x14ac:dyDescent="0.35">
      <c r="A69" s="104" t="s">
        <v>52</v>
      </c>
      <c r="B69" s="104"/>
      <c r="C69" s="69" t="s">
        <v>132</v>
      </c>
      <c r="D69" s="69" t="s">
        <v>86</v>
      </c>
      <c r="E69" s="104" t="s">
        <v>88</v>
      </c>
      <c r="F69" s="104"/>
      <c r="G69" s="104" t="s">
        <v>87</v>
      </c>
      <c r="H69" s="104"/>
      <c r="I69" s="5" t="s">
        <v>134</v>
      </c>
      <c r="J69" s="19">
        <f ca="1">H67*25%</f>
        <v>1</v>
      </c>
    </row>
    <row r="70" spans="1:10" x14ac:dyDescent="0.35">
      <c r="A70" s="104" t="s">
        <v>121</v>
      </c>
      <c r="B70" s="104"/>
      <c r="C70" s="69">
        <f ca="1">J71</f>
        <v>4</v>
      </c>
      <c r="D70" s="10">
        <f ca="1">((100/H67)*C70)/100</f>
        <v>1</v>
      </c>
      <c r="E70" s="133">
        <f ca="1">(((C71/H67*10)+(40/(D67+F67+H67)*C72)+(7.5/(H67)*C73)+(7.5/(H67)*C74)+(10/H67*C75)+(10/H67*C76)+(5/H67*C77)+(5/H67*C78)+(5/H67*C79))/100)</f>
        <v>1</v>
      </c>
      <c r="F70" s="133"/>
      <c r="G70" s="133">
        <f ca="1">((((C70/H67)*20)+((C71/H67)*25)+(30/(H67+F67+D67)*C72)+(5/H67*C73)+(5/H67*C74)+(5/H67*C75)+(5/H67*C76)+(0/H67*C77)+(0/H67*C78)+(5/H67*C79))/100)</f>
        <v>1</v>
      </c>
      <c r="H70" s="133"/>
      <c r="I70" s="5" t="s">
        <v>104</v>
      </c>
      <c r="J70" s="20">
        <f ca="1">H67*50%</f>
        <v>2</v>
      </c>
    </row>
    <row r="71" spans="1:10" x14ac:dyDescent="0.35">
      <c r="A71" s="104" t="s">
        <v>53</v>
      </c>
      <c r="B71" s="104"/>
      <c r="C71" s="69">
        <f ca="1">J79</f>
        <v>4</v>
      </c>
      <c r="D71" s="10">
        <f ca="1">((100/H67)*C71)/100</f>
        <v>1</v>
      </c>
      <c r="E71" s="133"/>
      <c r="F71" s="133"/>
      <c r="G71" s="133"/>
      <c r="H71" s="133"/>
      <c r="I71" s="5" t="s">
        <v>105</v>
      </c>
      <c r="J71" s="20">
        <f ca="1">H67</f>
        <v>4</v>
      </c>
    </row>
    <row r="72" spans="1:10" ht="15.75" customHeight="1" x14ac:dyDescent="0.35">
      <c r="A72" s="104" t="s">
        <v>122</v>
      </c>
      <c r="B72" s="104"/>
      <c r="C72" s="69">
        <v>5</v>
      </c>
      <c r="D72" s="10">
        <f ca="1">((100/(D67+F67+H67))*C72)/100</f>
        <v>1</v>
      </c>
      <c r="E72" s="133"/>
      <c r="F72" s="133"/>
      <c r="G72" s="133"/>
      <c r="H72" s="133"/>
      <c r="I72" s="5" t="s">
        <v>106</v>
      </c>
      <c r="J72" s="21">
        <f ca="1">(IF(B67&gt;1,(H67/(B67+2)),H67/4))</f>
        <v>1</v>
      </c>
    </row>
    <row r="73" spans="1:10" ht="15.75" customHeight="1" x14ac:dyDescent="0.35">
      <c r="A73" s="104" t="s">
        <v>129</v>
      </c>
      <c r="B73" s="104" t="s">
        <v>123</v>
      </c>
      <c r="C73" s="69">
        <v>4</v>
      </c>
      <c r="D73" s="10">
        <f ca="1">((100/H67)*C73)/100</f>
        <v>1</v>
      </c>
      <c r="E73" s="133"/>
      <c r="F73" s="133"/>
      <c r="G73" s="133"/>
      <c r="H73" s="133"/>
      <c r="I73" s="5" t="s">
        <v>107</v>
      </c>
      <c r="J73" s="21">
        <f ca="1">(IF(B67&gt;1,(H67/(B67+2)+J72),H67/4+J72))</f>
        <v>2</v>
      </c>
    </row>
    <row r="74" spans="1:10" ht="15.75" customHeight="1" x14ac:dyDescent="0.35">
      <c r="A74" s="104" t="s">
        <v>130</v>
      </c>
      <c r="B74" s="104" t="s">
        <v>123</v>
      </c>
      <c r="C74" s="69">
        <v>4</v>
      </c>
      <c r="D74" s="10">
        <f ca="1">((100/H67)*C74)/100</f>
        <v>1</v>
      </c>
      <c r="E74" s="133"/>
      <c r="F74" s="133"/>
      <c r="G74" s="133"/>
      <c r="H74" s="133"/>
      <c r="I74" s="5" t="s">
        <v>139</v>
      </c>
      <c r="J74" s="21">
        <f>(IF(B67&gt;1,(H67/(B67+2)+J73),0))</f>
        <v>0</v>
      </c>
    </row>
    <row r="75" spans="1:10" ht="15" customHeight="1" x14ac:dyDescent="0.35">
      <c r="A75" s="104" t="s">
        <v>128</v>
      </c>
      <c r="B75" s="104" t="s">
        <v>125</v>
      </c>
      <c r="C75" s="69">
        <v>4</v>
      </c>
      <c r="D75" s="10">
        <f ca="1">((100/(H67))*C75)/100</f>
        <v>1</v>
      </c>
      <c r="E75" s="133"/>
      <c r="F75" s="133"/>
      <c r="G75" s="133"/>
      <c r="H75" s="133"/>
      <c r="I75" s="5" t="s">
        <v>136</v>
      </c>
      <c r="J75" s="21">
        <f>(IF(B67&gt;2,(H67/(B67+2)+J74),0))</f>
        <v>0</v>
      </c>
    </row>
    <row r="76" spans="1:10" ht="15.75" customHeight="1" x14ac:dyDescent="0.35">
      <c r="A76" s="104" t="s">
        <v>124</v>
      </c>
      <c r="B76" s="104" t="s">
        <v>124</v>
      </c>
      <c r="C76" s="69">
        <v>4</v>
      </c>
      <c r="D76" s="10">
        <f ca="1">((100/H67)*C76)/100</f>
        <v>1</v>
      </c>
      <c r="E76" s="133"/>
      <c r="F76" s="133"/>
      <c r="G76" s="133"/>
      <c r="H76" s="133"/>
      <c r="I76" s="5" t="s">
        <v>137</v>
      </c>
      <c r="J76" s="22">
        <f>(IF(B67&gt;3,(H67/(B67+2)+J75),0))</f>
        <v>0</v>
      </c>
    </row>
    <row r="77" spans="1:10" ht="15.75" customHeight="1" x14ac:dyDescent="0.35">
      <c r="A77" s="104" t="s">
        <v>131</v>
      </c>
      <c r="B77" s="104"/>
      <c r="C77" s="69">
        <v>4</v>
      </c>
      <c r="D77" s="10">
        <f ca="1">((100/H67)*C77)/100</f>
        <v>1</v>
      </c>
      <c r="E77" s="133"/>
      <c r="F77" s="133"/>
      <c r="G77" s="133"/>
      <c r="H77" s="133"/>
      <c r="I77" s="5" t="s">
        <v>138</v>
      </c>
      <c r="J77" s="21">
        <f>(IF(B67&gt;4,(H67/(B67+2)+J76),0))</f>
        <v>0</v>
      </c>
    </row>
    <row r="78" spans="1:10" ht="15.75" customHeight="1" x14ac:dyDescent="0.35">
      <c r="A78" s="104" t="s">
        <v>126</v>
      </c>
      <c r="B78" s="104" t="s">
        <v>126</v>
      </c>
      <c r="C78" s="69">
        <v>4</v>
      </c>
      <c r="D78" s="10">
        <f ca="1">((100/(H67))*C78)/100</f>
        <v>1</v>
      </c>
      <c r="E78" s="133"/>
      <c r="F78" s="133"/>
      <c r="G78" s="133"/>
      <c r="H78" s="133"/>
      <c r="I78" s="5" t="s">
        <v>140</v>
      </c>
      <c r="J78" s="21">
        <f ca="1">(IF(B67=1,(H67/(B67+3)+J73),IF(B67=0,(H67/4+J73),IF(B67&gt;1,0))))</f>
        <v>3</v>
      </c>
    </row>
    <row r="79" spans="1:10" ht="16" thickBot="1" x14ac:dyDescent="0.4">
      <c r="A79" s="104" t="s">
        <v>127</v>
      </c>
      <c r="B79" s="104"/>
      <c r="C79" s="69">
        <v>4</v>
      </c>
      <c r="D79" s="10">
        <f ca="1">((100/(H67))*C79)/100</f>
        <v>1</v>
      </c>
      <c r="E79" s="133"/>
      <c r="F79" s="133"/>
      <c r="G79" s="133"/>
      <c r="H79" s="133"/>
      <c r="I79" s="6" t="s">
        <v>108</v>
      </c>
      <c r="J79" s="23">
        <f ca="1">(IF(B67&gt;1.5,(H67/(B67+2)+J73+MAX(0,J74-J73)+MAX(0,J75-J74)+MAX(0,J76-J75)+MAX(0,J77-J76)+MAX(0,J78-J77)),IF(B67=1,(H67/(B67+3)+J78),IF(B67=0,H67/4+J78))))</f>
        <v>4</v>
      </c>
    </row>
    <row r="80" spans="1:10" ht="15.75" hidden="1" customHeight="1" x14ac:dyDescent="0.35">
      <c r="A80" s="178" t="s">
        <v>133</v>
      </c>
      <c r="B80" s="179"/>
      <c r="C80" s="180" t="s">
        <v>182</v>
      </c>
      <c r="D80" s="181"/>
      <c r="E80" s="181"/>
      <c r="F80" s="181"/>
      <c r="G80" s="181"/>
      <c r="H80" s="182"/>
      <c r="I80" s="39" t="str">
        <f ca="1">IF(D93=100%,"All work Completed. Possession granted to the Building.",IF(D92=100%,"All work Completed, Waiting for OC",I81&amp;""&amp;I82&amp;""&amp;J81&amp;""&amp;J80&amp;" "&amp;J82))</f>
        <v>All work Completed. Possession granted to the Building.</v>
      </c>
      <c r="J80" s="40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hidden="1" x14ac:dyDescent="0.35">
      <c r="A81" s="7" t="s">
        <v>135</v>
      </c>
      <c r="B81" s="44">
        <v>0</v>
      </c>
      <c r="C81" s="44" t="s">
        <v>75</v>
      </c>
      <c r="D81" s="44">
        <v>1</v>
      </c>
      <c r="E81" s="44" t="s">
        <v>74</v>
      </c>
      <c r="F81" s="44">
        <v>0</v>
      </c>
      <c r="G81" s="44" t="s">
        <v>83</v>
      </c>
      <c r="H81" s="8">
        <f ca="1">--TRIM(RIGHT(SUBSTITUTE(LEFT(C80,_xlfn.AGGREGATE(16,6,FIND({0,1,2,3,4,5,6,7,8,9},C80,ROW(INDIRECT("1:"&amp;LEN(C80)))),1))," ",REPT(" ",LEN(C80))),LEN(C80)))</f>
        <v>4</v>
      </c>
      <c r="I81" s="41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Flooring, Painting, Building common Amenities</v>
      </c>
      <c r="J81" s="42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idden="1" x14ac:dyDescent="0.35">
      <c r="A82" s="107" t="s">
        <v>93</v>
      </c>
      <c r="B82" s="108"/>
      <c r="C82" s="109" t="s">
        <v>206</v>
      </c>
      <c r="D82" s="109"/>
      <c r="E82" s="109"/>
      <c r="F82" s="109"/>
      <c r="G82" s="109"/>
      <c r="H82" s="110"/>
      <c r="I82" s="41" t="str">
        <f ca="1">IF(I81&lt;&gt;""," Completed","")</f>
        <v xml:space="preserve"> Completed</v>
      </c>
      <c r="J82" s="42" t="str">
        <f ca="1">IF(J80&lt;&gt;"","Completed","")</f>
        <v/>
      </c>
    </row>
    <row r="83" spans="1:10" ht="15.75" hidden="1" customHeight="1" x14ac:dyDescent="0.35">
      <c r="A83" s="103" t="s">
        <v>52</v>
      </c>
      <c r="B83" s="104"/>
      <c r="C83" s="35" t="s">
        <v>132</v>
      </c>
      <c r="D83" s="35" t="s">
        <v>86</v>
      </c>
      <c r="E83" s="104" t="s">
        <v>88</v>
      </c>
      <c r="F83" s="104"/>
      <c r="G83" s="104" t="s">
        <v>87</v>
      </c>
      <c r="H83" s="111"/>
      <c r="I83" s="5" t="s">
        <v>134</v>
      </c>
      <c r="J83" s="19">
        <f ca="1">H81*25%</f>
        <v>1</v>
      </c>
    </row>
    <row r="84" spans="1:10" hidden="1" x14ac:dyDescent="0.35">
      <c r="A84" s="103" t="s">
        <v>121</v>
      </c>
      <c r="B84" s="104"/>
      <c r="C84" s="35">
        <f ca="1">J85</f>
        <v>4</v>
      </c>
      <c r="D84" s="10">
        <f ca="1">((100/H81)*C84)/100</f>
        <v>1</v>
      </c>
      <c r="E84" s="97">
        <f ca="1">(((C85/H81*10)+(40/(D81+F81+H81)*C86)+(7.5/(H81)*C87)+(7.5/(H81)*C88)+(10/H81*C89)+(10/H81*C90)+(5/H81*C91)+(5/H81*C92)+(5/H81*C93))/100)</f>
        <v>1</v>
      </c>
      <c r="F84" s="123"/>
      <c r="G84" s="97">
        <f ca="1">((((C84/H81)*20)+((C85/H81)*25)+(30/(H81+F81+D81)*C86)+(5/H81*C87)+(5/H81*C88)+(5/H81*C89)+(5/H81*C90)+(0/H81*C91)+(0/H81*C92)+(5/H81*C93))/100)</f>
        <v>1</v>
      </c>
      <c r="H84" s="98"/>
      <c r="I84" s="5" t="s">
        <v>104</v>
      </c>
      <c r="J84" s="20">
        <f ca="1">H81*50%</f>
        <v>2</v>
      </c>
    </row>
    <row r="85" spans="1:10" hidden="1" x14ac:dyDescent="0.35">
      <c r="A85" s="103" t="s">
        <v>53</v>
      </c>
      <c r="B85" s="104"/>
      <c r="C85" s="35">
        <f ca="1">J93</f>
        <v>4</v>
      </c>
      <c r="D85" s="10">
        <f ca="1">((100/H81)*C85)/100</f>
        <v>1</v>
      </c>
      <c r="E85" s="99"/>
      <c r="F85" s="124"/>
      <c r="G85" s="99"/>
      <c r="H85" s="100"/>
      <c r="I85" s="5" t="s">
        <v>105</v>
      </c>
      <c r="J85" s="20">
        <f ca="1">H81</f>
        <v>4</v>
      </c>
    </row>
    <row r="86" spans="1:10" ht="15.75" hidden="1" customHeight="1" x14ac:dyDescent="0.35">
      <c r="A86" s="103" t="s">
        <v>122</v>
      </c>
      <c r="B86" s="104"/>
      <c r="C86" s="35">
        <f ca="1">D81+H81</f>
        <v>5</v>
      </c>
      <c r="D86" s="10">
        <f ca="1">((100/(D81+F81+H81))*C86)/100</f>
        <v>1</v>
      </c>
      <c r="E86" s="99"/>
      <c r="F86" s="124"/>
      <c r="G86" s="99"/>
      <c r="H86" s="100"/>
      <c r="I86" s="5" t="s">
        <v>106</v>
      </c>
      <c r="J86" s="21">
        <f ca="1">(IF(B81&gt;1,(H81/(B81+2)),H81/4))</f>
        <v>1</v>
      </c>
    </row>
    <row r="87" spans="1:10" ht="15.75" hidden="1" customHeight="1" x14ac:dyDescent="0.35">
      <c r="A87" s="103" t="s">
        <v>129</v>
      </c>
      <c r="B87" s="104" t="s">
        <v>123</v>
      </c>
      <c r="C87" s="35">
        <v>4</v>
      </c>
      <c r="D87" s="10">
        <f ca="1">((100/H81)*C87)/100</f>
        <v>1</v>
      </c>
      <c r="E87" s="99"/>
      <c r="F87" s="124"/>
      <c r="G87" s="99"/>
      <c r="H87" s="100"/>
      <c r="I87" s="5" t="s">
        <v>107</v>
      </c>
      <c r="J87" s="21">
        <f ca="1">(IF(B81&gt;1,(H81/(B81+2)+J86),H81/4+J86))</f>
        <v>2</v>
      </c>
    </row>
    <row r="88" spans="1:10" ht="15.75" hidden="1" customHeight="1" x14ac:dyDescent="0.35">
      <c r="A88" s="103" t="s">
        <v>130</v>
      </c>
      <c r="B88" s="104" t="s">
        <v>123</v>
      </c>
      <c r="C88" s="35">
        <v>4</v>
      </c>
      <c r="D88" s="10">
        <f ca="1">((100/H81)*C88)/100</f>
        <v>1</v>
      </c>
      <c r="E88" s="99"/>
      <c r="F88" s="124"/>
      <c r="G88" s="99"/>
      <c r="H88" s="100"/>
      <c r="I88" s="5" t="s">
        <v>139</v>
      </c>
      <c r="J88" s="21">
        <f>(IF(B81&gt;1,(H81/(B81+2)+J87),0))</f>
        <v>0</v>
      </c>
    </row>
    <row r="89" spans="1:10" ht="15" hidden="1" customHeight="1" x14ac:dyDescent="0.35">
      <c r="A89" s="103" t="s">
        <v>128</v>
      </c>
      <c r="B89" s="104" t="s">
        <v>125</v>
      </c>
      <c r="C89" s="35">
        <v>4</v>
      </c>
      <c r="D89" s="10">
        <f ca="1">((100/(H81))*C89)/100</f>
        <v>1</v>
      </c>
      <c r="E89" s="99"/>
      <c r="F89" s="124"/>
      <c r="G89" s="99"/>
      <c r="H89" s="100"/>
      <c r="I89" s="5" t="s">
        <v>136</v>
      </c>
      <c r="J89" s="21">
        <f>(IF(B81&gt;2,(H81/(B81+2)+J88),0))</f>
        <v>0</v>
      </c>
    </row>
    <row r="90" spans="1:10" ht="15.75" hidden="1" customHeight="1" x14ac:dyDescent="0.35">
      <c r="A90" s="103" t="s">
        <v>124</v>
      </c>
      <c r="B90" s="104" t="s">
        <v>124</v>
      </c>
      <c r="C90" s="35">
        <v>4</v>
      </c>
      <c r="D90" s="10">
        <f ca="1">((100/H81)*C90)/100</f>
        <v>1</v>
      </c>
      <c r="E90" s="99"/>
      <c r="F90" s="124"/>
      <c r="G90" s="99"/>
      <c r="H90" s="100"/>
      <c r="I90" s="5" t="s">
        <v>137</v>
      </c>
      <c r="J90" s="22">
        <f>(IF(B81&gt;3,(H81/(B81+2)+J89),0))</f>
        <v>0</v>
      </c>
    </row>
    <row r="91" spans="1:10" ht="15.75" hidden="1" customHeight="1" x14ac:dyDescent="0.35">
      <c r="A91" s="103" t="s">
        <v>131</v>
      </c>
      <c r="B91" s="104"/>
      <c r="C91" s="35">
        <v>4</v>
      </c>
      <c r="D91" s="10">
        <f ca="1">((100/H81)*C91)/100</f>
        <v>1</v>
      </c>
      <c r="E91" s="99"/>
      <c r="F91" s="124"/>
      <c r="G91" s="99"/>
      <c r="H91" s="100"/>
      <c r="I91" s="5" t="s">
        <v>138</v>
      </c>
      <c r="J91" s="21">
        <f>(IF(B81&gt;4,(H81/(B81+2)+J90),0))</f>
        <v>0</v>
      </c>
    </row>
    <row r="92" spans="1:10" ht="15.75" hidden="1" customHeight="1" x14ac:dyDescent="0.35">
      <c r="A92" s="103" t="s">
        <v>126</v>
      </c>
      <c r="B92" s="104" t="s">
        <v>126</v>
      </c>
      <c r="C92" s="35">
        <v>4</v>
      </c>
      <c r="D92" s="10">
        <f ca="1">((100/(H81))*C92)/100</f>
        <v>1</v>
      </c>
      <c r="E92" s="99"/>
      <c r="F92" s="124"/>
      <c r="G92" s="99"/>
      <c r="H92" s="100"/>
      <c r="I92" s="5" t="s">
        <v>140</v>
      </c>
      <c r="J92" s="21">
        <f ca="1">(IF(B81=1,(H81/(B81+3)+J87),IF(B81=0,(H81/4+J87),IF(B81&gt;1,0))))</f>
        <v>3</v>
      </c>
    </row>
    <row r="93" spans="1:10" ht="16" hidden="1" thickBot="1" x14ac:dyDescent="0.4">
      <c r="A93" s="126" t="s">
        <v>127</v>
      </c>
      <c r="B93" s="127"/>
      <c r="C93" s="36">
        <v>4</v>
      </c>
      <c r="D93" s="11">
        <f ca="1">((100/(H81))*C93)/100</f>
        <v>1</v>
      </c>
      <c r="E93" s="101"/>
      <c r="F93" s="125"/>
      <c r="G93" s="101"/>
      <c r="H93" s="102"/>
      <c r="I93" s="6" t="s">
        <v>108</v>
      </c>
      <c r="J93" s="23">
        <f ca="1">(IF(B81&gt;1.5,(H81/(B81+2)+J87+MAX(0,J88-J87)+MAX(0,J89-J88)+MAX(0,J90-J89)+MAX(0,J91-J90)+MAX(0,J92-J91)),IF(B81=1,(H81/(B81+3)+J92),IF(B81=0,H81/4+J92))))</f>
        <v>4</v>
      </c>
    </row>
    <row r="94" spans="1:10" ht="15.75" hidden="1" customHeight="1" x14ac:dyDescent="0.35">
      <c r="A94" s="191" t="s">
        <v>133</v>
      </c>
      <c r="B94" s="192"/>
      <c r="C94" s="193" t="s">
        <v>202</v>
      </c>
      <c r="D94" s="194"/>
      <c r="E94" s="194"/>
      <c r="F94" s="194"/>
      <c r="G94" s="194"/>
      <c r="H94" s="195"/>
      <c r="I94" s="39" t="str">
        <f ca="1">IF(D107=100%,"All work Completed. Possession granted to the Building.",IF(D106=100%,"All work Completed, Waiting for OC",I95&amp;""&amp;I96&amp;""&amp;J95&amp;""&amp;J94&amp;" "&amp;J96))</f>
        <v>All work Completed. Possession granted to the Building.</v>
      </c>
      <c r="J94" s="40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/>
      </c>
    </row>
    <row r="95" spans="1:10" hidden="1" x14ac:dyDescent="0.35">
      <c r="A95" s="7" t="s">
        <v>135</v>
      </c>
      <c r="B95" s="44">
        <v>0</v>
      </c>
      <c r="C95" s="44" t="s">
        <v>75</v>
      </c>
      <c r="D95" s="44">
        <v>1</v>
      </c>
      <c r="E95" s="44" t="s">
        <v>74</v>
      </c>
      <c r="F95" s="44">
        <v>0</v>
      </c>
      <c r="G95" s="44" t="s">
        <v>83</v>
      </c>
      <c r="H95" s="8">
        <f ca="1">--TRIM(RIGHT(SUBSTITUTE(LEFT(C94,_xlfn.AGGREGATE(16,6,FIND({0,1,2,3,4,5,6,7,8,9},C94,ROW(INDIRECT("1:"&amp;LEN(C94)))),1))," ",REPT(" ",LEN(C94))),LEN(C94)))</f>
        <v>4</v>
      </c>
      <c r="I95" s="41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Plaster, External Plaster, Flooring, Painting, Building common Amenities</v>
      </c>
      <c r="J95" s="42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idden="1" x14ac:dyDescent="0.35">
      <c r="A96" s="107" t="s">
        <v>93</v>
      </c>
      <c r="B96" s="108"/>
      <c r="C96" s="109" t="s">
        <v>203</v>
      </c>
      <c r="D96" s="109"/>
      <c r="E96" s="109"/>
      <c r="F96" s="109"/>
      <c r="G96" s="109"/>
      <c r="H96" s="110"/>
      <c r="I96" s="41" t="str">
        <f ca="1">IF(I95&lt;&gt;""," Completed","")</f>
        <v xml:space="preserve"> Completed</v>
      </c>
      <c r="J96" s="42" t="str">
        <f ca="1">IF(J94&lt;&gt;"","Completed","")</f>
        <v/>
      </c>
    </row>
    <row r="97" spans="1:10" ht="15.75" hidden="1" customHeight="1" x14ac:dyDescent="0.35">
      <c r="A97" s="103" t="s">
        <v>52</v>
      </c>
      <c r="B97" s="104"/>
      <c r="C97" s="35" t="s">
        <v>132</v>
      </c>
      <c r="D97" s="35" t="s">
        <v>86</v>
      </c>
      <c r="E97" s="104" t="s">
        <v>88</v>
      </c>
      <c r="F97" s="104"/>
      <c r="G97" s="104" t="s">
        <v>87</v>
      </c>
      <c r="H97" s="111"/>
      <c r="I97" s="5" t="s">
        <v>134</v>
      </c>
      <c r="J97" s="19">
        <f ca="1">H95*25%</f>
        <v>1</v>
      </c>
    </row>
    <row r="98" spans="1:10" hidden="1" x14ac:dyDescent="0.35">
      <c r="A98" s="103" t="s">
        <v>121</v>
      </c>
      <c r="B98" s="104"/>
      <c r="C98" s="35">
        <f ca="1">J99</f>
        <v>4</v>
      </c>
      <c r="D98" s="10">
        <f ca="1">((100/H95)*C98)/100</f>
        <v>1</v>
      </c>
      <c r="E98" s="97">
        <f ca="1">(((C99/H95*10)+(40/(D95+F95+H95)*C100)+(7.5/(H95)*C101)+(7.5/(H95)*C102)+(10/H95*C103)+(10/H95*C104)+(5/H95*C105)+(5/H95*C106)+(5/H95*C107))/100)</f>
        <v>1</v>
      </c>
      <c r="F98" s="123"/>
      <c r="G98" s="97">
        <f ca="1">((((C98/H95)*20)+((C99/H95)*25)+(30/(H95+F95+D95)*C100)+(5/H95*C101)+(5/H95*C102)+(5/H95*C103)+(5/H95*C104)+(0/H95*C105)+(0/H95*C106)+(5/H95*C107))/100)</f>
        <v>1</v>
      </c>
      <c r="H98" s="98"/>
      <c r="I98" s="5" t="s">
        <v>104</v>
      </c>
      <c r="J98" s="20">
        <f ca="1">H95*50%</f>
        <v>2</v>
      </c>
    </row>
    <row r="99" spans="1:10" hidden="1" x14ac:dyDescent="0.35">
      <c r="A99" s="103" t="s">
        <v>53</v>
      </c>
      <c r="B99" s="104"/>
      <c r="C99" s="35">
        <f ca="1">J107</f>
        <v>4</v>
      </c>
      <c r="D99" s="10">
        <f ca="1">((100/H95)*C99)/100</f>
        <v>1</v>
      </c>
      <c r="E99" s="99"/>
      <c r="F99" s="124"/>
      <c r="G99" s="99"/>
      <c r="H99" s="100"/>
      <c r="I99" s="5" t="s">
        <v>105</v>
      </c>
      <c r="J99" s="20">
        <f ca="1">H95</f>
        <v>4</v>
      </c>
    </row>
    <row r="100" spans="1:10" ht="15.75" hidden="1" customHeight="1" x14ac:dyDescent="0.35">
      <c r="A100" s="103" t="s">
        <v>122</v>
      </c>
      <c r="B100" s="104"/>
      <c r="C100" s="35">
        <f ca="1">D95+H95</f>
        <v>5</v>
      </c>
      <c r="D100" s="10">
        <f ca="1">((100/(D95+F95+H95))*C100)/100</f>
        <v>1</v>
      </c>
      <c r="E100" s="99"/>
      <c r="F100" s="124"/>
      <c r="G100" s="99"/>
      <c r="H100" s="100"/>
      <c r="I100" s="5" t="s">
        <v>106</v>
      </c>
      <c r="J100" s="21">
        <f ca="1">(IF(B95&gt;1,(H95/(B95+2)),H95/4))</f>
        <v>1</v>
      </c>
    </row>
    <row r="101" spans="1:10" ht="15.75" hidden="1" customHeight="1" x14ac:dyDescent="0.35">
      <c r="A101" s="103" t="s">
        <v>129</v>
      </c>
      <c r="B101" s="104" t="s">
        <v>123</v>
      </c>
      <c r="C101" s="35">
        <v>4</v>
      </c>
      <c r="D101" s="10">
        <f ca="1">((100/H95)*C101)/100</f>
        <v>1</v>
      </c>
      <c r="E101" s="99"/>
      <c r="F101" s="124"/>
      <c r="G101" s="99"/>
      <c r="H101" s="100"/>
      <c r="I101" s="5" t="s">
        <v>107</v>
      </c>
      <c r="J101" s="21">
        <f ca="1">(IF(B95&gt;1,(H95/(B95+2)+J100),H95/4+J100))</f>
        <v>2</v>
      </c>
    </row>
    <row r="102" spans="1:10" ht="15.75" hidden="1" customHeight="1" x14ac:dyDescent="0.35">
      <c r="A102" s="103" t="s">
        <v>130</v>
      </c>
      <c r="B102" s="104" t="s">
        <v>123</v>
      </c>
      <c r="C102" s="35">
        <v>4</v>
      </c>
      <c r="D102" s="10">
        <f ca="1">((100/H95)*C102)/100</f>
        <v>1</v>
      </c>
      <c r="E102" s="99"/>
      <c r="F102" s="124"/>
      <c r="G102" s="99"/>
      <c r="H102" s="100"/>
      <c r="I102" s="5" t="s">
        <v>139</v>
      </c>
      <c r="J102" s="21">
        <f>(IF(B95&gt;1,(H95/(B95+2)+J101),0))</f>
        <v>0</v>
      </c>
    </row>
    <row r="103" spans="1:10" ht="15" hidden="1" customHeight="1" x14ac:dyDescent="0.35">
      <c r="A103" s="103" t="s">
        <v>128</v>
      </c>
      <c r="B103" s="104" t="s">
        <v>125</v>
      </c>
      <c r="C103" s="35">
        <v>4</v>
      </c>
      <c r="D103" s="10">
        <f ca="1">((100/(H95))*C103)/100</f>
        <v>1</v>
      </c>
      <c r="E103" s="99"/>
      <c r="F103" s="124"/>
      <c r="G103" s="99"/>
      <c r="H103" s="100"/>
      <c r="I103" s="5" t="s">
        <v>136</v>
      </c>
      <c r="J103" s="21">
        <f>(IF(B95&gt;2,(H95/(B95+2)+J102),0))</f>
        <v>0</v>
      </c>
    </row>
    <row r="104" spans="1:10" ht="15.75" hidden="1" customHeight="1" x14ac:dyDescent="0.35">
      <c r="A104" s="103" t="s">
        <v>124</v>
      </c>
      <c r="B104" s="104" t="s">
        <v>124</v>
      </c>
      <c r="C104" s="35">
        <v>4</v>
      </c>
      <c r="D104" s="10">
        <f ca="1">((100/H95)*C104)/100</f>
        <v>1</v>
      </c>
      <c r="E104" s="99"/>
      <c r="F104" s="124"/>
      <c r="G104" s="99"/>
      <c r="H104" s="100"/>
      <c r="I104" s="5" t="s">
        <v>137</v>
      </c>
      <c r="J104" s="22">
        <f>(IF(B95&gt;3,(H95/(B95+2)+J103),0))</f>
        <v>0</v>
      </c>
    </row>
    <row r="105" spans="1:10" ht="15.75" hidden="1" customHeight="1" x14ac:dyDescent="0.35">
      <c r="A105" s="103" t="s">
        <v>131</v>
      </c>
      <c r="B105" s="104"/>
      <c r="C105" s="35">
        <v>4</v>
      </c>
      <c r="D105" s="10">
        <f ca="1">((100/H95)*C105)/100</f>
        <v>1</v>
      </c>
      <c r="E105" s="99"/>
      <c r="F105" s="124"/>
      <c r="G105" s="99"/>
      <c r="H105" s="100"/>
      <c r="I105" s="5" t="s">
        <v>138</v>
      </c>
      <c r="J105" s="21">
        <f>(IF(B95&gt;4,(H95/(B95+2)+J104),0))</f>
        <v>0</v>
      </c>
    </row>
    <row r="106" spans="1:10" ht="15.75" hidden="1" customHeight="1" x14ac:dyDescent="0.35">
      <c r="A106" s="103" t="s">
        <v>126</v>
      </c>
      <c r="B106" s="104" t="s">
        <v>126</v>
      </c>
      <c r="C106" s="35">
        <v>4</v>
      </c>
      <c r="D106" s="10">
        <f ca="1">((100/(H95))*C106)/100</f>
        <v>1</v>
      </c>
      <c r="E106" s="99"/>
      <c r="F106" s="124"/>
      <c r="G106" s="99"/>
      <c r="H106" s="100"/>
      <c r="I106" s="5" t="s">
        <v>140</v>
      </c>
      <c r="J106" s="21">
        <f ca="1">(IF(B95=1,(H95/(B95+3)+J101),IF(B95=0,(H95/4+J101),IF(B95&gt;1,0))))</f>
        <v>3</v>
      </c>
    </row>
    <row r="107" spans="1:10" ht="16" hidden="1" thickBot="1" x14ac:dyDescent="0.4">
      <c r="A107" s="126" t="s">
        <v>127</v>
      </c>
      <c r="B107" s="127"/>
      <c r="C107" s="36">
        <v>4</v>
      </c>
      <c r="D107" s="11">
        <f ca="1">((100/(H95))*C107)/100</f>
        <v>1</v>
      </c>
      <c r="E107" s="101"/>
      <c r="F107" s="125"/>
      <c r="G107" s="101"/>
      <c r="H107" s="102"/>
      <c r="I107" s="6" t="s">
        <v>108</v>
      </c>
      <c r="J107" s="23">
        <f ca="1">(IF(B95&gt;1.5,(H95/(B95+2)+J101+MAX(0,J102-J101)+MAX(0,J103-J102)+MAX(0,J104-J103)+MAX(0,J105-J104)+MAX(0,J106-J105)),IF(B95=1,(H95/(B95+3)+J106),IF(B95=0,H95/4+J106))))</f>
        <v>4</v>
      </c>
    </row>
    <row r="108" spans="1:10" x14ac:dyDescent="0.35">
      <c r="A108" s="112" t="s">
        <v>148</v>
      </c>
      <c r="B108" s="112"/>
      <c r="C108" s="112"/>
      <c r="D108" s="112"/>
      <c r="E108" s="112"/>
      <c r="F108" s="128" t="s">
        <v>153</v>
      </c>
      <c r="G108" s="128"/>
      <c r="H108" s="128"/>
    </row>
    <row r="109" spans="1:10" x14ac:dyDescent="0.35">
      <c r="A109" s="106" t="s">
        <v>151</v>
      </c>
      <c r="B109" s="106"/>
      <c r="C109" s="106"/>
      <c r="D109" s="106"/>
      <c r="E109" s="106"/>
      <c r="F109" s="174">
        <v>3800</v>
      </c>
      <c r="G109" s="174"/>
      <c r="H109" s="174"/>
      <c r="I109" s="12" t="s">
        <v>222</v>
      </c>
    </row>
    <row r="110" spans="1:10" hidden="1" x14ac:dyDescent="0.35">
      <c r="A110" s="106" t="s">
        <v>150</v>
      </c>
      <c r="B110" s="106"/>
      <c r="C110" s="106"/>
      <c r="D110" s="106"/>
      <c r="E110" s="106"/>
      <c r="F110" s="105"/>
      <c r="G110" s="105"/>
      <c r="H110" s="105"/>
    </row>
    <row r="111" spans="1:10" hidden="1" x14ac:dyDescent="0.35">
      <c r="A111" s="106" t="s">
        <v>152</v>
      </c>
      <c r="B111" s="106"/>
      <c r="C111" s="106"/>
      <c r="D111" s="106"/>
      <c r="E111" s="106"/>
      <c r="F111" s="105"/>
      <c r="G111" s="105"/>
      <c r="H111" s="105"/>
    </row>
    <row r="112" spans="1:10" s="24" customFormat="1" hidden="1" x14ac:dyDescent="0.3">
      <c r="A112" s="106" t="s">
        <v>149</v>
      </c>
      <c r="B112" s="106"/>
      <c r="C112" s="106"/>
      <c r="D112" s="106"/>
      <c r="E112" s="106"/>
      <c r="F112" s="105"/>
      <c r="G112" s="105"/>
      <c r="H112" s="105"/>
    </row>
    <row r="113" spans="1:8" s="24" customFormat="1" hidden="1" x14ac:dyDescent="0.3">
      <c r="A113" s="106" t="s">
        <v>98</v>
      </c>
      <c r="B113" s="106"/>
      <c r="C113" s="106"/>
      <c r="D113" s="106"/>
      <c r="E113" s="106"/>
      <c r="F113" s="105"/>
      <c r="G113" s="105"/>
      <c r="H113" s="105"/>
    </row>
    <row r="114" spans="1:8" s="24" customFormat="1" hidden="1" x14ac:dyDescent="0.3">
      <c r="A114" s="106" t="s">
        <v>99</v>
      </c>
      <c r="B114" s="106"/>
      <c r="C114" s="106"/>
      <c r="D114" s="106"/>
      <c r="E114" s="106"/>
      <c r="F114" s="105"/>
      <c r="G114" s="105"/>
      <c r="H114" s="105"/>
    </row>
    <row r="115" spans="1:8" s="24" customFormat="1" hidden="1" x14ac:dyDescent="0.3">
      <c r="A115" s="106" t="s">
        <v>154</v>
      </c>
      <c r="B115" s="106"/>
      <c r="C115" s="106"/>
      <c r="D115" s="106"/>
      <c r="E115" s="106"/>
      <c r="F115" s="105"/>
      <c r="G115" s="105"/>
      <c r="H115" s="105"/>
    </row>
    <row r="116" spans="1:8" s="24" customFormat="1" hidden="1" x14ac:dyDescent="0.3">
      <c r="A116" s="106" t="s">
        <v>100</v>
      </c>
      <c r="B116" s="106"/>
      <c r="C116" s="106"/>
      <c r="D116" s="106"/>
      <c r="E116" s="106"/>
      <c r="F116" s="105"/>
      <c r="G116" s="105"/>
      <c r="H116" s="105"/>
    </row>
    <row r="117" spans="1:8" s="24" customFormat="1" hidden="1" x14ac:dyDescent="0.3">
      <c r="A117" s="106" t="s">
        <v>101</v>
      </c>
      <c r="B117" s="106"/>
      <c r="C117" s="106"/>
      <c r="D117" s="106"/>
      <c r="E117" s="106"/>
      <c r="F117" s="105"/>
      <c r="G117" s="105"/>
      <c r="H117" s="105"/>
    </row>
    <row r="118" spans="1:8" s="24" customFormat="1" hidden="1" x14ac:dyDescent="0.3">
      <c r="A118" s="106" t="s">
        <v>102</v>
      </c>
      <c r="B118" s="106"/>
      <c r="C118" s="106"/>
      <c r="D118" s="106"/>
      <c r="E118" s="106"/>
      <c r="F118" s="105"/>
      <c r="G118" s="105"/>
      <c r="H118" s="105"/>
    </row>
    <row r="119" spans="1:8" s="24" customFormat="1" hidden="1" x14ac:dyDescent="0.3">
      <c r="A119" s="106" t="s">
        <v>103</v>
      </c>
      <c r="B119" s="106"/>
      <c r="C119" s="106"/>
      <c r="D119" s="106"/>
      <c r="E119" s="106"/>
      <c r="F119" s="105"/>
      <c r="G119" s="105"/>
      <c r="H119" s="105"/>
    </row>
    <row r="120" spans="1:8" x14ac:dyDescent="0.35">
      <c r="A120" s="106" t="s">
        <v>54</v>
      </c>
      <c r="B120" s="106"/>
      <c r="C120" s="106"/>
      <c r="D120" s="106"/>
      <c r="E120" s="106"/>
      <c r="F120" s="174">
        <v>100000</v>
      </c>
      <c r="G120" s="174"/>
      <c r="H120" s="174"/>
    </row>
    <row r="121" spans="1:8" s="25" customFormat="1" x14ac:dyDescent="0.35">
      <c r="A121" s="146" t="s">
        <v>55</v>
      </c>
      <c r="B121" s="146"/>
      <c r="C121" s="146"/>
      <c r="D121" s="146"/>
      <c r="E121" s="146"/>
      <c r="F121" s="174">
        <f>F109*0.8</f>
        <v>3040</v>
      </c>
      <c r="G121" s="174"/>
      <c r="H121" s="174"/>
    </row>
    <row r="122" spans="1:8" s="26" customFormat="1" x14ac:dyDescent="0.35">
      <c r="A122" s="121" t="s">
        <v>73</v>
      </c>
      <c r="B122" s="121"/>
      <c r="C122" s="121"/>
      <c r="D122" s="121"/>
      <c r="E122" s="121"/>
      <c r="F122" s="121"/>
      <c r="G122" s="121"/>
      <c r="H122" s="121"/>
    </row>
    <row r="123" spans="1:8" s="26" customFormat="1" ht="15.75" customHeight="1" x14ac:dyDescent="0.35">
      <c r="A123" s="131" t="s">
        <v>56</v>
      </c>
      <c r="B123" s="131"/>
      <c r="C123" s="130" t="s">
        <v>81</v>
      </c>
      <c r="D123" s="130"/>
      <c r="E123" s="129" t="s">
        <v>57</v>
      </c>
      <c r="F123" s="129"/>
      <c r="G123" s="131" t="s">
        <v>58</v>
      </c>
      <c r="H123" s="131"/>
    </row>
    <row r="124" spans="1:8" s="26" customFormat="1" x14ac:dyDescent="0.35">
      <c r="A124" s="118" t="s">
        <v>184</v>
      </c>
      <c r="B124" s="118"/>
      <c r="C124" s="119">
        <f>COUNT(D134:D141)*4</f>
        <v>32</v>
      </c>
      <c r="D124" s="119"/>
      <c r="E124" s="120">
        <f>SUM(D134:D141)*4</f>
        <v>12833.805254399998</v>
      </c>
      <c r="F124" s="120"/>
      <c r="G124" s="120">
        <f>SUM(F134:F141)*4</f>
        <v>18664</v>
      </c>
      <c r="H124" s="120"/>
    </row>
    <row r="125" spans="1:8" s="26" customFormat="1" x14ac:dyDescent="0.35">
      <c r="A125" s="118" t="s">
        <v>185</v>
      </c>
      <c r="B125" s="118"/>
      <c r="C125" s="119">
        <f>COUNT(D172:D175)*4</f>
        <v>16</v>
      </c>
      <c r="D125" s="119"/>
      <c r="E125" s="120">
        <f>SUM(D172:D175)*4</f>
        <v>7395.5870352000002</v>
      </c>
      <c r="F125" s="120"/>
      <c r="G125" s="120">
        <f>SUM(F172:F175)*4</f>
        <v>10692</v>
      </c>
      <c r="H125" s="120"/>
    </row>
    <row r="126" spans="1:8" s="26" customFormat="1" x14ac:dyDescent="0.35">
      <c r="A126" s="118" t="s">
        <v>186</v>
      </c>
      <c r="B126" s="118"/>
      <c r="C126" s="119">
        <f>COUNT(D194:D197)*4</f>
        <v>16</v>
      </c>
      <c r="D126" s="119"/>
      <c r="E126" s="120">
        <f>SUM(D194:D197)*4</f>
        <v>6902.2298592000006</v>
      </c>
      <c r="F126" s="120"/>
      <c r="G126" s="120">
        <f>SUM(F194:F197)*4</f>
        <v>10112</v>
      </c>
      <c r="H126" s="120"/>
    </row>
    <row r="127" spans="1:8" s="26" customFormat="1" x14ac:dyDescent="0.35">
      <c r="A127" s="121" t="s">
        <v>142</v>
      </c>
      <c r="B127" s="121"/>
      <c r="C127" s="130">
        <f>SUM(C124:C126)</f>
        <v>64</v>
      </c>
      <c r="D127" s="130"/>
      <c r="E127" s="122">
        <f>SUM(E124:E126)</f>
        <v>27131.622148800001</v>
      </c>
      <c r="F127" s="122"/>
      <c r="G127" s="131">
        <f>SUM(G124:G126)</f>
        <v>39468</v>
      </c>
      <c r="H127" s="131"/>
    </row>
    <row r="128" spans="1:8" s="25" customFormat="1" x14ac:dyDescent="0.35">
      <c r="A128" s="117" t="s">
        <v>59</v>
      </c>
      <c r="B128" s="117"/>
      <c r="C128" s="117"/>
      <c r="D128" s="117"/>
      <c r="E128" s="117"/>
      <c r="F128" s="117"/>
      <c r="G128" s="117"/>
      <c r="H128" s="117"/>
    </row>
    <row r="129" spans="1:14" x14ac:dyDescent="0.35">
      <c r="A129" s="117" t="s">
        <v>60</v>
      </c>
      <c r="B129" s="117"/>
      <c r="C129" s="117"/>
      <c r="D129" s="117"/>
      <c r="E129" s="117"/>
      <c r="F129" s="117"/>
      <c r="G129" s="117"/>
      <c r="H129" s="117"/>
    </row>
    <row r="130" spans="1:14" ht="50.25" customHeight="1" x14ac:dyDescent="0.35">
      <c r="A130" s="45" t="s">
        <v>113</v>
      </c>
      <c r="B130" s="45" t="s">
        <v>114</v>
      </c>
      <c r="C130" s="34" t="s">
        <v>61</v>
      </c>
      <c r="D130" s="34" t="s">
        <v>62</v>
      </c>
      <c r="E130" s="46" t="s">
        <v>63</v>
      </c>
      <c r="F130" s="34" t="s">
        <v>201</v>
      </c>
      <c r="G130" s="176" t="s">
        <v>64</v>
      </c>
      <c r="H130" s="177"/>
      <c r="I130" s="27"/>
    </row>
    <row r="131" spans="1:14" s="28" customFormat="1" x14ac:dyDescent="0.35">
      <c r="A131" s="77" t="s">
        <v>184</v>
      </c>
      <c r="B131" s="78"/>
      <c r="C131" s="78"/>
      <c r="D131" s="78"/>
      <c r="E131" s="78"/>
      <c r="F131" s="78"/>
      <c r="G131" s="78"/>
      <c r="H131" s="79"/>
      <c r="J131" s="27"/>
    </row>
    <row r="132" spans="1:14" s="28" customFormat="1" x14ac:dyDescent="0.35">
      <c r="A132" s="77" t="s">
        <v>183</v>
      </c>
      <c r="B132" s="78"/>
      <c r="C132" s="78"/>
      <c r="D132" s="78"/>
      <c r="E132" s="78"/>
      <c r="F132" s="78"/>
      <c r="G132" s="78"/>
      <c r="H132" s="79"/>
      <c r="J132" s="27"/>
    </row>
    <row r="133" spans="1:14" s="28" customFormat="1" x14ac:dyDescent="0.35">
      <c r="A133" s="77" t="s">
        <v>209</v>
      </c>
      <c r="B133" s="78"/>
      <c r="C133" s="78"/>
      <c r="D133" s="78"/>
      <c r="E133" s="78"/>
      <c r="F133" s="78"/>
      <c r="G133" s="78"/>
      <c r="H133" s="79"/>
      <c r="J133" s="27"/>
    </row>
    <row r="134" spans="1:14" s="28" customFormat="1" ht="15.75" customHeight="1" x14ac:dyDescent="0.35">
      <c r="A134" s="80">
        <v>1</v>
      </c>
      <c r="B134" s="81"/>
      <c r="C134" s="43">
        <v>1</v>
      </c>
      <c r="D134" s="48">
        <f>(2.75*3.98+1.2*0.45+2.34*2.18+2.75*3.4+1.22*1.49+1*1.49+0.9*2.8+0.6*(2.75+2.34+2.75))*10.764</f>
        <v>392.54155199999991</v>
      </c>
      <c r="E134" s="33">
        <v>0</v>
      </c>
      <c r="F134" s="48">
        <v>569</v>
      </c>
      <c r="G134" s="82" t="str">
        <f>A133</f>
        <v>1st Floor For Residential</v>
      </c>
      <c r="H134" s="83"/>
      <c r="I134" s="27"/>
      <c r="J134" s="48">
        <v>569</v>
      </c>
      <c r="K134" s="47">
        <f>J134/D134</f>
        <v>1.4495280744189856</v>
      </c>
      <c r="L134" s="86"/>
      <c r="M134" s="86"/>
      <c r="N134" s="27"/>
    </row>
    <row r="135" spans="1:14" s="28" customFormat="1" x14ac:dyDescent="0.35">
      <c r="A135" s="80">
        <f t="shared" ref="A135:A141" si="0">A134+1</f>
        <v>2</v>
      </c>
      <c r="B135" s="81"/>
      <c r="C135" s="43">
        <v>1</v>
      </c>
      <c r="D135" s="48">
        <f>(2.75*4.68+2.14*2.14+2.75*3.18+1.22*1.53+1.38*1+1.3*1.2+1*1+0.6*(2.75+2.14+2.75))*10.764</f>
        <v>393.8030928</v>
      </c>
      <c r="E135" s="33">
        <v>0</v>
      </c>
      <c r="F135" s="68">
        <v>571</v>
      </c>
      <c r="G135" s="84"/>
      <c r="H135" s="85"/>
      <c r="I135" s="27"/>
      <c r="J135" s="68">
        <v>571</v>
      </c>
      <c r="K135" s="47">
        <f t="shared" ref="K135:K197" si="1">J135/D135</f>
        <v>1.4499632187754112</v>
      </c>
      <c r="L135" s="86"/>
      <c r="M135" s="86"/>
      <c r="N135" s="27"/>
    </row>
    <row r="136" spans="1:14" s="28" customFormat="1" x14ac:dyDescent="0.35">
      <c r="A136" s="80">
        <f t="shared" si="0"/>
        <v>3</v>
      </c>
      <c r="B136" s="81"/>
      <c r="C136" s="43">
        <v>1</v>
      </c>
      <c r="D136" s="48">
        <f>(2.75*4.68+2.14*2.14+2.78*3.18+1.37*1.38+1*1.38+2.35*0.9+0.6*(2.75+2.14+3.18))*10.764</f>
        <v>393.07544639999992</v>
      </c>
      <c r="E136" s="33">
        <v>0</v>
      </c>
      <c r="F136" s="68">
        <v>570</v>
      </c>
      <c r="G136" s="84"/>
      <c r="H136" s="85"/>
      <c r="I136" s="27"/>
      <c r="J136" s="68">
        <v>570</v>
      </c>
      <c r="K136" s="47">
        <f t="shared" si="1"/>
        <v>1.4501032949790478</v>
      </c>
      <c r="L136" s="86"/>
      <c r="M136" s="86"/>
      <c r="N136" s="27"/>
    </row>
    <row r="137" spans="1:14" s="28" customFormat="1" x14ac:dyDescent="0.35">
      <c r="A137" s="80">
        <f t="shared" si="0"/>
        <v>4</v>
      </c>
      <c r="B137" s="81"/>
      <c r="C137" s="43">
        <v>1</v>
      </c>
      <c r="D137" s="48">
        <f>(4.43*2.75+2.14*2.11+3.4*2.75+1.4*1.22+1.4*1+0.9*2.4+0.45*1.2+0.6*(2.75+2.11+2.75))*10.764</f>
        <v>392.04533159999988</v>
      </c>
      <c r="E137" s="33">
        <v>0</v>
      </c>
      <c r="F137" s="68">
        <v>572</v>
      </c>
      <c r="G137" s="84"/>
      <c r="H137" s="85"/>
      <c r="I137" s="27"/>
      <c r="J137" s="68">
        <v>572</v>
      </c>
      <c r="K137" s="47">
        <f t="shared" si="1"/>
        <v>1.4590149503007119</v>
      </c>
      <c r="L137" s="86"/>
      <c r="M137" s="86"/>
      <c r="N137" s="27"/>
    </row>
    <row r="138" spans="1:14" s="28" customFormat="1" x14ac:dyDescent="0.35">
      <c r="A138" s="80">
        <f t="shared" si="0"/>
        <v>5</v>
      </c>
      <c r="B138" s="81"/>
      <c r="C138" s="43">
        <v>1</v>
      </c>
      <c r="D138" s="48">
        <f>(4.43*2.75+2.14*2.14+3.18*2.75+1.22*1.53+1*1.42+0.9*2.4+1*1+0.6*(2.75+2.14+2.75))*10.764</f>
        <v>393.29180279999997</v>
      </c>
      <c r="E138" s="33">
        <v>0</v>
      </c>
      <c r="F138" s="68">
        <v>569</v>
      </c>
      <c r="G138" s="84"/>
      <c r="H138" s="85"/>
      <c r="I138" s="27"/>
      <c r="J138" s="68">
        <v>569</v>
      </c>
      <c r="K138" s="47">
        <f t="shared" si="1"/>
        <v>1.4467629275491221</v>
      </c>
      <c r="L138" s="86"/>
      <c r="M138" s="86"/>
      <c r="N138" s="27"/>
    </row>
    <row r="139" spans="1:14" s="28" customFormat="1" x14ac:dyDescent="0.35">
      <c r="A139" s="80">
        <f t="shared" si="0"/>
        <v>6</v>
      </c>
      <c r="B139" s="81"/>
      <c r="C139" s="43">
        <v>1</v>
      </c>
      <c r="D139" s="48">
        <f>(2.75*4.28+1.25*0.95+2.14*2.55+2.75*3.2+1.05*1.53+1*1.35+1.05*1.3+1*1+0.6*(3.2+2.55+2.75))*10.764</f>
        <v>405.11390399999999</v>
      </c>
      <c r="E139" s="33">
        <v>0</v>
      </c>
      <c r="F139" s="68">
        <v>596</v>
      </c>
      <c r="G139" s="84"/>
      <c r="H139" s="85"/>
      <c r="I139" s="27"/>
      <c r="J139" s="68">
        <v>596</v>
      </c>
      <c r="K139" s="47">
        <f t="shared" si="1"/>
        <v>1.4711911739272223</v>
      </c>
      <c r="L139" s="86"/>
      <c r="M139" s="86"/>
      <c r="N139" s="27"/>
    </row>
    <row r="140" spans="1:14" s="28" customFormat="1" x14ac:dyDescent="0.35">
      <c r="A140" s="80">
        <f t="shared" si="0"/>
        <v>7</v>
      </c>
      <c r="B140" s="81"/>
      <c r="C140" s="43">
        <v>1</v>
      </c>
      <c r="D140" s="48">
        <f>(5.65*2.75+2.17*2.14+3.58*2.75+1.2*2.11+1*1.4+1*0.9+0.9*2.14+0.6*(2.75+2.14+2.75))*10.764</f>
        <v>445.28838119999995</v>
      </c>
      <c r="E140" s="33">
        <v>0</v>
      </c>
      <c r="F140" s="68">
        <v>647</v>
      </c>
      <c r="G140" s="84"/>
      <c r="H140" s="85"/>
      <c r="I140" s="27"/>
      <c r="J140" s="68">
        <v>647</v>
      </c>
      <c r="K140" s="47">
        <f t="shared" si="1"/>
        <v>1.4529909768954916</v>
      </c>
      <c r="L140" s="86"/>
      <c r="M140" s="86"/>
      <c r="N140" s="27"/>
    </row>
    <row r="141" spans="1:14" s="28" customFormat="1" x14ac:dyDescent="0.35">
      <c r="A141" s="80">
        <f t="shared" si="0"/>
        <v>8</v>
      </c>
      <c r="B141" s="81"/>
      <c r="C141" s="43">
        <v>1</v>
      </c>
      <c r="D141" s="48">
        <f>(4.43*2.75+2.14*2.14+3.18*2.75+1.22*1.53+1*1.42+0.9*2.4+1*1+0.6*(2.75+2.14+2.75))*10.764</f>
        <v>393.29180279999997</v>
      </c>
      <c r="E141" s="33">
        <v>0</v>
      </c>
      <c r="F141" s="68">
        <v>572</v>
      </c>
      <c r="G141" s="89"/>
      <c r="H141" s="90"/>
      <c r="I141" s="27"/>
      <c r="J141" s="68">
        <v>572</v>
      </c>
      <c r="K141" s="47">
        <f t="shared" si="1"/>
        <v>1.454390851595954</v>
      </c>
      <c r="L141" s="86"/>
      <c r="M141" s="86"/>
      <c r="N141" s="27"/>
    </row>
    <row r="142" spans="1:14" s="28" customFormat="1" x14ac:dyDescent="0.35">
      <c r="A142" s="77" t="s">
        <v>210</v>
      </c>
      <c r="B142" s="78"/>
      <c r="C142" s="78"/>
      <c r="D142" s="78"/>
      <c r="E142" s="78"/>
      <c r="F142" s="78"/>
      <c r="G142" s="78"/>
      <c r="H142" s="79"/>
      <c r="J142" s="27"/>
    </row>
    <row r="143" spans="1:14" s="28" customFormat="1" ht="15.75" customHeight="1" x14ac:dyDescent="0.35">
      <c r="A143" s="80">
        <v>9</v>
      </c>
      <c r="B143" s="81"/>
      <c r="C143" s="43">
        <v>1</v>
      </c>
      <c r="D143" s="48">
        <f>(2.75*3.98+1.2*0.45+2.34*2.18+2.75*3.4+1.22*1.49+1*1.49+0.9*2.8+0.6*(2.75+2.34+2.75))*10.764</f>
        <v>392.54155199999991</v>
      </c>
      <c r="E143" s="33">
        <v>0</v>
      </c>
      <c r="F143" s="48">
        <v>569</v>
      </c>
      <c r="G143" s="82" t="str">
        <f>A142</f>
        <v>2nd Floor For Residential</v>
      </c>
      <c r="H143" s="83"/>
      <c r="I143" s="27"/>
      <c r="J143" s="48">
        <v>569</v>
      </c>
      <c r="K143" s="47">
        <f>J143/D143</f>
        <v>1.4495280744189856</v>
      </c>
      <c r="L143" s="86"/>
      <c r="M143" s="86"/>
      <c r="N143" s="27"/>
    </row>
    <row r="144" spans="1:14" s="28" customFormat="1" x14ac:dyDescent="0.35">
      <c r="A144" s="80">
        <f t="shared" ref="A144:A150" si="2">A143+1</f>
        <v>10</v>
      </c>
      <c r="B144" s="81"/>
      <c r="C144" s="43">
        <v>1</v>
      </c>
      <c r="D144" s="48">
        <f>(2.75*4.68+2.14*2.14+2.75*3.18+1.22*1.53+1.38*1+1.3*1.2+1*1+0.6*(2.75+2.14+2.75))*10.764</f>
        <v>393.8030928</v>
      </c>
      <c r="E144" s="33">
        <v>0</v>
      </c>
      <c r="F144" s="68">
        <v>571</v>
      </c>
      <c r="G144" s="84"/>
      <c r="H144" s="85"/>
      <c r="I144" s="27"/>
      <c r="J144" s="68">
        <v>571</v>
      </c>
      <c r="K144" s="47">
        <f t="shared" ref="K144:K150" si="3">J144/D144</f>
        <v>1.4499632187754112</v>
      </c>
      <c r="L144" s="86"/>
      <c r="M144" s="86"/>
      <c r="N144" s="27"/>
    </row>
    <row r="145" spans="1:14" s="28" customFormat="1" x14ac:dyDescent="0.35">
      <c r="A145" s="80">
        <f t="shared" si="2"/>
        <v>11</v>
      </c>
      <c r="B145" s="81"/>
      <c r="C145" s="43">
        <v>1</v>
      </c>
      <c r="D145" s="48">
        <f>(2.75*4.68+2.14*2.14+2.78*3.18+1.37*1.38+1*1.38+2.35*0.9+0.6*(2.75+2.14+3.18))*10.764</f>
        <v>393.07544639999992</v>
      </c>
      <c r="E145" s="33">
        <v>0</v>
      </c>
      <c r="F145" s="68">
        <v>570</v>
      </c>
      <c r="G145" s="84"/>
      <c r="H145" s="85"/>
      <c r="I145" s="27"/>
      <c r="J145" s="68">
        <v>570</v>
      </c>
      <c r="K145" s="47">
        <f t="shared" si="3"/>
        <v>1.4501032949790478</v>
      </c>
      <c r="L145" s="86"/>
      <c r="M145" s="86"/>
      <c r="N145" s="27"/>
    </row>
    <row r="146" spans="1:14" s="28" customFormat="1" x14ac:dyDescent="0.35">
      <c r="A146" s="80">
        <f t="shared" si="2"/>
        <v>12</v>
      </c>
      <c r="B146" s="81"/>
      <c r="C146" s="43">
        <v>1</v>
      </c>
      <c r="D146" s="48">
        <f>(4.43*2.75+2.14*2.11+3.4*2.75+1.4*1.22+1.4*1+0.9*2.4+0.45*1.2+0.6*(2.75+2.11+2.75))*10.764</f>
        <v>392.04533159999988</v>
      </c>
      <c r="E146" s="33">
        <v>0</v>
      </c>
      <c r="F146" s="68">
        <v>572</v>
      </c>
      <c r="G146" s="84"/>
      <c r="H146" s="85"/>
      <c r="I146" s="27"/>
      <c r="J146" s="68">
        <v>572</v>
      </c>
      <c r="K146" s="47">
        <f t="shared" si="3"/>
        <v>1.4590149503007119</v>
      </c>
      <c r="L146" s="86"/>
      <c r="M146" s="86"/>
      <c r="N146" s="27"/>
    </row>
    <row r="147" spans="1:14" s="28" customFormat="1" x14ac:dyDescent="0.35">
      <c r="A147" s="80">
        <f t="shared" si="2"/>
        <v>13</v>
      </c>
      <c r="B147" s="81"/>
      <c r="C147" s="43">
        <v>1</v>
      </c>
      <c r="D147" s="48">
        <f>(4.43*2.75+2.14*2.14+3.18*2.75+1.22*1.53+1*1.42+0.9*2.4+1*1+0.6*(2.75+2.14+2.75))*10.764</f>
        <v>393.29180279999997</v>
      </c>
      <c r="E147" s="33">
        <v>0</v>
      </c>
      <c r="F147" s="68">
        <v>569</v>
      </c>
      <c r="G147" s="84"/>
      <c r="H147" s="85"/>
      <c r="I147" s="27"/>
      <c r="J147" s="68">
        <v>569</v>
      </c>
      <c r="K147" s="47">
        <f t="shared" si="3"/>
        <v>1.4467629275491221</v>
      </c>
      <c r="L147" s="86"/>
      <c r="M147" s="86"/>
      <c r="N147" s="27"/>
    </row>
    <row r="148" spans="1:14" s="28" customFormat="1" x14ac:dyDescent="0.35">
      <c r="A148" s="80">
        <f t="shared" si="2"/>
        <v>14</v>
      </c>
      <c r="B148" s="81"/>
      <c r="C148" s="43">
        <v>1</v>
      </c>
      <c r="D148" s="48">
        <f>(2.75*4.28+1.25*0.95+2.14*2.55+2.75*3.2+1.05*1.53+1*1.35+1.05*1.3+1*1+0.6*(3.2+2.55+2.75))*10.764</f>
        <v>405.11390399999999</v>
      </c>
      <c r="E148" s="33">
        <v>0</v>
      </c>
      <c r="F148" s="68">
        <v>596</v>
      </c>
      <c r="G148" s="84"/>
      <c r="H148" s="85"/>
      <c r="I148" s="27"/>
      <c r="J148" s="68">
        <v>596</v>
      </c>
      <c r="K148" s="47">
        <f t="shared" si="3"/>
        <v>1.4711911739272223</v>
      </c>
      <c r="L148" s="86"/>
      <c r="M148" s="86"/>
      <c r="N148" s="27"/>
    </row>
    <row r="149" spans="1:14" s="28" customFormat="1" x14ac:dyDescent="0.35">
      <c r="A149" s="80">
        <f t="shared" si="2"/>
        <v>15</v>
      </c>
      <c r="B149" s="81"/>
      <c r="C149" s="43">
        <v>1</v>
      </c>
      <c r="D149" s="48">
        <f>(5.65*2.75+2.17*2.14+3.58*2.75+1.2*2.11+1*1.4+1*0.9+0.9*2.14+0.6*(2.75+2.14+2.75))*10.764</f>
        <v>445.28838119999995</v>
      </c>
      <c r="E149" s="33">
        <v>0</v>
      </c>
      <c r="F149" s="68">
        <v>647</v>
      </c>
      <c r="G149" s="84"/>
      <c r="H149" s="85"/>
      <c r="I149" s="27"/>
      <c r="J149" s="68">
        <v>647</v>
      </c>
      <c r="K149" s="47">
        <f t="shared" si="3"/>
        <v>1.4529909768954916</v>
      </c>
      <c r="L149" s="86"/>
      <c r="M149" s="86"/>
      <c r="N149" s="27"/>
    </row>
    <row r="150" spans="1:14" s="28" customFormat="1" x14ac:dyDescent="0.35">
      <c r="A150" s="80">
        <f t="shared" si="2"/>
        <v>16</v>
      </c>
      <c r="B150" s="81"/>
      <c r="C150" s="43">
        <v>1</v>
      </c>
      <c r="D150" s="48">
        <f>(4.43*2.75+2.14*2.14+3.18*2.75+1.22*1.53+1*1.42+0.9*2.4+1*1+0.6*(2.75+2.14+2.75))*10.764</f>
        <v>393.29180279999997</v>
      </c>
      <c r="E150" s="33">
        <v>0</v>
      </c>
      <c r="F150" s="68">
        <v>572</v>
      </c>
      <c r="G150" s="89"/>
      <c r="H150" s="90"/>
      <c r="I150" s="27"/>
      <c r="J150" s="68">
        <v>572</v>
      </c>
      <c r="K150" s="47">
        <f t="shared" si="3"/>
        <v>1.454390851595954</v>
      </c>
      <c r="L150" s="86"/>
      <c r="M150" s="86"/>
      <c r="N150" s="27"/>
    </row>
    <row r="151" spans="1:14" s="28" customFormat="1" x14ac:dyDescent="0.35">
      <c r="A151" s="87" t="s">
        <v>211</v>
      </c>
      <c r="B151" s="87"/>
      <c r="C151" s="87"/>
      <c r="D151" s="87"/>
      <c r="E151" s="87"/>
      <c r="F151" s="87"/>
      <c r="G151" s="87"/>
      <c r="H151" s="87"/>
      <c r="J151" s="27"/>
    </row>
    <row r="152" spans="1:14" s="28" customFormat="1" ht="15.75" customHeight="1" x14ac:dyDescent="0.35">
      <c r="A152" s="88">
        <v>17</v>
      </c>
      <c r="B152" s="88"/>
      <c r="C152" s="43">
        <v>1</v>
      </c>
      <c r="D152" s="48">
        <f>(2.75*3.98+1.2*0.45+2.34*2.18+2.75*3.4+1.22*1.49+1*1.49+0.9*2.8+0.6*(2.75+2.34+2.75))*10.764</f>
        <v>392.54155199999991</v>
      </c>
      <c r="E152" s="33">
        <v>0</v>
      </c>
      <c r="F152" s="48">
        <v>569</v>
      </c>
      <c r="G152" s="88" t="str">
        <f>A151</f>
        <v>3rd Floor For Residential</v>
      </c>
      <c r="H152" s="88"/>
      <c r="I152" s="27"/>
      <c r="J152" s="48">
        <v>569</v>
      </c>
      <c r="K152" s="47">
        <f>J152/D152</f>
        <v>1.4495280744189856</v>
      </c>
      <c r="L152" s="86"/>
      <c r="M152" s="86"/>
      <c r="N152" s="27"/>
    </row>
    <row r="153" spans="1:14" s="28" customFormat="1" x14ac:dyDescent="0.35">
      <c r="A153" s="88">
        <f t="shared" ref="A153:A159" si="4">A152+1</f>
        <v>18</v>
      </c>
      <c r="B153" s="88"/>
      <c r="C153" s="43">
        <v>1</v>
      </c>
      <c r="D153" s="48">
        <f>(2.75*4.68+2.14*2.14+2.75*3.18+1.22*1.53+1.38*1+1.3*1.2+1*1+0.6*(2.75+2.14+2.75))*10.764</f>
        <v>393.8030928</v>
      </c>
      <c r="E153" s="33">
        <v>0</v>
      </c>
      <c r="F153" s="68">
        <v>571</v>
      </c>
      <c r="G153" s="88"/>
      <c r="H153" s="88"/>
      <c r="I153" s="27"/>
      <c r="J153" s="68">
        <v>571</v>
      </c>
      <c r="K153" s="47">
        <f t="shared" ref="K153:K159" si="5">J153/D153</f>
        <v>1.4499632187754112</v>
      </c>
      <c r="L153" s="86"/>
      <c r="M153" s="86"/>
      <c r="N153" s="27"/>
    </row>
    <row r="154" spans="1:14" s="28" customFormat="1" x14ac:dyDescent="0.35">
      <c r="A154" s="88">
        <f t="shared" si="4"/>
        <v>19</v>
      </c>
      <c r="B154" s="88"/>
      <c r="C154" s="43">
        <v>1</v>
      </c>
      <c r="D154" s="48">
        <f>(2.75*4.68+2.14*2.14+2.78*3.18+1.37*1.38+1*1.38+2.35*0.9+0.6*(2.75+2.14+3.18))*10.764</f>
        <v>393.07544639999992</v>
      </c>
      <c r="E154" s="33">
        <v>0</v>
      </c>
      <c r="F154" s="68">
        <v>570</v>
      </c>
      <c r="G154" s="88"/>
      <c r="H154" s="88"/>
      <c r="I154" s="27"/>
      <c r="J154" s="68">
        <v>570</v>
      </c>
      <c r="K154" s="47">
        <f t="shared" si="5"/>
        <v>1.4501032949790478</v>
      </c>
      <c r="L154" s="86"/>
      <c r="M154" s="86"/>
      <c r="N154" s="27"/>
    </row>
    <row r="155" spans="1:14" s="28" customFormat="1" x14ac:dyDescent="0.35">
      <c r="A155" s="88">
        <f t="shared" si="4"/>
        <v>20</v>
      </c>
      <c r="B155" s="88"/>
      <c r="C155" s="43">
        <v>1</v>
      </c>
      <c r="D155" s="48">
        <f>(4.43*2.75+2.14*2.11+3.4*2.75+1.4*1.22+1.4*1+0.9*2.4+0.45*1.2+0.6*(2.75+2.11+2.75))*10.764</f>
        <v>392.04533159999988</v>
      </c>
      <c r="E155" s="33">
        <v>0</v>
      </c>
      <c r="F155" s="68">
        <v>572</v>
      </c>
      <c r="G155" s="88"/>
      <c r="H155" s="88"/>
      <c r="I155" s="27"/>
      <c r="J155" s="68">
        <v>572</v>
      </c>
      <c r="K155" s="47">
        <f t="shared" si="5"/>
        <v>1.4590149503007119</v>
      </c>
      <c r="L155" s="86"/>
      <c r="M155" s="86"/>
      <c r="N155" s="27"/>
    </row>
    <row r="156" spans="1:14" s="28" customFormat="1" x14ac:dyDescent="0.35">
      <c r="A156" s="88">
        <f t="shared" si="4"/>
        <v>21</v>
      </c>
      <c r="B156" s="88"/>
      <c r="C156" s="43">
        <v>1</v>
      </c>
      <c r="D156" s="48">
        <f>(4.43*2.75+2.14*2.14+3.18*2.75+1.22*1.53+1*1.42+0.9*2.4+1*1+0.6*(2.75+2.14+2.75))*10.764</f>
        <v>393.29180279999997</v>
      </c>
      <c r="E156" s="33">
        <v>0</v>
      </c>
      <c r="F156" s="68">
        <v>569</v>
      </c>
      <c r="G156" s="88"/>
      <c r="H156" s="88"/>
      <c r="I156" s="27"/>
      <c r="J156" s="68">
        <v>569</v>
      </c>
      <c r="K156" s="47">
        <f t="shared" si="5"/>
        <v>1.4467629275491221</v>
      </c>
      <c r="L156" s="86"/>
      <c r="M156" s="86"/>
      <c r="N156" s="27"/>
    </row>
    <row r="157" spans="1:14" s="28" customFormat="1" x14ac:dyDescent="0.35">
      <c r="A157" s="88">
        <f t="shared" si="4"/>
        <v>22</v>
      </c>
      <c r="B157" s="88"/>
      <c r="C157" s="43">
        <v>1</v>
      </c>
      <c r="D157" s="48">
        <f>(2.75*4.28+1.25*0.95+2.14*2.55+2.75*3.2+1.05*1.53+1*1.35+1.05*1.3+1*1+0.6*(3.2+2.55+2.75))*10.764</f>
        <v>405.11390399999999</v>
      </c>
      <c r="E157" s="33">
        <v>0</v>
      </c>
      <c r="F157" s="68">
        <v>596</v>
      </c>
      <c r="G157" s="88"/>
      <c r="H157" s="88"/>
      <c r="I157" s="27"/>
      <c r="J157" s="68">
        <v>596</v>
      </c>
      <c r="K157" s="47">
        <f t="shared" si="5"/>
        <v>1.4711911739272223</v>
      </c>
      <c r="L157" s="86"/>
      <c r="M157" s="86"/>
      <c r="N157" s="27"/>
    </row>
    <row r="158" spans="1:14" s="28" customFormat="1" x14ac:dyDescent="0.35">
      <c r="A158" s="88">
        <f t="shared" si="4"/>
        <v>23</v>
      </c>
      <c r="B158" s="88"/>
      <c r="C158" s="43">
        <v>1</v>
      </c>
      <c r="D158" s="48">
        <f>(5.65*2.75+2.17*2.14+3.58*2.75+1.2*2.11+1*1.4+1*0.9+0.9*2.14+0.6*(2.75+2.14+2.75))*10.764</f>
        <v>445.28838119999995</v>
      </c>
      <c r="E158" s="33">
        <v>0</v>
      </c>
      <c r="F158" s="68">
        <v>647</v>
      </c>
      <c r="G158" s="88"/>
      <c r="H158" s="88"/>
      <c r="I158" s="27"/>
      <c r="J158" s="68">
        <v>647</v>
      </c>
      <c r="K158" s="47">
        <f t="shared" si="5"/>
        <v>1.4529909768954916</v>
      </c>
      <c r="L158" s="86"/>
      <c r="M158" s="86"/>
      <c r="N158" s="27"/>
    </row>
    <row r="159" spans="1:14" s="28" customFormat="1" x14ac:dyDescent="0.35">
      <c r="A159" s="88">
        <f t="shared" si="4"/>
        <v>24</v>
      </c>
      <c r="B159" s="88"/>
      <c r="C159" s="43">
        <v>1</v>
      </c>
      <c r="D159" s="48">
        <f>(4.43*2.75+2.14*2.14+3.18*2.75+1.22*1.53+1*1.42+0.9*2.4+1*1+0.6*(2.75+2.14+2.75))*10.764</f>
        <v>393.29180279999997</v>
      </c>
      <c r="E159" s="33">
        <v>0</v>
      </c>
      <c r="F159" s="68">
        <v>572</v>
      </c>
      <c r="G159" s="88"/>
      <c r="H159" s="88"/>
      <c r="I159" s="27"/>
      <c r="J159" s="68">
        <v>572</v>
      </c>
      <c r="K159" s="47">
        <f t="shared" si="5"/>
        <v>1.454390851595954</v>
      </c>
      <c r="L159" s="86"/>
      <c r="M159" s="86"/>
      <c r="N159" s="27"/>
    </row>
    <row r="160" spans="1:14" s="28" customFormat="1" x14ac:dyDescent="0.35">
      <c r="A160" s="87" t="s">
        <v>212</v>
      </c>
      <c r="B160" s="87"/>
      <c r="C160" s="87"/>
      <c r="D160" s="87"/>
      <c r="E160" s="87"/>
      <c r="F160" s="87"/>
      <c r="G160" s="87"/>
      <c r="H160" s="87"/>
      <c r="J160" s="27"/>
    </row>
    <row r="161" spans="1:14" s="28" customFormat="1" ht="15.75" customHeight="1" x14ac:dyDescent="0.35">
      <c r="A161" s="80">
        <v>25</v>
      </c>
      <c r="B161" s="81"/>
      <c r="C161" s="43">
        <v>1</v>
      </c>
      <c r="D161" s="48">
        <f>(2.75*3.98+1.2*0.45+2.34*2.18+2.75*3.4+1.22*1.49+1*1.49+0.9*2.8+0.6*(2.75+2.34+2.75))*10.764</f>
        <v>392.54155199999991</v>
      </c>
      <c r="E161" s="33">
        <v>0</v>
      </c>
      <c r="F161" s="48">
        <v>569</v>
      </c>
      <c r="G161" s="82" t="str">
        <f>A160</f>
        <v>4th Floor For Residential</v>
      </c>
      <c r="H161" s="83"/>
      <c r="I161" s="27"/>
      <c r="J161" s="48">
        <v>569</v>
      </c>
      <c r="K161" s="47">
        <f>J161/D161</f>
        <v>1.4495280744189856</v>
      </c>
      <c r="L161" s="86"/>
      <c r="M161" s="86"/>
      <c r="N161" s="27"/>
    </row>
    <row r="162" spans="1:14" s="28" customFormat="1" x14ac:dyDescent="0.35">
      <c r="A162" s="80">
        <f t="shared" ref="A162:A168" si="6">A161+1</f>
        <v>26</v>
      </c>
      <c r="B162" s="81"/>
      <c r="C162" s="43">
        <v>1</v>
      </c>
      <c r="D162" s="48">
        <f>(2.75*4.68+2.14*2.14+2.75*3.18+1.22*1.53+1.38*1+1.3*1.2+1*1+0.6*(2.75+2.14+2.75))*10.764</f>
        <v>393.8030928</v>
      </c>
      <c r="E162" s="33">
        <v>0</v>
      </c>
      <c r="F162" s="68">
        <v>571</v>
      </c>
      <c r="G162" s="84"/>
      <c r="H162" s="85"/>
      <c r="I162" s="27"/>
      <c r="J162" s="68">
        <v>571</v>
      </c>
      <c r="K162" s="47">
        <f t="shared" ref="K162:K168" si="7">J162/D162</f>
        <v>1.4499632187754112</v>
      </c>
      <c r="L162" s="86"/>
      <c r="M162" s="86"/>
      <c r="N162" s="27"/>
    </row>
    <row r="163" spans="1:14" s="28" customFormat="1" x14ac:dyDescent="0.35">
      <c r="A163" s="80">
        <f t="shared" si="6"/>
        <v>27</v>
      </c>
      <c r="B163" s="81"/>
      <c r="C163" s="43">
        <v>1</v>
      </c>
      <c r="D163" s="48">
        <f>(2.75*4.68+2.14*2.14+2.78*3.18+1.37*1.38+1*1.38+2.35*0.9+0.6*(2.75+2.14+3.18))*10.764</f>
        <v>393.07544639999992</v>
      </c>
      <c r="E163" s="33">
        <v>0</v>
      </c>
      <c r="F163" s="68">
        <v>570</v>
      </c>
      <c r="G163" s="84"/>
      <c r="H163" s="85"/>
      <c r="I163" s="27"/>
      <c r="J163" s="68">
        <v>570</v>
      </c>
      <c r="K163" s="47">
        <f t="shared" si="7"/>
        <v>1.4501032949790478</v>
      </c>
      <c r="L163" s="86"/>
      <c r="M163" s="86"/>
      <c r="N163" s="27"/>
    </row>
    <row r="164" spans="1:14" s="28" customFormat="1" x14ac:dyDescent="0.35">
      <c r="A164" s="80">
        <f t="shared" si="6"/>
        <v>28</v>
      </c>
      <c r="B164" s="81"/>
      <c r="C164" s="43">
        <v>1</v>
      </c>
      <c r="D164" s="48">
        <f>(4.43*2.75+2.14*2.11+3.4*2.75+1.4*1.22+1.4*1+0.9*2.4+0.45*1.2+0.6*(2.75+2.11+2.75))*10.764</f>
        <v>392.04533159999988</v>
      </c>
      <c r="E164" s="33">
        <v>0</v>
      </c>
      <c r="F164" s="68">
        <v>572</v>
      </c>
      <c r="G164" s="84"/>
      <c r="H164" s="85"/>
      <c r="I164" s="27"/>
      <c r="J164" s="68">
        <v>572</v>
      </c>
      <c r="K164" s="47">
        <f t="shared" si="7"/>
        <v>1.4590149503007119</v>
      </c>
      <c r="L164" s="86"/>
      <c r="M164" s="86"/>
      <c r="N164" s="27"/>
    </row>
    <row r="165" spans="1:14" s="28" customFormat="1" x14ac:dyDescent="0.35">
      <c r="A165" s="80">
        <f t="shared" si="6"/>
        <v>29</v>
      </c>
      <c r="B165" s="81"/>
      <c r="C165" s="43">
        <v>1</v>
      </c>
      <c r="D165" s="48">
        <f>(4.43*2.75+2.14*2.14+3.18*2.75+1.22*1.53+1*1.42+0.9*2.4+1*1+0.6*(2.75+2.14+2.75))*10.764</f>
        <v>393.29180279999997</v>
      </c>
      <c r="E165" s="33">
        <v>0</v>
      </c>
      <c r="F165" s="68">
        <v>569</v>
      </c>
      <c r="G165" s="84"/>
      <c r="H165" s="85"/>
      <c r="I165" s="27"/>
      <c r="J165" s="68">
        <v>569</v>
      </c>
      <c r="K165" s="47">
        <f t="shared" si="7"/>
        <v>1.4467629275491221</v>
      </c>
      <c r="L165" s="86"/>
      <c r="M165" s="86"/>
      <c r="N165" s="27"/>
    </row>
    <row r="166" spans="1:14" s="28" customFormat="1" x14ac:dyDescent="0.35">
      <c r="A166" s="80">
        <f t="shared" si="6"/>
        <v>30</v>
      </c>
      <c r="B166" s="81"/>
      <c r="C166" s="43">
        <v>1</v>
      </c>
      <c r="D166" s="48">
        <f>(2.75*4.28+1.25*0.95+2.14*2.55+2.75*3.2+1.05*1.53+1*1.35+1.05*1.3+1*1+0.6*(3.2+2.55+2.75))*10.764</f>
        <v>405.11390399999999</v>
      </c>
      <c r="E166" s="33">
        <v>0</v>
      </c>
      <c r="F166" s="68">
        <v>596</v>
      </c>
      <c r="G166" s="84"/>
      <c r="H166" s="85"/>
      <c r="I166" s="27"/>
      <c r="J166" s="68">
        <v>596</v>
      </c>
      <c r="K166" s="47">
        <f t="shared" si="7"/>
        <v>1.4711911739272223</v>
      </c>
      <c r="L166" s="86"/>
      <c r="M166" s="86"/>
      <c r="N166" s="27"/>
    </row>
    <row r="167" spans="1:14" s="28" customFormat="1" x14ac:dyDescent="0.35">
      <c r="A167" s="80">
        <f t="shared" si="6"/>
        <v>31</v>
      </c>
      <c r="B167" s="81"/>
      <c r="C167" s="43">
        <v>1</v>
      </c>
      <c r="D167" s="48">
        <f>(5.65*2.75+2.17*2.14+3.58*2.75+1.2*2.11+1*1.4+1*0.9+0.9*2.14+0.6*(2.75+2.14+2.75))*10.764</f>
        <v>445.28838119999995</v>
      </c>
      <c r="E167" s="33">
        <v>0</v>
      </c>
      <c r="F167" s="68">
        <v>647</v>
      </c>
      <c r="G167" s="84"/>
      <c r="H167" s="85"/>
      <c r="I167" s="27"/>
      <c r="J167" s="68">
        <v>647</v>
      </c>
      <c r="K167" s="47">
        <f t="shared" si="7"/>
        <v>1.4529909768954916</v>
      </c>
      <c r="L167" s="86"/>
      <c r="M167" s="86"/>
      <c r="N167" s="27"/>
    </row>
    <row r="168" spans="1:14" s="28" customFormat="1" x14ac:dyDescent="0.35">
      <c r="A168" s="80">
        <f t="shared" si="6"/>
        <v>32</v>
      </c>
      <c r="B168" s="81"/>
      <c r="C168" s="43">
        <v>1</v>
      </c>
      <c r="D168" s="48">
        <f>(4.43*2.75+2.14*2.14+3.18*2.75+1.22*1.53+1*1.42+0.9*2.4+1*1+0.6*(2.75+2.14+2.75))*10.764</f>
        <v>393.29180279999997</v>
      </c>
      <c r="E168" s="33">
        <v>0</v>
      </c>
      <c r="F168" s="68">
        <v>572</v>
      </c>
      <c r="G168" s="89"/>
      <c r="H168" s="90"/>
      <c r="I168" s="27"/>
      <c r="J168" s="68">
        <v>572</v>
      </c>
      <c r="K168" s="47">
        <f t="shared" si="7"/>
        <v>1.454390851595954</v>
      </c>
      <c r="L168" s="86"/>
      <c r="M168" s="86"/>
      <c r="N168" s="27"/>
    </row>
    <row r="169" spans="1:14" s="28" customFormat="1" x14ac:dyDescent="0.35">
      <c r="A169" s="77" t="s">
        <v>185</v>
      </c>
      <c r="B169" s="78"/>
      <c r="C169" s="78"/>
      <c r="D169" s="78"/>
      <c r="E169" s="78"/>
      <c r="F169" s="78"/>
      <c r="G169" s="78"/>
      <c r="H169" s="79"/>
      <c r="J169" s="27"/>
      <c r="K169" s="47"/>
    </row>
    <row r="170" spans="1:14" s="28" customFormat="1" x14ac:dyDescent="0.35">
      <c r="A170" s="77" t="s">
        <v>183</v>
      </c>
      <c r="B170" s="78"/>
      <c r="C170" s="78"/>
      <c r="D170" s="78"/>
      <c r="E170" s="78"/>
      <c r="F170" s="78"/>
      <c r="G170" s="78"/>
      <c r="H170" s="79"/>
      <c r="J170" s="27"/>
      <c r="K170" s="47"/>
    </row>
    <row r="171" spans="1:14" s="28" customFormat="1" x14ac:dyDescent="0.35">
      <c r="A171" s="77" t="s">
        <v>209</v>
      </c>
      <c r="B171" s="78"/>
      <c r="C171" s="78"/>
      <c r="D171" s="78"/>
      <c r="E171" s="78"/>
      <c r="F171" s="78"/>
      <c r="G171" s="78"/>
      <c r="H171" s="79"/>
      <c r="J171" s="27"/>
      <c r="K171" s="47"/>
    </row>
    <row r="172" spans="1:14" s="28" customFormat="1" ht="15.75" customHeight="1" x14ac:dyDescent="0.35">
      <c r="A172" s="80">
        <v>1</v>
      </c>
      <c r="B172" s="81"/>
      <c r="C172" s="43">
        <v>2</v>
      </c>
      <c r="D172" s="48">
        <f>(3.4*4.1+2.14*2.07+3.4*2.75+3.14*3.11+1.4*2.14+2.6*1.08+1.5*0.9+0.6*(2.75+2.5))*10.764</f>
        <v>514.40294879999999</v>
      </c>
      <c r="E172" s="33">
        <v>0</v>
      </c>
      <c r="F172" s="68">
        <v>739</v>
      </c>
      <c r="G172" s="82" t="str">
        <f>A171</f>
        <v>1st Floor For Residential</v>
      </c>
      <c r="H172" s="83"/>
      <c r="I172" s="27"/>
      <c r="J172" s="68">
        <v>739</v>
      </c>
      <c r="K172" s="47">
        <f t="shared" si="1"/>
        <v>1.4366169589889413</v>
      </c>
      <c r="L172" s="86"/>
      <c r="M172" s="86"/>
      <c r="N172" s="27"/>
    </row>
    <row r="173" spans="1:14" s="28" customFormat="1" x14ac:dyDescent="0.35">
      <c r="A173" s="80">
        <f t="shared" ref="A173:A175" si="8">A172+1</f>
        <v>2</v>
      </c>
      <c r="B173" s="81"/>
      <c r="C173" s="43">
        <v>2</v>
      </c>
      <c r="D173" s="48">
        <f>(2.75*3.97+0.9*1.4+2.14*2.14+2.45*2.99+3.4*3.2+1.14*2.07+1*2.16+0.9*6.08+0.6*(2.75+2.14+3.2))*10.764</f>
        <v>536.1376176</v>
      </c>
      <c r="E173" s="33">
        <v>0</v>
      </c>
      <c r="F173" s="68">
        <v>779</v>
      </c>
      <c r="G173" s="84"/>
      <c r="H173" s="85"/>
      <c r="I173" s="27"/>
      <c r="J173" s="68">
        <v>779</v>
      </c>
      <c r="K173" s="47">
        <f t="shared" si="1"/>
        <v>1.4529851561007123</v>
      </c>
      <c r="L173" s="86"/>
      <c r="M173" s="86"/>
      <c r="N173" s="27"/>
    </row>
    <row r="174" spans="1:14" s="28" customFormat="1" x14ac:dyDescent="0.35">
      <c r="A174" s="80">
        <f t="shared" si="8"/>
        <v>3</v>
      </c>
      <c r="B174" s="81"/>
      <c r="C174" s="43">
        <v>1</v>
      </c>
      <c r="D174" s="48">
        <f>(2.75*4.43+1.8*1.2+2.14*2.14+2.75*3.18+2.44*1.22+2.14*0.9+0.6*(2.75+2.14+2.75))*10.764</f>
        <v>399.92457960000007</v>
      </c>
      <c r="E174" s="33">
        <v>0</v>
      </c>
      <c r="F174" s="68">
        <v>582</v>
      </c>
      <c r="G174" s="84"/>
      <c r="H174" s="85"/>
      <c r="I174" s="27"/>
      <c r="J174" s="68">
        <v>582</v>
      </c>
      <c r="K174" s="47">
        <f t="shared" si="1"/>
        <v>1.4552743934421577</v>
      </c>
      <c r="L174" s="86"/>
      <c r="M174" s="86"/>
      <c r="N174" s="27"/>
    </row>
    <row r="175" spans="1:14" s="28" customFormat="1" x14ac:dyDescent="0.35">
      <c r="A175" s="80">
        <f t="shared" si="8"/>
        <v>4</v>
      </c>
      <c r="B175" s="81"/>
      <c r="C175" s="43">
        <v>1</v>
      </c>
      <c r="D175" s="48">
        <f>(3.66*4.1+2.45*2.14+0.6*0.45+3.66*2.75+2.44*1.03+0.6*(2.45+4.08))*10.764</f>
        <v>398.43161279999998</v>
      </c>
      <c r="E175" s="33">
        <v>0</v>
      </c>
      <c r="F175" s="68">
        <v>573</v>
      </c>
      <c r="G175" s="84"/>
      <c r="H175" s="85"/>
      <c r="I175" s="27"/>
      <c r="J175" s="68">
        <v>573</v>
      </c>
      <c r="K175" s="47">
        <f t="shared" si="1"/>
        <v>1.438138896593097</v>
      </c>
      <c r="L175" s="86"/>
      <c r="M175" s="86"/>
      <c r="N175" s="27"/>
    </row>
    <row r="176" spans="1:14" s="28" customFormat="1" x14ac:dyDescent="0.35">
      <c r="A176" s="77" t="s">
        <v>210</v>
      </c>
      <c r="B176" s="78"/>
      <c r="C176" s="78"/>
      <c r="D176" s="78"/>
      <c r="E176" s="78"/>
      <c r="F176" s="78"/>
      <c r="G176" s="78"/>
      <c r="H176" s="79"/>
      <c r="J176" s="27"/>
      <c r="K176" s="47"/>
    </row>
    <row r="177" spans="1:14" s="28" customFormat="1" ht="15.75" customHeight="1" x14ac:dyDescent="0.35">
      <c r="A177" s="80">
        <v>5</v>
      </c>
      <c r="B177" s="81"/>
      <c r="C177" s="43">
        <v>2</v>
      </c>
      <c r="D177" s="48">
        <f>(3.4*4.1+2.14*2.07+3.4*2.75+3.14*3.11+1.4*2.14+2.6*1.08+1.5*0.9+0.6*(2.75+2.5))*10.764</f>
        <v>514.40294879999999</v>
      </c>
      <c r="E177" s="33">
        <v>0</v>
      </c>
      <c r="F177" s="68">
        <v>739</v>
      </c>
      <c r="G177" s="82" t="str">
        <f>A176</f>
        <v>2nd Floor For Residential</v>
      </c>
      <c r="H177" s="83"/>
      <c r="I177" s="27"/>
      <c r="J177" s="68">
        <v>739</v>
      </c>
      <c r="K177" s="47">
        <f t="shared" ref="K177:K180" si="9">J177/D177</f>
        <v>1.4366169589889413</v>
      </c>
      <c r="L177" s="86"/>
      <c r="M177" s="86"/>
      <c r="N177" s="27"/>
    </row>
    <row r="178" spans="1:14" s="28" customFormat="1" x14ac:dyDescent="0.35">
      <c r="A178" s="80">
        <f t="shared" ref="A178:A180" si="10">A177+1</f>
        <v>6</v>
      </c>
      <c r="B178" s="81"/>
      <c r="C178" s="43">
        <v>2</v>
      </c>
      <c r="D178" s="48">
        <f>(2.75*3.97+0.9*1.4+2.14*2.14+2.45*2.99+3.4*3.2+1.14*2.07+1*2.16+0.9*6.08+0.6*(2.75+2.14+3.2))*10.764</f>
        <v>536.1376176</v>
      </c>
      <c r="E178" s="33">
        <v>0</v>
      </c>
      <c r="F178" s="68">
        <v>779</v>
      </c>
      <c r="G178" s="84"/>
      <c r="H178" s="85"/>
      <c r="I178" s="27"/>
      <c r="J178" s="68">
        <v>779</v>
      </c>
      <c r="K178" s="47">
        <f t="shared" si="9"/>
        <v>1.4529851561007123</v>
      </c>
      <c r="L178" s="86"/>
      <c r="M178" s="86"/>
      <c r="N178" s="27"/>
    </row>
    <row r="179" spans="1:14" s="28" customFormat="1" x14ac:dyDescent="0.35">
      <c r="A179" s="80">
        <f t="shared" si="10"/>
        <v>7</v>
      </c>
      <c r="B179" s="81"/>
      <c r="C179" s="43">
        <v>1</v>
      </c>
      <c r="D179" s="48">
        <f>(2.75*4.43+1.8*1.2+2.14*2.14+2.75*3.18+2.44*1.22+2.14*0.9+0.6*(2.75+2.14+2.75))*10.764</f>
        <v>399.92457960000007</v>
      </c>
      <c r="E179" s="33">
        <v>0</v>
      </c>
      <c r="F179" s="68">
        <v>582</v>
      </c>
      <c r="G179" s="84"/>
      <c r="H179" s="85"/>
      <c r="I179" s="27"/>
      <c r="J179" s="68">
        <v>582</v>
      </c>
      <c r="K179" s="47">
        <f t="shared" si="9"/>
        <v>1.4552743934421577</v>
      </c>
      <c r="L179" s="86"/>
      <c r="M179" s="86"/>
      <c r="N179" s="27"/>
    </row>
    <row r="180" spans="1:14" s="28" customFormat="1" x14ac:dyDescent="0.35">
      <c r="A180" s="80">
        <f t="shared" si="10"/>
        <v>8</v>
      </c>
      <c r="B180" s="81"/>
      <c r="C180" s="43">
        <v>1</v>
      </c>
      <c r="D180" s="48">
        <f>(3.66*4.1+2.45*2.14+0.6*0.45+3.66*2.75+2.44*1.03+0.6*(2.45+4.08))*10.764</f>
        <v>398.43161279999998</v>
      </c>
      <c r="E180" s="33">
        <v>0</v>
      </c>
      <c r="F180" s="68">
        <v>573</v>
      </c>
      <c r="G180" s="84"/>
      <c r="H180" s="85"/>
      <c r="I180" s="27"/>
      <c r="J180" s="68">
        <v>573</v>
      </c>
      <c r="K180" s="47">
        <f t="shared" si="9"/>
        <v>1.438138896593097</v>
      </c>
      <c r="L180" s="86"/>
      <c r="M180" s="86"/>
      <c r="N180" s="27"/>
    </row>
    <row r="181" spans="1:14" s="28" customFormat="1" x14ac:dyDescent="0.35">
      <c r="A181" s="77" t="s">
        <v>211</v>
      </c>
      <c r="B181" s="78"/>
      <c r="C181" s="78"/>
      <c r="D181" s="78"/>
      <c r="E181" s="78"/>
      <c r="F181" s="78"/>
      <c r="G181" s="78"/>
      <c r="H181" s="79"/>
      <c r="J181" s="27"/>
      <c r="K181" s="47"/>
    </row>
    <row r="182" spans="1:14" s="28" customFormat="1" ht="15.75" customHeight="1" x14ac:dyDescent="0.35">
      <c r="A182" s="80">
        <v>9</v>
      </c>
      <c r="B182" s="81"/>
      <c r="C182" s="43">
        <v>2</v>
      </c>
      <c r="D182" s="48">
        <f>(3.4*4.1+2.14*2.07+3.4*2.75+3.14*3.11+1.4*2.14+2.6*1.08+1.5*0.9+0.6*(2.75+2.5))*10.764</f>
        <v>514.40294879999999</v>
      </c>
      <c r="E182" s="33">
        <v>0</v>
      </c>
      <c r="F182" s="68">
        <v>739</v>
      </c>
      <c r="G182" s="82" t="str">
        <f>A181</f>
        <v>3rd Floor For Residential</v>
      </c>
      <c r="H182" s="83"/>
      <c r="I182" s="27"/>
      <c r="J182" s="68">
        <v>739</v>
      </c>
      <c r="K182" s="47">
        <f t="shared" ref="K182:K185" si="11">J182/D182</f>
        <v>1.4366169589889413</v>
      </c>
      <c r="L182" s="86"/>
      <c r="M182" s="86"/>
      <c r="N182" s="27"/>
    </row>
    <row r="183" spans="1:14" s="28" customFormat="1" x14ac:dyDescent="0.35">
      <c r="A183" s="80">
        <f t="shared" ref="A183:A185" si="12">A182+1</f>
        <v>10</v>
      </c>
      <c r="B183" s="81"/>
      <c r="C183" s="43">
        <v>2</v>
      </c>
      <c r="D183" s="48">
        <f>(2.75*3.97+0.9*1.4+2.14*2.14+2.45*2.99+3.4*3.2+1.14*2.07+1*2.16+0.9*6.08+0.6*(2.75+2.14+3.2))*10.764</f>
        <v>536.1376176</v>
      </c>
      <c r="E183" s="33">
        <v>0</v>
      </c>
      <c r="F183" s="68">
        <v>779</v>
      </c>
      <c r="G183" s="84"/>
      <c r="H183" s="85"/>
      <c r="I183" s="27"/>
      <c r="J183" s="68">
        <v>779</v>
      </c>
      <c r="K183" s="47">
        <f t="shared" si="11"/>
        <v>1.4529851561007123</v>
      </c>
      <c r="L183" s="86"/>
      <c r="M183" s="86"/>
      <c r="N183" s="27"/>
    </row>
    <row r="184" spans="1:14" s="28" customFormat="1" x14ac:dyDescent="0.35">
      <c r="A184" s="80">
        <f t="shared" si="12"/>
        <v>11</v>
      </c>
      <c r="B184" s="81"/>
      <c r="C184" s="43">
        <v>1</v>
      </c>
      <c r="D184" s="48">
        <f>(2.75*4.43+1.8*1.2+2.14*2.14+2.75*3.18+2.44*1.22+2.14*0.9+0.6*(2.75+2.14+2.75))*10.764</f>
        <v>399.92457960000007</v>
      </c>
      <c r="E184" s="33">
        <v>0</v>
      </c>
      <c r="F184" s="68">
        <v>582</v>
      </c>
      <c r="G184" s="84"/>
      <c r="H184" s="85"/>
      <c r="I184" s="27"/>
      <c r="J184" s="68">
        <v>582</v>
      </c>
      <c r="K184" s="47">
        <f t="shared" si="11"/>
        <v>1.4552743934421577</v>
      </c>
      <c r="L184" s="86"/>
      <c r="M184" s="86"/>
      <c r="N184" s="27"/>
    </row>
    <row r="185" spans="1:14" s="28" customFormat="1" x14ac:dyDescent="0.35">
      <c r="A185" s="80">
        <f t="shared" si="12"/>
        <v>12</v>
      </c>
      <c r="B185" s="81"/>
      <c r="C185" s="43">
        <v>1</v>
      </c>
      <c r="D185" s="48">
        <f>(3.66*4.1+2.45*2.14+0.6*0.45+3.66*2.75+2.44*1.03+0.6*(2.45+4.08))*10.764</f>
        <v>398.43161279999998</v>
      </c>
      <c r="E185" s="33">
        <v>0</v>
      </c>
      <c r="F185" s="68">
        <v>573</v>
      </c>
      <c r="G185" s="84"/>
      <c r="H185" s="85"/>
      <c r="I185" s="27"/>
      <c r="J185" s="68">
        <v>573</v>
      </c>
      <c r="K185" s="47">
        <f t="shared" si="11"/>
        <v>1.438138896593097</v>
      </c>
      <c r="L185" s="86"/>
      <c r="M185" s="86"/>
      <c r="N185" s="27"/>
    </row>
    <row r="186" spans="1:14" s="28" customFormat="1" x14ac:dyDescent="0.35">
      <c r="A186" s="77" t="s">
        <v>212</v>
      </c>
      <c r="B186" s="78"/>
      <c r="C186" s="78"/>
      <c r="D186" s="78"/>
      <c r="E186" s="78"/>
      <c r="F186" s="78"/>
      <c r="G186" s="78"/>
      <c r="H186" s="79"/>
      <c r="J186" s="27"/>
      <c r="K186" s="47"/>
    </row>
    <row r="187" spans="1:14" s="28" customFormat="1" ht="15.75" customHeight="1" x14ac:dyDescent="0.35">
      <c r="A187" s="80">
        <v>13</v>
      </c>
      <c r="B187" s="81"/>
      <c r="C187" s="43">
        <v>2</v>
      </c>
      <c r="D187" s="48">
        <f>(3.4*4.1+2.14*2.07+3.4*2.75+3.14*3.11+1.4*2.14+2.6*1.08+1.5*0.9+0.6*(2.75+2.5))*10.764</f>
        <v>514.40294879999999</v>
      </c>
      <c r="E187" s="33">
        <v>0</v>
      </c>
      <c r="F187" s="68">
        <v>739</v>
      </c>
      <c r="G187" s="82" t="str">
        <f>A186</f>
        <v>4th Floor For Residential</v>
      </c>
      <c r="H187" s="83"/>
      <c r="I187" s="27"/>
      <c r="J187" s="68">
        <v>739</v>
      </c>
      <c r="K187" s="47">
        <f t="shared" ref="K187:K190" si="13">J187/D187</f>
        <v>1.4366169589889413</v>
      </c>
      <c r="L187" s="86"/>
      <c r="M187" s="86"/>
      <c r="N187" s="27"/>
    </row>
    <row r="188" spans="1:14" s="28" customFormat="1" x14ac:dyDescent="0.35">
      <c r="A188" s="80">
        <f t="shared" ref="A188:A190" si="14">A187+1</f>
        <v>14</v>
      </c>
      <c r="B188" s="81"/>
      <c r="C188" s="43">
        <v>2</v>
      </c>
      <c r="D188" s="48">
        <f>(2.75*3.97+0.9*1.4+2.14*2.14+2.45*2.99+3.4*3.2+1.14*2.07+1*2.16+0.9*6.08+0.6*(2.75+2.14+3.2))*10.764</f>
        <v>536.1376176</v>
      </c>
      <c r="E188" s="33">
        <v>0</v>
      </c>
      <c r="F188" s="68">
        <v>779</v>
      </c>
      <c r="G188" s="84"/>
      <c r="H188" s="85"/>
      <c r="I188" s="27"/>
      <c r="J188" s="68">
        <v>779</v>
      </c>
      <c r="K188" s="47">
        <f t="shared" si="13"/>
        <v>1.4529851561007123</v>
      </c>
      <c r="L188" s="86"/>
      <c r="M188" s="86"/>
      <c r="N188" s="27"/>
    </row>
    <row r="189" spans="1:14" s="28" customFormat="1" x14ac:dyDescent="0.35">
      <c r="A189" s="80">
        <f t="shared" si="14"/>
        <v>15</v>
      </c>
      <c r="B189" s="81"/>
      <c r="C189" s="43">
        <v>1</v>
      </c>
      <c r="D189" s="48">
        <f>(2.75*4.43+1.8*1.2+2.14*2.14+2.75*3.18+2.44*1.22+2.14*0.9+0.6*(2.75+2.14+2.75))*10.764</f>
        <v>399.92457960000007</v>
      </c>
      <c r="E189" s="33">
        <v>0</v>
      </c>
      <c r="F189" s="68">
        <v>582</v>
      </c>
      <c r="G189" s="84"/>
      <c r="H189" s="85"/>
      <c r="I189" s="27"/>
      <c r="J189" s="68">
        <v>582</v>
      </c>
      <c r="K189" s="47">
        <f t="shared" si="13"/>
        <v>1.4552743934421577</v>
      </c>
      <c r="L189" s="86"/>
      <c r="M189" s="86"/>
      <c r="N189" s="27"/>
    </row>
    <row r="190" spans="1:14" s="28" customFormat="1" x14ac:dyDescent="0.35">
      <c r="A190" s="80">
        <f t="shared" si="14"/>
        <v>16</v>
      </c>
      <c r="B190" s="81"/>
      <c r="C190" s="43">
        <v>1</v>
      </c>
      <c r="D190" s="48">
        <f>(3.66*4.1+2.45*2.14+0.6*0.45+3.66*2.75+2.44*1.03+0.6*(2.45+4.08))*10.764</f>
        <v>398.43161279999998</v>
      </c>
      <c r="E190" s="33">
        <v>0</v>
      </c>
      <c r="F190" s="68">
        <v>573</v>
      </c>
      <c r="G190" s="84"/>
      <c r="H190" s="85"/>
      <c r="I190" s="27"/>
      <c r="J190" s="68">
        <v>573</v>
      </c>
      <c r="K190" s="47">
        <f t="shared" si="13"/>
        <v>1.438138896593097</v>
      </c>
      <c r="L190" s="86"/>
      <c r="M190" s="86"/>
      <c r="N190" s="27"/>
    </row>
    <row r="191" spans="1:14" s="28" customFormat="1" x14ac:dyDescent="0.35">
      <c r="A191" s="77" t="s">
        <v>186</v>
      </c>
      <c r="B191" s="78"/>
      <c r="C191" s="78"/>
      <c r="D191" s="78"/>
      <c r="E191" s="78"/>
      <c r="F191" s="78"/>
      <c r="G191" s="78"/>
      <c r="H191" s="79"/>
      <c r="J191" s="27"/>
      <c r="K191" s="47"/>
    </row>
    <row r="192" spans="1:14" s="28" customFormat="1" x14ac:dyDescent="0.35">
      <c r="A192" s="77" t="s">
        <v>183</v>
      </c>
      <c r="B192" s="78"/>
      <c r="C192" s="78"/>
      <c r="D192" s="78"/>
      <c r="E192" s="78"/>
      <c r="F192" s="78"/>
      <c r="G192" s="78"/>
      <c r="H192" s="79"/>
      <c r="J192" s="27"/>
      <c r="K192" s="47"/>
    </row>
    <row r="193" spans="1:14" s="28" customFormat="1" x14ac:dyDescent="0.35">
      <c r="A193" s="77" t="s">
        <v>209</v>
      </c>
      <c r="B193" s="78"/>
      <c r="C193" s="78"/>
      <c r="D193" s="78"/>
      <c r="E193" s="78"/>
      <c r="F193" s="78"/>
      <c r="G193" s="78"/>
      <c r="H193" s="79"/>
      <c r="J193" s="27"/>
      <c r="K193" s="47"/>
    </row>
    <row r="194" spans="1:14" s="28" customFormat="1" ht="15.75" customHeight="1" x14ac:dyDescent="0.35">
      <c r="A194" s="80">
        <v>1</v>
      </c>
      <c r="B194" s="81"/>
      <c r="C194" s="43">
        <v>1</v>
      </c>
      <c r="D194" s="48">
        <f>(4.28*2.75+0.45*1.3+2.93*2.14+0.5*1.53+3.18*2.75+1.53*1.22+1.44*1+0.6*(2.75+2.14+2.75))*10.764</f>
        <v>387.78171120000002</v>
      </c>
      <c r="E194" s="33">
        <v>0</v>
      </c>
      <c r="F194" s="68">
        <v>565</v>
      </c>
      <c r="G194" s="82" t="str">
        <f>A193</f>
        <v>1st Floor For Residential</v>
      </c>
      <c r="H194" s="83"/>
      <c r="I194" s="27"/>
      <c r="J194" s="68">
        <v>565</v>
      </c>
      <c r="K194" s="47">
        <f t="shared" si="1"/>
        <v>1.4570052781798131</v>
      </c>
      <c r="L194" s="86"/>
      <c r="M194" s="86"/>
      <c r="N194" s="27"/>
    </row>
    <row r="195" spans="1:14" s="28" customFormat="1" x14ac:dyDescent="0.35">
      <c r="A195" s="80">
        <f t="shared" ref="A195:A197" si="15">A194+1</f>
        <v>2</v>
      </c>
      <c r="B195" s="81"/>
      <c r="C195" s="43">
        <v>1</v>
      </c>
      <c r="D195" s="48">
        <f>(4.28*2.75+0.45*1.3+2.14*2.14+0.9*2.14+0.5*1.53+3.2*2.75+1.53*1.22+1.44*1+0.6*(2.75+2.14+2.75))*10.764</f>
        <v>390.90757680000007</v>
      </c>
      <c r="E195" s="33">
        <v>0</v>
      </c>
      <c r="F195" s="68">
        <v>572</v>
      </c>
      <c r="G195" s="84"/>
      <c r="H195" s="85"/>
      <c r="I195" s="27"/>
      <c r="J195" s="68">
        <v>572</v>
      </c>
      <c r="K195" s="47">
        <f t="shared" si="1"/>
        <v>1.4632614816075877</v>
      </c>
      <c r="L195" s="86"/>
      <c r="M195" s="86"/>
      <c r="N195" s="27"/>
    </row>
    <row r="196" spans="1:14" s="28" customFormat="1" x14ac:dyDescent="0.35">
      <c r="A196" s="80">
        <f t="shared" si="15"/>
        <v>3</v>
      </c>
      <c r="B196" s="81"/>
      <c r="C196" s="43">
        <v>1</v>
      </c>
      <c r="D196" s="48">
        <f>(4.28*2.75+0.45*1.3+1.4*0.9+2.73*2.44+2.75*3.4+1.2*1.53+1*1.4+1.2*1.1+0.6*(2.44+2.75+2.75))*10.764</f>
        <v>419.21689680000003</v>
      </c>
      <c r="E196" s="33">
        <v>0</v>
      </c>
      <c r="F196" s="68">
        <v>611</v>
      </c>
      <c r="G196" s="84"/>
      <c r="H196" s="85"/>
      <c r="I196" s="27"/>
      <c r="J196" s="68">
        <v>611</v>
      </c>
      <c r="K196" s="47">
        <f t="shared" si="1"/>
        <v>1.4574794209487598</v>
      </c>
      <c r="L196" s="86"/>
      <c r="M196" s="86"/>
      <c r="N196" s="27"/>
    </row>
    <row r="197" spans="1:14" s="28" customFormat="1" x14ac:dyDescent="0.35">
      <c r="A197" s="80">
        <f t="shared" si="15"/>
        <v>4</v>
      </c>
      <c r="B197" s="81"/>
      <c r="C197" s="43">
        <v>2</v>
      </c>
      <c r="D197" s="48">
        <f>(4.28*2.75+0.45*1.3+2.55*2.14+2.44*3.05+3.4*2.75+2.16*1.2+1*2.38+0.9*1.2+0.9*2.14+0.6*(2.75+2.14+3.4+2.44))*10.764</f>
        <v>527.65128000000004</v>
      </c>
      <c r="E197" s="33">
        <v>0</v>
      </c>
      <c r="F197" s="68">
        <v>780</v>
      </c>
      <c r="G197" s="84"/>
      <c r="H197" s="85"/>
      <c r="I197" s="27"/>
      <c r="J197" s="68">
        <v>780</v>
      </c>
      <c r="K197" s="47">
        <f t="shared" si="1"/>
        <v>1.4782490435728688</v>
      </c>
      <c r="L197" s="86"/>
      <c r="M197" s="86"/>
      <c r="N197" s="27"/>
    </row>
    <row r="198" spans="1:14" s="28" customFormat="1" x14ac:dyDescent="0.35">
      <c r="A198" s="87" t="s">
        <v>210</v>
      </c>
      <c r="B198" s="87"/>
      <c r="C198" s="87"/>
      <c r="D198" s="87"/>
      <c r="E198" s="87"/>
      <c r="F198" s="87"/>
      <c r="G198" s="87"/>
      <c r="H198" s="87"/>
      <c r="J198" s="27"/>
      <c r="K198" s="47"/>
    </row>
    <row r="199" spans="1:14" s="28" customFormat="1" ht="15.75" customHeight="1" x14ac:dyDescent="0.35">
      <c r="A199" s="88">
        <v>5</v>
      </c>
      <c r="B199" s="88"/>
      <c r="C199" s="43">
        <v>1</v>
      </c>
      <c r="D199" s="48">
        <f>(4.28*2.75+0.45*1.3+2.93*2.14+0.5*1.53+3.18*2.75+1.53*1.22+1.44*1+0.6*(2.75+2.14+2.75))*10.764</f>
        <v>387.78171120000002</v>
      </c>
      <c r="E199" s="33">
        <v>0</v>
      </c>
      <c r="F199" s="68">
        <v>565</v>
      </c>
      <c r="G199" s="88" t="str">
        <f>A198</f>
        <v>2nd Floor For Residential</v>
      </c>
      <c r="H199" s="88"/>
      <c r="I199" s="27"/>
      <c r="J199" s="68">
        <v>565</v>
      </c>
      <c r="K199" s="47">
        <f t="shared" ref="K199:K202" si="16">J199/D199</f>
        <v>1.4570052781798131</v>
      </c>
      <c r="L199" s="86"/>
      <c r="M199" s="86"/>
      <c r="N199" s="27"/>
    </row>
    <row r="200" spans="1:14" s="28" customFormat="1" x14ac:dyDescent="0.35">
      <c r="A200" s="88">
        <f t="shared" ref="A200:A202" si="17">A199+1</f>
        <v>6</v>
      </c>
      <c r="B200" s="88"/>
      <c r="C200" s="43">
        <v>1</v>
      </c>
      <c r="D200" s="48">
        <f>(4.28*2.75+0.45*1.3+2.14*2.14+0.9*2.14+0.5*1.53+3.2*2.75+1.53*1.22+1.44*1+0.6*(2.75+2.14+2.75))*10.764</f>
        <v>390.90757680000007</v>
      </c>
      <c r="E200" s="33">
        <v>0</v>
      </c>
      <c r="F200" s="68">
        <v>572</v>
      </c>
      <c r="G200" s="88"/>
      <c r="H200" s="88"/>
      <c r="I200" s="27"/>
      <c r="J200" s="68">
        <v>572</v>
      </c>
      <c r="K200" s="47">
        <f t="shared" si="16"/>
        <v>1.4632614816075877</v>
      </c>
      <c r="L200" s="86"/>
      <c r="M200" s="86"/>
      <c r="N200" s="27"/>
    </row>
    <row r="201" spans="1:14" s="28" customFormat="1" x14ac:dyDescent="0.35">
      <c r="A201" s="88">
        <f t="shared" si="17"/>
        <v>7</v>
      </c>
      <c r="B201" s="88"/>
      <c r="C201" s="43">
        <v>1</v>
      </c>
      <c r="D201" s="48">
        <f>(4.28*2.75+0.45*1.3+1.4*0.9+2.73*2.44+2.75*3.4+1.2*1.53+1*1.4+1.2*1.1+0.6*(2.44+2.75+2.75))*10.764</f>
        <v>419.21689680000003</v>
      </c>
      <c r="E201" s="33">
        <v>0</v>
      </c>
      <c r="F201" s="68">
        <v>611</v>
      </c>
      <c r="G201" s="88"/>
      <c r="H201" s="88"/>
      <c r="I201" s="27"/>
      <c r="J201" s="68">
        <v>611</v>
      </c>
      <c r="K201" s="47">
        <f t="shared" si="16"/>
        <v>1.4574794209487598</v>
      </c>
      <c r="L201" s="86"/>
      <c r="M201" s="86"/>
      <c r="N201" s="27"/>
    </row>
    <row r="202" spans="1:14" s="28" customFormat="1" x14ac:dyDescent="0.35">
      <c r="A202" s="88">
        <f t="shared" si="17"/>
        <v>8</v>
      </c>
      <c r="B202" s="88"/>
      <c r="C202" s="43">
        <v>2</v>
      </c>
      <c r="D202" s="48">
        <f>(4.28*2.75+0.45*1.3+2.55*2.14+2.44*3.05+3.4*2.75+2.16*1.2+1*2.38+0.9*1.2+0.9*2.14+0.6*(2.75+2.14+3.4+2.44))*10.764</f>
        <v>527.65128000000004</v>
      </c>
      <c r="E202" s="33">
        <v>0</v>
      </c>
      <c r="F202" s="68">
        <v>780</v>
      </c>
      <c r="G202" s="88"/>
      <c r="H202" s="88"/>
      <c r="I202" s="27"/>
      <c r="J202" s="68">
        <v>780</v>
      </c>
      <c r="K202" s="47">
        <f t="shared" si="16"/>
        <v>1.4782490435728688</v>
      </c>
      <c r="L202" s="86"/>
      <c r="M202" s="86"/>
      <c r="N202" s="27"/>
    </row>
    <row r="203" spans="1:14" s="28" customFormat="1" x14ac:dyDescent="0.35">
      <c r="A203" s="87" t="s">
        <v>211</v>
      </c>
      <c r="B203" s="87"/>
      <c r="C203" s="87"/>
      <c r="D203" s="87"/>
      <c r="E203" s="87"/>
      <c r="F203" s="87"/>
      <c r="G203" s="87"/>
      <c r="H203" s="87"/>
      <c r="J203" s="27"/>
      <c r="K203" s="47"/>
    </row>
    <row r="204" spans="1:14" s="28" customFormat="1" ht="15.75" customHeight="1" x14ac:dyDescent="0.35">
      <c r="A204" s="88">
        <v>9</v>
      </c>
      <c r="B204" s="88"/>
      <c r="C204" s="43">
        <v>1</v>
      </c>
      <c r="D204" s="48">
        <f>(4.28*2.75+0.45*1.3+2.93*2.14+0.5*1.53+3.18*2.75+1.53*1.22+1.44*1+0.6*(2.75+2.14+2.75))*10.764</f>
        <v>387.78171120000002</v>
      </c>
      <c r="E204" s="33">
        <v>0</v>
      </c>
      <c r="F204" s="68">
        <v>565</v>
      </c>
      <c r="G204" s="88" t="str">
        <f>A203</f>
        <v>3rd Floor For Residential</v>
      </c>
      <c r="H204" s="88"/>
      <c r="I204" s="27"/>
      <c r="J204" s="68">
        <v>565</v>
      </c>
      <c r="K204" s="47">
        <f t="shared" ref="K204:K207" si="18">J204/D204</f>
        <v>1.4570052781798131</v>
      </c>
      <c r="L204" s="86"/>
      <c r="M204" s="86"/>
      <c r="N204" s="27"/>
    </row>
    <row r="205" spans="1:14" s="28" customFormat="1" x14ac:dyDescent="0.35">
      <c r="A205" s="88">
        <f t="shared" ref="A205:A207" si="19">A204+1</f>
        <v>10</v>
      </c>
      <c r="B205" s="88"/>
      <c r="C205" s="43">
        <v>1</v>
      </c>
      <c r="D205" s="48">
        <f>(4.28*2.75+0.45*1.3+2.14*2.14+0.9*2.14+0.5*1.53+3.2*2.75+1.53*1.22+1.44*1+0.6*(2.75+2.14+2.75))*10.764</f>
        <v>390.90757680000007</v>
      </c>
      <c r="E205" s="33">
        <v>0</v>
      </c>
      <c r="F205" s="68">
        <v>572</v>
      </c>
      <c r="G205" s="88"/>
      <c r="H205" s="88"/>
      <c r="I205" s="27"/>
      <c r="J205" s="68">
        <v>572</v>
      </c>
      <c r="K205" s="47">
        <f t="shared" si="18"/>
        <v>1.4632614816075877</v>
      </c>
      <c r="L205" s="86"/>
      <c r="M205" s="86"/>
      <c r="N205" s="27"/>
    </row>
    <row r="206" spans="1:14" s="28" customFormat="1" x14ac:dyDescent="0.35">
      <c r="A206" s="88">
        <f t="shared" si="19"/>
        <v>11</v>
      </c>
      <c r="B206" s="88"/>
      <c r="C206" s="43">
        <v>1</v>
      </c>
      <c r="D206" s="48">
        <f>(4.28*2.75+0.45*1.3+1.4*0.9+2.73*2.44+2.75*3.4+1.2*1.53+1*1.4+1.2*1.1+0.6*(2.44+2.75+2.75))*10.764</f>
        <v>419.21689680000003</v>
      </c>
      <c r="E206" s="33">
        <v>0</v>
      </c>
      <c r="F206" s="68">
        <v>611</v>
      </c>
      <c r="G206" s="88"/>
      <c r="H206" s="88"/>
      <c r="I206" s="27"/>
      <c r="J206" s="68">
        <v>611</v>
      </c>
      <c r="K206" s="47">
        <f t="shared" si="18"/>
        <v>1.4574794209487598</v>
      </c>
      <c r="L206" s="86"/>
      <c r="M206" s="86"/>
      <c r="N206" s="27"/>
    </row>
    <row r="207" spans="1:14" s="28" customFormat="1" x14ac:dyDescent="0.35">
      <c r="A207" s="88">
        <f t="shared" si="19"/>
        <v>12</v>
      </c>
      <c r="B207" s="88"/>
      <c r="C207" s="43">
        <v>2</v>
      </c>
      <c r="D207" s="48">
        <f>(4.28*2.75+0.45*1.3+2.55*2.14+2.44*3.05+3.4*2.75+2.16*1.2+1*2.38+0.9*1.2+0.9*2.14+0.6*(2.75+2.14+3.4+2.44))*10.764</f>
        <v>527.65128000000004</v>
      </c>
      <c r="E207" s="33">
        <v>0</v>
      </c>
      <c r="F207" s="68">
        <v>780</v>
      </c>
      <c r="G207" s="88"/>
      <c r="H207" s="88"/>
      <c r="I207" s="27"/>
      <c r="J207" s="68">
        <v>780</v>
      </c>
      <c r="K207" s="47">
        <f t="shared" si="18"/>
        <v>1.4782490435728688</v>
      </c>
      <c r="L207" s="86"/>
      <c r="M207" s="86"/>
      <c r="N207" s="27"/>
    </row>
    <row r="208" spans="1:14" s="28" customFormat="1" x14ac:dyDescent="0.35">
      <c r="A208" s="77" t="s">
        <v>213</v>
      </c>
      <c r="B208" s="78"/>
      <c r="C208" s="78"/>
      <c r="D208" s="78"/>
      <c r="E208" s="78"/>
      <c r="F208" s="78"/>
      <c r="G208" s="78"/>
      <c r="H208" s="79"/>
      <c r="J208" s="27"/>
      <c r="K208" s="47"/>
    </row>
    <row r="209" spans="1:14" s="28" customFormat="1" ht="15.75" customHeight="1" x14ac:dyDescent="0.35">
      <c r="A209" s="80">
        <v>13</v>
      </c>
      <c r="B209" s="81"/>
      <c r="C209" s="43">
        <v>1</v>
      </c>
      <c r="D209" s="48">
        <f>(4.28*2.75+0.45*1.3+2.93*2.14+0.5*1.53+3.18*2.75+1.53*1.22+1.44*1+0.6*(2.75+2.14+2.75))*10.764</f>
        <v>387.78171120000002</v>
      </c>
      <c r="E209" s="33">
        <v>0</v>
      </c>
      <c r="F209" s="68">
        <v>565</v>
      </c>
      <c r="G209" s="82" t="str">
        <f>A208</f>
        <v xml:space="preserve"> 4th Floor For Residential</v>
      </c>
      <c r="H209" s="83"/>
      <c r="I209" s="27"/>
      <c r="J209" s="68">
        <v>565</v>
      </c>
      <c r="K209" s="47">
        <f t="shared" ref="K209:K212" si="20">J209/D209</f>
        <v>1.4570052781798131</v>
      </c>
      <c r="L209" s="86"/>
      <c r="M209" s="86"/>
      <c r="N209" s="27"/>
    </row>
    <row r="210" spans="1:14" s="28" customFormat="1" x14ac:dyDescent="0.35">
      <c r="A210" s="80">
        <f t="shared" ref="A210:A212" si="21">A209+1</f>
        <v>14</v>
      </c>
      <c r="B210" s="81"/>
      <c r="C210" s="43">
        <v>1</v>
      </c>
      <c r="D210" s="48">
        <f>(4.28*2.75+0.45*1.3+2.14*2.14+0.9*2.14+0.5*1.53+3.2*2.75+1.53*1.22+1.44*1+0.6*(2.75+2.14+2.75))*10.764</f>
        <v>390.90757680000007</v>
      </c>
      <c r="E210" s="33">
        <v>0</v>
      </c>
      <c r="F210" s="68">
        <v>572</v>
      </c>
      <c r="G210" s="84"/>
      <c r="H210" s="85"/>
      <c r="I210" s="27"/>
      <c r="J210" s="68">
        <v>572</v>
      </c>
      <c r="K210" s="47">
        <f t="shared" si="20"/>
        <v>1.4632614816075877</v>
      </c>
      <c r="L210" s="86"/>
      <c r="M210" s="86"/>
      <c r="N210" s="27"/>
    </row>
    <row r="211" spans="1:14" s="28" customFormat="1" x14ac:dyDescent="0.35">
      <c r="A211" s="80">
        <f t="shared" si="21"/>
        <v>15</v>
      </c>
      <c r="B211" s="81"/>
      <c r="C211" s="43">
        <v>1</v>
      </c>
      <c r="D211" s="48">
        <f>(4.28*2.75+0.45*1.3+1.4*0.9+2.73*2.44+2.75*3.4+1.2*1.53+1*1.4+1.2*1.1+0.6*(2.44+2.75+2.75))*10.764</f>
        <v>419.21689680000003</v>
      </c>
      <c r="E211" s="33">
        <v>0</v>
      </c>
      <c r="F211" s="68">
        <v>611</v>
      </c>
      <c r="G211" s="84"/>
      <c r="H211" s="85"/>
      <c r="I211" s="27"/>
      <c r="J211" s="68">
        <v>611</v>
      </c>
      <c r="K211" s="47">
        <f t="shared" si="20"/>
        <v>1.4574794209487598</v>
      </c>
      <c r="L211" s="86"/>
      <c r="M211" s="86"/>
      <c r="N211" s="27"/>
    </row>
    <row r="212" spans="1:14" s="28" customFormat="1" x14ac:dyDescent="0.35">
      <c r="A212" s="80">
        <f t="shared" si="21"/>
        <v>16</v>
      </c>
      <c r="B212" s="81"/>
      <c r="C212" s="43">
        <v>2</v>
      </c>
      <c r="D212" s="48">
        <f>(4.28*2.75+0.45*1.3+2.55*2.14+2.44*3.05+3.4*2.75+2.16*1.2+1*2.38+0.9*1.2+0.9*2.14+0.6*(2.75+2.14+3.4+2.44))*10.764</f>
        <v>527.65128000000004</v>
      </c>
      <c r="E212" s="33">
        <v>0</v>
      </c>
      <c r="F212" s="68">
        <v>780</v>
      </c>
      <c r="G212" s="84"/>
      <c r="H212" s="85"/>
      <c r="I212" s="27"/>
      <c r="J212" s="68">
        <v>780</v>
      </c>
      <c r="K212" s="47">
        <f t="shared" si="20"/>
        <v>1.4782490435728688</v>
      </c>
      <c r="L212" s="86"/>
      <c r="M212" s="86"/>
      <c r="N212" s="27"/>
    </row>
    <row r="213" spans="1:14" s="26" customFormat="1" x14ac:dyDescent="0.35">
      <c r="A213" s="116" t="s">
        <v>72</v>
      </c>
      <c r="B213" s="116"/>
      <c r="C213" s="116"/>
      <c r="D213" s="116"/>
      <c r="E213" s="116"/>
      <c r="F213" s="116"/>
      <c r="G213" s="116"/>
      <c r="H213" s="116"/>
    </row>
    <row r="214" spans="1:14" s="26" customFormat="1" x14ac:dyDescent="0.35">
      <c r="A214" s="38" t="s">
        <v>145</v>
      </c>
      <c r="B214" s="113" t="s">
        <v>217</v>
      </c>
      <c r="C214" s="114"/>
      <c r="D214" s="114"/>
      <c r="E214" s="114"/>
      <c r="F214" s="114"/>
      <c r="G214" s="114"/>
      <c r="H214" s="115"/>
    </row>
    <row r="215" spans="1:14" s="26" customFormat="1" x14ac:dyDescent="0.35">
      <c r="A215" s="38" t="s">
        <v>145</v>
      </c>
      <c r="B215" s="113" t="str">
        <f>(IF(F130="Saleable area Loading :","We have considered Saleable area of Flats as per our Calculation.","We considered Saleable area of Flat as per Builder area Sheet."))</f>
        <v>We considered Saleable area of Flat as per Builder area Sheet.</v>
      </c>
      <c r="C215" s="114"/>
      <c r="D215" s="114"/>
      <c r="E215" s="114"/>
      <c r="F215" s="114"/>
      <c r="G215" s="114"/>
      <c r="H215" s="115"/>
    </row>
    <row r="216" spans="1:14" s="26" customFormat="1" x14ac:dyDescent="0.35">
      <c r="A216" s="38" t="s">
        <v>145</v>
      </c>
      <c r="B216" s="74" t="s">
        <v>116</v>
      </c>
      <c r="C216" s="75"/>
      <c r="D216" s="75"/>
      <c r="E216" s="75"/>
      <c r="F216" s="75"/>
      <c r="G216" s="75"/>
      <c r="H216" s="76"/>
    </row>
    <row r="217" spans="1:14" s="26" customFormat="1" x14ac:dyDescent="0.35">
      <c r="A217" s="38" t="s">
        <v>145</v>
      </c>
      <c r="B217" s="113" t="s">
        <v>187</v>
      </c>
      <c r="C217" s="114"/>
      <c r="D217" s="114"/>
      <c r="E217" s="114"/>
      <c r="F217" s="114"/>
      <c r="G217" s="114"/>
      <c r="H217" s="115"/>
    </row>
    <row r="218" spans="1:14" s="26" customFormat="1" x14ac:dyDescent="0.35">
      <c r="A218" s="38" t="s">
        <v>145</v>
      </c>
      <c r="B218" s="74" t="s">
        <v>144</v>
      </c>
      <c r="C218" s="75"/>
      <c r="D218" s="75"/>
      <c r="E218" s="75"/>
      <c r="F218" s="75"/>
      <c r="G218" s="75"/>
      <c r="H218" s="76"/>
    </row>
    <row r="219" spans="1:14" s="26" customFormat="1" x14ac:dyDescent="0.35">
      <c r="A219" s="38" t="s">
        <v>145</v>
      </c>
      <c r="B219" s="74" t="s">
        <v>117</v>
      </c>
      <c r="C219" s="75"/>
      <c r="D219" s="75"/>
      <c r="E219" s="75"/>
      <c r="F219" s="75"/>
      <c r="G219" s="75"/>
      <c r="H219" s="76"/>
    </row>
    <row r="220" spans="1:14" s="26" customFormat="1" ht="34.5" customHeight="1" x14ac:dyDescent="0.35">
      <c r="A220" s="38" t="s">
        <v>145</v>
      </c>
      <c r="B220" s="74" t="s">
        <v>146</v>
      </c>
      <c r="C220" s="75"/>
      <c r="D220" s="75"/>
      <c r="E220" s="75"/>
      <c r="F220" s="75"/>
      <c r="G220" s="75"/>
      <c r="H220" s="76"/>
    </row>
    <row r="221" spans="1:14" s="26" customFormat="1" x14ac:dyDescent="0.35">
      <c r="A221" s="38" t="s">
        <v>145</v>
      </c>
      <c r="B221" s="74" t="s">
        <v>118</v>
      </c>
      <c r="C221" s="75"/>
      <c r="D221" s="75"/>
      <c r="E221" s="75"/>
      <c r="F221" s="75"/>
      <c r="G221" s="75"/>
      <c r="H221" s="76"/>
    </row>
    <row r="222" spans="1:14" s="26" customFormat="1" x14ac:dyDescent="0.35">
      <c r="A222" s="38" t="s">
        <v>145</v>
      </c>
      <c r="B222" s="74" t="s">
        <v>214</v>
      </c>
      <c r="C222" s="75"/>
      <c r="D222" s="75"/>
      <c r="E222" s="75"/>
      <c r="F222" s="75"/>
      <c r="G222" s="75"/>
      <c r="H222" s="76"/>
    </row>
    <row r="223" spans="1:14" s="26" customFormat="1" hidden="1" x14ac:dyDescent="0.35">
      <c r="A223" s="38" t="s">
        <v>145</v>
      </c>
      <c r="B223" s="74" t="s">
        <v>207</v>
      </c>
      <c r="C223" s="75"/>
      <c r="D223" s="75"/>
      <c r="E223" s="75"/>
      <c r="F223" s="75"/>
      <c r="G223" s="75"/>
      <c r="H223" s="76"/>
    </row>
    <row r="224" spans="1:14" s="26" customFormat="1" x14ac:dyDescent="0.35">
      <c r="A224" s="38" t="s">
        <v>145</v>
      </c>
      <c r="B224" s="74" t="s">
        <v>218</v>
      </c>
      <c r="C224" s="75"/>
      <c r="D224" s="75"/>
      <c r="E224" s="75"/>
      <c r="F224" s="75"/>
      <c r="G224" s="75"/>
      <c r="H224" s="76"/>
    </row>
    <row r="225" spans="1:8" s="26" customFormat="1" x14ac:dyDescent="0.35">
      <c r="A225" s="73" t="s">
        <v>145</v>
      </c>
      <c r="B225" s="74" t="s">
        <v>223</v>
      </c>
      <c r="C225" s="75"/>
      <c r="D225" s="75"/>
      <c r="E225" s="75"/>
      <c r="F225" s="75"/>
      <c r="G225" s="75"/>
      <c r="H225" s="76"/>
    </row>
    <row r="226" spans="1:8" x14ac:dyDescent="0.35">
      <c r="A226" s="169" t="s">
        <v>65</v>
      </c>
      <c r="B226" s="169"/>
      <c r="C226" s="169"/>
      <c r="D226" s="169"/>
      <c r="E226" s="169"/>
      <c r="F226" s="169"/>
      <c r="G226" s="169"/>
      <c r="H226" s="169"/>
    </row>
    <row r="227" spans="1:8" x14ac:dyDescent="0.35">
      <c r="A227" s="106" t="s">
        <v>66</v>
      </c>
      <c r="B227" s="106"/>
      <c r="C227" s="106"/>
      <c r="D227" s="106"/>
      <c r="E227" s="106"/>
      <c r="F227" s="106"/>
      <c r="G227" s="106"/>
      <c r="H227" s="106"/>
    </row>
    <row r="228" spans="1:8" ht="15.75" customHeight="1" x14ac:dyDescent="0.35">
      <c r="A228" s="175" t="s">
        <v>67</v>
      </c>
      <c r="B228" s="175"/>
      <c r="C228" s="175"/>
      <c r="D228" s="175"/>
      <c r="E228" s="175"/>
      <c r="F228" s="175"/>
      <c r="G228" s="175"/>
      <c r="H228" s="175"/>
    </row>
    <row r="229" spans="1:8" x14ac:dyDescent="0.35">
      <c r="A229" s="106" t="s">
        <v>68</v>
      </c>
      <c r="B229" s="106"/>
      <c r="C229" s="106"/>
      <c r="D229" s="106"/>
      <c r="E229" s="106"/>
      <c r="F229" s="106"/>
      <c r="G229" s="106"/>
      <c r="H229" s="106"/>
    </row>
    <row r="230" spans="1:8" x14ac:dyDescent="0.35">
      <c r="A230" s="106" t="s">
        <v>69</v>
      </c>
      <c r="B230" s="106"/>
      <c r="C230" s="106"/>
      <c r="D230" s="106"/>
      <c r="E230" s="106"/>
      <c r="F230" s="106"/>
      <c r="G230" s="106"/>
      <c r="H230" s="106"/>
    </row>
    <row r="231" spans="1:8" x14ac:dyDescent="0.35">
      <c r="A231" s="106" t="s">
        <v>119</v>
      </c>
      <c r="B231" s="106"/>
      <c r="C231" s="106"/>
      <c r="D231" s="106"/>
      <c r="E231" s="106"/>
      <c r="F231" s="106"/>
      <c r="G231" s="106"/>
      <c r="H231" s="106"/>
    </row>
    <row r="232" spans="1:8" x14ac:dyDescent="0.35">
      <c r="A232" s="139" t="s">
        <v>120</v>
      </c>
      <c r="B232" s="139"/>
      <c r="C232" s="139"/>
      <c r="D232" s="139"/>
      <c r="E232" s="139"/>
      <c r="F232" s="139"/>
      <c r="G232" s="139"/>
      <c r="H232" s="139"/>
    </row>
    <row r="233" spans="1:8" x14ac:dyDescent="0.35">
      <c r="A233" s="173" t="s">
        <v>80</v>
      </c>
      <c r="B233" s="173"/>
      <c r="C233" s="173" t="s">
        <v>219</v>
      </c>
      <c r="D233" s="173"/>
      <c r="E233" s="173" t="s">
        <v>110</v>
      </c>
      <c r="F233" s="173"/>
      <c r="G233" s="173" t="s">
        <v>221</v>
      </c>
      <c r="H233" s="173"/>
    </row>
    <row r="234" spans="1:8" x14ac:dyDescent="0.35">
      <c r="A234" s="172" t="s">
        <v>82</v>
      </c>
      <c r="B234" s="172"/>
      <c r="C234" s="172"/>
      <c r="D234" s="172"/>
      <c r="E234" s="172"/>
      <c r="F234" s="172"/>
      <c r="G234" s="172"/>
      <c r="H234" s="172"/>
    </row>
    <row r="235" spans="1:8" x14ac:dyDescent="0.35">
      <c r="A235" s="172"/>
      <c r="B235" s="172"/>
      <c r="C235" s="172"/>
      <c r="D235" s="172"/>
      <c r="E235" s="172"/>
      <c r="F235" s="172"/>
      <c r="G235" s="172"/>
      <c r="H235" s="172"/>
    </row>
    <row r="236" spans="1:8" x14ac:dyDescent="0.35">
      <c r="A236" s="172"/>
      <c r="B236" s="172"/>
      <c r="C236" s="172"/>
      <c r="D236" s="172"/>
      <c r="E236" s="172"/>
      <c r="F236" s="172"/>
      <c r="G236" s="172"/>
      <c r="H236" s="172"/>
    </row>
    <row r="237" spans="1:8" x14ac:dyDescent="0.35">
      <c r="A237" s="172"/>
      <c r="B237" s="172"/>
      <c r="C237" s="172"/>
      <c r="D237" s="172"/>
      <c r="E237" s="172"/>
      <c r="F237" s="172"/>
      <c r="G237" s="172"/>
      <c r="H237" s="172"/>
    </row>
    <row r="238" spans="1:8" x14ac:dyDescent="0.35">
      <c r="A238" s="29" t="s">
        <v>70</v>
      </c>
      <c r="B238" s="30"/>
      <c r="C238" s="30"/>
      <c r="D238" s="29" t="str">
        <f>E8</f>
        <v>Hazare Heights</v>
      </c>
      <c r="F238" s="30"/>
      <c r="G238" s="30"/>
      <c r="H238" s="30"/>
    </row>
    <row r="239" spans="1:8" x14ac:dyDescent="0.35">
      <c r="A239" s="30"/>
      <c r="B239" s="30"/>
      <c r="C239" s="30"/>
      <c r="D239" s="30"/>
      <c r="E239" s="30"/>
      <c r="F239" s="30"/>
      <c r="G239" s="30"/>
      <c r="H239" s="30"/>
    </row>
    <row r="240" spans="1:8" x14ac:dyDescent="0.35">
      <c r="A240" s="30"/>
      <c r="B240" s="30"/>
      <c r="C240" s="30"/>
      <c r="D240" s="30"/>
      <c r="E240" s="30"/>
      <c r="F240" s="30"/>
      <c r="G240" s="30"/>
      <c r="H240" s="30"/>
    </row>
    <row r="241" ht="15" customHeight="1" x14ac:dyDescent="0.35"/>
    <row r="280" spans="1:1" x14ac:dyDescent="0.35">
      <c r="A280" s="32" t="s">
        <v>71</v>
      </c>
    </row>
  </sheetData>
  <mergeCells count="431">
    <mergeCell ref="B225:H225"/>
    <mergeCell ref="B224:H224"/>
    <mergeCell ref="B223:H223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B219:H219"/>
    <mergeCell ref="G127:H127"/>
    <mergeCell ref="G125:H125"/>
    <mergeCell ref="E41:H41"/>
    <mergeCell ref="A41:D41"/>
    <mergeCell ref="A231:H231"/>
    <mergeCell ref="A228:H228"/>
    <mergeCell ref="A139:B139"/>
    <mergeCell ref="A123:B123"/>
    <mergeCell ref="G130:H130"/>
    <mergeCell ref="A88:B88"/>
    <mergeCell ref="A89:B89"/>
    <mergeCell ref="A90:B90"/>
    <mergeCell ref="A80:B80"/>
    <mergeCell ref="C80:H80"/>
    <mergeCell ref="A75:B75"/>
    <mergeCell ref="F109:H109"/>
    <mergeCell ref="A48:B48"/>
    <mergeCell ref="C48:E48"/>
    <mergeCell ref="G50:H50"/>
    <mergeCell ref="D54:H54"/>
    <mergeCell ref="C50:E50"/>
    <mergeCell ref="A57:C58"/>
    <mergeCell ref="D57:H57"/>
    <mergeCell ref="D58:H58"/>
    <mergeCell ref="C49:E49"/>
    <mergeCell ref="A52:B52"/>
    <mergeCell ref="E69:F69"/>
    <mergeCell ref="C52:E52"/>
    <mergeCell ref="A49:B49"/>
    <mergeCell ref="A53:H53"/>
    <mergeCell ref="A54:C54"/>
    <mergeCell ref="A55:C55"/>
    <mergeCell ref="D55:H55"/>
    <mergeCell ref="G52:H52"/>
    <mergeCell ref="A234:H237"/>
    <mergeCell ref="A233:B233"/>
    <mergeCell ref="E233:F233"/>
    <mergeCell ref="C233:D233"/>
    <mergeCell ref="G233:H233"/>
    <mergeCell ref="A120:E120"/>
    <mergeCell ref="F120:H120"/>
    <mergeCell ref="A121:E121"/>
    <mergeCell ref="F121:H121"/>
    <mergeCell ref="A124:B124"/>
    <mergeCell ref="A229:H229"/>
    <mergeCell ref="A122:H122"/>
    <mergeCell ref="A232:H232"/>
    <mergeCell ref="C127:D127"/>
    <mergeCell ref="A226:H226"/>
    <mergeCell ref="A227:H227"/>
    <mergeCell ref="A12:D12"/>
    <mergeCell ref="E12:H12"/>
    <mergeCell ref="A13:D13"/>
    <mergeCell ref="C126:D126"/>
    <mergeCell ref="E126:F126"/>
    <mergeCell ref="G126:H126"/>
    <mergeCell ref="A230:H230"/>
    <mergeCell ref="A44:D44"/>
    <mergeCell ref="A45:D45"/>
    <mergeCell ref="A46:H46"/>
    <mergeCell ref="D56:H56"/>
    <mergeCell ref="A56:C56"/>
    <mergeCell ref="G49:H49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C16:H16"/>
    <mergeCell ref="A29:D29"/>
    <mergeCell ref="E29:H29"/>
    <mergeCell ref="A62:C62"/>
    <mergeCell ref="D62:H62"/>
    <mergeCell ref="A65:C65"/>
    <mergeCell ref="A11:D11"/>
    <mergeCell ref="E11:H11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E26:H2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E13:H13"/>
    <mergeCell ref="A14:B14"/>
    <mergeCell ref="C14:H14"/>
    <mergeCell ref="C15:H15"/>
    <mergeCell ref="A16:B1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A21:D22"/>
    <mergeCell ref="A20:B20"/>
    <mergeCell ref="C20:D20"/>
    <mergeCell ref="E20:F20"/>
    <mergeCell ref="A30:D30"/>
    <mergeCell ref="E30:H30"/>
    <mergeCell ref="A26:D26"/>
    <mergeCell ref="A36:H36"/>
    <mergeCell ref="A35:B35"/>
    <mergeCell ref="C35:E35"/>
    <mergeCell ref="A34:B34"/>
    <mergeCell ref="C34:E34"/>
    <mergeCell ref="A40:D40"/>
    <mergeCell ref="E40:H40"/>
    <mergeCell ref="F32:H32"/>
    <mergeCell ref="F33:H33"/>
    <mergeCell ref="A39:H39"/>
    <mergeCell ref="F35:H35"/>
    <mergeCell ref="A37:B37"/>
    <mergeCell ref="E37:F37"/>
    <mergeCell ref="C37:D37"/>
    <mergeCell ref="G37:H37"/>
    <mergeCell ref="A38:B38"/>
    <mergeCell ref="C38:H38"/>
    <mergeCell ref="A59:C5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D65:H65"/>
    <mergeCell ref="A63:C63"/>
    <mergeCell ref="D63:H63"/>
    <mergeCell ref="A64:C64"/>
    <mergeCell ref="D64:H64"/>
    <mergeCell ref="A70:B70"/>
    <mergeCell ref="G69:H69"/>
    <mergeCell ref="G48:H48"/>
    <mergeCell ref="A71:B71"/>
    <mergeCell ref="A73:B73"/>
    <mergeCell ref="A77:B77"/>
    <mergeCell ref="C124:D124"/>
    <mergeCell ref="E124:F124"/>
    <mergeCell ref="G124:H124"/>
    <mergeCell ref="F115:H115"/>
    <mergeCell ref="A109:E109"/>
    <mergeCell ref="A84:B84"/>
    <mergeCell ref="E84:F93"/>
    <mergeCell ref="A91:B91"/>
    <mergeCell ref="A92:B92"/>
    <mergeCell ref="A93:B93"/>
    <mergeCell ref="F108:H108"/>
    <mergeCell ref="F113:H113"/>
    <mergeCell ref="F118:H118"/>
    <mergeCell ref="E123:F123"/>
    <mergeCell ref="F116:H116"/>
    <mergeCell ref="A119:E119"/>
    <mergeCell ref="C123:D123"/>
    <mergeCell ref="G123:H123"/>
    <mergeCell ref="F119:H119"/>
    <mergeCell ref="F117:H117"/>
    <mergeCell ref="A118:E118"/>
    <mergeCell ref="F111:H111"/>
    <mergeCell ref="A116:E116"/>
    <mergeCell ref="A108:E108"/>
    <mergeCell ref="F112:H112"/>
    <mergeCell ref="A113:E113"/>
    <mergeCell ref="B216:H216"/>
    <mergeCell ref="B217:H217"/>
    <mergeCell ref="A213:H213"/>
    <mergeCell ref="A137:B137"/>
    <mergeCell ref="A134:B134"/>
    <mergeCell ref="A133:H133"/>
    <mergeCell ref="A138:B138"/>
    <mergeCell ref="B214:H214"/>
    <mergeCell ref="B215:H215"/>
    <mergeCell ref="A135:B135"/>
    <mergeCell ref="A136:B136"/>
    <mergeCell ref="A128:H128"/>
    <mergeCell ref="A125:B125"/>
    <mergeCell ref="C125:D125"/>
    <mergeCell ref="E125:F125"/>
    <mergeCell ref="A127:B127"/>
    <mergeCell ref="E127:F127"/>
    <mergeCell ref="A129:H129"/>
    <mergeCell ref="A192:H192"/>
    <mergeCell ref="A193:H193"/>
    <mergeCell ref="A126:B126"/>
    <mergeCell ref="A47:B47"/>
    <mergeCell ref="C47:H47"/>
    <mergeCell ref="B218:H218"/>
    <mergeCell ref="G84:H93"/>
    <mergeCell ref="A85:B85"/>
    <mergeCell ref="A86:B86"/>
    <mergeCell ref="A87:B87"/>
    <mergeCell ref="F110:H110"/>
    <mergeCell ref="A110:E110"/>
    <mergeCell ref="A112:E112"/>
    <mergeCell ref="A82:B82"/>
    <mergeCell ref="A132:H132"/>
    <mergeCell ref="A131:H131"/>
    <mergeCell ref="A140:B140"/>
    <mergeCell ref="A191:H191"/>
    <mergeCell ref="C82:H82"/>
    <mergeCell ref="A83:B83"/>
    <mergeCell ref="E83:F83"/>
    <mergeCell ref="G83:H83"/>
    <mergeCell ref="A114:E114"/>
    <mergeCell ref="F114:H114"/>
    <mergeCell ref="A115:E115"/>
    <mergeCell ref="A117:E117"/>
    <mergeCell ref="A111:E111"/>
    <mergeCell ref="A175:B175"/>
    <mergeCell ref="L175:M175"/>
    <mergeCell ref="L138:M138"/>
    <mergeCell ref="L137:M137"/>
    <mergeCell ref="L134:M134"/>
    <mergeCell ref="L135:M135"/>
    <mergeCell ref="L136:M136"/>
    <mergeCell ref="L139:M139"/>
    <mergeCell ref="B220:H220"/>
    <mergeCell ref="A142:H142"/>
    <mergeCell ref="A143:B143"/>
    <mergeCell ref="G143:H150"/>
    <mergeCell ref="L143:M14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A149:B149"/>
    <mergeCell ref="C51:H51"/>
    <mergeCell ref="A194:B194"/>
    <mergeCell ref="G194:H197"/>
    <mergeCell ref="L194:M194"/>
    <mergeCell ref="A195:B195"/>
    <mergeCell ref="L195:M195"/>
    <mergeCell ref="A196:B196"/>
    <mergeCell ref="L196:M196"/>
    <mergeCell ref="A197:B197"/>
    <mergeCell ref="L197:M197"/>
    <mergeCell ref="L140:M140"/>
    <mergeCell ref="A141:B141"/>
    <mergeCell ref="L141:M141"/>
    <mergeCell ref="G134:H141"/>
    <mergeCell ref="A169:H169"/>
    <mergeCell ref="A170:H170"/>
    <mergeCell ref="A171:H171"/>
    <mergeCell ref="A172:B172"/>
    <mergeCell ref="G172:H175"/>
    <mergeCell ref="L172:M172"/>
    <mergeCell ref="A173:B173"/>
    <mergeCell ref="L173:M173"/>
    <mergeCell ref="A174:B174"/>
    <mergeCell ref="L174:M174"/>
    <mergeCell ref="L149:M149"/>
    <mergeCell ref="A150:B150"/>
    <mergeCell ref="L150:M150"/>
    <mergeCell ref="A151:H151"/>
    <mergeCell ref="A152:B152"/>
    <mergeCell ref="G152:H159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H160"/>
    <mergeCell ref="A161:B161"/>
    <mergeCell ref="G161:H168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76:H176"/>
    <mergeCell ref="A177:B177"/>
    <mergeCell ref="G177:H180"/>
    <mergeCell ref="L177:M177"/>
    <mergeCell ref="A178:B178"/>
    <mergeCell ref="L178:M178"/>
    <mergeCell ref="A179:B179"/>
    <mergeCell ref="L179:M179"/>
    <mergeCell ref="A180:B180"/>
    <mergeCell ref="L180:M180"/>
    <mergeCell ref="A181:H181"/>
    <mergeCell ref="A182:B182"/>
    <mergeCell ref="G182:H185"/>
    <mergeCell ref="L182:M182"/>
    <mergeCell ref="A183:B183"/>
    <mergeCell ref="L183:M183"/>
    <mergeCell ref="A184:B184"/>
    <mergeCell ref="L184:M184"/>
    <mergeCell ref="A185:B185"/>
    <mergeCell ref="L185:M185"/>
    <mergeCell ref="A186:H186"/>
    <mergeCell ref="A187:B187"/>
    <mergeCell ref="G187:H190"/>
    <mergeCell ref="L187:M187"/>
    <mergeCell ref="A188:B188"/>
    <mergeCell ref="L188:M188"/>
    <mergeCell ref="A189:B189"/>
    <mergeCell ref="L189:M189"/>
    <mergeCell ref="A190:B190"/>
    <mergeCell ref="L190:M190"/>
    <mergeCell ref="A198:H198"/>
    <mergeCell ref="A199:B199"/>
    <mergeCell ref="G199:H202"/>
    <mergeCell ref="L199:M199"/>
    <mergeCell ref="A200:B200"/>
    <mergeCell ref="L200:M200"/>
    <mergeCell ref="A201:B201"/>
    <mergeCell ref="L201:M201"/>
    <mergeCell ref="A202:B202"/>
    <mergeCell ref="L202:M202"/>
    <mergeCell ref="A203:H203"/>
    <mergeCell ref="A204:B204"/>
    <mergeCell ref="G204:H207"/>
    <mergeCell ref="L204:M204"/>
    <mergeCell ref="A205:B205"/>
    <mergeCell ref="L205:M205"/>
    <mergeCell ref="A206:B206"/>
    <mergeCell ref="L206:M206"/>
    <mergeCell ref="A207:B207"/>
    <mergeCell ref="L207:M207"/>
    <mergeCell ref="B222:H222"/>
    <mergeCell ref="A208:H208"/>
    <mergeCell ref="A209:B209"/>
    <mergeCell ref="G209:H212"/>
    <mergeCell ref="L209:M209"/>
    <mergeCell ref="A210:B210"/>
    <mergeCell ref="L210:M210"/>
    <mergeCell ref="A211:B211"/>
    <mergeCell ref="L211:M211"/>
    <mergeCell ref="A212:B212"/>
    <mergeCell ref="L212:M212"/>
    <mergeCell ref="B221:H22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37" max="16383" man="1"/>
    <brk id="2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6"/>
  <sheetViews>
    <sheetView zoomScaleNormal="100" workbookViewId="0">
      <selection activeCell="C9" sqref="C9"/>
    </sheetView>
  </sheetViews>
  <sheetFormatPr defaultColWidth="8.7265625" defaultRowHeight="14.5" x14ac:dyDescent="0.35"/>
  <cols>
    <col min="1" max="1" width="8.7265625" style="1"/>
    <col min="2" max="2" width="26.7265625" style="1" customWidth="1"/>
    <col min="3" max="3" width="11.1796875" style="1" customWidth="1"/>
    <col min="4" max="5" width="11.453125" style="1" customWidth="1"/>
    <col min="6" max="6" width="14" style="1" customWidth="1"/>
    <col min="7" max="7" width="20" style="1" customWidth="1"/>
    <col min="8" max="8" width="10" style="1" bestFit="1" customWidth="1"/>
    <col min="9" max="9" width="16.7265625" style="1" customWidth="1"/>
    <col min="10" max="10" width="8.7265625" style="1"/>
    <col min="11" max="11" width="15.453125" style="1" customWidth="1"/>
    <col min="12" max="16384" width="8.7265625" style="1"/>
  </cols>
  <sheetData>
    <row r="1" spans="1:11" ht="15" customHeight="1" x14ac:dyDescent="0.35"/>
    <row r="2" spans="1:11" ht="15" customHeight="1" x14ac:dyDescent="0.35">
      <c r="A2" s="49"/>
      <c r="B2" s="49"/>
      <c r="C2" s="49"/>
      <c r="D2" s="49"/>
      <c r="E2" s="49"/>
      <c r="F2" s="49"/>
      <c r="G2" s="49"/>
      <c r="H2" s="49"/>
    </row>
    <row r="3" spans="1:11" ht="15.75" customHeight="1" x14ac:dyDescent="0.35">
      <c r="A3" s="49"/>
      <c r="B3" s="196"/>
      <c r="C3" s="196"/>
      <c r="D3" s="196"/>
      <c r="E3" s="196"/>
      <c r="F3" s="196"/>
      <c r="G3" s="196"/>
      <c r="H3" s="196"/>
    </row>
    <row r="4" spans="1:11" x14ac:dyDescent="0.35">
      <c r="A4" s="49"/>
      <c r="B4" s="50"/>
      <c r="C4" s="50"/>
      <c r="D4" s="50"/>
      <c r="E4" s="50"/>
      <c r="F4" s="50"/>
      <c r="G4" s="50"/>
      <c r="H4" s="50"/>
    </row>
    <row r="5" spans="1:11" ht="15" customHeight="1" x14ac:dyDescent="0.35">
      <c r="A5" s="49"/>
      <c r="B5" s="59" t="s">
        <v>189</v>
      </c>
      <c r="C5" s="2">
        <v>3200</v>
      </c>
      <c r="D5" s="51"/>
      <c r="E5" s="51"/>
      <c r="F5" s="53"/>
      <c r="G5" s="197" t="s">
        <v>193</v>
      </c>
      <c r="H5" s="197"/>
      <c r="I5" s="4" t="s">
        <v>199</v>
      </c>
      <c r="J5" s="63" t="s">
        <v>111</v>
      </c>
      <c r="K5" s="4" t="s">
        <v>200</v>
      </c>
    </row>
    <row r="6" spans="1:11" x14ac:dyDescent="0.35">
      <c r="A6" s="49"/>
      <c r="B6" s="59" t="s">
        <v>190</v>
      </c>
      <c r="C6" s="60">
        <v>3200</v>
      </c>
      <c r="D6" s="51"/>
      <c r="E6" s="51"/>
      <c r="F6" s="53"/>
      <c r="G6" s="62" t="s">
        <v>194</v>
      </c>
      <c r="H6" s="64" t="s">
        <v>196</v>
      </c>
      <c r="I6" s="65">
        <f>1800000/Report!F134</f>
        <v>3163.4446397188049</v>
      </c>
      <c r="J6" s="198">
        <f>AVERAGE(I6:I7)</f>
        <v>3687.4270178459797</v>
      </c>
      <c r="K6" s="198">
        <f>AVERAGE(J6:J8)</f>
        <v>4008.8014656212308</v>
      </c>
    </row>
    <row r="7" spans="1:11" ht="15" customHeight="1" x14ac:dyDescent="0.35">
      <c r="A7" s="49"/>
      <c r="B7" s="59" t="s">
        <v>191</v>
      </c>
      <c r="C7" s="2">
        <v>3000</v>
      </c>
      <c r="D7" s="51"/>
      <c r="E7" s="51"/>
      <c r="F7" s="53"/>
      <c r="G7" s="3"/>
      <c r="H7" s="64" t="s">
        <v>195</v>
      </c>
      <c r="I7" s="65">
        <f>2510000/Report!F139</f>
        <v>4211.4093959731545</v>
      </c>
      <c r="J7" s="199"/>
      <c r="K7" s="199"/>
    </row>
    <row r="8" spans="1:11" x14ac:dyDescent="0.35">
      <c r="A8" s="49"/>
      <c r="B8" s="59" t="s">
        <v>192</v>
      </c>
      <c r="C8" s="60">
        <v>3900</v>
      </c>
      <c r="D8" s="51"/>
      <c r="E8" s="51"/>
      <c r="F8" s="53"/>
      <c r="G8" s="62" t="s">
        <v>197</v>
      </c>
      <c r="H8" s="64" t="s">
        <v>198</v>
      </c>
      <c r="I8" s="65">
        <f>3200000/Report!F172</f>
        <v>4330.1759133964815</v>
      </c>
      <c r="J8" s="65">
        <f>I8</f>
        <v>4330.1759133964815</v>
      </c>
      <c r="K8" s="199"/>
    </row>
    <row r="9" spans="1:11" ht="15" customHeight="1" x14ac:dyDescent="0.35">
      <c r="A9" s="49"/>
      <c r="B9" s="66" t="s">
        <v>111</v>
      </c>
      <c r="C9" s="67">
        <f>AVERAGE(C5:C8)</f>
        <v>3325</v>
      </c>
      <c r="D9" s="51"/>
      <c r="E9" s="51"/>
      <c r="F9" s="53"/>
      <c r="G9" s="53"/>
      <c r="H9" s="54"/>
      <c r="J9" s="61"/>
    </row>
    <row r="10" spans="1:11" ht="15" customHeight="1" x14ac:dyDescent="0.35">
      <c r="A10" s="49"/>
      <c r="B10" s="51"/>
      <c r="C10" s="52"/>
      <c r="D10" s="51"/>
      <c r="E10" s="51"/>
      <c r="F10" s="53"/>
      <c r="G10" s="53"/>
      <c r="H10" s="54"/>
    </row>
    <row r="11" spans="1:11" ht="15" customHeight="1" x14ac:dyDescent="0.35">
      <c r="A11" s="49"/>
      <c r="B11" s="51"/>
      <c r="C11" s="52"/>
      <c r="D11" s="51"/>
      <c r="E11" s="51"/>
      <c r="F11" s="53"/>
      <c r="G11" s="53"/>
      <c r="H11" s="54"/>
    </row>
    <row r="12" spans="1:11" ht="15" customHeight="1" x14ac:dyDescent="0.35">
      <c r="A12" s="49"/>
      <c r="B12" s="55"/>
      <c r="C12" s="51"/>
      <c r="D12" s="51"/>
      <c r="E12" s="51"/>
      <c r="F12" s="51"/>
      <c r="G12" s="56"/>
      <c r="H12" s="51"/>
    </row>
    <row r="13" spans="1:11" ht="15" customHeight="1" x14ac:dyDescent="0.35">
      <c r="B13" s="55"/>
      <c r="C13" s="51"/>
      <c r="D13" s="51"/>
      <c r="E13" s="51"/>
      <c r="F13" s="57"/>
      <c r="G13" s="55"/>
      <c r="H13" s="55"/>
      <c r="I13" s="58"/>
    </row>
    <row r="14" spans="1:11" ht="15" customHeight="1" x14ac:dyDescent="0.35"/>
    <row r="15" spans="1:11" ht="15" customHeight="1" x14ac:dyDescent="0.35"/>
    <row r="16" spans="1:11" ht="15" customHeight="1" x14ac:dyDescent="0.35"/>
  </sheetData>
  <mergeCells count="4">
    <mergeCell ref="B3:H3"/>
    <mergeCell ref="G5:H5"/>
    <mergeCell ref="J6:J7"/>
    <mergeCell ref="K6:K8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2024-11-11T11:42:40Z</cp:lastPrinted>
  <dcterms:created xsi:type="dcterms:W3CDTF">2019-07-16T09:29:46Z</dcterms:created>
  <dcterms:modified xsi:type="dcterms:W3CDTF">2025-09-15T13:27:56Z</dcterms:modified>
</cp:coreProperties>
</file>