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Z:\APF\25-26\Sep 2025\MHF\Gaurav\Om Square\"/>
    </mc:Choice>
  </mc:AlternateContent>
  <xr:revisionPtr revIDLastSave="0" documentId="13_ncr:1_{86423309-2EB1-4214-8183-7E91389BCC1F}" xr6:coauthVersionLast="36" xr6:coauthVersionMax="36" xr10:uidLastSave="{00000000-0000-0000-0000-000000000000}"/>
  <bookViews>
    <workbookView xWindow="0" yWindow="0" windowWidth="20490" windowHeight="7455" xr2:uid="{00000000-000D-0000-FFFF-FFFF00000000}"/>
  </bookViews>
  <sheets>
    <sheet name="Report" sheetId="1" r:id="rId1"/>
    <sheet name="Sheet1" sheetId="5" r:id="rId2"/>
    <sheet name="C%" sheetId="4" r:id="rId3"/>
  </sheets>
  <definedNames>
    <definedName name="_xlnm.Print_Area" localSheetId="0">Report!$A$1:$H$390</definedName>
  </definedNames>
  <calcPr calcId="191029"/>
</workbook>
</file>

<file path=xl/calcChain.xml><?xml version="1.0" encoding="utf-8"?>
<calcChain xmlns="http://schemas.openxmlformats.org/spreadsheetml/2006/main">
  <c r="L144" i="1" l="1"/>
  <c r="L150" i="1"/>
  <c r="J144" i="1"/>
  <c r="K144" i="1" s="1"/>
  <c r="J150" i="1"/>
  <c r="K150" i="1" s="1"/>
  <c r="I139" i="1" l="1"/>
  <c r="I38" i="1"/>
  <c r="D130" i="1"/>
  <c r="D129" i="1"/>
  <c r="D128" i="1"/>
  <c r="D127" i="1"/>
  <c r="D126" i="1"/>
  <c r="D125" i="1"/>
  <c r="D124" i="1"/>
  <c r="D123" i="1"/>
  <c r="D122" i="1"/>
  <c r="D121" i="1"/>
  <c r="D120" i="1"/>
  <c r="D119" i="1"/>
  <c r="D118" i="1"/>
  <c r="F130" i="1"/>
  <c r="H130" i="1" s="1"/>
  <c r="I136" i="1"/>
  <c r="K158" i="1"/>
  <c r="I158" i="1"/>
  <c r="I156" i="1"/>
  <c r="I135" i="1"/>
  <c r="E163" i="1"/>
  <c r="D163" i="1"/>
  <c r="F163" i="1" s="1"/>
  <c r="H163" i="1" s="1"/>
  <c r="E162" i="1"/>
  <c r="D162" i="1"/>
  <c r="E161" i="1"/>
  <c r="D161" i="1"/>
  <c r="E160" i="1"/>
  <c r="D160" i="1"/>
  <c r="F160" i="1" s="1"/>
  <c r="H160" i="1" s="1"/>
  <c r="E159" i="1"/>
  <c r="D159" i="1"/>
  <c r="F159" i="1" s="1"/>
  <c r="H159" i="1" s="1"/>
  <c r="E158" i="1"/>
  <c r="D158" i="1"/>
  <c r="E157" i="1"/>
  <c r="D157" i="1"/>
  <c r="F157" i="1" s="1"/>
  <c r="H157" i="1" s="1"/>
  <c r="E156" i="1"/>
  <c r="D156" i="1"/>
  <c r="F162" i="1"/>
  <c r="H162" i="1" s="1"/>
  <c r="F161" i="1"/>
  <c r="H161" i="1" s="1"/>
  <c r="A157" i="1"/>
  <c r="A158" i="1" s="1"/>
  <c r="A159" i="1" s="1"/>
  <c r="A160" i="1" s="1"/>
  <c r="A161" i="1" s="1"/>
  <c r="A162" i="1" s="1"/>
  <c r="A163" i="1" s="1"/>
  <c r="E152" i="1"/>
  <c r="D152" i="1"/>
  <c r="E151" i="1"/>
  <c r="D151" i="1"/>
  <c r="F151" i="1" s="1"/>
  <c r="E149" i="1"/>
  <c r="D149" i="1"/>
  <c r="E148" i="1"/>
  <c r="D148" i="1"/>
  <c r="F148" i="1" s="1"/>
  <c r="E147" i="1"/>
  <c r="D147" i="1"/>
  <c r="F147" i="1" s="1"/>
  <c r="E146" i="1"/>
  <c r="D146" i="1"/>
  <c r="F146" i="1" s="1"/>
  <c r="E145" i="1"/>
  <c r="D145" i="1"/>
  <c r="A146" i="1"/>
  <c r="A147" i="1" s="1"/>
  <c r="A148" i="1" s="1"/>
  <c r="A149" i="1" s="1"/>
  <c r="A150" i="1" s="1"/>
  <c r="A151" i="1" s="1"/>
  <c r="A152" i="1" s="1"/>
  <c r="E143" i="1"/>
  <c r="F143" i="1" s="1"/>
  <c r="D143" i="1"/>
  <c r="E142" i="1"/>
  <c r="D142" i="1"/>
  <c r="E141" i="1"/>
  <c r="D141" i="1"/>
  <c r="F141" i="1" s="1"/>
  <c r="E140" i="1"/>
  <c r="D140" i="1"/>
  <c r="F140" i="1" s="1"/>
  <c r="E139" i="1"/>
  <c r="D139" i="1"/>
  <c r="F139" i="1" s="1"/>
  <c r="E138" i="1"/>
  <c r="D138" i="1"/>
  <c r="F138" i="1" s="1"/>
  <c r="E137" i="1"/>
  <c r="D137" i="1"/>
  <c r="E136" i="1"/>
  <c r="D136" i="1"/>
  <c r="F136" i="1"/>
  <c r="F142" i="1"/>
  <c r="A137" i="1"/>
  <c r="A138" i="1" s="1"/>
  <c r="A139" i="1" s="1"/>
  <c r="A140" i="1" s="1"/>
  <c r="A141" i="1" s="1"/>
  <c r="A142" i="1" s="1"/>
  <c r="A143" i="1" s="1"/>
  <c r="J86" i="1"/>
  <c r="J85" i="1"/>
  <c r="J84" i="1"/>
  <c r="J83" i="1"/>
  <c r="G41" i="1"/>
  <c r="H78" i="1"/>
  <c r="C109" i="1" l="1"/>
  <c r="C108" i="1"/>
  <c r="F152" i="1"/>
  <c r="F137" i="1"/>
  <c r="J137" i="1" s="1"/>
  <c r="K137" i="1" s="1"/>
  <c r="F149" i="1"/>
  <c r="H149" i="1" s="1"/>
  <c r="L149" i="1" s="1"/>
  <c r="H152" i="1"/>
  <c r="L152" i="1" s="1"/>
  <c r="J152" i="1"/>
  <c r="K152" i="1" s="1"/>
  <c r="H140" i="1"/>
  <c r="J140" i="1"/>
  <c r="K140" i="1" s="1"/>
  <c r="H141" i="1"/>
  <c r="L141" i="1" s="1"/>
  <c r="J141" i="1"/>
  <c r="K141" i="1" s="1"/>
  <c r="H137" i="1"/>
  <c r="L137" i="1" s="1"/>
  <c r="H142" i="1"/>
  <c r="L142" i="1" s="1"/>
  <c r="J142" i="1"/>
  <c r="K142" i="1" s="1"/>
  <c r="H146" i="1"/>
  <c r="L146" i="1" s="1"/>
  <c r="J146" i="1"/>
  <c r="K146" i="1" s="1"/>
  <c r="F156" i="1"/>
  <c r="H143" i="1"/>
  <c r="L143" i="1" s="1"/>
  <c r="J143" i="1"/>
  <c r="K143" i="1" s="1"/>
  <c r="H136" i="1"/>
  <c r="J136" i="1"/>
  <c r="K136" i="1" s="1"/>
  <c r="H148" i="1"/>
  <c r="J148" i="1"/>
  <c r="K148" i="1" s="1"/>
  <c r="H139" i="1"/>
  <c r="L139" i="1" s="1"/>
  <c r="J139" i="1"/>
  <c r="K139" i="1" s="1"/>
  <c r="H151" i="1"/>
  <c r="L151" i="1" s="1"/>
  <c r="J151" i="1"/>
  <c r="K151" i="1" s="1"/>
  <c r="H147" i="1"/>
  <c r="L147" i="1" s="1"/>
  <c r="J147" i="1"/>
  <c r="K147" i="1" s="1"/>
  <c r="H138" i="1"/>
  <c r="L138" i="1" s="1"/>
  <c r="J138" i="1"/>
  <c r="K138" i="1" s="1"/>
  <c r="F145" i="1"/>
  <c r="E108" i="1" s="1"/>
  <c r="F158" i="1"/>
  <c r="H158" i="1" s="1"/>
  <c r="C104" i="1"/>
  <c r="F90" i="1"/>
  <c r="F87" i="1"/>
  <c r="G81" i="1"/>
  <c r="I75" i="1" s="1"/>
  <c r="C79" i="1" s="1"/>
  <c r="F81" i="1"/>
  <c r="F86" i="1"/>
  <c r="J80" i="1"/>
  <c r="F89" i="1"/>
  <c r="F83" i="1"/>
  <c r="F88" i="1"/>
  <c r="F82" i="1"/>
  <c r="J81" i="1"/>
  <c r="J82" i="1" s="1"/>
  <c r="J87" i="1" s="1"/>
  <c r="J88" i="1" s="1"/>
  <c r="J79" i="1"/>
  <c r="F85" i="1"/>
  <c r="J78" i="1"/>
  <c r="F84" i="1"/>
  <c r="J149" i="1" l="1"/>
  <c r="K149" i="1" s="1"/>
  <c r="H156" i="1"/>
  <c r="G109" i="1" s="1"/>
  <c r="E109" i="1"/>
  <c r="L136" i="1"/>
  <c r="I140" i="1"/>
  <c r="L140" i="1"/>
  <c r="I148" i="1"/>
  <c r="L148" i="1"/>
  <c r="H145" i="1"/>
  <c r="J145" i="1"/>
  <c r="K145" i="1" s="1"/>
  <c r="G28" i="1"/>
  <c r="I145" i="1" l="1"/>
  <c r="L145" i="1"/>
  <c r="G108" i="1"/>
  <c r="C110" i="1"/>
  <c r="F225" i="1"/>
  <c r="A221" i="1"/>
  <c r="A222" i="1" s="1"/>
  <c r="A223" i="1" s="1"/>
  <c r="A224" i="1" s="1"/>
  <c r="A225" i="1" s="1"/>
  <c r="A226" i="1" s="1"/>
  <c r="A227" i="1" s="1"/>
  <c r="A228" i="1" s="1"/>
  <c r="A205" i="1"/>
  <c r="A206" i="1" s="1"/>
  <c r="A207" i="1" s="1"/>
  <c r="A208" i="1" s="1"/>
  <c r="A209" i="1" s="1"/>
  <c r="A210" i="1" s="1"/>
  <c r="A211" i="1" s="1"/>
  <c r="A212" i="1" s="1"/>
  <c r="A213" i="1" s="1"/>
  <c r="A214" i="1" s="1"/>
  <c r="A215" i="1" s="1"/>
  <c r="A192" i="1"/>
  <c r="A193" i="1" s="1"/>
  <c r="A194" i="1" s="1"/>
  <c r="A195" i="1" s="1"/>
  <c r="A196" i="1" s="1"/>
  <c r="A197" i="1" s="1"/>
  <c r="A198" i="1" s="1"/>
  <c r="A199" i="1" s="1"/>
  <c r="A200" i="1" s="1"/>
  <c r="A201" i="1" s="1"/>
  <c r="A202" i="1" s="1"/>
  <c r="A179" i="1"/>
  <c r="A180" i="1" s="1"/>
  <c r="A181" i="1" s="1"/>
  <c r="A182" i="1" s="1"/>
  <c r="A183" i="1" s="1"/>
  <c r="A184" i="1" s="1"/>
  <c r="A185" i="1" s="1"/>
  <c r="A186" i="1" s="1"/>
  <c r="A187" i="1" s="1"/>
  <c r="A188" i="1" s="1"/>
  <c r="A189" i="1" s="1"/>
  <c r="A166" i="1"/>
  <c r="A167" i="1" s="1"/>
  <c r="A168" i="1" s="1"/>
  <c r="A169" i="1" s="1"/>
  <c r="A170" i="1" s="1"/>
  <c r="A171" i="1" s="1"/>
  <c r="A172" i="1" s="1"/>
  <c r="A173" i="1" s="1"/>
  <c r="A174" i="1" s="1"/>
  <c r="A175" i="1" s="1"/>
  <c r="A176" i="1" s="1"/>
  <c r="A119" i="1"/>
  <c r="A120" i="1" s="1"/>
  <c r="A121" i="1" s="1"/>
  <c r="A122" i="1" s="1"/>
  <c r="A123" i="1" s="1"/>
  <c r="A124" i="1" s="1"/>
  <c r="A125" i="1" s="1"/>
  <c r="A126" i="1" s="1"/>
  <c r="A127" i="1" s="1"/>
  <c r="A128" i="1" s="1"/>
  <c r="A129" i="1" s="1"/>
  <c r="A130" i="1" s="1"/>
  <c r="F215" i="1"/>
  <c r="H215" i="1" s="1"/>
  <c r="F214" i="1"/>
  <c r="H214" i="1" s="1"/>
  <c r="F213" i="1"/>
  <c r="H213" i="1" s="1"/>
  <c r="F212" i="1"/>
  <c r="H212" i="1" s="1"/>
  <c r="F211" i="1"/>
  <c r="H211" i="1" s="1"/>
  <c r="F210" i="1"/>
  <c r="H210" i="1" s="1"/>
  <c r="F209" i="1"/>
  <c r="H209" i="1" s="1"/>
  <c r="F208" i="1"/>
  <c r="H208" i="1" s="1"/>
  <c r="F207" i="1"/>
  <c r="H207" i="1" s="1"/>
  <c r="F206" i="1"/>
  <c r="H206" i="1" s="1"/>
  <c r="F205" i="1"/>
  <c r="H205" i="1" s="1"/>
  <c r="F204" i="1"/>
  <c r="H204" i="1" s="1"/>
  <c r="F202" i="1"/>
  <c r="H202" i="1" s="1"/>
  <c r="F201" i="1"/>
  <c r="H201" i="1" s="1"/>
  <c r="F200" i="1"/>
  <c r="H200" i="1" s="1"/>
  <c r="F199" i="1"/>
  <c r="H199" i="1" s="1"/>
  <c r="F198" i="1"/>
  <c r="H198" i="1" s="1"/>
  <c r="F197" i="1"/>
  <c r="H197" i="1" s="1"/>
  <c r="F196" i="1"/>
  <c r="H196" i="1" s="1"/>
  <c r="F195" i="1"/>
  <c r="H195" i="1" s="1"/>
  <c r="F194" i="1"/>
  <c r="H194" i="1" s="1"/>
  <c r="F193" i="1"/>
  <c r="H193" i="1" s="1"/>
  <c r="F192" i="1"/>
  <c r="H192" i="1" s="1"/>
  <c r="F191" i="1"/>
  <c r="H191" i="1" s="1"/>
  <c r="F189" i="1"/>
  <c r="H189" i="1" s="1"/>
  <c r="F188" i="1"/>
  <c r="H188" i="1" s="1"/>
  <c r="F187" i="1"/>
  <c r="H187" i="1" s="1"/>
  <c r="F186" i="1"/>
  <c r="H186" i="1" s="1"/>
  <c r="F185" i="1"/>
  <c r="H185" i="1" s="1"/>
  <c r="F184" i="1"/>
  <c r="H184" i="1" s="1"/>
  <c r="F183" i="1"/>
  <c r="H183" i="1" s="1"/>
  <c r="F182" i="1"/>
  <c r="H182" i="1" s="1"/>
  <c r="F181" i="1"/>
  <c r="H181" i="1" s="1"/>
  <c r="F180" i="1"/>
  <c r="H180" i="1" s="1"/>
  <c r="F179" i="1"/>
  <c r="H179" i="1" s="1"/>
  <c r="F178" i="1"/>
  <c r="H178" i="1" s="1"/>
  <c r="F119" i="1"/>
  <c r="H119" i="1" s="1"/>
  <c r="F120" i="1"/>
  <c r="F121" i="1"/>
  <c r="H121" i="1" s="1"/>
  <c r="F122" i="1"/>
  <c r="F123" i="1"/>
  <c r="F124" i="1"/>
  <c r="F125" i="1"/>
  <c r="F126" i="1"/>
  <c r="F127" i="1"/>
  <c r="F128" i="1"/>
  <c r="F129" i="1"/>
  <c r="F118" i="1"/>
  <c r="H118" i="1" s="1"/>
  <c r="F176" i="1"/>
  <c r="H176" i="1" s="1"/>
  <c r="F175" i="1"/>
  <c r="H175" i="1" s="1"/>
  <c r="F174" i="1"/>
  <c r="H174" i="1" s="1"/>
  <c r="F173" i="1"/>
  <c r="H173" i="1" s="1"/>
  <c r="F172" i="1"/>
  <c r="H172" i="1" s="1"/>
  <c r="F171" i="1"/>
  <c r="H171" i="1" s="1"/>
  <c r="F170" i="1"/>
  <c r="H170" i="1" s="1"/>
  <c r="F169" i="1"/>
  <c r="H169" i="1" s="1"/>
  <c r="F168" i="1"/>
  <c r="H168" i="1" s="1"/>
  <c r="F167" i="1"/>
  <c r="H167" i="1" s="1"/>
  <c r="F166" i="1"/>
  <c r="H166" i="1" s="1"/>
  <c r="F165" i="1"/>
  <c r="H165" i="1" s="1"/>
  <c r="A229" i="1" l="1"/>
  <c r="A230" i="1" s="1"/>
  <c r="A231" i="1" s="1"/>
  <c r="A232" i="1" s="1"/>
  <c r="E104" i="1"/>
  <c r="E105" i="1" s="1"/>
  <c r="C105" i="1"/>
  <c r="C111" i="1" s="1"/>
  <c r="E110" i="1" l="1"/>
  <c r="E111" i="1" s="1"/>
  <c r="C8" i="1"/>
  <c r="J71" i="1" l="1"/>
  <c r="J70" i="1"/>
  <c r="J69" i="1"/>
  <c r="J68" i="1"/>
  <c r="H63" i="1"/>
  <c r="J65" i="1" l="1"/>
  <c r="E66" i="1" s="1"/>
  <c r="F66" i="1" s="1"/>
  <c r="J63" i="1"/>
  <c r="F70" i="1"/>
  <c r="F75" i="1"/>
  <c r="F69" i="1"/>
  <c r="J66" i="1"/>
  <c r="J67" i="1" s="1"/>
  <c r="J72" i="1" s="1"/>
  <c r="J73" i="1" s="1"/>
  <c r="E67" i="1" s="1"/>
  <c r="F67" i="1" s="1"/>
  <c r="F71" i="1"/>
  <c r="F74" i="1"/>
  <c r="F68" i="1"/>
  <c r="F72" i="1"/>
  <c r="F73" i="1"/>
  <c r="J64" i="1"/>
  <c r="G66" i="1" l="1"/>
  <c r="I60" i="1" s="1"/>
  <c r="C64" i="1" s="1"/>
  <c r="H120" i="1" l="1"/>
  <c r="H122" i="1"/>
  <c r="H123" i="1"/>
  <c r="H124" i="1"/>
  <c r="H125" i="1"/>
  <c r="H126" i="1"/>
  <c r="H127" i="1"/>
  <c r="H128" i="1"/>
  <c r="H129" i="1"/>
  <c r="G104" i="1" l="1"/>
  <c r="G105" i="1"/>
  <c r="G42" i="1"/>
  <c r="G110" i="1" l="1"/>
  <c r="G111" i="1" s="1"/>
  <c r="G5" i="1"/>
  <c r="G43" i="1" l="1"/>
  <c r="H11" i="4" l="1"/>
  <c r="H10" i="4"/>
  <c r="H9" i="4"/>
  <c r="H8" i="4"/>
  <c r="F2" i="4"/>
  <c r="C12" i="4" l="1"/>
  <c r="C8" i="4"/>
  <c r="C11" i="4"/>
  <c r="C7" i="4"/>
  <c r="H6" i="4"/>
  <c r="H7" i="4" s="1"/>
  <c r="H12" i="4" s="1"/>
  <c r="H13" i="4" s="1"/>
  <c r="B5" i="4" s="1"/>
  <c r="C13" i="4"/>
  <c r="H3" i="4"/>
  <c r="H4" i="4"/>
  <c r="C10" i="4"/>
  <c r="D12" i="4"/>
  <c r="C9" i="4"/>
  <c r="H5" i="4"/>
  <c r="B4" i="4" s="1"/>
  <c r="C4" i="4" l="1"/>
  <c r="D9" i="4" s="1"/>
  <c r="C6" i="4"/>
  <c r="D13" i="4"/>
  <c r="D8" i="4"/>
  <c r="C5" i="4"/>
  <c r="D10" i="4" l="1"/>
  <c r="D11" i="4" l="1"/>
  <c r="D4" i="4" s="1"/>
  <c r="E4" i="4" s="1"/>
  <c r="C23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Windows User</author>
  </authors>
  <commentList>
    <comment ref="A9" authorId="0" shapeId="0" xr:uid="{00000000-0006-0000-0000-000001000000}">
      <text>
        <r>
          <rPr>
            <b/>
            <sz val="9"/>
            <color indexed="81"/>
            <rFont val="Tahoma"/>
            <family val="2"/>
          </rPr>
          <t>SACHIN:</t>
        </r>
        <r>
          <rPr>
            <sz val="9"/>
            <color indexed="81"/>
            <rFont val="Tahoma"/>
            <family val="2"/>
          </rPr>
          <t xml:space="preserve">
As per CC</t>
        </r>
      </text>
    </comment>
    <comment ref="C9" authorId="0" shapeId="0" xr:uid="{00000000-0006-0000-0000-000002000000}">
      <text>
        <r>
          <rPr>
            <b/>
            <sz val="9"/>
            <color indexed="81"/>
            <rFont val="Tahoma"/>
            <family val="2"/>
          </rPr>
          <t>Take address from CC</t>
        </r>
      </text>
    </comment>
    <comment ref="C21" authorId="0" shapeId="0" xr:uid="{00000000-0006-0000-0000-000003000000}">
      <text>
        <r>
          <rPr>
            <b/>
            <sz val="9"/>
            <color indexed="81"/>
            <rFont val="Tahoma"/>
            <family val="2"/>
          </rPr>
          <t>Builder's office address from RERA</t>
        </r>
        <r>
          <rPr>
            <sz val="9"/>
            <color indexed="81"/>
            <rFont val="Tahoma"/>
            <family val="2"/>
          </rPr>
          <t xml:space="preserve">
</t>
        </r>
      </text>
    </comment>
    <comment ref="C24" authorId="0" shapeId="0" xr:uid="{00000000-0006-0000-0000-000004000000}">
      <text>
        <r>
          <rPr>
            <b/>
            <sz val="9"/>
            <color indexed="81"/>
            <rFont val="Tahoma"/>
            <family val="2"/>
          </rPr>
          <t>Provided during initiation</t>
        </r>
        <r>
          <rPr>
            <sz val="9"/>
            <color indexed="81"/>
            <rFont val="Tahoma"/>
            <family val="2"/>
          </rPr>
          <t xml:space="preserve">
</t>
        </r>
      </text>
    </comment>
    <comment ref="C25" authorId="1" shapeId="0" xr:uid="{00000000-0006-0000-0000-000005000000}">
      <text>
        <r>
          <rPr>
            <b/>
            <sz val="11"/>
            <color indexed="81"/>
            <rFont val="Tahoma"/>
            <family val="2"/>
          </rPr>
          <t xml:space="preserve">Authority
</t>
        </r>
      </text>
    </comment>
    <comment ref="C26" authorId="0" shapeId="0" xr:uid="{00000000-0006-0000-0000-000006000000}">
      <text>
        <r>
          <rPr>
            <b/>
            <sz val="9"/>
            <color indexed="81"/>
            <rFont val="Tahoma"/>
            <family val="2"/>
          </rPr>
          <t>Apartments or 
Apartments + Shops</t>
        </r>
      </text>
    </comment>
    <comment ref="G28" authorId="0" shapeId="0" xr:uid="{00000000-0006-0000-0000-000007000000}">
      <text>
        <r>
          <rPr>
            <b/>
            <sz val="9"/>
            <color indexed="81"/>
            <rFont val="Tahoma"/>
            <family val="2"/>
          </rPr>
          <t>15% of Total No of Flats</t>
        </r>
        <r>
          <rPr>
            <sz val="9"/>
            <color indexed="81"/>
            <rFont val="Tahoma"/>
            <family val="2"/>
          </rPr>
          <t xml:space="preserve">
</t>
        </r>
      </text>
    </comment>
    <comment ref="E32" authorId="0" shapeId="0" xr:uid="{00000000-0006-0000-0000-000008000000}">
      <text>
        <r>
          <rPr>
            <b/>
            <sz val="9"/>
            <color indexed="81"/>
            <rFont val="Tahoma"/>
            <family val="2"/>
          </rPr>
          <t>If Sale deed is provided</t>
        </r>
        <r>
          <rPr>
            <sz val="9"/>
            <color indexed="81"/>
            <rFont val="Tahoma"/>
            <family val="2"/>
          </rPr>
          <t xml:space="preserve">
</t>
        </r>
      </text>
    </comment>
    <comment ref="F32" authorId="0" shapeId="0" xr:uid="{00000000-0006-0000-0000-000009000000}">
      <text>
        <r>
          <rPr>
            <b/>
            <sz val="9"/>
            <color indexed="81"/>
            <rFont val="Tahoma"/>
            <family val="2"/>
          </rPr>
          <t>If Sale deed is provided</t>
        </r>
        <r>
          <rPr>
            <sz val="9"/>
            <color indexed="81"/>
            <rFont val="Tahoma"/>
            <family val="2"/>
          </rPr>
          <t xml:space="preserve">
</t>
        </r>
      </text>
    </comment>
    <comment ref="G32" authorId="0" shapeId="0" xr:uid="{00000000-0006-0000-0000-00000A000000}">
      <text>
        <r>
          <rPr>
            <b/>
            <sz val="9"/>
            <color indexed="81"/>
            <rFont val="Tahoma"/>
            <family val="2"/>
          </rPr>
          <t>If Sale deed is provided</t>
        </r>
        <r>
          <rPr>
            <sz val="9"/>
            <color indexed="81"/>
            <rFont val="Tahoma"/>
            <family val="2"/>
          </rPr>
          <t xml:space="preserve">
</t>
        </r>
      </text>
    </comment>
    <comment ref="H32" authorId="0" shapeId="0" xr:uid="{00000000-0006-0000-0000-00000B000000}">
      <text>
        <r>
          <rPr>
            <b/>
            <sz val="9"/>
            <color indexed="81"/>
            <rFont val="Tahoma"/>
            <family val="2"/>
          </rPr>
          <t>If Sale deed is provided</t>
        </r>
        <r>
          <rPr>
            <sz val="9"/>
            <color indexed="81"/>
            <rFont val="Tahoma"/>
            <family val="2"/>
          </rPr>
          <t xml:space="preserve">
</t>
        </r>
      </text>
    </comment>
    <comment ref="C47" authorId="0" shapeId="0" xr:uid="{00000000-0006-0000-0000-00000C000000}">
      <text>
        <r>
          <rPr>
            <b/>
            <sz val="9"/>
            <color indexed="81"/>
            <rFont val="Tahoma"/>
            <family val="2"/>
          </rPr>
          <t>height should also be mentioned</t>
        </r>
      </text>
    </comment>
    <comment ref="C60" authorId="0" shapeId="0" xr:uid="{00000000-0006-0000-0000-00000D000000}">
      <text>
        <r>
          <rPr>
            <b/>
            <sz val="9"/>
            <color indexed="81"/>
            <rFont val="Tahoma"/>
            <family val="2"/>
          </rPr>
          <t>RERA Start date</t>
        </r>
      </text>
    </comment>
    <comment ref="H93" authorId="0" shapeId="0" xr:uid="{00000000-0006-0000-0000-00000E000000}">
      <text>
        <r>
          <rPr>
            <b/>
            <sz val="9"/>
            <color indexed="81"/>
            <rFont val="Tahoma"/>
            <family val="2"/>
          </rPr>
          <t>if multiple buildings are in project and are connected internally</t>
        </r>
      </text>
    </comment>
    <comment ref="C95" authorId="0" shapeId="0" xr:uid="{00000000-0006-0000-0000-00000F000000}">
      <text>
        <r>
          <rPr>
            <b/>
            <sz val="9"/>
            <color indexed="81"/>
            <rFont val="Tahoma"/>
            <family val="2"/>
          </rPr>
          <t>AAC Block or Brick</t>
        </r>
      </text>
    </comment>
    <comment ref="H97" authorId="0" shapeId="0" xr:uid="{00000000-0006-0000-0000-000010000000}">
      <text>
        <r>
          <rPr>
            <b/>
            <sz val="9"/>
            <color indexed="81"/>
            <rFont val="Tahoma"/>
            <family val="2"/>
          </rPr>
          <t>If present on slopy area</t>
        </r>
        <r>
          <rPr>
            <sz val="9"/>
            <color indexed="81"/>
            <rFont val="Tahoma"/>
            <family val="2"/>
          </rPr>
          <t xml:space="preserve">
</t>
        </r>
      </text>
    </comment>
  </commentList>
</comments>
</file>

<file path=xl/sharedStrings.xml><?xml version="1.0" encoding="utf-8"?>
<sst xmlns="http://schemas.openxmlformats.org/spreadsheetml/2006/main" count="485" uniqueCount="299">
  <si>
    <t>Name of the project</t>
  </si>
  <si>
    <t xml:space="preserve">Address </t>
  </si>
  <si>
    <t>Name of the builder / developer</t>
  </si>
  <si>
    <t xml:space="preserve">Office address (agreement) </t>
  </si>
  <si>
    <t>Builder Bank Details</t>
  </si>
  <si>
    <t>Contact No.</t>
  </si>
  <si>
    <t>Village</t>
  </si>
  <si>
    <t>Other HFC's Approval / Funding</t>
  </si>
  <si>
    <t>No. of Tenements / Units in Project</t>
  </si>
  <si>
    <t>Verification of the schedule of the property</t>
  </si>
  <si>
    <t>Sale deed</t>
  </si>
  <si>
    <t>Physical on site</t>
  </si>
  <si>
    <t>North</t>
  </si>
  <si>
    <t>South</t>
  </si>
  <si>
    <t>East</t>
  </si>
  <si>
    <t>West</t>
  </si>
  <si>
    <t>Verification of survey No. (Title document)</t>
  </si>
  <si>
    <t xml:space="preserve">Approach road </t>
  </si>
  <si>
    <t>Yes/No</t>
  </si>
  <si>
    <t>Layout approval if applicable</t>
  </si>
  <si>
    <t>Building height / No. of Floors</t>
  </si>
  <si>
    <t>NA / Land conversion</t>
  </si>
  <si>
    <t>CONSTRUCTION PROGRESS</t>
  </si>
  <si>
    <t>Baseline start date</t>
  </si>
  <si>
    <t>Baseline finish date</t>
  </si>
  <si>
    <t>General comment on progress</t>
  </si>
  <si>
    <t>QUALITY/NDMC Parameters</t>
  </si>
  <si>
    <t>Type of Structure</t>
  </si>
  <si>
    <t>Expansion Joint Available</t>
  </si>
  <si>
    <t>Mortar Type</t>
  </si>
  <si>
    <t>Flood Prone Area</t>
  </si>
  <si>
    <t>Masonry Type</t>
  </si>
  <si>
    <t>Projected Parts Available</t>
  </si>
  <si>
    <t>Footing Type</t>
  </si>
  <si>
    <t>Fire Exit Available</t>
  </si>
  <si>
    <t>Soil Type</t>
  </si>
  <si>
    <t>Ground Slope &gt;20%</t>
  </si>
  <si>
    <t>Concrete Grade</t>
  </si>
  <si>
    <t>Ground Slope Vulnerable to land slide</t>
  </si>
  <si>
    <t>Steel Grade</t>
  </si>
  <si>
    <t>Soil liquefiable</t>
  </si>
  <si>
    <t>Cyclone Zone-Wind speed (m/s)</t>
  </si>
  <si>
    <t>Coastal regulatory Zone</t>
  </si>
  <si>
    <t>Seismic Zone</t>
  </si>
  <si>
    <t>Environment exposure condition</t>
  </si>
  <si>
    <t>BUILDING / BLOCK - Configuration Details</t>
  </si>
  <si>
    <t>Floors</t>
  </si>
  <si>
    <t>REMARKS ON RECOMMENDATION</t>
  </si>
  <si>
    <t>RERA No.-</t>
  </si>
  <si>
    <t>Cement &amp; Sand</t>
  </si>
  <si>
    <t>RCC</t>
  </si>
  <si>
    <t>Yes</t>
  </si>
  <si>
    <t>No</t>
  </si>
  <si>
    <t>Moderate</t>
  </si>
  <si>
    <t>III</t>
  </si>
  <si>
    <t>1BHK</t>
  </si>
  <si>
    <t>Progress %</t>
  </si>
  <si>
    <t>Construction details:</t>
  </si>
  <si>
    <t>Basement</t>
  </si>
  <si>
    <t>Ground</t>
  </si>
  <si>
    <t>Podium</t>
  </si>
  <si>
    <t>Type of Work</t>
  </si>
  <si>
    <t>Slab/Floor</t>
  </si>
  <si>
    <t>Complition %</t>
  </si>
  <si>
    <t>Piling Work in process</t>
  </si>
  <si>
    <t>Excavation</t>
  </si>
  <si>
    <t>Excavation in process</t>
  </si>
  <si>
    <t>Plinth</t>
  </si>
  <si>
    <t>Excavation Completed</t>
  </si>
  <si>
    <t>RCC (Including podiums)</t>
  </si>
  <si>
    <t>Footing in Process</t>
  </si>
  <si>
    <t>Brickwork</t>
  </si>
  <si>
    <t>Footing Completed</t>
  </si>
  <si>
    <t>Internal Plaster</t>
  </si>
  <si>
    <t>Basement 1</t>
  </si>
  <si>
    <t>Ext. Plaster &amp; Plumbing</t>
  </si>
  <si>
    <t>Basement 2</t>
  </si>
  <si>
    <t>Flooring &amp; Fitting</t>
  </si>
  <si>
    <t>Basement 3</t>
  </si>
  <si>
    <t>Painting &amp; Wooden</t>
  </si>
  <si>
    <t>Basement 4</t>
  </si>
  <si>
    <t>Building Common Amenities</t>
  </si>
  <si>
    <t>Plinth in process</t>
  </si>
  <si>
    <t>Possession</t>
  </si>
  <si>
    <t>Plinth completed</t>
  </si>
  <si>
    <t xml:space="preserve">APF Valuation Report </t>
  </si>
  <si>
    <t>Approved Plan</t>
  </si>
  <si>
    <t>Location of the project 
Municipal Limit :</t>
  </si>
  <si>
    <t>Project Type
(Apartments/Plot/ Combined)</t>
  </si>
  <si>
    <t>Geo Coordinates</t>
  </si>
  <si>
    <t>Landmark</t>
  </si>
  <si>
    <t>None</t>
  </si>
  <si>
    <t>No of Wings / Buildings</t>
  </si>
  <si>
    <t>Description</t>
  </si>
  <si>
    <t xml:space="preserve">Approval Detail : Plan approval </t>
  </si>
  <si>
    <t>Total land area of the project in Sq. Mt.</t>
  </si>
  <si>
    <t>Permissible FSI</t>
  </si>
  <si>
    <t>Permissible TDR/Paid FSI</t>
  </si>
  <si>
    <t>Total FSI availaible for the project</t>
  </si>
  <si>
    <t>Total Approved Builtup area of the project (Sq.Mt)</t>
  </si>
  <si>
    <t>Building plan approvals - Approval No :</t>
  </si>
  <si>
    <t>Project Details</t>
  </si>
  <si>
    <t xml:space="preserve">Name of Valuation Agency </t>
  </si>
  <si>
    <t>Date of
Initiation</t>
  </si>
  <si>
    <t>Date &amp; Time of Site Visit</t>
  </si>
  <si>
    <t>Date of Report
Release</t>
  </si>
  <si>
    <t xml:space="preserve">Branch Name/ID </t>
  </si>
  <si>
    <t>Mahindra Rural Housing Finance - Kalyan</t>
  </si>
  <si>
    <t>Name of the person met at site &amp; Contact No</t>
  </si>
  <si>
    <t>V.S.JADON &amp; CO VALUERS LLP</t>
  </si>
  <si>
    <t>Builder Office Verified</t>
  </si>
  <si>
    <t>Name of the authority :</t>
  </si>
  <si>
    <t>Reference No :</t>
  </si>
  <si>
    <t xml:space="preserve"> Building No.4 = G + 3rd Floor</t>
  </si>
  <si>
    <t xml:space="preserve">Speed of Construction is Average. </t>
  </si>
  <si>
    <t>Recommended Rates of the Property :</t>
  </si>
  <si>
    <t>Recommended rate of the flat Per Sq. Ft. ( on Saleable area)</t>
  </si>
  <si>
    <t>Recommended of Parking ( If Available)</t>
  </si>
  <si>
    <t>Name of Engineer Visited the property</t>
  </si>
  <si>
    <t xml:space="preserve">Authorized Signatory
Name &amp; Seal of the agency
                                               </t>
  </si>
  <si>
    <t>Photographs Of Property :</t>
  </si>
  <si>
    <t xml:space="preserve">Google Map : </t>
  </si>
  <si>
    <t>Isolated Footing</t>
  </si>
  <si>
    <t>FE415</t>
  </si>
  <si>
    <t>Connectivity</t>
  </si>
  <si>
    <t>Exposure Limit
(Proposed)</t>
  </si>
  <si>
    <t>1st Floor</t>
  </si>
  <si>
    <t>2nd Floor</t>
  </si>
  <si>
    <t>44 meter per sec</t>
  </si>
  <si>
    <t>Alluvial Soil</t>
  </si>
  <si>
    <t>Total Permissible Builtup area of the project (Sq.Mt)</t>
  </si>
  <si>
    <r>
      <t>Remark (</t>
    </r>
    <r>
      <rPr>
        <sz val="10"/>
        <color rgb="FF000000"/>
        <rFont val="Times New Roman"/>
        <family val="1"/>
      </rPr>
      <t>Flat configuration /Bungalows, etc.)</t>
    </r>
  </si>
  <si>
    <t>Plot area mentioned in the sale deed (As per 7/12)</t>
  </si>
  <si>
    <t>Plot area mentioned in the approved drg. on which FSI/FAR calculations computed (Net Plot Area)</t>
  </si>
  <si>
    <t>Stage of construction</t>
  </si>
  <si>
    <t>Building No.1</t>
  </si>
  <si>
    <t>Taluka</t>
  </si>
  <si>
    <t>District</t>
  </si>
  <si>
    <t>Pincode</t>
  </si>
  <si>
    <t>Geo Link</t>
  </si>
  <si>
    <t xml:space="preserve">Stage of construction: </t>
  </si>
  <si>
    <t>All work Completed. OC Received.</t>
  </si>
  <si>
    <t>Project Progress %</t>
  </si>
  <si>
    <t>M20</t>
  </si>
  <si>
    <t>Saleable Area Sq.Ft.
Loading:</t>
  </si>
  <si>
    <t>Layout Of Property :</t>
  </si>
  <si>
    <t>Office No. 1031, Wing J, Akshar Business Park, Plot No. 03 Sector 25, Near APMC Market, Vashi, Navi Mumbai, Maharashtra 400703 TEL: 022-46090378/79/80                                                                       
E mail : vsjcapf@gmail.com. Web site : www.vsjadon.com</t>
  </si>
  <si>
    <t xml:space="preserve">Latitude, Longitude   </t>
  </si>
  <si>
    <t>Road</t>
  </si>
  <si>
    <t>City</t>
  </si>
  <si>
    <t xml:space="preserve">Thane </t>
  </si>
  <si>
    <t>Palghar</t>
  </si>
  <si>
    <t>Mumbai</t>
  </si>
  <si>
    <t>Raigad</t>
  </si>
  <si>
    <t>Pune</t>
  </si>
  <si>
    <t>Thane</t>
  </si>
  <si>
    <t>Mokhada</t>
  </si>
  <si>
    <t>Andheri</t>
  </si>
  <si>
    <t>Alibag</t>
  </si>
  <si>
    <t>Pune City</t>
  </si>
  <si>
    <t>Shahpur</t>
  </si>
  <si>
    <t>Talasari</t>
  </si>
  <si>
    <t>Borivali</t>
  </si>
  <si>
    <t>Panvel</t>
  </si>
  <si>
    <t>Haveli</t>
  </si>
  <si>
    <t>Kalyan</t>
  </si>
  <si>
    <t>Vasai</t>
  </si>
  <si>
    <t>Kurla</t>
  </si>
  <si>
    <t>Uran</t>
  </si>
  <si>
    <t>Khed</t>
  </si>
  <si>
    <t>Bhiwandi</t>
  </si>
  <si>
    <t>Vikramgad</t>
  </si>
  <si>
    <t>Karjat</t>
  </si>
  <si>
    <t>Baramati</t>
  </si>
  <si>
    <t>Ulhasnagar</t>
  </si>
  <si>
    <t>Khalapur</t>
  </si>
  <si>
    <t>Junnar</t>
  </si>
  <si>
    <t>Ambernath</t>
  </si>
  <si>
    <t>Dahanu</t>
  </si>
  <si>
    <t>Pen</t>
  </si>
  <si>
    <t>Shirur</t>
  </si>
  <si>
    <t>Murbad</t>
  </si>
  <si>
    <t>Wada</t>
  </si>
  <si>
    <t>Sudhagad</t>
  </si>
  <si>
    <t>Indapur</t>
  </si>
  <si>
    <t>Mahad</t>
  </si>
  <si>
    <t>Daund</t>
  </si>
  <si>
    <t>Roha</t>
  </si>
  <si>
    <t>Mawal</t>
  </si>
  <si>
    <t>Mangaon</t>
  </si>
  <si>
    <t>Ambegaon</t>
  </si>
  <si>
    <t>Poladpur</t>
  </si>
  <si>
    <t>Purandhar</t>
  </si>
  <si>
    <t>Mahasala</t>
  </si>
  <si>
    <t>Bhor</t>
  </si>
  <si>
    <t>Shriwardhan</t>
  </si>
  <si>
    <t>Mulshi</t>
  </si>
  <si>
    <t>Murud</t>
  </si>
  <si>
    <t>Velhe</t>
  </si>
  <si>
    <t>Commercial Area Details :</t>
  </si>
  <si>
    <t>Building &amp; Wing</t>
  </si>
  <si>
    <t>No. of Units</t>
  </si>
  <si>
    <t>Total Carpet Area</t>
  </si>
  <si>
    <t>Total Saleable Area</t>
  </si>
  <si>
    <t>Total</t>
  </si>
  <si>
    <t>Residential Area Details :</t>
  </si>
  <si>
    <t>Grand Total</t>
  </si>
  <si>
    <t>Approved No. of Floor</t>
  </si>
  <si>
    <t>Proposed No. of Floor</t>
  </si>
  <si>
    <t>Ground Floor</t>
  </si>
  <si>
    <t>Flat No.
(Approved
Plan)</t>
  </si>
  <si>
    <t>Flat No. (Sale Plan)</t>
  </si>
  <si>
    <t>Carpet area</t>
  </si>
  <si>
    <t>Gross Carpet area</t>
  </si>
  <si>
    <t>Attached Terrace area</t>
  </si>
  <si>
    <t>Attached Loft area</t>
  </si>
  <si>
    <t>Shop</t>
  </si>
  <si>
    <t xml:space="preserve">Details of Residential &amp; Commercials in Building   </t>
  </si>
  <si>
    <t>Shop No.
(Approved
Plan)</t>
  </si>
  <si>
    <t>Shop No. (Sale Plan)</t>
  </si>
  <si>
    <t>AAC block or Bricks, Cement bags, aggregate, Sand, etc found on site in average quantity.</t>
  </si>
  <si>
    <t xml:space="preserve">Labours found on site at the time of visit. </t>
  </si>
  <si>
    <t>We considered Carpet area as per Approved Plan.</t>
  </si>
  <si>
    <t>We have considered rate by verifying it from market inquire.</t>
  </si>
  <si>
    <t>Recommended rate should be considered as all inclusive rate if other charges are not mentioned. (Excluding GST &amp; other government Taxes)</t>
  </si>
  <si>
    <t>Car parking is subjected to authentic documentation.</t>
  </si>
  <si>
    <t>We considered  Saleable area  as per our calculation. Loading</t>
  </si>
  <si>
    <t xml:space="preserve">Date </t>
  </si>
  <si>
    <t>NA</t>
  </si>
  <si>
    <t xml:space="preserve">Fire Noc No
Valid Up to: </t>
  </si>
  <si>
    <t xml:space="preserve">Environmental Clearance Certificate (EC) No
Valid Up for: </t>
  </si>
  <si>
    <t xml:space="preserve">Airport Noc No
Valid Up for: </t>
  </si>
  <si>
    <t xml:space="preserve">Valid upto Dated </t>
  </si>
  <si>
    <t xml:space="preserve">Site Elevation (AMSL) = 
Permissible Top Elevation (AMSL) = </t>
  </si>
  <si>
    <t xml:space="preserve">Date - - Valid For one Year
Area - </t>
  </si>
  <si>
    <t>``</t>
  </si>
  <si>
    <t>Validity &amp; Area mentioned:</t>
  </si>
  <si>
    <t>Buildtech Ventures Realty</t>
  </si>
  <si>
    <t>P51700052745</t>
  </si>
  <si>
    <t>Om Square</t>
  </si>
  <si>
    <t>Survey No</t>
  </si>
  <si>
    <t>40, Hissa No. 3</t>
  </si>
  <si>
    <t>Kalher</t>
  </si>
  <si>
    <t>Internal Road</t>
  </si>
  <si>
    <t>Bhiwandi Road</t>
  </si>
  <si>
    <t>Om Sai Heritage</t>
  </si>
  <si>
    <t>19.241656,73.010937</t>
  </si>
  <si>
    <t>https://maps.app.goo.gl/bzsftGEjA7tC9t176</t>
  </si>
  <si>
    <t>Survey No. 40/3, Near Building No. 19, Maitri Park, Kalher, Opp. Jai Mata Di Complex, Bhiwandi, 421302</t>
  </si>
  <si>
    <t>G P PARSIK BANK
IFSC Code - PJSB0000003</t>
  </si>
  <si>
    <t>Mr. Chirag Shamji Gada 8345994599</t>
  </si>
  <si>
    <t>Mumbai Metropolitan Region Development Authority (MMRDA)</t>
  </si>
  <si>
    <t>Apartments + Shops</t>
  </si>
  <si>
    <t>Building No. 1 &amp; 2</t>
  </si>
  <si>
    <t>Flats - 135, Shops - 13</t>
  </si>
  <si>
    <t>Building No. 1 = Gr/Stilt + 1st to 12th Floor
Building No. 2 = Gr/Stilt + 1st to 5th Floor</t>
  </si>
  <si>
    <t>Building No. 1 = Gr/Stilt + 1st to 13th Floor
Building No. 2 = Gr/Stilt + 1st to 13th Floor</t>
  </si>
  <si>
    <t>Survey No. 39</t>
  </si>
  <si>
    <t>Survey No. 26</t>
  </si>
  <si>
    <t>Survey No. 41</t>
  </si>
  <si>
    <t>Survey No. 38</t>
  </si>
  <si>
    <t>Open Plot</t>
  </si>
  <si>
    <t>Open Plot/Om Sai Heritage ️</t>
  </si>
  <si>
    <t>Survey No. 40, Hissa No. 3</t>
  </si>
  <si>
    <t>SROT/BSNA/2501/BP/Kalher-118/634/CC/2023</t>
  </si>
  <si>
    <t>SROT/BSNA/2501/BP/Kalher-118/634/CC/2023
Building No.1 = Gr/Stilt + 12th Floors
Building No. 2 = Stilt + 5th Floors</t>
  </si>
  <si>
    <t>Building No.1 = Gr/Stilt + 12th Floors 
Building No. 2 = Stilt + 5th Floors (Height = 18.9m)</t>
  </si>
  <si>
    <t>-</t>
  </si>
  <si>
    <t xml:space="preserve"> 22/09/2023</t>
  </si>
  <si>
    <t>Building No. 2 = Gr + 1st + 13th Floor</t>
  </si>
  <si>
    <t>Building No. 1 = Gr + 1st + 13th Floor</t>
  </si>
  <si>
    <t>AAC Block</t>
  </si>
  <si>
    <t>Ground Floor For Commercial, Drivers Room, Entrance Lobby &amp; Parking</t>
  </si>
  <si>
    <t>1st to 7th &amp; 9th to 12th Floor For Residential</t>
  </si>
  <si>
    <t>2BHK</t>
  </si>
  <si>
    <t>Refuge Area</t>
  </si>
  <si>
    <t>8th Floor For Residential (Part Refuge Area)</t>
  </si>
  <si>
    <t>Building No.2</t>
  </si>
  <si>
    <t>Ground Floor For Entrance Lobby &amp; Parking</t>
  </si>
  <si>
    <t>1st to 5th Floor For Residential</t>
  </si>
  <si>
    <t>Building No. 1 Shops</t>
  </si>
  <si>
    <t>Building No. 1 Flats</t>
  </si>
  <si>
    <t>Building No. 2 Flats</t>
  </si>
  <si>
    <t>12/09/2025 at 05:57 PM</t>
  </si>
  <si>
    <t>Mr. Taufiq 9024191678</t>
  </si>
  <si>
    <t>Construction/Building Permission
Valid Upto</t>
  </si>
  <si>
    <t>On Site, we meet Mr. Taufiq 9024191678</t>
  </si>
  <si>
    <t>We considered Gross carpet area = Net carpet + Balcony + Chajja Area.</t>
  </si>
  <si>
    <t>Yes, Approx 39ft</t>
  </si>
  <si>
    <t>1. 1.1km from DY International School Kasheli
2. 0.95km from ZP School Kasheli
3. 1.5km from Galaxy Hospital
4. 1.5km from Dhanwantari Health Care Hospital
5. 1.1km from B Mart Supermarket
6. 2km from Shree Balaji Food Mall
7. 1.4km from Kalher Creekside
8. 1.3km from Datta Mandir Kasheli
9. 0.85km from Hanuman Complex Bus stop
10. 6.4km from Bhiwandi Road Railway Station</t>
  </si>
  <si>
    <t>Balcony Area + Chajja Area</t>
  </si>
  <si>
    <t>Mr. Mangesh Laxman Bapardekar</t>
  </si>
  <si>
    <t xml:space="preserve">Building No. 1 = Construction work is in process at the time of Visit.
Building No. 2 = Work not yet Started.
</t>
  </si>
  <si>
    <t>5400*1.50</t>
  </si>
  <si>
    <t>Construction work of Building No. 1 goes beyond the approved CC. Please provide revised
CC and approved plans</t>
  </si>
  <si>
    <t>Since building no.2 have received CC on 28/04/2023, but as of construction work is not started.</t>
  </si>
  <si>
    <t>MFS/PRO/KON/12092025/210
Building No. 1  = G + 1st to 13th Floor (Height = 41.55mtr)
Building No. 2  = G + 1st to 14th Floor (Height = 44.55mtr)</t>
  </si>
  <si>
    <t xml:space="preserve">Fire Noc No
Valid Up to: </t>
  </si>
  <si>
    <t>We have updated Fire Noc (On 18/09/2025)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</si>
</sst>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18" x14ac:knownFonts="1">
    <font>
      <sz val="11"/>
      <color theme="1"/>
      <name val="Calibri"/>
      <family val="2"/>
      <scheme val="minor"/>
    </font>
    <font>
      <b/>
      <sz val="10"/>
      <color theme="1"/>
      <name val="Times New Roman"/>
      <family val="1"/>
    </font>
    <font>
      <sz val="11"/>
      <color theme="1"/>
      <name val="Calibri"/>
      <family val="2"/>
      <scheme val="minor"/>
    </font>
    <font>
      <b/>
      <sz val="11"/>
      <color theme="1"/>
      <name val="Times New Roman"/>
      <family val="1"/>
    </font>
    <font>
      <sz val="10"/>
      <color theme="1"/>
      <name val="Calibri"/>
      <family val="2"/>
      <scheme val="minor"/>
    </font>
    <font>
      <sz val="10"/>
      <color rgb="FF000000"/>
      <name val="Times New Roman"/>
      <family val="1"/>
    </font>
    <font>
      <sz val="10"/>
      <color theme="1"/>
      <name val="Times New Roman"/>
      <family val="1"/>
    </font>
    <font>
      <b/>
      <sz val="10"/>
      <name val="Times New Roman"/>
      <family val="1"/>
    </font>
    <font>
      <sz val="10"/>
      <name val="Times New Roman"/>
      <family val="1"/>
    </font>
    <font>
      <b/>
      <sz val="10"/>
      <color rgb="FF000000"/>
      <name val="Times New Roman"/>
      <family val="1"/>
    </font>
    <font>
      <b/>
      <sz val="11"/>
      <color rgb="FF000000"/>
      <name val="Times New Roman"/>
      <family val="1"/>
    </font>
    <font>
      <sz val="10"/>
      <color rgb="FFFF0000"/>
      <name val="Times New Roman"/>
      <family val="1"/>
    </font>
    <font>
      <b/>
      <sz val="10"/>
      <color rgb="FFFF0000"/>
      <name val="Times New Roman"/>
      <family val="1"/>
    </font>
    <font>
      <sz val="10"/>
      <color rgb="FFE3F2F3"/>
      <name val="Times New Roman"/>
      <family val="1"/>
    </font>
    <font>
      <sz val="9"/>
      <color indexed="81"/>
      <name val="Tahoma"/>
      <family val="2"/>
    </font>
    <font>
      <b/>
      <sz val="9"/>
      <color indexed="81"/>
      <name val="Tahoma"/>
      <family val="2"/>
    </font>
    <font>
      <b/>
      <sz val="11"/>
      <color indexed="81"/>
      <name val="Tahoma"/>
      <family val="2"/>
    </font>
    <font>
      <u/>
      <sz val="11"/>
      <color theme="10"/>
      <name val="Calibri"/>
      <family val="2"/>
      <scheme val="minor"/>
    </font>
  </fonts>
  <fills count="6">
    <fill>
      <patternFill patternType="none"/>
    </fill>
    <fill>
      <patternFill patternType="gray125"/>
    </fill>
    <fill>
      <patternFill patternType="solid">
        <fgColor theme="8" tint="0.59999389629810485"/>
        <bgColor indexed="64"/>
      </patternFill>
    </fill>
    <fill>
      <patternFill patternType="solid">
        <fgColor rgb="FFE3F2F3"/>
        <bgColor indexed="64"/>
      </patternFill>
    </fill>
    <fill>
      <patternFill patternType="solid">
        <fgColor rgb="FFE5EEF1"/>
        <bgColor indexed="64"/>
      </patternFill>
    </fill>
    <fill>
      <patternFill patternType="solid">
        <fgColor theme="8" tint="0.79998168889431442"/>
        <bgColor indexed="64"/>
      </patternFill>
    </fill>
  </fills>
  <borders count="41">
    <border>
      <left/>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
    <xf numFmtId="0" fontId="0" fillId="0" borderId="0"/>
    <xf numFmtId="0" fontId="2" fillId="0" borderId="0"/>
    <xf numFmtId="9" fontId="2" fillId="0" borderId="0" applyFont="0" applyFill="0" applyBorder="0" applyAlignment="0" applyProtection="0"/>
    <xf numFmtId="0" fontId="17" fillId="0" borderId="0" applyNumberFormat="0" applyFill="0" applyBorder="0" applyAlignment="0" applyProtection="0"/>
  </cellStyleXfs>
  <cellXfs count="277">
    <xf numFmtId="0" fontId="0" fillId="0" borderId="0" xfId="0"/>
    <xf numFmtId="0" fontId="5" fillId="0" borderId="0" xfId="0" applyFont="1" applyFill="1" applyBorder="1" applyProtection="1">
      <protection hidden="1"/>
    </xf>
    <xf numFmtId="0" fontId="8" fillId="4" borderId="5" xfId="1" applyFont="1" applyFill="1" applyBorder="1" applyAlignment="1" applyProtection="1">
      <alignment horizontal="center" vertical="top" wrapText="1"/>
      <protection locked="0"/>
    </xf>
    <xf numFmtId="0" fontId="8" fillId="4" borderId="4" xfId="1" applyFont="1" applyFill="1" applyBorder="1" applyAlignment="1" applyProtection="1">
      <alignment horizontal="center" vertical="top" wrapText="1"/>
      <protection locked="0"/>
    </xf>
    <xf numFmtId="0" fontId="8" fillId="4" borderId="4" xfId="1" applyFont="1" applyFill="1" applyBorder="1" applyAlignment="1" applyProtection="1">
      <alignment horizontal="center" wrapText="1"/>
      <protection locked="0"/>
    </xf>
    <xf numFmtId="1" fontId="8" fillId="4" borderId="4" xfId="1" applyNumberFormat="1" applyFont="1" applyFill="1" applyBorder="1" applyAlignment="1" applyProtection="1">
      <alignment horizontal="center" wrapText="1"/>
      <protection locked="0"/>
    </xf>
    <xf numFmtId="0" fontId="6" fillId="0" borderId="0" xfId="0" applyFont="1"/>
    <xf numFmtId="0" fontId="8" fillId="2" borderId="4" xfId="1" applyFont="1" applyFill="1" applyBorder="1" applyAlignment="1" applyProtection="1">
      <alignment horizontal="center" vertical="center"/>
      <protection locked="0"/>
    </xf>
    <xf numFmtId="0" fontId="8" fillId="2" borderId="6" xfId="1" applyFont="1" applyFill="1" applyBorder="1" applyAlignment="1" applyProtection="1">
      <alignment horizontal="center" vertical="center"/>
      <protection locked="0"/>
    </xf>
    <xf numFmtId="0" fontId="8" fillId="2" borderId="16" xfId="1" applyFont="1" applyFill="1" applyBorder="1" applyAlignment="1" applyProtection="1">
      <alignment horizontal="center" vertical="center"/>
      <protection locked="0"/>
    </xf>
    <xf numFmtId="0" fontId="8" fillId="2" borderId="17" xfId="1" applyFont="1" applyFill="1" applyBorder="1" applyAlignment="1" applyProtection="1">
      <alignment horizontal="center" vertical="center"/>
      <protection locked="0"/>
    </xf>
    <xf numFmtId="0" fontId="1" fillId="2" borderId="4" xfId="0" applyFont="1" applyFill="1" applyBorder="1" applyAlignment="1">
      <alignment horizontal="left" vertical="center" wrapText="1"/>
    </xf>
    <xf numFmtId="0" fontId="1" fillId="2" borderId="4" xfId="0" applyFont="1" applyFill="1" applyBorder="1" applyAlignment="1">
      <alignment horizontal="left" vertical="center"/>
    </xf>
    <xf numFmtId="0" fontId="9" fillId="3" borderId="4" xfId="0" applyFont="1" applyFill="1" applyBorder="1" applyAlignment="1">
      <alignment horizontal="left" vertical="top" wrapText="1"/>
    </xf>
    <xf numFmtId="0" fontId="9" fillId="2" borderId="4" xfId="0" applyFont="1" applyFill="1" applyBorder="1" applyAlignment="1">
      <alignment horizontal="center" vertical="top" wrapText="1"/>
    </xf>
    <xf numFmtId="0" fontId="5" fillId="3" borderId="4" xfId="0" applyFont="1" applyFill="1" applyBorder="1" applyAlignment="1">
      <alignment horizontal="center" vertical="center" wrapText="1"/>
    </xf>
    <xf numFmtId="0" fontId="5" fillId="3" borderId="4" xfId="0" applyFont="1" applyFill="1" applyBorder="1" applyAlignment="1">
      <alignment horizontal="center" vertical="center"/>
    </xf>
    <xf numFmtId="1" fontId="5" fillId="3" borderId="4" xfId="0" applyNumberFormat="1" applyFont="1" applyFill="1" applyBorder="1" applyAlignment="1">
      <alignment horizontal="center" vertical="center"/>
    </xf>
    <xf numFmtId="0" fontId="6" fillId="0" borderId="0" xfId="0" applyFont="1" applyFill="1"/>
    <xf numFmtId="0" fontId="5" fillId="3" borderId="4" xfId="0" applyFont="1" applyFill="1" applyBorder="1" applyAlignment="1">
      <alignment horizontal="center" vertical="center"/>
    </xf>
    <xf numFmtId="0" fontId="5" fillId="3" borderId="4"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9" fillId="2" borderId="14" xfId="0" applyFont="1" applyFill="1" applyBorder="1" applyAlignment="1">
      <alignment horizontal="center" vertical="top" wrapText="1"/>
    </xf>
    <xf numFmtId="9" fontId="9" fillId="2" borderId="13" xfId="0" applyNumberFormat="1" applyFont="1" applyFill="1" applyBorder="1" applyAlignment="1">
      <alignment horizontal="center" vertical="top" wrapText="1"/>
    </xf>
    <xf numFmtId="0" fontId="8" fillId="4" borderId="7" xfId="1" applyFont="1" applyFill="1" applyBorder="1" applyAlignment="1" applyProtection="1">
      <alignment horizontal="center" vertical="top" wrapText="1"/>
      <protection locked="0"/>
    </xf>
    <xf numFmtId="9" fontId="8" fillId="4" borderId="7" xfId="1" applyNumberFormat="1" applyFont="1" applyFill="1" applyBorder="1" applyAlignment="1" applyProtection="1">
      <alignment horizontal="center" vertical="center" wrapText="1"/>
      <protection hidden="1"/>
    </xf>
    <xf numFmtId="0" fontId="8" fillId="2" borderId="14" xfId="1" applyFont="1" applyFill="1" applyBorder="1" applyAlignment="1" applyProtection="1">
      <alignment horizontal="center" vertical="center"/>
      <protection locked="0"/>
    </xf>
    <xf numFmtId="0" fontId="8" fillId="4" borderId="14" xfId="1" applyFont="1" applyFill="1" applyBorder="1" applyAlignment="1" applyProtection="1">
      <alignment horizontal="center" vertical="top" wrapText="1"/>
      <protection locked="0"/>
    </xf>
    <xf numFmtId="9" fontId="8" fillId="4" borderId="26" xfId="1" applyNumberFormat="1" applyFont="1" applyFill="1" applyBorder="1" applyAlignment="1" applyProtection="1">
      <alignment horizontal="center" vertical="center"/>
      <protection hidden="1"/>
    </xf>
    <xf numFmtId="9" fontId="13" fillId="4" borderId="14" xfId="1" applyNumberFormat="1" applyFont="1" applyFill="1" applyBorder="1" applyAlignment="1" applyProtection="1">
      <alignment horizontal="left" vertical="center"/>
      <protection hidden="1"/>
    </xf>
    <xf numFmtId="9" fontId="13" fillId="4" borderId="26" xfId="1" applyNumberFormat="1" applyFont="1" applyFill="1" applyBorder="1" applyAlignment="1" applyProtection="1">
      <alignment horizontal="left" vertical="center"/>
      <protection hidden="1"/>
    </xf>
    <xf numFmtId="0" fontId="6" fillId="0" borderId="24" xfId="1" applyFont="1" applyBorder="1"/>
    <xf numFmtId="0" fontId="5" fillId="0" borderId="19" xfId="0" applyNumberFormat="1" applyFont="1" applyBorder="1" applyProtection="1">
      <protection hidden="1"/>
    </xf>
    <xf numFmtId="1" fontId="4" fillId="0" borderId="19" xfId="0" applyNumberFormat="1" applyFont="1" applyBorder="1"/>
    <xf numFmtId="1" fontId="4" fillId="0" borderId="19" xfId="0" applyNumberFormat="1" applyFont="1" applyBorder="1" applyAlignment="1">
      <alignment horizontal="right"/>
    </xf>
    <xf numFmtId="1" fontId="4" fillId="0" borderId="22" xfId="0" applyNumberFormat="1" applyFont="1" applyBorder="1"/>
    <xf numFmtId="0" fontId="5" fillId="0" borderId="25" xfId="0" applyFont="1" applyFill="1" applyBorder="1" applyProtection="1">
      <protection hidden="1"/>
    </xf>
    <xf numFmtId="0" fontId="5" fillId="0" borderId="21" xfId="0" applyFont="1" applyFill="1" applyBorder="1" applyProtection="1">
      <protection hidden="1"/>
    </xf>
    <xf numFmtId="0" fontId="8" fillId="4" borderId="11" xfId="1" applyFont="1" applyFill="1" applyBorder="1" applyAlignment="1" applyProtection="1">
      <alignment horizontal="center" vertical="top" wrapText="1"/>
      <protection locked="0"/>
    </xf>
    <xf numFmtId="0" fontId="8" fillId="4" borderId="12" xfId="1" applyFont="1" applyFill="1" applyBorder="1" applyAlignment="1" applyProtection="1">
      <alignment horizontal="center" wrapText="1"/>
      <protection locked="0"/>
    </xf>
    <xf numFmtId="9" fontId="8" fillId="4" borderId="27" xfId="1" applyNumberFormat="1" applyFont="1" applyFill="1" applyBorder="1" applyAlignment="1" applyProtection="1">
      <alignment horizontal="center" vertical="center" wrapText="1"/>
      <protection hidden="1"/>
    </xf>
    <xf numFmtId="9" fontId="13" fillId="4" borderId="28" xfId="1" applyNumberFormat="1" applyFont="1" applyFill="1" applyBorder="1" applyAlignment="1" applyProtection="1">
      <alignment horizontal="left" vertical="center"/>
      <protection hidden="1"/>
    </xf>
    <xf numFmtId="0" fontId="6" fillId="2" borderId="16" xfId="1" applyFont="1" applyFill="1" applyBorder="1" applyAlignment="1" applyProtection="1">
      <alignment horizontal="center" vertical="center"/>
      <protection locked="0"/>
    </xf>
    <xf numFmtId="0" fontId="6" fillId="2" borderId="17" xfId="1" applyFont="1" applyFill="1" applyBorder="1" applyAlignment="1" applyProtection="1">
      <alignment horizontal="center" vertical="center"/>
      <protection locked="0"/>
    </xf>
    <xf numFmtId="0" fontId="6" fillId="0" borderId="30" xfId="1" applyFont="1" applyFill="1" applyBorder="1" applyProtection="1">
      <protection hidden="1"/>
    </xf>
    <xf numFmtId="0" fontId="6" fillId="0" borderId="31" xfId="1" applyFont="1" applyBorder="1" applyProtection="1">
      <protection hidden="1"/>
    </xf>
    <xf numFmtId="0" fontId="6" fillId="2" borderId="4" xfId="1" applyFont="1" applyFill="1" applyBorder="1" applyAlignment="1" applyProtection="1">
      <alignment horizontal="center" vertical="center"/>
      <protection locked="0"/>
    </xf>
    <xf numFmtId="0" fontId="6" fillId="2" borderId="6" xfId="1" applyFont="1" applyFill="1" applyBorder="1" applyAlignment="1" applyProtection="1">
      <alignment horizontal="center" vertical="center"/>
      <protection locked="0"/>
    </xf>
    <xf numFmtId="0" fontId="6" fillId="0" borderId="0" xfId="1" applyFont="1" applyFill="1" applyBorder="1" applyProtection="1">
      <protection hidden="1"/>
    </xf>
    <xf numFmtId="0" fontId="6" fillId="0" borderId="3" xfId="1" applyFont="1" applyBorder="1" applyProtection="1">
      <protection hidden="1"/>
    </xf>
    <xf numFmtId="0" fontId="6" fillId="3" borderId="4" xfId="1" applyFont="1" applyFill="1" applyBorder="1" applyAlignment="1" applyProtection="1">
      <alignment horizontal="center" vertical="top" wrapText="1"/>
      <protection locked="0"/>
    </xf>
    <xf numFmtId="0" fontId="6" fillId="0" borderId="3" xfId="1" applyFont="1" applyBorder="1"/>
    <xf numFmtId="0" fontId="6" fillId="3" borderId="4" xfId="1" applyFont="1" applyFill="1" applyBorder="1" applyAlignment="1" applyProtection="1">
      <alignment horizontal="center" wrapText="1"/>
      <protection locked="0"/>
    </xf>
    <xf numFmtId="9" fontId="6" fillId="3" borderId="4" xfId="1" applyNumberFormat="1" applyFont="1" applyFill="1" applyBorder="1" applyAlignment="1" applyProtection="1">
      <alignment horizontal="center" vertical="center" wrapText="1"/>
      <protection hidden="1"/>
    </xf>
    <xf numFmtId="0" fontId="5" fillId="0" borderId="3" xfId="0" applyNumberFormat="1" applyFont="1" applyBorder="1" applyProtection="1">
      <protection hidden="1"/>
    </xf>
    <xf numFmtId="1" fontId="6" fillId="3" borderId="4" xfId="1" applyNumberFormat="1" applyFont="1" applyFill="1" applyBorder="1" applyAlignment="1" applyProtection="1">
      <alignment horizontal="center" wrapText="1"/>
      <protection locked="0"/>
    </xf>
    <xf numFmtId="1" fontId="6" fillId="0" borderId="3" xfId="0" applyNumberFormat="1" applyFont="1" applyBorder="1"/>
    <xf numFmtId="1" fontId="6" fillId="0" borderId="3" xfId="0" applyNumberFormat="1" applyFont="1" applyBorder="1" applyAlignment="1">
      <alignment horizontal="right"/>
    </xf>
    <xf numFmtId="0" fontId="6" fillId="3" borderId="12" xfId="1" applyFont="1" applyFill="1" applyBorder="1" applyAlignment="1" applyProtection="1">
      <alignment horizontal="center" wrapText="1"/>
      <protection locked="0"/>
    </xf>
    <xf numFmtId="9" fontId="6" fillId="3" borderId="12" xfId="1" applyNumberFormat="1" applyFont="1" applyFill="1" applyBorder="1" applyAlignment="1" applyProtection="1">
      <alignment horizontal="center" vertical="center" wrapText="1"/>
      <protection hidden="1"/>
    </xf>
    <xf numFmtId="0" fontId="5" fillId="0" borderId="2" xfId="0" applyFont="1" applyFill="1" applyBorder="1" applyProtection="1">
      <protection hidden="1"/>
    </xf>
    <xf numFmtId="1" fontId="6" fillId="0" borderId="1" xfId="0" applyNumberFormat="1" applyFont="1" applyBorder="1"/>
    <xf numFmtId="0" fontId="0" fillId="0" borderId="4" xfId="0" applyBorder="1" applyAlignment="1">
      <alignment horizontal="center" vertical="center"/>
    </xf>
    <xf numFmtId="0" fontId="9" fillId="2" borderId="14" xfId="0" applyFont="1" applyFill="1" applyBorder="1" applyAlignment="1">
      <alignment horizontal="center" vertical="top" wrapText="1"/>
    </xf>
    <xf numFmtId="0" fontId="1" fillId="3" borderId="4" xfId="0" applyFont="1" applyFill="1" applyBorder="1" applyAlignment="1">
      <alignment horizontal="left" vertical="top"/>
    </xf>
    <xf numFmtId="0" fontId="1" fillId="3" borderId="5" xfId="0" applyFont="1" applyFill="1" applyBorder="1" applyAlignment="1">
      <alignment horizontal="left" vertical="top"/>
    </xf>
    <xf numFmtId="0" fontId="7" fillId="3" borderId="8" xfId="0" applyFont="1" applyFill="1" applyBorder="1" applyAlignment="1">
      <alignment vertical="top" wrapText="1"/>
    </xf>
    <xf numFmtId="0" fontId="7" fillId="3" borderId="10" xfId="0" applyFont="1" applyFill="1" applyBorder="1" applyAlignment="1">
      <alignment vertical="top" wrapText="1"/>
    </xf>
    <xf numFmtId="0" fontId="9" fillId="2" borderId="4" xfId="0" applyFont="1" applyFill="1" applyBorder="1" applyAlignment="1">
      <alignment vertical="top" wrapText="1"/>
    </xf>
    <xf numFmtId="14" fontId="5" fillId="3" borderId="4" xfId="0" applyNumberFormat="1" applyFont="1" applyFill="1" applyBorder="1" applyAlignment="1">
      <alignment horizontal="left" vertical="top" wrapText="1"/>
    </xf>
    <xf numFmtId="0" fontId="6" fillId="0" borderId="0" xfId="0" applyFont="1" applyAlignment="1">
      <alignment wrapText="1"/>
    </xf>
    <xf numFmtId="0" fontId="9" fillId="2" borderId="14" xfId="0" applyFont="1" applyFill="1" applyBorder="1" applyAlignment="1">
      <alignment horizontal="center" vertical="top" wrapText="1"/>
    </xf>
    <xf numFmtId="9" fontId="9" fillId="2" borderId="20" xfId="0" applyNumberFormat="1" applyFont="1" applyFill="1" applyBorder="1" applyAlignment="1">
      <alignment horizontal="center" vertical="top" wrapText="1"/>
    </xf>
    <xf numFmtId="0" fontId="9" fillId="2" borderId="29" xfId="0" applyFont="1" applyFill="1" applyBorder="1" applyAlignment="1">
      <alignment horizontal="center" vertical="top" wrapText="1"/>
    </xf>
    <xf numFmtId="0" fontId="6" fillId="3" borderId="4" xfId="1" applyFont="1" applyFill="1" applyBorder="1" applyAlignment="1" applyProtection="1">
      <alignment horizontal="center" vertical="top" wrapText="1"/>
      <protection locked="0"/>
    </xf>
    <xf numFmtId="9" fontId="6" fillId="3" borderId="4" xfId="1" applyNumberFormat="1" applyFont="1" applyFill="1" applyBorder="1" applyAlignment="1" applyProtection="1">
      <alignment horizontal="center" vertical="center" wrapText="1"/>
      <protection hidden="1"/>
    </xf>
    <xf numFmtId="9" fontId="6" fillId="3" borderId="12" xfId="1" applyNumberFormat="1" applyFont="1" applyFill="1" applyBorder="1" applyAlignment="1" applyProtection="1">
      <alignment horizontal="center" vertical="center" wrapText="1"/>
      <protection hidden="1"/>
    </xf>
    <xf numFmtId="0" fontId="5" fillId="3" borderId="4" xfId="0" applyFont="1" applyFill="1" applyBorder="1" applyAlignment="1">
      <alignment horizontal="center" vertical="center" wrapText="1"/>
    </xf>
    <xf numFmtId="0" fontId="6" fillId="3" borderId="4" xfId="0" applyFont="1" applyFill="1" applyBorder="1" applyAlignment="1">
      <alignment horizontal="center" vertical="center" wrapText="1"/>
    </xf>
    <xf numFmtId="9" fontId="1" fillId="2" borderId="13" xfId="2" applyFont="1" applyFill="1" applyBorder="1" applyAlignment="1" applyProtection="1">
      <alignment horizontal="center" vertical="top" wrapText="1"/>
      <protection locked="0"/>
    </xf>
    <xf numFmtId="9" fontId="1" fillId="3" borderId="8" xfId="0" applyNumberFormat="1" applyFont="1" applyFill="1" applyBorder="1" applyAlignment="1">
      <alignment horizontal="left" vertical="top" wrapText="1"/>
    </xf>
    <xf numFmtId="2" fontId="6" fillId="0" borderId="0" xfId="0" applyNumberFormat="1" applyFont="1"/>
    <xf numFmtId="0" fontId="11" fillId="0" borderId="0" xfId="0" applyFont="1"/>
    <xf numFmtId="2" fontId="11" fillId="0" borderId="0" xfId="0" applyNumberFormat="1" applyFont="1"/>
    <xf numFmtId="0" fontId="8" fillId="3" borderId="4" xfId="0" applyFont="1" applyFill="1" applyBorder="1" applyAlignment="1">
      <alignment horizontal="left" vertical="center"/>
    </xf>
    <xf numFmtId="0" fontId="9" fillId="2" borderId="4" xfId="0" applyFont="1" applyFill="1" applyBorder="1" applyAlignment="1">
      <alignment horizontal="left" vertical="top" wrapText="1"/>
    </xf>
    <xf numFmtId="0" fontId="8" fillId="3" borderId="4" xfId="0" applyFont="1" applyFill="1" applyBorder="1" applyAlignment="1">
      <alignment horizontal="center" vertical="center" wrapText="1"/>
    </xf>
    <xf numFmtId="1" fontId="6" fillId="0" borderId="0" xfId="0" applyNumberFormat="1" applyFont="1"/>
    <xf numFmtId="0" fontId="9" fillId="2" borderId="7"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7" fillId="3" borderId="18" xfId="0" applyFont="1" applyFill="1" applyBorder="1" applyAlignment="1">
      <alignment horizontal="left" vertical="top" wrapText="1"/>
    </xf>
    <xf numFmtId="0" fontId="7" fillId="3" borderId="0" xfId="0" applyFont="1" applyFill="1" applyBorder="1" applyAlignment="1">
      <alignment horizontal="left" vertical="top" wrapText="1"/>
    </xf>
    <xf numFmtId="0" fontId="7" fillId="3" borderId="19" xfId="0" applyFont="1" applyFill="1" applyBorder="1" applyAlignment="1">
      <alignment horizontal="left" vertical="top" wrapText="1"/>
    </xf>
    <xf numFmtId="0" fontId="9" fillId="2" borderId="7"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4" xfId="0" applyFont="1" applyFill="1" applyBorder="1" applyAlignment="1">
      <alignment horizontal="center" vertical="center" wrapText="1"/>
    </xf>
    <xf numFmtId="0" fontId="1" fillId="3" borderId="7" xfId="0" applyFont="1" applyFill="1" applyBorder="1" applyAlignment="1">
      <alignment horizontal="left" vertical="top" wrapText="1"/>
    </xf>
    <xf numFmtId="0" fontId="1" fillId="3" borderId="8" xfId="0" applyFont="1" applyFill="1" applyBorder="1" applyAlignment="1">
      <alignment horizontal="left" vertical="top" wrapText="1"/>
    </xf>
    <xf numFmtId="0" fontId="1" fillId="3" borderId="10" xfId="0" applyFont="1" applyFill="1" applyBorder="1" applyAlignment="1">
      <alignment horizontal="left" vertical="top" wrapText="1"/>
    </xf>
    <xf numFmtId="1" fontId="5" fillId="5" borderId="7" xfId="0" applyNumberFormat="1" applyFont="1" applyFill="1" applyBorder="1" applyAlignment="1">
      <alignment horizontal="center" vertical="center" wrapText="1"/>
    </xf>
    <xf numFmtId="1" fontId="5" fillId="5" borderId="10" xfId="0" applyNumberFormat="1" applyFont="1" applyFill="1" applyBorder="1" applyAlignment="1">
      <alignment horizontal="center" vertical="center" wrapText="1"/>
    </xf>
    <xf numFmtId="0" fontId="6" fillId="3" borderId="5" xfId="1" applyFont="1" applyFill="1" applyBorder="1" applyAlignment="1" applyProtection="1">
      <alignment horizontal="center" vertical="top" wrapText="1"/>
      <protection locked="0"/>
    </xf>
    <xf numFmtId="0" fontId="6" fillId="3" borderId="4" xfId="1" applyFont="1" applyFill="1" applyBorder="1" applyAlignment="1" applyProtection="1">
      <alignment horizontal="center" vertical="top" wrapText="1"/>
      <protection locked="0"/>
    </xf>
    <xf numFmtId="0" fontId="9" fillId="2" borderId="8" xfId="0" applyFont="1" applyFill="1" applyBorder="1" applyAlignment="1">
      <alignment horizontal="left" vertical="center" wrapText="1"/>
    </xf>
    <xf numFmtId="0" fontId="5" fillId="3" borderId="4"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5" fillId="2" borderId="4" xfId="0" applyFont="1" applyFill="1" applyBorder="1" applyAlignment="1">
      <alignment horizontal="center" vertical="center" wrapText="1"/>
    </xf>
    <xf numFmtId="9" fontId="6" fillId="3" borderId="4" xfId="0" applyNumberFormat="1" applyFont="1" applyFill="1" applyBorder="1" applyAlignment="1">
      <alignment horizontal="center"/>
    </xf>
    <xf numFmtId="0" fontId="5" fillId="5" borderId="10" xfId="0" applyFont="1" applyFill="1" applyBorder="1" applyAlignment="1">
      <alignment horizontal="center" vertical="center" wrapText="1"/>
    </xf>
    <xf numFmtId="0" fontId="5" fillId="3" borderId="4" xfId="0" applyFont="1" applyFill="1" applyBorder="1" applyAlignment="1">
      <alignment horizontal="left" vertical="top" wrapText="1"/>
    </xf>
    <xf numFmtId="0" fontId="8" fillId="3" borderId="4" xfId="0" applyFont="1" applyFill="1" applyBorder="1" applyAlignment="1">
      <alignment horizontal="left" vertical="top" wrapText="1"/>
    </xf>
    <xf numFmtId="0" fontId="8" fillId="3" borderId="4" xfId="0" applyFont="1" applyFill="1" applyBorder="1" applyAlignment="1">
      <alignment horizontal="left" vertical="top"/>
    </xf>
    <xf numFmtId="0" fontId="8" fillId="3" borderId="4" xfId="0" applyFont="1" applyFill="1" applyBorder="1" applyAlignment="1">
      <alignment horizontal="left" vertical="center"/>
    </xf>
    <xf numFmtId="0" fontId="6" fillId="3" borderId="4" xfId="0" applyFont="1" applyFill="1" applyBorder="1" applyAlignment="1">
      <alignment horizontal="center" vertical="center"/>
    </xf>
    <xf numFmtId="0" fontId="6" fillId="3" borderId="4" xfId="0" applyFont="1" applyFill="1" applyBorder="1" applyAlignment="1">
      <alignment horizontal="left" vertical="center"/>
    </xf>
    <xf numFmtId="0" fontId="5" fillId="3" borderId="4" xfId="0" applyFont="1" applyFill="1" applyBorder="1" applyAlignment="1">
      <alignment horizontal="left" vertical="top"/>
    </xf>
    <xf numFmtId="0" fontId="9" fillId="2" borderId="4" xfId="0" applyFont="1" applyFill="1" applyBorder="1" applyAlignment="1">
      <alignment horizontal="left" vertical="top" wrapText="1"/>
    </xf>
    <xf numFmtId="1" fontId="6" fillId="3" borderId="4" xfId="0" applyNumberFormat="1" applyFont="1" applyFill="1" applyBorder="1" applyAlignment="1">
      <alignment horizontal="left" vertical="top"/>
    </xf>
    <xf numFmtId="0" fontId="5" fillId="3" borderId="4" xfId="0" applyFont="1" applyFill="1" applyBorder="1" applyAlignment="1">
      <alignment horizontal="left" vertical="center" wrapText="1"/>
    </xf>
    <xf numFmtId="0" fontId="9" fillId="2" borderId="4" xfId="0" applyFont="1" applyFill="1" applyBorder="1" applyAlignment="1">
      <alignment horizontal="center" vertical="top" wrapText="1"/>
    </xf>
    <xf numFmtId="0" fontId="5" fillId="3" borderId="4" xfId="0" applyFont="1" applyFill="1" applyBorder="1" applyAlignment="1">
      <alignment horizontal="left" vertical="center"/>
    </xf>
    <xf numFmtId="0" fontId="6" fillId="3" borderId="4" xfId="0" applyFont="1" applyFill="1" applyBorder="1" applyAlignment="1">
      <alignment horizontal="left" vertical="top" wrapText="1"/>
    </xf>
    <xf numFmtId="0" fontId="6" fillId="3" borderId="4" xfId="0" applyFont="1" applyFill="1" applyBorder="1" applyAlignment="1">
      <alignment horizontal="left" vertical="top"/>
    </xf>
    <xf numFmtId="2" fontId="6" fillId="3" borderId="4" xfId="0" applyNumberFormat="1" applyFont="1" applyFill="1" applyBorder="1" applyAlignment="1">
      <alignment horizontal="center" vertical="center"/>
    </xf>
    <xf numFmtId="0" fontId="8" fillId="3" borderId="4" xfId="0" applyFont="1" applyFill="1" applyBorder="1" applyAlignment="1">
      <alignment horizontal="left" vertical="center" wrapText="1"/>
    </xf>
    <xf numFmtId="0" fontId="9" fillId="3" borderId="7" xfId="0" applyFont="1" applyFill="1" applyBorder="1" applyAlignment="1">
      <alignment horizontal="center" vertical="top" wrapText="1"/>
    </xf>
    <xf numFmtId="0" fontId="9" fillId="3" borderId="10" xfId="0" applyFont="1" applyFill="1" applyBorder="1" applyAlignment="1">
      <alignment horizontal="center" vertical="top" wrapText="1"/>
    </xf>
    <xf numFmtId="0" fontId="6" fillId="3" borderId="7"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1" fillId="2" borderId="4" xfId="0" applyFont="1" applyFill="1" applyBorder="1" applyAlignment="1">
      <alignment horizontal="center" vertical="top" wrapText="1"/>
    </xf>
    <xf numFmtId="0" fontId="1" fillId="2" borderId="4" xfId="0" applyFont="1" applyFill="1" applyBorder="1" applyAlignment="1">
      <alignment horizontal="center" vertical="top"/>
    </xf>
    <xf numFmtId="0" fontId="5" fillId="3" borderId="4" xfId="0" applyFont="1" applyFill="1" applyBorder="1" applyAlignment="1">
      <alignment vertical="top" wrapText="1"/>
    </xf>
    <xf numFmtId="0" fontId="5" fillId="3" borderId="4" xfId="0" applyFont="1" applyFill="1" applyBorder="1" applyAlignment="1">
      <alignment vertical="top"/>
    </xf>
    <xf numFmtId="0" fontId="3" fillId="2" borderId="4" xfId="0" applyFont="1" applyFill="1" applyBorder="1" applyAlignment="1">
      <alignment horizontal="center" vertical="center"/>
    </xf>
    <xf numFmtId="0" fontId="6" fillId="3" borderId="4" xfId="0" applyFont="1" applyFill="1" applyBorder="1" applyAlignment="1">
      <alignment vertical="top" wrapText="1"/>
    </xf>
    <xf numFmtId="0" fontId="10" fillId="3" borderId="4" xfId="0" applyFont="1" applyFill="1" applyBorder="1" applyAlignment="1">
      <alignment vertical="top" wrapText="1"/>
    </xf>
    <xf numFmtId="0" fontId="17" fillId="3" borderId="7" xfId="3" applyFill="1" applyBorder="1" applyAlignment="1">
      <alignment horizontal="left" vertical="top" wrapText="1"/>
    </xf>
    <xf numFmtId="0" fontId="5" fillId="3" borderId="8" xfId="0" applyFont="1" applyFill="1" applyBorder="1" applyAlignment="1">
      <alignment horizontal="left" vertical="top" wrapText="1"/>
    </xf>
    <xf numFmtId="0" fontId="5" fillId="3" borderId="10" xfId="0" applyFont="1" applyFill="1" applyBorder="1" applyAlignment="1">
      <alignment horizontal="left" vertical="top" wrapText="1"/>
    </xf>
    <xf numFmtId="0" fontId="5" fillId="3" borderId="7" xfId="0" applyFont="1" applyFill="1" applyBorder="1" applyAlignment="1">
      <alignment horizontal="left" vertical="top" wrapText="1"/>
    </xf>
    <xf numFmtId="0" fontId="1" fillId="2" borderId="7" xfId="0" applyFont="1" applyFill="1" applyBorder="1" applyAlignment="1">
      <alignment horizontal="left" vertical="center" wrapText="1"/>
    </xf>
    <xf numFmtId="0" fontId="1" fillId="2" borderId="10" xfId="0" applyFont="1" applyFill="1" applyBorder="1" applyAlignment="1">
      <alignment horizontal="left" vertical="center" wrapText="1"/>
    </xf>
    <xf numFmtId="0" fontId="6" fillId="3" borderId="13" xfId="0" applyFont="1" applyFill="1" applyBorder="1" applyAlignment="1">
      <alignment horizontal="left" vertical="center"/>
    </xf>
    <xf numFmtId="0" fontId="9" fillId="2" borderId="1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3" borderId="7" xfId="0" applyFont="1" applyFill="1" applyBorder="1" applyAlignment="1">
      <alignment horizontal="left" vertical="center" wrapText="1"/>
    </xf>
    <xf numFmtId="0" fontId="7" fillId="3" borderId="8" xfId="0" applyFont="1" applyFill="1" applyBorder="1" applyAlignment="1">
      <alignment horizontal="left" vertical="center" wrapText="1"/>
    </xf>
    <xf numFmtId="0" fontId="7" fillId="3" borderId="10" xfId="0" applyFont="1" applyFill="1" applyBorder="1" applyAlignment="1">
      <alignment horizontal="left" vertical="center" wrapText="1"/>
    </xf>
    <xf numFmtId="0" fontId="9" fillId="3" borderId="4" xfId="0" applyFont="1" applyFill="1" applyBorder="1" applyAlignment="1">
      <alignment horizontal="center" vertical="center" wrapText="1"/>
    </xf>
    <xf numFmtId="0" fontId="9" fillId="2" borderId="7" xfId="0" applyFont="1" applyFill="1" applyBorder="1" applyAlignment="1">
      <alignment horizontal="left" vertical="top" wrapText="1"/>
    </xf>
    <xf numFmtId="0" fontId="9" fillId="2" borderId="10" xfId="0" applyFont="1" applyFill="1" applyBorder="1" applyAlignment="1">
      <alignment horizontal="left" vertical="top" wrapText="1"/>
    </xf>
    <xf numFmtId="1" fontId="9" fillId="5" borderId="14" xfId="0" applyNumberFormat="1" applyFont="1" applyFill="1" applyBorder="1" applyAlignment="1">
      <alignment horizontal="center" vertical="center" wrapText="1"/>
    </xf>
    <xf numFmtId="0" fontId="9" fillId="5" borderId="14" xfId="0" applyFont="1" applyFill="1" applyBorder="1" applyAlignment="1">
      <alignment horizontal="center" vertical="center" wrapText="1"/>
    </xf>
    <xf numFmtId="1" fontId="9" fillId="2" borderId="37" xfId="0" applyNumberFormat="1" applyFont="1" applyFill="1" applyBorder="1" applyAlignment="1">
      <alignment horizontal="center" vertical="center" wrapText="1"/>
    </xf>
    <xf numFmtId="1" fontId="9" fillId="2" borderId="40" xfId="0" applyNumberFormat="1" applyFont="1" applyFill="1" applyBorder="1" applyAlignment="1">
      <alignment horizontal="center" vertical="center" wrapText="1"/>
    </xf>
    <xf numFmtId="0" fontId="5" fillId="3" borderId="8" xfId="0" applyFont="1" applyFill="1" applyBorder="1" applyAlignment="1">
      <alignment horizontal="left" vertical="top"/>
    </xf>
    <xf numFmtId="0" fontId="5" fillId="3" borderId="10" xfId="0" applyFont="1" applyFill="1" applyBorder="1" applyAlignment="1">
      <alignment horizontal="left" vertical="top"/>
    </xf>
    <xf numFmtId="0" fontId="9" fillId="2" borderId="29"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1" fillId="2" borderId="7" xfId="0" applyFont="1" applyFill="1" applyBorder="1" applyAlignment="1">
      <alignment horizontal="left" vertical="top" wrapText="1"/>
    </xf>
    <xf numFmtId="0" fontId="1" fillId="2" borderId="10" xfId="0" applyFont="1" applyFill="1" applyBorder="1" applyAlignment="1">
      <alignment horizontal="left" vertical="top" wrapText="1"/>
    </xf>
    <xf numFmtId="0" fontId="9" fillId="2" borderId="29"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9" fillId="2" borderId="18" xfId="0" applyFont="1" applyFill="1" applyBorder="1" applyAlignment="1">
      <alignment horizontal="left" vertical="center" wrapText="1"/>
    </xf>
    <xf numFmtId="0" fontId="9" fillId="2" borderId="19" xfId="0" applyFont="1" applyFill="1" applyBorder="1" applyAlignment="1">
      <alignment horizontal="left" vertical="center" wrapText="1"/>
    </xf>
    <xf numFmtId="0" fontId="9" fillId="2" borderId="20" xfId="0" applyFont="1" applyFill="1" applyBorder="1" applyAlignment="1">
      <alignment horizontal="left" vertical="center" wrapText="1"/>
    </xf>
    <xf numFmtId="0" fontId="9" fillId="2" borderId="22" xfId="0" applyFont="1" applyFill="1" applyBorder="1" applyAlignment="1">
      <alignment horizontal="left" vertical="center" wrapText="1"/>
    </xf>
    <xf numFmtId="0" fontId="1" fillId="2" borderId="7" xfId="0" applyFont="1" applyFill="1" applyBorder="1" applyAlignment="1">
      <alignment vertical="top" wrapText="1"/>
    </xf>
    <xf numFmtId="0" fontId="1" fillId="2" borderId="10" xfId="0" applyFont="1" applyFill="1" applyBorder="1" applyAlignment="1">
      <alignment vertical="top" wrapText="1"/>
    </xf>
    <xf numFmtId="0" fontId="6" fillId="3" borderId="4" xfId="1" applyFont="1" applyFill="1" applyBorder="1" applyAlignment="1" applyProtection="1">
      <alignment horizontal="center" vertical="center" wrapText="1"/>
      <protection locked="0"/>
    </xf>
    <xf numFmtId="0" fontId="6" fillId="3" borderId="6" xfId="1" applyFont="1" applyFill="1" applyBorder="1" applyAlignment="1" applyProtection="1">
      <alignment horizontal="center" vertical="center" wrapText="1"/>
      <protection locked="0"/>
    </xf>
    <xf numFmtId="9" fontId="6" fillId="3" borderId="4" xfId="1" applyNumberFormat="1" applyFont="1" applyFill="1" applyBorder="1" applyAlignment="1" applyProtection="1">
      <alignment horizontal="center" vertical="center" wrapText="1"/>
      <protection hidden="1"/>
    </xf>
    <xf numFmtId="9" fontId="6" fillId="3" borderId="6" xfId="1" applyNumberFormat="1" applyFont="1" applyFill="1" applyBorder="1" applyAlignment="1" applyProtection="1">
      <alignment horizontal="center" vertical="center" wrapText="1"/>
      <protection hidden="1"/>
    </xf>
    <xf numFmtId="9" fontId="6" fillId="3" borderId="12" xfId="1" applyNumberFormat="1" applyFont="1" applyFill="1" applyBorder="1" applyAlignment="1" applyProtection="1">
      <alignment horizontal="center" vertical="center" wrapText="1"/>
      <protection hidden="1"/>
    </xf>
    <xf numFmtId="9" fontId="6" fillId="3" borderId="32" xfId="1" applyNumberFormat="1" applyFont="1" applyFill="1" applyBorder="1" applyAlignment="1" applyProtection="1">
      <alignment horizontal="center" vertical="center" wrapText="1"/>
      <protection hidden="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6" fillId="3" borderId="11" xfId="1" applyFont="1" applyFill="1" applyBorder="1" applyAlignment="1" applyProtection="1">
      <alignment horizontal="center" vertical="top" wrapText="1"/>
      <protection locked="0"/>
    </xf>
    <xf numFmtId="0" fontId="6" fillId="3" borderId="12" xfId="1" applyFont="1" applyFill="1" applyBorder="1" applyAlignment="1" applyProtection="1">
      <alignment horizontal="center" vertical="top" wrapText="1"/>
      <protection locked="0"/>
    </xf>
    <xf numFmtId="0" fontId="9" fillId="3" borderId="7" xfId="0" applyFont="1" applyFill="1" applyBorder="1" applyAlignment="1">
      <alignment horizontal="center" vertical="center"/>
    </xf>
    <xf numFmtId="0" fontId="9" fillId="3" borderId="10" xfId="0" applyFont="1" applyFill="1" applyBorder="1" applyAlignment="1">
      <alignment horizontal="center" vertical="center"/>
    </xf>
    <xf numFmtId="0" fontId="6" fillId="3" borderId="7" xfId="0" applyFont="1" applyFill="1" applyBorder="1" applyAlignment="1">
      <alignment horizontal="left" vertical="center"/>
    </xf>
    <xf numFmtId="0" fontId="6" fillId="3" borderId="8" xfId="0" applyFont="1" applyFill="1" applyBorder="1" applyAlignment="1">
      <alignment horizontal="left" vertical="center"/>
    </xf>
    <xf numFmtId="0" fontId="6" fillId="3" borderId="10" xfId="0" applyFont="1" applyFill="1" applyBorder="1" applyAlignment="1">
      <alignment horizontal="left" vertical="center"/>
    </xf>
    <xf numFmtId="164" fontId="6" fillId="3" borderId="4" xfId="1" applyNumberFormat="1" applyFont="1" applyFill="1" applyBorder="1" applyAlignment="1" applyProtection="1">
      <alignment horizontal="left" vertical="center" wrapText="1"/>
      <protection locked="0"/>
    </xf>
    <xf numFmtId="22" fontId="6" fillId="3" borderId="4" xfId="0" applyNumberFormat="1" applyFont="1" applyFill="1" applyBorder="1" applyAlignment="1">
      <alignment horizontal="left" vertical="center" wrapText="1"/>
    </xf>
    <xf numFmtId="164" fontId="8" fillId="3" borderId="4" xfId="1" applyNumberFormat="1" applyFont="1" applyFill="1" applyBorder="1" applyAlignment="1" applyProtection="1">
      <alignment horizontal="left" vertical="center" wrapText="1"/>
      <protection locked="0"/>
    </xf>
    <xf numFmtId="0" fontId="9" fillId="2" borderId="7" xfId="0" applyFont="1" applyFill="1" applyBorder="1" applyAlignment="1">
      <alignment horizontal="center" vertical="top" wrapText="1"/>
    </xf>
    <xf numFmtId="0" fontId="9" fillId="2" borderId="10" xfId="0" applyFont="1" applyFill="1" applyBorder="1" applyAlignment="1">
      <alignment horizontal="center" vertical="top" wrapText="1"/>
    </xf>
    <xf numFmtId="0" fontId="9" fillId="2" borderId="29" xfId="0" applyFont="1" applyFill="1" applyBorder="1" applyAlignment="1">
      <alignment horizontal="left" vertical="top" wrapText="1"/>
    </xf>
    <xf numFmtId="0" fontId="9" fillId="2" borderId="24" xfId="0" applyFont="1" applyFill="1" applyBorder="1" applyAlignment="1">
      <alignment horizontal="left" vertical="top" wrapText="1"/>
    </xf>
    <xf numFmtId="0" fontId="9" fillId="2" borderId="18" xfId="0" applyFont="1" applyFill="1" applyBorder="1" applyAlignment="1">
      <alignment horizontal="left" vertical="top" wrapText="1"/>
    </xf>
    <xf numFmtId="0" fontId="9" fillId="2" borderId="19" xfId="0" applyFont="1" applyFill="1" applyBorder="1" applyAlignment="1">
      <alignment horizontal="left" vertical="top" wrapText="1"/>
    </xf>
    <xf numFmtId="0" fontId="9" fillId="2" borderId="20" xfId="0" applyFont="1" applyFill="1" applyBorder="1" applyAlignment="1">
      <alignment horizontal="left" vertical="top" wrapText="1"/>
    </xf>
    <xf numFmtId="0" fontId="9" fillId="2" borderId="22" xfId="0" applyFont="1" applyFill="1" applyBorder="1" applyAlignment="1">
      <alignment horizontal="left" vertical="top" wrapText="1"/>
    </xf>
    <xf numFmtId="0" fontId="1" fillId="2" borderId="33" xfId="1" applyFont="1" applyFill="1" applyBorder="1" applyAlignment="1" applyProtection="1">
      <alignment horizontal="left" vertical="top" wrapText="1"/>
      <protection locked="0"/>
    </xf>
    <xf numFmtId="0" fontId="1" fillId="2" borderId="30" xfId="1" applyFont="1" applyFill="1" applyBorder="1" applyAlignment="1" applyProtection="1">
      <alignment horizontal="left" vertical="top" wrapText="1"/>
      <protection locked="0"/>
    </xf>
    <xf numFmtId="0" fontId="1" fillId="2" borderId="34" xfId="1" applyFont="1" applyFill="1" applyBorder="1" applyAlignment="1" applyProtection="1">
      <alignment horizontal="left" vertical="top" wrapText="1"/>
      <protection locked="0"/>
    </xf>
    <xf numFmtId="0" fontId="1" fillId="2" borderId="35" xfId="1" applyFont="1" applyFill="1" applyBorder="1" applyAlignment="1" applyProtection="1">
      <alignment horizontal="left" vertical="top" wrapText="1"/>
      <protection locked="0"/>
    </xf>
    <xf numFmtId="0" fontId="1" fillId="2" borderId="21" xfId="1" applyFont="1" applyFill="1" applyBorder="1" applyAlignment="1" applyProtection="1">
      <alignment horizontal="left" vertical="top" wrapText="1"/>
      <protection locked="0"/>
    </xf>
    <xf numFmtId="0" fontId="1" fillId="2" borderId="22" xfId="1" applyFont="1" applyFill="1" applyBorder="1" applyAlignment="1" applyProtection="1">
      <alignment horizontal="left" vertical="top" wrapText="1"/>
      <protection locked="0"/>
    </xf>
    <xf numFmtId="0" fontId="5" fillId="3" borderId="7" xfId="0" applyFont="1" applyFill="1" applyBorder="1" applyAlignment="1">
      <alignment horizontal="left" vertical="center" wrapText="1"/>
    </xf>
    <xf numFmtId="0" fontId="5" fillId="3" borderId="8"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12" fillId="2" borderId="29" xfId="0" applyFont="1" applyFill="1" applyBorder="1" applyAlignment="1">
      <alignment horizontal="left" vertical="top" wrapText="1"/>
    </xf>
    <xf numFmtId="0" fontId="12" fillId="2" borderId="24" xfId="0" applyFont="1" applyFill="1" applyBorder="1" applyAlignment="1">
      <alignment horizontal="left" vertical="top" wrapText="1"/>
    </xf>
    <xf numFmtId="0" fontId="12" fillId="2" borderId="20" xfId="0" applyFont="1" applyFill="1" applyBorder="1" applyAlignment="1">
      <alignment horizontal="left" vertical="top" wrapText="1"/>
    </xf>
    <xf numFmtId="0" fontId="12" fillId="2" borderId="22" xfId="0" applyFont="1" applyFill="1" applyBorder="1" applyAlignment="1">
      <alignment horizontal="left" vertical="top" wrapText="1"/>
    </xf>
    <xf numFmtId="0" fontId="12" fillId="2" borderId="18" xfId="0" applyFont="1" applyFill="1" applyBorder="1" applyAlignment="1">
      <alignment horizontal="left" vertical="top" wrapText="1"/>
    </xf>
    <xf numFmtId="0" fontId="12" fillId="2" borderId="19" xfId="0" applyFont="1" applyFill="1" applyBorder="1" applyAlignment="1">
      <alignment horizontal="left" vertical="top" wrapText="1"/>
    </xf>
    <xf numFmtId="0" fontId="5" fillId="3" borderId="29"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8" fillId="3" borderId="7" xfId="0" applyFont="1" applyFill="1" applyBorder="1" applyAlignment="1">
      <alignment horizontal="left" vertical="center"/>
    </xf>
    <xf numFmtId="0" fontId="8" fillId="3" borderId="10" xfId="0" applyFont="1" applyFill="1" applyBorder="1" applyAlignment="1">
      <alignment horizontal="left" vertical="center"/>
    </xf>
    <xf numFmtId="0" fontId="5" fillId="3" borderId="10" xfId="0" applyFont="1" applyFill="1" applyBorder="1" applyAlignment="1">
      <alignment horizontal="left" vertical="center"/>
    </xf>
    <xf numFmtId="1" fontId="9" fillId="5" borderId="4" xfId="0" applyNumberFormat="1"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2" borderId="14" xfId="1" applyFont="1" applyFill="1" applyBorder="1" applyAlignment="1" applyProtection="1">
      <alignment horizontal="center" vertical="top" wrapText="1"/>
      <protection locked="0"/>
    </xf>
    <xf numFmtId="14" fontId="6" fillId="3" borderId="7" xfId="0" applyNumberFormat="1" applyFont="1" applyFill="1" applyBorder="1" applyAlignment="1">
      <alignment horizontal="center" vertical="center"/>
    </xf>
    <xf numFmtId="14" fontId="6" fillId="3" borderId="10" xfId="0" applyNumberFormat="1" applyFont="1" applyFill="1" applyBorder="1" applyAlignment="1">
      <alignment horizontal="center" vertical="center"/>
    </xf>
    <xf numFmtId="0" fontId="6" fillId="3" borderId="7" xfId="0" applyFont="1" applyFill="1" applyBorder="1" applyAlignment="1">
      <alignment horizontal="center" vertical="center"/>
    </xf>
    <xf numFmtId="0" fontId="6" fillId="3" borderId="10" xfId="0" applyFont="1" applyFill="1" applyBorder="1" applyAlignment="1">
      <alignment horizontal="center" vertical="center"/>
    </xf>
    <xf numFmtId="9" fontId="6" fillId="3" borderId="12" xfId="0" applyNumberFormat="1" applyFont="1" applyFill="1" applyBorder="1" applyAlignment="1">
      <alignment horizontal="center"/>
    </xf>
    <xf numFmtId="0" fontId="1" fillId="3" borderId="7"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6" fillId="3" borderId="4" xfId="0" applyFont="1" applyFill="1" applyBorder="1" applyAlignment="1">
      <alignment horizontal="center"/>
    </xf>
    <xf numFmtId="0" fontId="1" fillId="3" borderId="4" xfId="1" applyFont="1" applyFill="1" applyBorder="1" applyAlignment="1" applyProtection="1">
      <alignment horizontal="left" vertical="top" wrapText="1"/>
      <protection locked="0"/>
    </xf>
    <xf numFmtId="0" fontId="1" fillId="3" borderId="6" xfId="1" applyFont="1" applyFill="1" applyBorder="1" applyAlignment="1" applyProtection="1">
      <alignment horizontal="left" vertical="top" wrapText="1"/>
      <protection locked="0"/>
    </xf>
    <xf numFmtId="0" fontId="9" fillId="3" borderId="7"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2" borderId="14" xfId="0" applyFont="1" applyFill="1" applyBorder="1" applyAlignment="1">
      <alignment horizontal="center" vertical="top" wrapText="1"/>
    </xf>
    <xf numFmtId="0" fontId="1" fillId="2" borderId="13" xfId="0" applyFont="1" applyFill="1" applyBorder="1" applyAlignment="1">
      <alignment horizontal="center" vertical="top" wrapText="1"/>
    </xf>
    <xf numFmtId="0" fontId="9" fillId="2" borderId="14" xfId="0" applyFont="1" applyFill="1" applyBorder="1" applyAlignment="1">
      <alignment horizontal="center" vertical="top" wrapText="1"/>
    </xf>
    <xf numFmtId="0" fontId="9" fillId="2" borderId="13" xfId="0" applyFont="1" applyFill="1" applyBorder="1" applyAlignment="1">
      <alignment horizontal="center" vertical="top" wrapText="1"/>
    </xf>
    <xf numFmtId="0" fontId="5" fillId="3" borderId="7" xfId="0" applyFont="1" applyFill="1" applyBorder="1" applyAlignment="1">
      <alignment horizontal="center" vertical="center"/>
    </xf>
    <xf numFmtId="0" fontId="5" fillId="3" borderId="10" xfId="0" applyFont="1" applyFill="1" applyBorder="1" applyAlignment="1">
      <alignment horizontal="center" vertical="center"/>
    </xf>
    <xf numFmtId="1" fontId="9" fillId="5" borderId="7" xfId="0" applyNumberFormat="1" applyFont="1" applyFill="1" applyBorder="1" applyAlignment="1">
      <alignment horizontal="center" vertical="center" wrapText="1"/>
    </xf>
    <xf numFmtId="1" fontId="9" fillId="5" borderId="10" xfId="0" applyNumberFormat="1" applyFont="1" applyFill="1" applyBorder="1" applyAlignment="1">
      <alignment horizontal="center" vertical="center" wrapText="1"/>
    </xf>
    <xf numFmtId="1" fontId="9" fillId="5" borderId="29" xfId="0" applyNumberFormat="1" applyFont="1" applyFill="1" applyBorder="1" applyAlignment="1">
      <alignment horizontal="center" vertical="center" wrapText="1"/>
    </xf>
    <xf numFmtId="1" fontId="9" fillId="5" borderId="24"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9"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36" xfId="0" applyFont="1" applyFill="1" applyBorder="1" applyAlignment="1">
      <alignment horizontal="center" vertical="center" wrapText="1"/>
    </xf>
    <xf numFmtId="0" fontId="9" fillId="2" borderId="37" xfId="0" applyFont="1" applyFill="1" applyBorder="1" applyAlignment="1">
      <alignment horizontal="center" vertical="center" wrapText="1"/>
    </xf>
    <xf numFmtId="0" fontId="5" fillId="3" borderId="8" xfId="0" applyFont="1" applyFill="1" applyBorder="1" applyAlignment="1">
      <alignment horizontal="center" vertical="center"/>
    </xf>
    <xf numFmtId="0" fontId="9" fillId="3" borderId="13" xfId="0" applyFont="1" applyFill="1" applyBorder="1" applyAlignment="1">
      <alignment horizontal="center" vertical="center" wrapText="1"/>
    </xf>
    <xf numFmtId="0" fontId="7" fillId="3" borderId="29" xfId="0" applyFont="1" applyFill="1" applyBorder="1" applyAlignment="1">
      <alignment horizontal="left" vertical="top" wrapText="1"/>
    </xf>
    <xf numFmtId="0" fontId="7" fillId="3" borderId="25" xfId="0" applyFont="1" applyFill="1" applyBorder="1" applyAlignment="1">
      <alignment horizontal="left" vertical="top" wrapText="1"/>
    </xf>
    <xf numFmtId="0" fontId="7" fillId="3" borderId="24" xfId="0" applyFont="1" applyFill="1" applyBorder="1" applyAlignment="1">
      <alignment horizontal="left" vertical="top" wrapText="1"/>
    </xf>
    <xf numFmtId="0" fontId="7" fillId="3" borderId="20" xfId="0" applyFont="1" applyFill="1" applyBorder="1" applyAlignment="1">
      <alignment horizontal="left" vertical="top" wrapText="1"/>
    </xf>
    <xf numFmtId="0" fontId="7" fillId="3" borderId="21" xfId="0" applyFont="1" applyFill="1" applyBorder="1" applyAlignment="1">
      <alignment horizontal="left" vertical="top" wrapText="1"/>
    </xf>
    <xf numFmtId="0" fontId="7" fillId="3" borderId="22" xfId="0" applyFont="1" applyFill="1" applyBorder="1" applyAlignment="1">
      <alignment horizontal="left" vertical="top" wrapText="1"/>
    </xf>
    <xf numFmtId="0" fontId="7" fillId="2" borderId="15" xfId="1" applyFont="1" applyFill="1" applyBorder="1" applyAlignment="1" applyProtection="1">
      <alignment horizontal="left" vertical="top" wrapText="1"/>
      <protection locked="0"/>
    </xf>
    <xf numFmtId="0" fontId="7" fillId="2" borderId="16" xfId="1" applyFont="1" applyFill="1" applyBorder="1" applyAlignment="1" applyProtection="1">
      <alignment horizontal="left" vertical="top" wrapText="1"/>
      <protection locked="0"/>
    </xf>
    <xf numFmtId="0" fontId="7" fillId="2" borderId="5" xfId="1" applyFont="1" applyFill="1" applyBorder="1" applyAlignment="1" applyProtection="1">
      <alignment horizontal="left" vertical="top" wrapText="1"/>
      <protection locked="0"/>
    </xf>
    <xf numFmtId="0" fontId="7" fillId="2" borderId="4" xfId="1" applyFont="1" applyFill="1" applyBorder="1" applyAlignment="1" applyProtection="1">
      <alignment horizontal="left" vertical="top" wrapText="1"/>
      <protection locked="0"/>
    </xf>
    <xf numFmtId="0" fontId="8" fillId="4" borderId="8" xfId="1" applyFont="1" applyFill="1" applyBorder="1" applyAlignment="1" applyProtection="1">
      <alignment horizontal="center" vertical="center" wrapText="1"/>
      <protection locked="0"/>
    </xf>
    <xf numFmtId="0" fontId="8" fillId="4" borderId="9" xfId="1" applyFont="1" applyFill="1" applyBorder="1" applyAlignment="1" applyProtection="1">
      <alignment horizontal="center" vertical="center" wrapText="1"/>
      <protection locked="0"/>
    </xf>
    <xf numFmtId="9" fontId="8" fillId="4" borderId="25" xfId="1" applyNumberFormat="1" applyFont="1" applyFill="1" applyBorder="1" applyAlignment="1" applyProtection="1">
      <alignment horizontal="center" vertical="center" wrapText="1"/>
      <protection hidden="1"/>
    </xf>
    <xf numFmtId="9" fontId="8" fillId="4" borderId="23" xfId="1" applyNumberFormat="1" applyFont="1" applyFill="1" applyBorder="1" applyAlignment="1" applyProtection="1">
      <alignment horizontal="center" vertical="center" wrapText="1"/>
      <protection hidden="1"/>
    </xf>
    <xf numFmtId="9" fontId="8" fillId="4" borderId="0" xfId="1" applyNumberFormat="1" applyFont="1" applyFill="1" applyBorder="1" applyAlignment="1" applyProtection="1">
      <alignment horizontal="center" vertical="center" wrapText="1"/>
      <protection hidden="1"/>
    </xf>
    <xf numFmtId="9" fontId="8" fillId="4" borderId="3" xfId="1" applyNumberFormat="1" applyFont="1" applyFill="1" applyBorder="1" applyAlignment="1" applyProtection="1">
      <alignment horizontal="center" vertical="center" wrapText="1"/>
      <protection hidden="1"/>
    </xf>
    <xf numFmtId="9" fontId="8" fillId="4" borderId="2" xfId="1" applyNumberFormat="1" applyFont="1" applyFill="1" applyBorder="1" applyAlignment="1" applyProtection="1">
      <alignment horizontal="center" vertical="center" wrapText="1"/>
      <protection hidden="1"/>
    </xf>
    <xf numFmtId="9" fontId="8" fillId="4" borderId="1" xfId="1" applyNumberFormat="1" applyFont="1" applyFill="1" applyBorder="1" applyAlignment="1" applyProtection="1">
      <alignment horizontal="center" vertical="center" wrapText="1"/>
      <protection hidden="1"/>
    </xf>
  </cellXfs>
  <cellStyles count="4">
    <cellStyle name="Hyperlink" xfId="3" builtinId="8"/>
    <cellStyle name="Normal" xfId="0" builtinId="0"/>
    <cellStyle name="Normal 3" xfId="1" xr:uid="{00000000-0005-0000-0000-000002000000}"/>
    <cellStyle name="Percent" xfId="2" builtinId="5"/>
  </cellStyles>
  <dxfs count="0"/>
  <tableStyles count="0" defaultTableStyle="TableStyleMedium2" defaultPivotStyle="PivotStyleLight16"/>
  <colors>
    <mruColors>
      <color rgb="FFE3F2F3"/>
      <color rgb="FFE5EEF1"/>
      <color rgb="FFBBDDBD"/>
      <color rgb="FFE1F5E7"/>
      <color rgb="FFF2FCDA"/>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8</xdr:col>
      <xdr:colOff>265045</xdr:colOff>
      <xdr:row>16</xdr:row>
      <xdr:rowOff>33132</xdr:rowOff>
    </xdr:from>
    <xdr:to>
      <xdr:col>17</xdr:col>
      <xdr:colOff>254676</xdr:colOff>
      <xdr:row>22</xdr:row>
      <xdr:rowOff>17572</xdr:rowOff>
    </xdr:to>
    <xdr:pic>
      <xdr:nvPicPr>
        <xdr:cNvPr id="2" name="Picture 1">
          <a:extLst>
            <a:ext uri="{FF2B5EF4-FFF2-40B4-BE49-F238E27FC236}">
              <a16:creationId xmlns:a16="http://schemas.microsoft.com/office/drawing/2014/main" id="{80624BCC-4920-483F-B932-617B41948B99}"/>
            </a:ext>
          </a:extLst>
        </xdr:cNvPr>
        <xdr:cNvPicPr>
          <a:picLocks noChangeAspect="1"/>
        </xdr:cNvPicPr>
      </xdr:nvPicPr>
      <xdr:blipFill>
        <a:blip xmlns:r="http://schemas.openxmlformats.org/officeDocument/2006/relationships" r:embed="rId1"/>
        <a:stretch>
          <a:fillRect/>
        </a:stretch>
      </xdr:blipFill>
      <xdr:spPr>
        <a:xfrm>
          <a:off x="7040219" y="3917675"/>
          <a:ext cx="5820587" cy="1276528"/>
        </a:xfrm>
        <a:prstGeom prst="rect">
          <a:avLst/>
        </a:prstGeom>
      </xdr:spPr>
    </xdr:pic>
    <xdr:clientData/>
  </xdr:twoCellAnchor>
  <xdr:twoCellAnchor editAs="oneCell">
    <xdr:from>
      <xdr:col>8</xdr:col>
      <xdr:colOff>372717</xdr:colOff>
      <xdr:row>31</xdr:row>
      <xdr:rowOff>149087</xdr:rowOff>
    </xdr:from>
    <xdr:to>
      <xdr:col>15</xdr:col>
      <xdr:colOff>87587</xdr:colOff>
      <xdr:row>36</xdr:row>
      <xdr:rowOff>62494</xdr:rowOff>
    </xdr:to>
    <xdr:pic>
      <xdr:nvPicPr>
        <xdr:cNvPr id="3" name="Picture 2">
          <a:extLst>
            <a:ext uri="{FF2B5EF4-FFF2-40B4-BE49-F238E27FC236}">
              <a16:creationId xmlns:a16="http://schemas.microsoft.com/office/drawing/2014/main" id="{FBD13B6A-778F-407B-835C-51B31C155D27}"/>
            </a:ext>
          </a:extLst>
        </xdr:cNvPr>
        <xdr:cNvPicPr>
          <a:picLocks noChangeAspect="1"/>
        </xdr:cNvPicPr>
      </xdr:nvPicPr>
      <xdr:blipFill>
        <a:blip xmlns:r="http://schemas.openxmlformats.org/officeDocument/2006/relationships" r:embed="rId2"/>
        <a:stretch>
          <a:fillRect/>
        </a:stretch>
      </xdr:blipFill>
      <xdr:spPr>
        <a:xfrm>
          <a:off x="7147891" y="8439978"/>
          <a:ext cx="4320000" cy="1487103"/>
        </a:xfrm>
        <a:prstGeom prst="rect">
          <a:avLst/>
        </a:prstGeom>
      </xdr:spPr>
    </xdr:pic>
    <xdr:clientData/>
  </xdr:twoCellAnchor>
  <xdr:twoCellAnchor>
    <xdr:from>
      <xdr:col>1</xdr:col>
      <xdr:colOff>198783</xdr:colOff>
      <xdr:row>287</xdr:row>
      <xdr:rowOff>82825</xdr:rowOff>
    </xdr:from>
    <xdr:to>
      <xdr:col>6</xdr:col>
      <xdr:colOff>685304</xdr:colOff>
      <xdr:row>335</xdr:row>
      <xdr:rowOff>47349</xdr:rowOff>
    </xdr:to>
    <xdr:grpSp>
      <xdr:nvGrpSpPr>
        <xdr:cNvPr id="4" name="Group 3">
          <a:extLst>
            <a:ext uri="{FF2B5EF4-FFF2-40B4-BE49-F238E27FC236}">
              <a16:creationId xmlns:a16="http://schemas.microsoft.com/office/drawing/2014/main" id="{DA516AAA-1F4E-44A9-ADBC-AE763E716EB1}"/>
            </a:ext>
          </a:extLst>
        </xdr:cNvPr>
        <xdr:cNvGrpSpPr/>
      </xdr:nvGrpSpPr>
      <xdr:grpSpPr>
        <a:xfrm>
          <a:off x="995419" y="47794416"/>
          <a:ext cx="4712158" cy="7861615"/>
          <a:chOff x="1179106" y="173037"/>
          <a:chExt cx="4320000" cy="7657530"/>
        </a:xfrm>
      </xdr:grpSpPr>
      <xdr:pic>
        <xdr:nvPicPr>
          <xdr:cNvPr id="5" name="Picture 4">
            <a:extLst>
              <a:ext uri="{FF2B5EF4-FFF2-40B4-BE49-F238E27FC236}">
                <a16:creationId xmlns:a16="http://schemas.microsoft.com/office/drawing/2014/main" id="{CEAD907C-9C78-4A57-A79D-070983BB6A83}"/>
              </a:ext>
            </a:extLst>
          </xdr:cNvPr>
          <xdr:cNvPicPr>
            <a:picLocks noChangeAspect="1"/>
          </xdr:cNvPicPr>
        </xdr:nvPicPr>
        <xdr:blipFill>
          <a:blip xmlns:r="http://schemas.openxmlformats.org/officeDocument/2006/relationships" r:embed="rId3"/>
          <a:stretch>
            <a:fillRect/>
          </a:stretch>
        </xdr:blipFill>
        <xdr:spPr>
          <a:xfrm>
            <a:off x="1857968" y="4849242"/>
            <a:ext cx="2962275" cy="2981325"/>
          </a:xfrm>
          <a:prstGeom prst="rect">
            <a:avLst/>
          </a:prstGeom>
          <a:ln>
            <a:solidFill>
              <a:schemeClr val="tx1"/>
            </a:solidFill>
          </a:ln>
        </xdr:spPr>
      </xdr:pic>
      <xdr:grpSp>
        <xdr:nvGrpSpPr>
          <xdr:cNvPr id="6" name="Group 5">
            <a:extLst>
              <a:ext uri="{FF2B5EF4-FFF2-40B4-BE49-F238E27FC236}">
                <a16:creationId xmlns:a16="http://schemas.microsoft.com/office/drawing/2014/main" id="{3E45FF00-01A9-43DC-B571-A02BC3AE1DB4}"/>
              </a:ext>
            </a:extLst>
          </xdr:cNvPr>
          <xdr:cNvGrpSpPr/>
        </xdr:nvGrpSpPr>
        <xdr:grpSpPr>
          <a:xfrm>
            <a:off x="1179106" y="173037"/>
            <a:ext cx="4320000" cy="4545956"/>
            <a:chOff x="1179106" y="173037"/>
            <a:chExt cx="4320000" cy="4545956"/>
          </a:xfrm>
        </xdr:grpSpPr>
        <xdr:pic>
          <xdr:nvPicPr>
            <xdr:cNvPr id="7" name="Picture 6">
              <a:extLst>
                <a:ext uri="{FF2B5EF4-FFF2-40B4-BE49-F238E27FC236}">
                  <a16:creationId xmlns:a16="http://schemas.microsoft.com/office/drawing/2014/main" id="{A24F4CD0-6727-49E4-AE10-443F9AE85E1C}"/>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79106" y="173037"/>
              <a:ext cx="4320000" cy="4545956"/>
            </a:xfrm>
            <a:prstGeom prst="rect">
              <a:avLst/>
            </a:prstGeom>
            <a:ln>
              <a:solidFill>
                <a:schemeClr val="tx1"/>
              </a:solidFill>
            </a:ln>
          </xdr:spPr>
        </xdr:pic>
        <xdr:sp macro="" textlink="">
          <xdr:nvSpPr>
            <xdr:cNvPr id="8" name="Rectangle 7">
              <a:extLst>
                <a:ext uri="{FF2B5EF4-FFF2-40B4-BE49-F238E27FC236}">
                  <a16:creationId xmlns:a16="http://schemas.microsoft.com/office/drawing/2014/main" id="{B7BF5668-945C-4F70-B5F1-107E751B28EE}"/>
                </a:ext>
              </a:extLst>
            </xdr:cNvPr>
            <xdr:cNvSpPr/>
          </xdr:nvSpPr>
          <xdr:spPr>
            <a:xfrm rot="20319401">
              <a:off x="2326442" y="860543"/>
              <a:ext cx="1043066" cy="214606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9" name="Rectangle 8">
              <a:extLst>
                <a:ext uri="{FF2B5EF4-FFF2-40B4-BE49-F238E27FC236}">
                  <a16:creationId xmlns:a16="http://schemas.microsoft.com/office/drawing/2014/main" id="{E62781CB-F866-4FAE-96EF-9AFAC74FCDDD}"/>
                </a:ext>
              </a:extLst>
            </xdr:cNvPr>
            <xdr:cNvSpPr/>
          </xdr:nvSpPr>
          <xdr:spPr>
            <a:xfrm rot="20319401">
              <a:off x="3526591" y="730293"/>
              <a:ext cx="1043066" cy="214606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0" name="TextBox 6">
              <a:extLst>
                <a:ext uri="{FF2B5EF4-FFF2-40B4-BE49-F238E27FC236}">
                  <a16:creationId xmlns:a16="http://schemas.microsoft.com/office/drawing/2014/main" id="{FE66DE0C-2FBE-4FDF-8F5F-953452A8EA87}"/>
                </a:ext>
              </a:extLst>
            </xdr:cNvPr>
            <xdr:cNvSpPr txBox="1"/>
          </xdr:nvSpPr>
          <xdr:spPr>
            <a:xfrm rot="20416697">
              <a:off x="3759233" y="2838694"/>
              <a:ext cx="1228221"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Building No. 2</a:t>
              </a:r>
            </a:p>
          </xdr:txBody>
        </xdr:sp>
        <xdr:sp macro="" textlink="">
          <xdr:nvSpPr>
            <xdr:cNvPr id="11" name="TextBox 7">
              <a:extLst>
                <a:ext uri="{FF2B5EF4-FFF2-40B4-BE49-F238E27FC236}">
                  <a16:creationId xmlns:a16="http://schemas.microsoft.com/office/drawing/2014/main" id="{BC04D49B-2364-4212-9694-EA88AFF2932F}"/>
                </a:ext>
              </a:extLst>
            </xdr:cNvPr>
            <xdr:cNvSpPr txBox="1"/>
          </xdr:nvSpPr>
          <xdr:spPr>
            <a:xfrm rot="20352020">
              <a:off x="1450980" y="744320"/>
              <a:ext cx="1228221"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Building No. 1</a:t>
              </a:r>
            </a:p>
          </xdr:txBody>
        </xdr:sp>
      </xdr:grpSp>
    </xdr:grpSp>
    <xdr:clientData/>
  </xdr:twoCellAnchor>
  <xdr:twoCellAnchor editAs="oneCell">
    <xdr:from>
      <xdr:col>8</xdr:col>
      <xdr:colOff>430695</xdr:colOff>
      <xdr:row>103</xdr:row>
      <xdr:rowOff>149087</xdr:rowOff>
    </xdr:from>
    <xdr:to>
      <xdr:col>14</xdr:col>
      <xdr:colOff>38478</xdr:colOff>
      <xdr:row>111</xdr:row>
      <xdr:rowOff>156344</xdr:rowOff>
    </xdr:to>
    <xdr:pic>
      <xdr:nvPicPr>
        <xdr:cNvPr id="17" name="Picture 16">
          <a:extLst>
            <a:ext uri="{FF2B5EF4-FFF2-40B4-BE49-F238E27FC236}">
              <a16:creationId xmlns:a16="http://schemas.microsoft.com/office/drawing/2014/main" id="{0121A676-D711-4EBB-B0AC-099FE9EC9F81}"/>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7205869" y="24698739"/>
          <a:ext cx="3600000" cy="1373888"/>
        </a:xfrm>
        <a:prstGeom prst="rect">
          <a:avLst/>
        </a:prstGeom>
      </xdr:spPr>
    </xdr:pic>
    <xdr:clientData/>
  </xdr:twoCellAnchor>
  <xdr:twoCellAnchor editAs="oneCell">
    <xdr:from>
      <xdr:col>8</xdr:col>
      <xdr:colOff>513522</xdr:colOff>
      <xdr:row>25</xdr:row>
      <xdr:rowOff>115957</xdr:rowOff>
    </xdr:from>
    <xdr:to>
      <xdr:col>14</xdr:col>
      <xdr:colOff>121305</xdr:colOff>
      <xdr:row>28</xdr:row>
      <xdr:rowOff>98368</xdr:rowOff>
    </xdr:to>
    <xdr:pic>
      <xdr:nvPicPr>
        <xdr:cNvPr id="18" name="Picture 17">
          <a:extLst>
            <a:ext uri="{FF2B5EF4-FFF2-40B4-BE49-F238E27FC236}">
              <a16:creationId xmlns:a16="http://schemas.microsoft.com/office/drawing/2014/main" id="{27E653B0-E8DE-422F-8246-157B97F2C14B}"/>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7288696" y="6145696"/>
          <a:ext cx="3600000" cy="1373888"/>
        </a:xfrm>
        <a:prstGeom prst="rect">
          <a:avLst/>
        </a:prstGeom>
      </xdr:spPr>
    </xdr:pic>
    <xdr:clientData/>
  </xdr:twoCellAnchor>
  <xdr:twoCellAnchor editAs="oneCell">
    <xdr:from>
      <xdr:col>8</xdr:col>
      <xdr:colOff>182218</xdr:colOff>
      <xdr:row>6</xdr:row>
      <xdr:rowOff>24848</xdr:rowOff>
    </xdr:from>
    <xdr:to>
      <xdr:col>13</xdr:col>
      <xdr:colOff>402914</xdr:colOff>
      <xdr:row>8</xdr:row>
      <xdr:rowOff>54601</xdr:rowOff>
    </xdr:to>
    <xdr:pic>
      <xdr:nvPicPr>
        <xdr:cNvPr id="19" name="Picture 18">
          <a:extLst>
            <a:ext uri="{FF2B5EF4-FFF2-40B4-BE49-F238E27FC236}">
              <a16:creationId xmlns:a16="http://schemas.microsoft.com/office/drawing/2014/main" id="{A1111EEC-94D8-499C-A189-06131B225A50}"/>
            </a:ext>
          </a:extLst>
        </xdr:cNvPr>
        <xdr:cNvPicPr>
          <a:picLocks noChangeAspect="1"/>
        </xdr:cNvPicPr>
      </xdr:nvPicPr>
      <xdr:blipFill>
        <a:blip xmlns:r="http://schemas.openxmlformats.org/officeDocument/2006/relationships" r:embed="rId6"/>
        <a:stretch>
          <a:fillRect/>
        </a:stretch>
      </xdr:blipFill>
      <xdr:spPr>
        <a:xfrm>
          <a:off x="6957392" y="1880152"/>
          <a:ext cx="3600000" cy="552310"/>
        </a:xfrm>
        <a:prstGeom prst="rect">
          <a:avLst/>
        </a:prstGeom>
      </xdr:spPr>
    </xdr:pic>
    <xdr:clientData/>
  </xdr:twoCellAnchor>
  <xdr:twoCellAnchor editAs="oneCell">
    <xdr:from>
      <xdr:col>8</xdr:col>
      <xdr:colOff>208045</xdr:colOff>
      <xdr:row>39</xdr:row>
      <xdr:rowOff>48943</xdr:rowOff>
    </xdr:from>
    <xdr:to>
      <xdr:col>11</xdr:col>
      <xdr:colOff>217051</xdr:colOff>
      <xdr:row>47</xdr:row>
      <xdr:rowOff>170840</xdr:rowOff>
    </xdr:to>
    <xdr:pic>
      <xdr:nvPicPr>
        <xdr:cNvPr id="20" name="Picture 19">
          <a:extLst>
            <a:ext uri="{FF2B5EF4-FFF2-40B4-BE49-F238E27FC236}">
              <a16:creationId xmlns:a16="http://schemas.microsoft.com/office/drawing/2014/main" id="{C82FA553-52DD-4813-B4B6-7AAC3B864CA1}"/>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6944818" y="11955193"/>
          <a:ext cx="2147801" cy="1810420"/>
        </a:xfrm>
        <a:prstGeom prst="rect">
          <a:avLst/>
        </a:prstGeom>
      </xdr:spPr>
    </xdr:pic>
    <xdr:clientData/>
  </xdr:twoCellAnchor>
  <xdr:twoCellAnchor editAs="oneCell">
    <xdr:from>
      <xdr:col>8</xdr:col>
      <xdr:colOff>139674</xdr:colOff>
      <xdr:row>61</xdr:row>
      <xdr:rowOff>72361</xdr:rowOff>
    </xdr:from>
    <xdr:to>
      <xdr:col>14</xdr:col>
      <xdr:colOff>109361</xdr:colOff>
      <xdr:row>63</xdr:row>
      <xdr:rowOff>291307</xdr:rowOff>
    </xdr:to>
    <xdr:pic>
      <xdr:nvPicPr>
        <xdr:cNvPr id="21" name="Picture 20">
          <a:extLst>
            <a:ext uri="{FF2B5EF4-FFF2-40B4-BE49-F238E27FC236}">
              <a16:creationId xmlns:a16="http://schemas.microsoft.com/office/drawing/2014/main" id="{F2697909-51FE-4BDC-A233-218BF9F5B034}"/>
            </a:ext>
          </a:extLst>
        </xdr:cNvPr>
        <xdr:cNvPicPr>
          <a:picLocks noChangeAspect="1"/>
        </xdr:cNvPicPr>
      </xdr:nvPicPr>
      <xdr:blipFill>
        <a:blip xmlns:r="http://schemas.openxmlformats.org/officeDocument/2006/relationships" r:embed="rId8"/>
        <a:stretch>
          <a:fillRect/>
        </a:stretch>
      </xdr:blipFill>
      <xdr:spPr>
        <a:xfrm>
          <a:off x="6876447" y="16117656"/>
          <a:ext cx="3926891" cy="721174"/>
        </a:xfrm>
        <a:prstGeom prst="rect">
          <a:avLst/>
        </a:prstGeom>
        <a:ln>
          <a:solidFill>
            <a:schemeClr val="tx1"/>
          </a:solidFill>
        </a:ln>
      </xdr:spPr>
    </xdr:pic>
    <xdr:clientData/>
  </xdr:twoCellAnchor>
  <xdr:twoCellAnchor>
    <xdr:from>
      <xdr:col>0</xdr:col>
      <xdr:colOff>173930</xdr:colOff>
      <xdr:row>233</xdr:row>
      <xdr:rowOff>115956</xdr:rowOff>
    </xdr:from>
    <xdr:to>
      <xdr:col>7</xdr:col>
      <xdr:colOff>709839</xdr:colOff>
      <xdr:row>281</xdr:row>
      <xdr:rowOff>90021</xdr:rowOff>
    </xdr:to>
    <xdr:grpSp>
      <xdr:nvGrpSpPr>
        <xdr:cNvPr id="22" name="Group 21">
          <a:extLst>
            <a:ext uri="{FF2B5EF4-FFF2-40B4-BE49-F238E27FC236}">
              <a16:creationId xmlns:a16="http://schemas.microsoft.com/office/drawing/2014/main" id="{6F9FF33F-B925-47FA-BC3D-158FD488A746}"/>
            </a:ext>
          </a:extLst>
        </xdr:cNvPr>
        <xdr:cNvGrpSpPr/>
      </xdr:nvGrpSpPr>
      <xdr:grpSpPr>
        <a:xfrm>
          <a:off x="173930" y="38943320"/>
          <a:ext cx="6415432" cy="7871156"/>
          <a:chOff x="179294" y="340658"/>
          <a:chExt cx="6449692" cy="7925370"/>
        </a:xfrm>
      </xdr:grpSpPr>
      <xdr:grpSp>
        <xdr:nvGrpSpPr>
          <xdr:cNvPr id="23" name="Group 22">
            <a:extLst>
              <a:ext uri="{FF2B5EF4-FFF2-40B4-BE49-F238E27FC236}">
                <a16:creationId xmlns:a16="http://schemas.microsoft.com/office/drawing/2014/main" id="{FD849EE2-2992-4A9C-A92A-398F8C97714E}"/>
              </a:ext>
            </a:extLst>
          </xdr:cNvPr>
          <xdr:cNvGrpSpPr/>
        </xdr:nvGrpSpPr>
        <xdr:grpSpPr>
          <a:xfrm>
            <a:off x="179294" y="340658"/>
            <a:ext cx="6449692" cy="7925370"/>
            <a:chOff x="179294" y="340658"/>
            <a:chExt cx="6449692" cy="7925370"/>
          </a:xfrm>
        </xdr:grpSpPr>
        <xdr:pic>
          <xdr:nvPicPr>
            <xdr:cNvPr id="27" name="Picture 26">
              <a:extLst>
                <a:ext uri="{FF2B5EF4-FFF2-40B4-BE49-F238E27FC236}">
                  <a16:creationId xmlns:a16="http://schemas.microsoft.com/office/drawing/2014/main" id="{171B07BF-93A4-4E32-908D-D6625862DF41}"/>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79294" y="340658"/>
              <a:ext cx="3108653" cy="3600000"/>
            </a:xfrm>
            <a:prstGeom prst="rect">
              <a:avLst/>
            </a:prstGeom>
            <a:ln>
              <a:solidFill>
                <a:schemeClr val="tx1"/>
              </a:solidFill>
            </a:ln>
          </xdr:spPr>
        </xdr:pic>
        <xdr:pic>
          <xdr:nvPicPr>
            <xdr:cNvPr id="28" name="Picture 27">
              <a:extLst>
                <a:ext uri="{FF2B5EF4-FFF2-40B4-BE49-F238E27FC236}">
                  <a16:creationId xmlns:a16="http://schemas.microsoft.com/office/drawing/2014/main" id="{634AD93F-E9D9-4C15-B841-7EB3F18DF9FC}"/>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429000" y="340658"/>
              <a:ext cx="3108653" cy="3600000"/>
            </a:xfrm>
            <a:prstGeom prst="rect">
              <a:avLst/>
            </a:prstGeom>
            <a:ln>
              <a:solidFill>
                <a:schemeClr val="tx1"/>
              </a:solidFill>
            </a:ln>
          </xdr:spPr>
        </xdr:pic>
        <xdr:pic>
          <xdr:nvPicPr>
            <xdr:cNvPr id="29" name="Picture 28">
              <a:extLst>
                <a:ext uri="{FF2B5EF4-FFF2-40B4-BE49-F238E27FC236}">
                  <a16:creationId xmlns:a16="http://schemas.microsoft.com/office/drawing/2014/main" id="{01766017-0B1C-45BC-AD3B-FACE8CD082EA}"/>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79294" y="4123343"/>
              <a:ext cx="2877714" cy="2160000"/>
            </a:xfrm>
            <a:prstGeom prst="rect">
              <a:avLst/>
            </a:prstGeom>
            <a:ln>
              <a:solidFill>
                <a:schemeClr val="tx1"/>
              </a:solidFill>
            </a:ln>
          </xdr:spPr>
        </xdr:pic>
        <xdr:pic>
          <xdr:nvPicPr>
            <xdr:cNvPr id="30" name="Picture 29">
              <a:extLst>
                <a:ext uri="{FF2B5EF4-FFF2-40B4-BE49-F238E27FC236}">
                  <a16:creationId xmlns:a16="http://schemas.microsoft.com/office/drawing/2014/main" id="{5BA0A6A6-F94B-455D-A401-27B024364053}"/>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5010674" y="4123343"/>
              <a:ext cx="1618312" cy="2160000"/>
            </a:xfrm>
            <a:prstGeom prst="rect">
              <a:avLst/>
            </a:prstGeom>
            <a:ln>
              <a:solidFill>
                <a:schemeClr val="tx1"/>
              </a:solidFill>
            </a:ln>
          </xdr:spPr>
        </xdr:pic>
        <xdr:pic>
          <xdr:nvPicPr>
            <xdr:cNvPr id="31" name="Picture 30">
              <a:extLst>
                <a:ext uri="{FF2B5EF4-FFF2-40B4-BE49-F238E27FC236}">
                  <a16:creationId xmlns:a16="http://schemas.microsoft.com/office/drawing/2014/main" id="{57368D76-CF8E-4983-8C0D-5379FD022A72}"/>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224920" y="4123343"/>
              <a:ext cx="1618312" cy="2160000"/>
            </a:xfrm>
            <a:prstGeom prst="rect">
              <a:avLst/>
            </a:prstGeom>
            <a:ln>
              <a:solidFill>
                <a:schemeClr val="tx1"/>
              </a:solidFill>
            </a:ln>
          </xdr:spPr>
        </xdr:pic>
        <xdr:pic>
          <xdr:nvPicPr>
            <xdr:cNvPr id="32" name="Picture 31">
              <a:extLst>
                <a:ext uri="{FF2B5EF4-FFF2-40B4-BE49-F238E27FC236}">
                  <a16:creationId xmlns:a16="http://schemas.microsoft.com/office/drawing/2014/main" id="{B749A197-F67D-4E3A-B994-7FDED4AA4C38}"/>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590760" y="6466028"/>
              <a:ext cx="2398095" cy="1800000"/>
            </a:xfrm>
            <a:prstGeom prst="rect">
              <a:avLst/>
            </a:prstGeom>
            <a:ln>
              <a:solidFill>
                <a:schemeClr val="tx1"/>
              </a:solidFill>
            </a:ln>
          </xdr:spPr>
        </xdr:pic>
        <xdr:pic>
          <xdr:nvPicPr>
            <xdr:cNvPr id="33" name="Picture 32">
              <a:extLst>
                <a:ext uri="{FF2B5EF4-FFF2-40B4-BE49-F238E27FC236}">
                  <a16:creationId xmlns:a16="http://schemas.microsoft.com/office/drawing/2014/main" id="{B5BA9EE4-0349-4564-8672-02A5A2654B01}"/>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096948" y="6466028"/>
              <a:ext cx="1348594" cy="1800000"/>
            </a:xfrm>
            <a:prstGeom prst="rect">
              <a:avLst/>
            </a:prstGeom>
            <a:ln>
              <a:solidFill>
                <a:schemeClr val="tx1"/>
              </a:solidFill>
            </a:ln>
          </xdr:spPr>
        </xdr:pic>
        <xdr:pic>
          <xdr:nvPicPr>
            <xdr:cNvPr id="34" name="Picture 33">
              <a:extLst>
                <a:ext uri="{FF2B5EF4-FFF2-40B4-BE49-F238E27FC236}">
                  <a16:creationId xmlns:a16="http://schemas.microsoft.com/office/drawing/2014/main" id="{31D8E357-8F49-40DC-8FD6-A0DAA301004D}"/>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4580401" y="6466028"/>
              <a:ext cx="1348594" cy="1800000"/>
            </a:xfrm>
            <a:prstGeom prst="rect">
              <a:avLst/>
            </a:prstGeom>
            <a:ln>
              <a:solidFill>
                <a:schemeClr val="tx1"/>
              </a:solidFill>
            </a:ln>
          </xdr:spPr>
        </xdr:pic>
      </xdr:grpSp>
      <xdr:sp macro="" textlink="">
        <xdr:nvSpPr>
          <xdr:cNvPr id="24" name="TextBox 60">
            <a:extLst>
              <a:ext uri="{FF2B5EF4-FFF2-40B4-BE49-F238E27FC236}">
                <a16:creationId xmlns:a16="http://schemas.microsoft.com/office/drawing/2014/main" id="{C263B81A-1508-48A7-953A-7AB0CC52D38F}"/>
              </a:ext>
            </a:extLst>
          </xdr:cNvPr>
          <xdr:cNvSpPr txBox="1"/>
        </xdr:nvSpPr>
        <xdr:spPr>
          <a:xfrm>
            <a:off x="547660" y="508640"/>
            <a:ext cx="1162498"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Bldg No. 1</a:t>
            </a:r>
            <a:endParaRPr lang="en-IN" b="1"/>
          </a:p>
        </xdr:txBody>
      </xdr:sp>
      <xdr:sp macro="" textlink="">
        <xdr:nvSpPr>
          <xdr:cNvPr id="25" name="TextBox 61">
            <a:extLst>
              <a:ext uri="{FF2B5EF4-FFF2-40B4-BE49-F238E27FC236}">
                <a16:creationId xmlns:a16="http://schemas.microsoft.com/office/drawing/2014/main" id="{D963A807-4193-4303-B749-E9CD3A47F87A}"/>
              </a:ext>
            </a:extLst>
          </xdr:cNvPr>
          <xdr:cNvSpPr txBox="1"/>
        </xdr:nvSpPr>
        <xdr:spPr>
          <a:xfrm>
            <a:off x="3417903" y="406435"/>
            <a:ext cx="1162498"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Bldg No. 1</a:t>
            </a:r>
            <a:endParaRPr lang="en-IN" b="1"/>
          </a:p>
        </xdr:txBody>
      </xdr:sp>
      <xdr:sp macro="" textlink="">
        <xdr:nvSpPr>
          <xdr:cNvPr id="26" name="TextBox 62">
            <a:extLst>
              <a:ext uri="{FF2B5EF4-FFF2-40B4-BE49-F238E27FC236}">
                <a16:creationId xmlns:a16="http://schemas.microsoft.com/office/drawing/2014/main" id="{72550587-9EC2-439D-A101-1FB847DFD82A}"/>
              </a:ext>
            </a:extLst>
          </xdr:cNvPr>
          <xdr:cNvSpPr txBox="1"/>
        </xdr:nvSpPr>
        <xdr:spPr>
          <a:xfrm>
            <a:off x="1036902" y="5287335"/>
            <a:ext cx="1162498"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Bldg No. 2</a:t>
            </a:r>
            <a:endParaRPr lang="en-IN" b="1"/>
          </a:p>
        </xdr:txBody>
      </xdr:sp>
    </xdr:grpSp>
    <xdr:clientData/>
  </xdr:twoCellAnchor>
  <xdr:twoCellAnchor>
    <xdr:from>
      <xdr:col>0</xdr:col>
      <xdr:colOff>687456</xdr:colOff>
      <xdr:row>342</xdr:row>
      <xdr:rowOff>82826</xdr:rowOff>
    </xdr:from>
    <xdr:to>
      <xdr:col>7</xdr:col>
      <xdr:colOff>173673</xdr:colOff>
      <xdr:row>381</xdr:row>
      <xdr:rowOff>164151</xdr:rowOff>
    </xdr:to>
    <xdr:grpSp>
      <xdr:nvGrpSpPr>
        <xdr:cNvPr id="35" name="Group 34">
          <a:extLst>
            <a:ext uri="{FF2B5EF4-FFF2-40B4-BE49-F238E27FC236}">
              <a16:creationId xmlns:a16="http://schemas.microsoft.com/office/drawing/2014/main" id="{A00568C9-653F-45CD-9F38-F028487269CC}"/>
            </a:ext>
          </a:extLst>
        </xdr:cNvPr>
        <xdr:cNvGrpSpPr/>
      </xdr:nvGrpSpPr>
      <xdr:grpSpPr>
        <a:xfrm>
          <a:off x="687456" y="56843167"/>
          <a:ext cx="5365740" cy="6497711"/>
          <a:chOff x="729000" y="753035"/>
          <a:chExt cx="5400000" cy="6541760"/>
        </a:xfrm>
      </xdr:grpSpPr>
      <xdr:pic>
        <xdr:nvPicPr>
          <xdr:cNvPr id="36" name="Picture 35">
            <a:extLst>
              <a:ext uri="{FF2B5EF4-FFF2-40B4-BE49-F238E27FC236}">
                <a16:creationId xmlns:a16="http://schemas.microsoft.com/office/drawing/2014/main" id="{B9DD5AA2-B0C0-41D1-A8F6-D6FFB64FD676}"/>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a:stretch/>
        </xdr:blipFill>
        <xdr:spPr>
          <a:xfrm>
            <a:off x="729000" y="753035"/>
            <a:ext cx="5400000" cy="3405406"/>
          </a:xfrm>
          <a:prstGeom prst="rect">
            <a:avLst/>
          </a:prstGeom>
          <a:ln>
            <a:solidFill>
              <a:schemeClr val="tx1"/>
            </a:solidFill>
          </a:ln>
        </xdr:spPr>
      </xdr:pic>
      <xdr:pic>
        <xdr:nvPicPr>
          <xdr:cNvPr id="37" name="Picture 36">
            <a:extLst>
              <a:ext uri="{FF2B5EF4-FFF2-40B4-BE49-F238E27FC236}">
                <a16:creationId xmlns:a16="http://schemas.microsoft.com/office/drawing/2014/main" id="{D637625F-0658-4BB2-9274-8048063E99EB}"/>
              </a:ext>
            </a:extLst>
          </xdr:cNvPr>
          <xdr:cNvPicPr>
            <a:picLocks noChangeAspect="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a:stretch/>
        </xdr:blipFill>
        <xdr:spPr>
          <a:xfrm>
            <a:off x="1449000" y="4536142"/>
            <a:ext cx="3960000" cy="2758653"/>
          </a:xfrm>
          <a:prstGeom prst="rect">
            <a:avLst/>
          </a:prstGeom>
          <a:ln>
            <a:solidFill>
              <a:schemeClr val="tx1"/>
            </a:solidFill>
          </a:ln>
        </xdr:spPr>
      </xdr:pic>
      <xdr:sp macro="" textlink="">
        <xdr:nvSpPr>
          <xdr:cNvPr id="38" name="Rectangle 37">
            <a:extLst>
              <a:ext uri="{FF2B5EF4-FFF2-40B4-BE49-F238E27FC236}">
                <a16:creationId xmlns:a16="http://schemas.microsoft.com/office/drawing/2014/main" id="{15D8CB2D-2F20-404B-B1B0-063BC6B33088}"/>
              </a:ext>
            </a:extLst>
          </xdr:cNvPr>
          <xdr:cNvSpPr/>
        </xdr:nvSpPr>
        <xdr:spPr>
          <a:xfrm rot="21155678">
            <a:off x="3597935" y="1699348"/>
            <a:ext cx="1022659" cy="1072318"/>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9" name="TextBox 70">
            <a:extLst>
              <a:ext uri="{FF2B5EF4-FFF2-40B4-BE49-F238E27FC236}">
                <a16:creationId xmlns:a16="http://schemas.microsoft.com/office/drawing/2014/main" id="{02691283-8619-4901-8B06-9B2B1004F7FF}"/>
              </a:ext>
            </a:extLst>
          </xdr:cNvPr>
          <xdr:cNvSpPr txBox="1"/>
        </xdr:nvSpPr>
        <xdr:spPr>
          <a:xfrm>
            <a:off x="3405500" y="1216117"/>
            <a:ext cx="1244893"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Om Square</a:t>
            </a:r>
            <a:endParaRPr lang="en-IN" b="1">
              <a:solidFill>
                <a:srgbClr val="FFFF00"/>
              </a:solidFill>
            </a:endParaRPr>
          </a:p>
        </xdr:txBody>
      </xdr:sp>
    </xdr:grpSp>
    <xdr:clientData/>
  </xdr:twoCellAnchor>
  <xdr:twoCellAnchor editAs="oneCell">
    <xdr:from>
      <xdr:col>13</xdr:col>
      <xdr:colOff>103909</xdr:colOff>
      <xdr:row>146</xdr:row>
      <xdr:rowOff>138545</xdr:rowOff>
    </xdr:from>
    <xdr:to>
      <xdr:col>17</xdr:col>
      <xdr:colOff>394368</xdr:colOff>
      <xdr:row>217</xdr:row>
      <xdr:rowOff>15141</xdr:rowOff>
    </xdr:to>
    <xdr:pic>
      <xdr:nvPicPr>
        <xdr:cNvPr id="41" name="Picture 40">
          <a:extLst>
            <a:ext uri="{FF2B5EF4-FFF2-40B4-BE49-F238E27FC236}">
              <a16:creationId xmlns:a16="http://schemas.microsoft.com/office/drawing/2014/main" id="{DBA165D7-0334-46C7-A2CD-14491092A724}"/>
            </a:ext>
          </a:extLst>
        </xdr:cNvPr>
        <xdr:cNvPicPr>
          <a:picLocks noChangeAspect="1"/>
        </xdr:cNvPicPr>
      </xdr:nvPicPr>
      <xdr:blipFill>
        <a:blip xmlns:r="http://schemas.openxmlformats.org/officeDocument/2006/relationships" r:embed="rId19"/>
        <a:stretch>
          <a:fillRect/>
        </a:stretch>
      </xdr:blipFill>
      <xdr:spPr>
        <a:xfrm>
          <a:off x="10191750" y="32307068"/>
          <a:ext cx="2715004" cy="3019846"/>
        </a:xfrm>
        <a:prstGeom prst="rect">
          <a:avLst/>
        </a:prstGeom>
      </xdr:spPr>
    </xdr:pic>
    <xdr:clientData/>
  </xdr:twoCellAnchor>
  <xdr:twoCellAnchor editAs="oneCell">
    <xdr:from>
      <xdr:col>8</xdr:col>
      <xdr:colOff>190501</xdr:colOff>
      <xdr:row>47</xdr:row>
      <xdr:rowOff>277091</xdr:rowOff>
    </xdr:from>
    <xdr:to>
      <xdr:col>13</xdr:col>
      <xdr:colOff>439433</xdr:colOff>
      <xdr:row>52</xdr:row>
      <xdr:rowOff>410847</xdr:rowOff>
    </xdr:to>
    <xdr:pic>
      <xdr:nvPicPr>
        <xdr:cNvPr id="12" name="Picture 11">
          <a:extLst>
            <a:ext uri="{FF2B5EF4-FFF2-40B4-BE49-F238E27FC236}">
              <a16:creationId xmlns:a16="http://schemas.microsoft.com/office/drawing/2014/main" id="{D385BAB3-DD18-41E2-BF22-9BA490B2708B}"/>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6927274" y="13871864"/>
          <a:ext cx="3600000" cy="1311392"/>
        </a:xfrm>
        <a:prstGeom prst="rect">
          <a:avLst/>
        </a:prstGeom>
      </xdr:spPr>
    </xdr:pic>
    <xdr:clientData/>
  </xdr:twoCellAnchor>
  <xdr:twoCellAnchor editAs="oneCell">
    <xdr:from>
      <xdr:col>8</xdr:col>
      <xdr:colOff>112568</xdr:colOff>
      <xdr:row>52</xdr:row>
      <xdr:rowOff>484909</xdr:rowOff>
    </xdr:from>
    <xdr:to>
      <xdr:col>19</xdr:col>
      <xdr:colOff>59850</xdr:colOff>
      <xdr:row>60</xdr:row>
      <xdr:rowOff>128258</xdr:rowOff>
    </xdr:to>
    <xdr:pic>
      <xdr:nvPicPr>
        <xdr:cNvPr id="13" name="Picture 12">
          <a:extLst>
            <a:ext uri="{FF2B5EF4-FFF2-40B4-BE49-F238E27FC236}">
              <a16:creationId xmlns:a16="http://schemas.microsoft.com/office/drawing/2014/main" id="{A21CE50C-CF48-4A44-B03C-11851655BACE}"/>
            </a:ext>
          </a:extLst>
        </xdr:cNvPr>
        <xdr:cNvPicPr>
          <a:picLocks noChangeAspect="1"/>
        </xdr:cNvPicPr>
      </xdr:nvPicPr>
      <xdr:blipFill>
        <a:blip xmlns:r="http://schemas.openxmlformats.org/officeDocument/2006/relationships" r:embed="rId21"/>
        <a:stretch>
          <a:fillRect/>
        </a:stretch>
      </xdr:blipFill>
      <xdr:spPr>
        <a:xfrm>
          <a:off x="6849341" y="15257318"/>
          <a:ext cx="6935168" cy="7430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307126</xdr:colOff>
      <xdr:row>18</xdr:row>
      <xdr:rowOff>171000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 y="0"/>
          <a:ext cx="6403125" cy="3600000"/>
        </a:xfrm>
        <a:prstGeom prst="rect">
          <a:avLst/>
        </a:prstGeom>
      </xdr:spPr>
    </xdr:pic>
    <xdr:clientData/>
  </xdr:twoCellAnchor>
  <xdr:twoCellAnchor editAs="oneCell">
    <xdr:from>
      <xdr:col>11</xdr:col>
      <xdr:colOff>95251</xdr:colOff>
      <xdr:row>0</xdr:row>
      <xdr:rowOff>0</xdr:rowOff>
    </xdr:from>
    <xdr:to>
      <xdr:col>21</xdr:col>
      <xdr:colOff>402376</xdr:colOff>
      <xdr:row>18</xdr:row>
      <xdr:rowOff>171000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6800851" y="0"/>
          <a:ext cx="6403125" cy="360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bzsftGEjA7tC9t17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390"/>
  <sheetViews>
    <sheetView tabSelected="1" view="pageBreakPreview" topLeftCell="A11" zoomScale="110" zoomScaleNormal="115" zoomScaleSheetLayoutView="110" workbookViewId="0">
      <selection activeCell="K241" sqref="K241"/>
    </sheetView>
  </sheetViews>
  <sheetFormatPr defaultRowHeight="12.75" x14ac:dyDescent="0.2"/>
  <cols>
    <col min="1" max="2" width="12" style="6" customWidth="1"/>
    <col min="3" max="8" width="12.85546875" style="6" customWidth="1"/>
    <col min="9" max="9" width="13.85546875" style="6" customWidth="1"/>
    <col min="10" max="16384" width="9.140625" style="6"/>
  </cols>
  <sheetData>
    <row r="1" spans="1:20" ht="41.25" customHeight="1" x14ac:dyDescent="0.2">
      <c r="A1" s="130" t="s">
        <v>146</v>
      </c>
      <c r="B1" s="130"/>
      <c r="C1" s="131"/>
      <c r="D1" s="131"/>
      <c r="E1" s="131"/>
      <c r="F1" s="131"/>
      <c r="G1" s="131"/>
      <c r="H1" s="131"/>
    </row>
    <row r="2" spans="1:20" ht="14.25" x14ac:dyDescent="0.2">
      <c r="A2" s="134" t="s">
        <v>85</v>
      </c>
      <c r="B2" s="134"/>
      <c r="C2" s="134"/>
      <c r="D2" s="134"/>
      <c r="E2" s="134"/>
      <c r="F2" s="134"/>
      <c r="G2" s="134"/>
      <c r="H2" s="134"/>
    </row>
    <row r="3" spans="1:20" ht="25.5" x14ac:dyDescent="0.2">
      <c r="A3" s="12" t="s">
        <v>102</v>
      </c>
      <c r="B3" s="12"/>
      <c r="C3" s="187" t="s">
        <v>109</v>
      </c>
      <c r="D3" s="188"/>
      <c r="E3" s="189"/>
      <c r="F3" s="11" t="s">
        <v>103</v>
      </c>
      <c r="G3" s="190">
        <v>45911</v>
      </c>
      <c r="H3" s="190"/>
    </row>
    <row r="4" spans="1:20" ht="25.5" x14ac:dyDescent="0.2">
      <c r="A4" s="12" t="s">
        <v>106</v>
      </c>
      <c r="B4" s="12"/>
      <c r="C4" s="187" t="s">
        <v>107</v>
      </c>
      <c r="D4" s="188"/>
      <c r="E4" s="189"/>
      <c r="F4" s="11" t="s">
        <v>104</v>
      </c>
      <c r="G4" s="191" t="s">
        <v>283</v>
      </c>
      <c r="H4" s="191"/>
    </row>
    <row r="5" spans="1:20" ht="25.5" x14ac:dyDescent="0.2">
      <c r="A5" s="141" t="s">
        <v>108</v>
      </c>
      <c r="B5" s="142"/>
      <c r="C5" s="187" t="s">
        <v>284</v>
      </c>
      <c r="D5" s="188"/>
      <c r="E5" s="189"/>
      <c r="F5" s="11" t="s">
        <v>105</v>
      </c>
      <c r="G5" s="192" t="str">
        <f ca="1">TEXT(TODAY(),"DD/MM/YYYY")</f>
        <v>18/09/2025</v>
      </c>
      <c r="H5" s="192"/>
    </row>
    <row r="6" spans="1:20" ht="14.25" x14ac:dyDescent="0.2">
      <c r="A6" s="134" t="s">
        <v>101</v>
      </c>
      <c r="B6" s="134"/>
      <c r="C6" s="134"/>
      <c r="D6" s="134"/>
      <c r="E6" s="134"/>
      <c r="F6" s="134"/>
      <c r="G6" s="134"/>
      <c r="H6" s="134"/>
    </row>
    <row r="7" spans="1:20" ht="14.25" x14ac:dyDescent="0.2">
      <c r="A7" s="150" t="s">
        <v>0</v>
      </c>
      <c r="B7" s="151"/>
      <c r="C7" s="136" t="s">
        <v>239</v>
      </c>
      <c r="D7" s="136"/>
      <c r="E7" s="136"/>
      <c r="F7" s="136"/>
      <c r="G7" s="136"/>
      <c r="H7" s="136"/>
    </row>
    <row r="8" spans="1:20" ht="26.25" customHeight="1" x14ac:dyDescent="0.2">
      <c r="A8" s="150" t="s">
        <v>1</v>
      </c>
      <c r="B8" s="151"/>
      <c r="C8" s="132" t="str">
        <f>CONCATENATE((IF(OR(C7="",C7="NA"),"",C7)),", ",(IF(OR(A9="",A9="NA"),"",A9)),".",(IF(OR(C9="",C9="NA"),"",C9)),", near ",(IF(OR(C17="",C17="NA"),"",C17)),", ",(IF(OR(C11="",C11="NA"),"",C11)),", ",(IF(OR(C10="",C10="NA"),"",C10)),", ",(IF(OR(C12="",C12="NA"),"",C12)),", ",(IF(OR(C13="",C13="NA"),"",C13)),", ",(IF(OR(C14="",C14="NA"),"",C14))," - ",(IF(OR(C15="",C15="NA"),"",C15)),".")</f>
        <v>Om Square, Survey No.40, Hissa No. 3, near Om Sai Heritage, Internal Road, Kalher, Bhiwandi Road, Bhiwandi, Thane - 421302.</v>
      </c>
      <c r="D8" s="132"/>
      <c r="E8" s="132"/>
      <c r="F8" s="132"/>
      <c r="G8" s="132"/>
      <c r="H8" s="132"/>
      <c r="P8" s="62" t="s">
        <v>150</v>
      </c>
      <c r="Q8" s="62" t="s">
        <v>151</v>
      </c>
      <c r="R8" s="62" t="s">
        <v>152</v>
      </c>
      <c r="S8" s="62" t="s">
        <v>153</v>
      </c>
      <c r="T8" s="62" t="s">
        <v>154</v>
      </c>
    </row>
    <row r="9" spans="1:20" ht="15" x14ac:dyDescent="0.2">
      <c r="A9" s="150" t="s">
        <v>240</v>
      </c>
      <c r="B9" s="151"/>
      <c r="C9" s="132" t="s">
        <v>241</v>
      </c>
      <c r="D9" s="132"/>
      <c r="E9" s="132"/>
      <c r="F9" s="132"/>
      <c r="G9" s="132"/>
      <c r="H9" s="132"/>
      <c r="P9" s="62" t="s">
        <v>155</v>
      </c>
      <c r="Q9" s="62" t="s">
        <v>156</v>
      </c>
      <c r="R9" s="62" t="s">
        <v>157</v>
      </c>
      <c r="S9" s="62" t="s">
        <v>158</v>
      </c>
      <c r="T9" s="62" t="s">
        <v>159</v>
      </c>
    </row>
    <row r="10" spans="1:20" ht="15" x14ac:dyDescent="0.2">
      <c r="A10" s="150" t="s">
        <v>6</v>
      </c>
      <c r="B10" s="151"/>
      <c r="C10" s="133" t="s">
        <v>242</v>
      </c>
      <c r="D10" s="133"/>
      <c r="E10" s="133"/>
      <c r="F10" s="133"/>
      <c r="G10" s="133"/>
      <c r="H10" s="133"/>
      <c r="P10" s="62" t="s">
        <v>160</v>
      </c>
      <c r="Q10" s="62" t="s">
        <v>161</v>
      </c>
      <c r="R10" s="62" t="s">
        <v>162</v>
      </c>
      <c r="S10" s="62" t="s">
        <v>163</v>
      </c>
      <c r="T10" s="62" t="s">
        <v>164</v>
      </c>
    </row>
    <row r="11" spans="1:20" ht="15" x14ac:dyDescent="0.2">
      <c r="A11" s="150" t="s">
        <v>148</v>
      </c>
      <c r="B11" s="151"/>
      <c r="C11" s="133" t="s">
        <v>243</v>
      </c>
      <c r="D11" s="133"/>
      <c r="E11" s="133"/>
      <c r="F11" s="133"/>
      <c r="G11" s="133"/>
      <c r="H11" s="133"/>
      <c r="P11" s="62" t="s">
        <v>165</v>
      </c>
      <c r="Q11" s="62" t="s">
        <v>166</v>
      </c>
      <c r="R11" s="62" t="s">
        <v>167</v>
      </c>
      <c r="S11" s="62" t="s">
        <v>168</v>
      </c>
      <c r="T11" s="62" t="s">
        <v>169</v>
      </c>
    </row>
    <row r="12" spans="1:20" ht="15" x14ac:dyDescent="0.2">
      <c r="A12" s="150" t="s">
        <v>149</v>
      </c>
      <c r="B12" s="151"/>
      <c r="C12" s="133" t="s">
        <v>244</v>
      </c>
      <c r="D12" s="133"/>
      <c r="E12" s="133"/>
      <c r="F12" s="133"/>
      <c r="G12" s="133"/>
      <c r="H12" s="133"/>
      <c r="P12" s="62" t="s">
        <v>170</v>
      </c>
      <c r="Q12" s="62" t="s">
        <v>171</v>
      </c>
      <c r="R12" s="62" t="s">
        <v>152</v>
      </c>
      <c r="S12" s="62" t="s">
        <v>172</v>
      </c>
      <c r="T12" s="62" t="s">
        <v>173</v>
      </c>
    </row>
    <row r="13" spans="1:20" ht="15" x14ac:dyDescent="0.2">
      <c r="A13" s="150" t="s">
        <v>136</v>
      </c>
      <c r="B13" s="151"/>
      <c r="C13" s="133" t="s">
        <v>170</v>
      </c>
      <c r="D13" s="133"/>
      <c r="E13" s="133"/>
      <c r="F13" s="133"/>
      <c r="G13" s="133"/>
      <c r="H13" s="133"/>
      <c r="P13" s="62" t="s">
        <v>174</v>
      </c>
      <c r="Q13" s="62" t="s">
        <v>151</v>
      </c>
      <c r="R13" s="62"/>
      <c r="S13" s="62" t="s">
        <v>175</v>
      </c>
      <c r="T13" s="62" t="s">
        <v>176</v>
      </c>
    </row>
    <row r="14" spans="1:20" ht="15" x14ac:dyDescent="0.2">
      <c r="A14" s="150" t="s">
        <v>137</v>
      </c>
      <c r="B14" s="151"/>
      <c r="C14" s="133" t="s">
        <v>155</v>
      </c>
      <c r="D14" s="133"/>
      <c r="E14" s="133"/>
      <c r="F14" s="133"/>
      <c r="G14" s="133"/>
      <c r="H14" s="133"/>
      <c r="P14" s="62" t="s">
        <v>177</v>
      </c>
      <c r="Q14" s="62" t="s">
        <v>178</v>
      </c>
      <c r="R14" s="62"/>
      <c r="S14" s="62" t="s">
        <v>179</v>
      </c>
      <c r="T14" s="62" t="s">
        <v>180</v>
      </c>
    </row>
    <row r="15" spans="1:20" ht="15" x14ac:dyDescent="0.2">
      <c r="A15" s="150" t="s">
        <v>138</v>
      </c>
      <c r="B15" s="151"/>
      <c r="C15" s="116">
        <v>421302</v>
      </c>
      <c r="D15" s="116"/>
      <c r="E15" s="116"/>
      <c r="F15" s="116"/>
      <c r="G15" s="116"/>
      <c r="H15" s="116"/>
      <c r="P15" s="62" t="s">
        <v>181</v>
      </c>
      <c r="Q15" s="62" t="s">
        <v>182</v>
      </c>
      <c r="R15" s="62"/>
      <c r="S15" s="62" t="s">
        <v>183</v>
      </c>
      <c r="T15" s="62" t="s">
        <v>184</v>
      </c>
    </row>
    <row r="16" spans="1:20" ht="15" x14ac:dyDescent="0.2">
      <c r="A16" s="150" t="s">
        <v>48</v>
      </c>
      <c r="B16" s="151"/>
      <c r="C16" s="132" t="s">
        <v>238</v>
      </c>
      <c r="D16" s="132"/>
      <c r="E16" s="132"/>
      <c r="F16" s="132"/>
      <c r="G16" s="132"/>
      <c r="H16" s="132"/>
      <c r="P16" s="62"/>
      <c r="Q16" s="62"/>
      <c r="R16" s="62"/>
      <c r="S16" s="62" t="s">
        <v>185</v>
      </c>
      <c r="T16" s="62" t="s">
        <v>186</v>
      </c>
    </row>
    <row r="17" spans="1:20" ht="15" x14ac:dyDescent="0.2">
      <c r="A17" s="150" t="s">
        <v>90</v>
      </c>
      <c r="B17" s="151"/>
      <c r="C17" s="111" t="s">
        <v>245</v>
      </c>
      <c r="D17" s="111"/>
      <c r="E17" s="111"/>
      <c r="F17" s="111"/>
      <c r="G17" s="111"/>
      <c r="H17" s="111"/>
      <c r="P17" s="62"/>
      <c r="Q17" s="62"/>
      <c r="R17" s="62"/>
      <c r="S17" s="62" t="s">
        <v>187</v>
      </c>
      <c r="T17" s="62" t="s">
        <v>188</v>
      </c>
    </row>
    <row r="18" spans="1:20" ht="15" x14ac:dyDescent="0.2">
      <c r="A18" s="150" t="s">
        <v>89</v>
      </c>
      <c r="B18" s="151"/>
      <c r="C18" s="140" t="s">
        <v>147</v>
      </c>
      <c r="D18" s="138"/>
      <c r="E18" s="139"/>
      <c r="F18" s="140" t="s">
        <v>246</v>
      </c>
      <c r="G18" s="138"/>
      <c r="H18" s="139"/>
      <c r="P18" s="62"/>
      <c r="Q18" s="62"/>
      <c r="R18" s="62"/>
      <c r="S18" s="62" t="s">
        <v>189</v>
      </c>
      <c r="T18" s="62" t="s">
        <v>190</v>
      </c>
    </row>
    <row r="19" spans="1:20" ht="15" x14ac:dyDescent="0.2">
      <c r="A19" s="150" t="s">
        <v>139</v>
      </c>
      <c r="B19" s="151"/>
      <c r="C19" s="137" t="s">
        <v>247</v>
      </c>
      <c r="D19" s="138"/>
      <c r="E19" s="138"/>
      <c r="F19" s="138"/>
      <c r="G19" s="138"/>
      <c r="H19" s="139"/>
      <c r="P19" s="62"/>
      <c r="Q19" s="62"/>
      <c r="R19" s="62"/>
      <c r="S19" s="62" t="s">
        <v>191</v>
      </c>
      <c r="T19" s="62" t="s">
        <v>192</v>
      </c>
    </row>
    <row r="20" spans="1:20" ht="15" x14ac:dyDescent="0.2">
      <c r="A20" s="150" t="s">
        <v>2</v>
      </c>
      <c r="B20" s="151"/>
      <c r="C20" s="132" t="s">
        <v>237</v>
      </c>
      <c r="D20" s="132"/>
      <c r="E20" s="132"/>
      <c r="F20" s="132"/>
      <c r="G20" s="132"/>
      <c r="H20" s="132"/>
      <c r="P20" s="62"/>
      <c r="Q20" s="62"/>
      <c r="R20" s="62"/>
      <c r="S20" s="62" t="s">
        <v>193</v>
      </c>
      <c r="T20" s="62" t="s">
        <v>194</v>
      </c>
    </row>
    <row r="21" spans="1:20" ht="27" customHeight="1" x14ac:dyDescent="0.2">
      <c r="A21" s="150" t="s">
        <v>3</v>
      </c>
      <c r="B21" s="151"/>
      <c r="C21" s="135" t="s">
        <v>248</v>
      </c>
      <c r="D21" s="135"/>
      <c r="E21" s="135"/>
      <c r="F21" s="135"/>
      <c r="G21" s="135"/>
      <c r="H21" s="135"/>
      <c r="P21" s="62"/>
      <c r="Q21" s="62"/>
      <c r="R21" s="62"/>
      <c r="S21" s="62" t="s">
        <v>195</v>
      </c>
      <c r="T21" s="62" t="s">
        <v>196</v>
      </c>
    </row>
    <row r="22" spans="1:20" ht="15" customHeight="1" x14ac:dyDescent="0.2">
      <c r="A22" s="150" t="s">
        <v>110</v>
      </c>
      <c r="B22" s="151"/>
      <c r="C22" s="116" t="s">
        <v>52</v>
      </c>
      <c r="D22" s="116"/>
      <c r="E22" s="116"/>
      <c r="F22" s="116"/>
      <c r="G22" s="116"/>
      <c r="H22" s="116"/>
      <c r="P22" s="62"/>
      <c r="Q22" s="62"/>
      <c r="R22" s="62"/>
      <c r="S22" s="62" t="s">
        <v>197</v>
      </c>
      <c r="T22" s="62" t="s">
        <v>198</v>
      </c>
    </row>
    <row r="23" spans="1:20" ht="26.25" customHeight="1" x14ac:dyDescent="0.2">
      <c r="A23" s="150" t="s">
        <v>4</v>
      </c>
      <c r="B23" s="151"/>
      <c r="C23" s="132" t="s">
        <v>249</v>
      </c>
      <c r="D23" s="133"/>
      <c r="E23" s="133"/>
      <c r="F23" s="133"/>
      <c r="G23" s="133"/>
      <c r="H23" s="133"/>
    </row>
    <row r="24" spans="1:20" x14ac:dyDescent="0.2">
      <c r="A24" s="150" t="s">
        <v>5</v>
      </c>
      <c r="B24" s="151"/>
      <c r="C24" s="133" t="s">
        <v>250</v>
      </c>
      <c r="D24" s="133"/>
      <c r="E24" s="133"/>
      <c r="F24" s="133"/>
      <c r="G24" s="133"/>
      <c r="H24" s="133"/>
    </row>
    <row r="25" spans="1:20" ht="27.75" customHeight="1" x14ac:dyDescent="0.2">
      <c r="A25" s="150" t="s">
        <v>87</v>
      </c>
      <c r="B25" s="151"/>
      <c r="C25" s="133" t="s">
        <v>251</v>
      </c>
      <c r="D25" s="133"/>
      <c r="E25" s="133"/>
      <c r="F25" s="133"/>
      <c r="G25" s="133"/>
      <c r="H25" s="133"/>
    </row>
    <row r="26" spans="1:20" ht="45.75" customHeight="1" x14ac:dyDescent="0.2">
      <c r="A26" s="164" t="s">
        <v>88</v>
      </c>
      <c r="B26" s="165"/>
      <c r="C26" s="123" t="s">
        <v>252</v>
      </c>
      <c r="D26" s="123"/>
      <c r="E26" s="123"/>
      <c r="F26" s="123"/>
      <c r="G26" s="123"/>
      <c r="H26" s="123"/>
    </row>
    <row r="27" spans="1:20" ht="38.25" x14ac:dyDescent="0.2">
      <c r="A27" s="150" t="s">
        <v>92</v>
      </c>
      <c r="B27" s="151"/>
      <c r="C27" s="110" t="s">
        <v>253</v>
      </c>
      <c r="D27" s="110"/>
      <c r="E27" s="110"/>
      <c r="F27" s="13" t="s">
        <v>7</v>
      </c>
      <c r="G27" s="112" t="s">
        <v>91</v>
      </c>
      <c r="H27" s="112"/>
    </row>
    <row r="28" spans="1:20" ht="25.5" x14ac:dyDescent="0.2">
      <c r="A28" s="150" t="s">
        <v>8</v>
      </c>
      <c r="B28" s="151"/>
      <c r="C28" s="116" t="s">
        <v>254</v>
      </c>
      <c r="D28" s="116"/>
      <c r="E28" s="116"/>
      <c r="F28" s="13" t="s">
        <v>125</v>
      </c>
      <c r="G28" s="118">
        <f>0.15*135</f>
        <v>20.25</v>
      </c>
      <c r="H28" s="118"/>
    </row>
    <row r="29" spans="1:20" ht="28.5" customHeight="1" x14ac:dyDescent="0.2">
      <c r="A29" s="150" t="s">
        <v>207</v>
      </c>
      <c r="B29" s="151"/>
      <c r="C29" s="140" t="s">
        <v>255</v>
      </c>
      <c r="D29" s="138"/>
      <c r="E29" s="156"/>
      <c r="F29" s="156"/>
      <c r="G29" s="156"/>
      <c r="H29" s="157"/>
    </row>
    <row r="30" spans="1:20" ht="27" customHeight="1" x14ac:dyDescent="0.2">
      <c r="A30" s="150" t="s">
        <v>208</v>
      </c>
      <c r="B30" s="151"/>
      <c r="C30" s="140" t="s">
        <v>256</v>
      </c>
      <c r="D30" s="138"/>
      <c r="E30" s="156"/>
      <c r="F30" s="156"/>
      <c r="G30" s="156"/>
      <c r="H30" s="157"/>
    </row>
    <row r="31" spans="1:20" ht="12.75" customHeight="1" x14ac:dyDescent="0.2">
      <c r="A31" s="195" t="s">
        <v>9</v>
      </c>
      <c r="B31" s="196"/>
      <c r="C31" s="193" t="s">
        <v>93</v>
      </c>
      <c r="D31" s="194"/>
      <c r="E31" s="14" t="s">
        <v>12</v>
      </c>
      <c r="F31" s="14" t="s">
        <v>13</v>
      </c>
      <c r="G31" s="14" t="s">
        <v>14</v>
      </c>
      <c r="H31" s="14" t="s">
        <v>15</v>
      </c>
    </row>
    <row r="32" spans="1:20" ht="12.75" customHeight="1" x14ac:dyDescent="0.2">
      <c r="A32" s="197"/>
      <c r="B32" s="198"/>
      <c r="C32" s="126" t="s">
        <v>10</v>
      </c>
      <c r="D32" s="127"/>
      <c r="E32" s="15" t="s">
        <v>228</v>
      </c>
      <c r="F32" s="20" t="s">
        <v>228</v>
      </c>
      <c r="G32" s="20" t="s">
        <v>228</v>
      </c>
      <c r="H32" s="20" t="s">
        <v>228</v>
      </c>
    </row>
    <row r="33" spans="1:11" ht="12.75" customHeight="1" x14ac:dyDescent="0.2">
      <c r="A33" s="197"/>
      <c r="B33" s="198"/>
      <c r="C33" s="126" t="s">
        <v>86</v>
      </c>
      <c r="D33" s="127"/>
      <c r="E33" s="16" t="s">
        <v>257</v>
      </c>
      <c r="F33" s="16" t="s">
        <v>258</v>
      </c>
      <c r="G33" s="16" t="s">
        <v>259</v>
      </c>
      <c r="H33" s="16" t="s">
        <v>260</v>
      </c>
    </row>
    <row r="34" spans="1:11" ht="30" customHeight="1" x14ac:dyDescent="0.2">
      <c r="A34" s="199"/>
      <c r="B34" s="200"/>
      <c r="C34" s="126" t="s">
        <v>11</v>
      </c>
      <c r="D34" s="127"/>
      <c r="E34" s="15" t="s">
        <v>261</v>
      </c>
      <c r="F34" s="15" t="s">
        <v>262</v>
      </c>
      <c r="G34" s="77" t="s">
        <v>261</v>
      </c>
      <c r="H34" s="77" t="s">
        <v>261</v>
      </c>
    </row>
    <row r="35" spans="1:11" ht="29.25" customHeight="1" x14ac:dyDescent="0.2">
      <c r="A35" s="150" t="s">
        <v>16</v>
      </c>
      <c r="B35" s="151"/>
      <c r="C35" s="119" t="s">
        <v>263</v>
      </c>
      <c r="D35" s="119"/>
      <c r="E35" s="119"/>
      <c r="F35" s="119"/>
      <c r="G35" s="119"/>
      <c r="H35" s="119"/>
    </row>
    <row r="36" spans="1:11" ht="38.25" customHeight="1" x14ac:dyDescent="0.2">
      <c r="A36" s="150" t="s">
        <v>132</v>
      </c>
      <c r="B36" s="151"/>
      <c r="C36" s="128">
        <v>3900</v>
      </c>
      <c r="D36" s="129"/>
      <c r="E36" s="117" t="s">
        <v>133</v>
      </c>
      <c r="F36" s="117"/>
      <c r="G36" s="114">
        <v>3705</v>
      </c>
      <c r="H36" s="114"/>
    </row>
    <row r="37" spans="1:11" x14ac:dyDescent="0.2">
      <c r="A37" s="150" t="s">
        <v>17</v>
      </c>
      <c r="B37" s="151"/>
      <c r="C37" s="115" t="s">
        <v>288</v>
      </c>
      <c r="D37" s="115"/>
      <c r="E37" s="115"/>
      <c r="F37" s="115"/>
      <c r="G37" s="115"/>
      <c r="H37" s="115"/>
    </row>
    <row r="38" spans="1:11" ht="133.5" customHeight="1" x14ac:dyDescent="0.2">
      <c r="A38" s="150" t="s">
        <v>124</v>
      </c>
      <c r="B38" s="151"/>
      <c r="C38" s="122" t="s">
        <v>289</v>
      </c>
      <c r="D38" s="122"/>
      <c r="E38" s="123"/>
      <c r="F38" s="123"/>
      <c r="G38" s="123"/>
      <c r="H38" s="123"/>
      <c r="I38" s="70">
        <f>12*3.28084</f>
        <v>39.370080000000002</v>
      </c>
    </row>
    <row r="39" spans="1:11" x14ac:dyDescent="0.2">
      <c r="A39" s="120" t="s">
        <v>94</v>
      </c>
      <c r="B39" s="120"/>
      <c r="C39" s="120"/>
      <c r="D39" s="120"/>
      <c r="E39" s="120"/>
      <c r="F39" s="120"/>
      <c r="G39" s="120"/>
      <c r="H39" s="120"/>
    </row>
    <row r="40" spans="1:11" ht="12.75" customHeight="1" x14ac:dyDescent="0.2">
      <c r="A40" s="158" t="s">
        <v>19</v>
      </c>
      <c r="B40" s="159"/>
      <c r="C40" s="121" t="s">
        <v>95</v>
      </c>
      <c r="D40" s="121"/>
      <c r="E40" s="121"/>
      <c r="F40" s="121"/>
      <c r="G40" s="114">
        <v>3705</v>
      </c>
      <c r="H40" s="114"/>
    </row>
    <row r="41" spans="1:11" x14ac:dyDescent="0.2">
      <c r="A41" s="160"/>
      <c r="B41" s="161"/>
      <c r="C41" s="121" t="s">
        <v>96</v>
      </c>
      <c r="D41" s="121"/>
      <c r="E41" s="121"/>
      <c r="F41" s="121"/>
      <c r="G41" s="114">
        <f>4075.5/G40</f>
        <v>1.1000000000000001</v>
      </c>
      <c r="H41" s="114"/>
    </row>
    <row r="42" spans="1:11" x14ac:dyDescent="0.2">
      <c r="A42" s="160"/>
      <c r="B42" s="161"/>
      <c r="C42" s="121" t="s">
        <v>97</v>
      </c>
      <c r="D42" s="121"/>
      <c r="E42" s="121"/>
      <c r="F42" s="121"/>
      <c r="G42" s="124">
        <f>G45/G40-G41</f>
        <v>1.1052928475033736</v>
      </c>
      <c r="H42" s="124"/>
    </row>
    <row r="43" spans="1:11" x14ac:dyDescent="0.2">
      <c r="A43" s="160"/>
      <c r="B43" s="161"/>
      <c r="C43" s="121" t="s">
        <v>98</v>
      </c>
      <c r="D43" s="121"/>
      <c r="E43" s="121"/>
      <c r="F43" s="121"/>
      <c r="G43" s="124">
        <f>G41+G42</f>
        <v>2.2052928475033737</v>
      </c>
      <c r="H43" s="124"/>
    </row>
    <row r="44" spans="1:11" x14ac:dyDescent="0.2">
      <c r="A44" s="160"/>
      <c r="B44" s="161"/>
      <c r="C44" s="115" t="s">
        <v>130</v>
      </c>
      <c r="D44" s="115"/>
      <c r="E44" s="115"/>
      <c r="F44" s="115"/>
      <c r="G44" s="114">
        <v>8250.98</v>
      </c>
      <c r="H44" s="114"/>
    </row>
    <row r="45" spans="1:11" x14ac:dyDescent="0.2">
      <c r="A45" s="162"/>
      <c r="B45" s="163"/>
      <c r="C45" s="121" t="s">
        <v>99</v>
      </c>
      <c r="D45" s="121"/>
      <c r="E45" s="121"/>
      <c r="F45" s="121"/>
      <c r="G45" s="114">
        <v>8170.61</v>
      </c>
      <c r="H45" s="114"/>
    </row>
    <row r="46" spans="1:11" ht="27.75" customHeight="1" x14ac:dyDescent="0.2">
      <c r="A46" s="150" t="s">
        <v>100</v>
      </c>
      <c r="B46" s="151"/>
      <c r="C46" s="140" t="s">
        <v>264</v>
      </c>
      <c r="D46" s="138"/>
      <c r="E46" s="138"/>
      <c r="F46" s="139"/>
      <c r="G46" s="68" t="s">
        <v>227</v>
      </c>
      <c r="H46" s="69">
        <v>45044</v>
      </c>
    </row>
    <row r="47" spans="1:11" ht="27" customHeight="1" x14ac:dyDescent="0.2">
      <c r="A47" s="150" t="s">
        <v>20</v>
      </c>
      <c r="B47" s="151"/>
      <c r="C47" s="111" t="s">
        <v>266</v>
      </c>
      <c r="D47" s="111"/>
      <c r="E47" s="112"/>
      <c r="F47" s="112"/>
      <c r="G47" s="112"/>
      <c r="H47" s="112"/>
      <c r="I47" s="18"/>
      <c r="J47" s="18"/>
      <c r="K47" s="18"/>
    </row>
    <row r="48" spans="1:11" ht="54" customHeight="1" x14ac:dyDescent="0.2">
      <c r="A48" s="164" t="s">
        <v>285</v>
      </c>
      <c r="B48" s="165"/>
      <c r="C48" s="140" t="s">
        <v>265</v>
      </c>
      <c r="D48" s="138"/>
      <c r="E48" s="138"/>
      <c r="F48" s="139"/>
      <c r="G48" s="68" t="s">
        <v>227</v>
      </c>
      <c r="H48" s="69">
        <v>45044</v>
      </c>
      <c r="I48" s="18"/>
      <c r="J48" s="18"/>
      <c r="K48" s="18"/>
    </row>
    <row r="49" spans="1:12" x14ac:dyDescent="0.2">
      <c r="A49" s="166" t="s">
        <v>21</v>
      </c>
      <c r="B49" s="167"/>
      <c r="C49" s="207" t="s">
        <v>111</v>
      </c>
      <c r="D49" s="209"/>
      <c r="E49" s="113" t="s">
        <v>267</v>
      </c>
      <c r="F49" s="113"/>
      <c r="G49" s="113"/>
      <c r="H49" s="113"/>
      <c r="I49" s="18"/>
      <c r="J49" s="18"/>
      <c r="K49" s="18"/>
    </row>
    <row r="50" spans="1:12" x14ac:dyDescent="0.2">
      <c r="A50" s="168"/>
      <c r="B50" s="169"/>
      <c r="C50" s="207" t="s">
        <v>112</v>
      </c>
      <c r="D50" s="209"/>
      <c r="E50" s="222" t="s">
        <v>267</v>
      </c>
      <c r="F50" s="223"/>
      <c r="G50" s="85" t="s">
        <v>227</v>
      </c>
      <c r="H50" s="84" t="s">
        <v>228</v>
      </c>
      <c r="J50" s="6" t="s">
        <v>235</v>
      </c>
    </row>
    <row r="51" spans="1:12" x14ac:dyDescent="0.2">
      <c r="A51" s="170"/>
      <c r="B51" s="171"/>
      <c r="C51" s="207" t="s">
        <v>236</v>
      </c>
      <c r="D51" s="224"/>
      <c r="E51" s="125" t="s">
        <v>267</v>
      </c>
      <c r="F51" s="113"/>
      <c r="G51" s="113"/>
      <c r="H51" s="113"/>
      <c r="I51" s="125" t="s">
        <v>234</v>
      </c>
      <c r="J51" s="113"/>
      <c r="K51" s="113"/>
      <c r="L51" s="113"/>
    </row>
    <row r="52" spans="1:12" ht="27" hidden="1" customHeight="1" x14ac:dyDescent="0.2">
      <c r="A52" s="94" t="s">
        <v>229</v>
      </c>
      <c r="B52" s="95"/>
      <c r="C52" s="207" t="s">
        <v>228</v>
      </c>
      <c r="D52" s="208"/>
      <c r="E52" s="208"/>
      <c r="F52" s="208"/>
      <c r="G52" s="208"/>
      <c r="H52" s="209"/>
    </row>
    <row r="53" spans="1:12" ht="60" customHeight="1" x14ac:dyDescent="0.2">
      <c r="A53" s="172" t="s">
        <v>297</v>
      </c>
      <c r="B53" s="173"/>
      <c r="C53" s="140" t="s">
        <v>296</v>
      </c>
      <c r="D53" s="138"/>
      <c r="E53" s="138"/>
      <c r="F53" s="139"/>
      <c r="G53" s="68" t="s">
        <v>227</v>
      </c>
      <c r="H53" s="69">
        <v>45912</v>
      </c>
    </row>
    <row r="54" spans="1:12" hidden="1" x14ac:dyDescent="0.2">
      <c r="A54" s="210" t="s">
        <v>230</v>
      </c>
      <c r="B54" s="211"/>
      <c r="C54" s="207"/>
      <c r="D54" s="208"/>
      <c r="E54" s="208"/>
      <c r="F54" s="209"/>
      <c r="G54" s="68" t="s">
        <v>227</v>
      </c>
      <c r="H54" s="69"/>
    </row>
    <row r="55" spans="1:12" ht="34.5" hidden="1" customHeight="1" x14ac:dyDescent="0.2">
      <c r="A55" s="212"/>
      <c r="B55" s="213"/>
      <c r="C55" s="207"/>
      <c r="D55" s="208"/>
      <c r="E55" s="208"/>
      <c r="F55" s="209"/>
      <c r="G55" s="68"/>
      <c r="H55" s="69"/>
    </row>
    <row r="56" spans="1:12" hidden="1" x14ac:dyDescent="0.2">
      <c r="A56" s="210" t="s">
        <v>231</v>
      </c>
      <c r="B56" s="211"/>
      <c r="C56" s="216"/>
      <c r="D56" s="217"/>
      <c r="E56" s="217"/>
      <c r="F56" s="218"/>
      <c r="G56" s="68" t="s">
        <v>227</v>
      </c>
      <c r="H56" s="69"/>
    </row>
    <row r="57" spans="1:12" ht="25.5" hidden="1" customHeight="1" x14ac:dyDescent="0.2">
      <c r="A57" s="214"/>
      <c r="B57" s="215"/>
      <c r="C57" s="219"/>
      <c r="D57" s="220"/>
      <c r="E57" s="220"/>
      <c r="F57" s="221"/>
      <c r="G57" s="68" t="s">
        <v>232</v>
      </c>
      <c r="H57" s="69"/>
    </row>
    <row r="58" spans="1:12" ht="25.5" hidden="1" customHeight="1" x14ac:dyDescent="0.2">
      <c r="A58" s="212"/>
      <c r="B58" s="213"/>
      <c r="C58" s="207" t="s">
        <v>233</v>
      </c>
      <c r="D58" s="208"/>
      <c r="E58" s="208"/>
      <c r="F58" s="209"/>
      <c r="G58" s="68"/>
      <c r="H58" s="69"/>
    </row>
    <row r="59" spans="1:12" ht="13.5" thickBot="1" x14ac:dyDescent="0.25">
      <c r="A59" s="96" t="s">
        <v>22</v>
      </c>
      <c r="B59" s="96"/>
      <c r="C59" s="96"/>
      <c r="D59" s="96"/>
      <c r="E59" s="96"/>
      <c r="F59" s="96"/>
      <c r="G59" s="96"/>
      <c r="H59" s="96"/>
    </row>
    <row r="60" spans="1:12" ht="12.75" customHeight="1" x14ac:dyDescent="0.2">
      <c r="A60" s="94" t="s">
        <v>23</v>
      </c>
      <c r="B60" s="95"/>
      <c r="C60" s="230" t="s">
        <v>268</v>
      </c>
      <c r="D60" s="231"/>
      <c r="E60" s="94" t="s">
        <v>24</v>
      </c>
      <c r="F60" s="95"/>
      <c r="G60" s="228">
        <v>46387</v>
      </c>
      <c r="H60" s="229"/>
      <c r="I60" s="44" t="str">
        <f ca="1">(IF(G66&gt;99%,"All work completed. Please provide OC.",IF(G66&gt;89.8%,"Plinth, RCC, Brick, Plaster, Flooring, Painting work Completed. Finishing work is in process.",IF(G66&lt;94%,(IF(E66=0,"Work not yet Started.",IF(F66=25%,"Piling work in process",IF(F66=50%,"Excavation work in process",IF(F66=100%,"Excavation work Completed. ","0")))&amp;(IF(E67=0%,"",IF(E67=J66,"Footing work is process",IF(E67=J67,"Footing work Completed",IF(E67=J68,"1st Basement Completed",IF(E67=J69,"1st &amp; 2nd Basement Completed",IF(E67=J70,"1st to 3rd Basement Completed",IF(E67=J71,"1st to 4th Basement Completed",IF(E67=J72,"Plinth work is process",IF(E67=J73,"Plinth work completed","0")))))))))))&amp;(IF(E68=(F63+G63+H63),", RCC Slab",IF(E68&gt;0,", RCC upto "&amp;E68&amp;" Slab",""))&amp;(IF(E69=H63,", Brickwork",IF(E69&gt;0,", Brickwork upto "&amp;E69&amp;" Floor",""))&amp;(IF(E70=H63,", Internal Plaster",IF(E70&gt;0,", Internal Plaster upto "&amp;E70&amp;" Floor",""))&amp;(IF(E71=H63,", External Plaster",IF(E71&gt;0,", External Plaster upto "&amp;E71&amp;" Floor",""))&amp;(IF(E72=H63,", Flooring",IF(E72&gt;0,", Flooring upto "&amp;E72&amp;" Floor",""))&amp;(IF(E73=H63,", Painting",IF(E73&gt;0,", Painting upto "&amp;E73&amp;" Floor",""))&amp;(IF(E74&gt;0,", Finishing upto "&amp;E74&amp;" Floor","")&amp;(IF(E68&gt;0.5," Completed",""))))))))))))))</f>
        <v>Excavation work Completed. Plinth work completed, RCC Slab, Brickwork, Internal Plaster upto 12 Floor, External Plaster upto 10 Floor Completed</v>
      </c>
      <c r="J60" s="45"/>
    </row>
    <row r="61" spans="1:12" ht="13.5" thickBot="1" x14ac:dyDescent="0.25">
      <c r="A61" s="227" t="s">
        <v>57</v>
      </c>
      <c r="B61" s="227"/>
      <c r="C61" s="227"/>
      <c r="D61" s="227"/>
      <c r="E61" s="227"/>
      <c r="F61" s="227"/>
      <c r="G61" s="227"/>
      <c r="H61" s="227"/>
      <c r="I61" s="48"/>
      <c r="J61" s="49"/>
    </row>
    <row r="62" spans="1:12" ht="26.25" customHeight="1" x14ac:dyDescent="0.2">
      <c r="A62" s="201" t="s">
        <v>270</v>
      </c>
      <c r="B62" s="202"/>
      <c r="C62" s="202"/>
      <c r="D62" s="203"/>
      <c r="E62" s="42" t="s">
        <v>58</v>
      </c>
      <c r="F62" s="42" t="s">
        <v>59</v>
      </c>
      <c r="G62" s="42" t="s">
        <v>60</v>
      </c>
      <c r="H62" s="43" t="s">
        <v>46</v>
      </c>
      <c r="I62" s="48" t="s">
        <v>141</v>
      </c>
      <c r="J62" s="49"/>
    </row>
    <row r="63" spans="1:12" x14ac:dyDescent="0.2">
      <c r="A63" s="204"/>
      <c r="B63" s="205"/>
      <c r="C63" s="205"/>
      <c r="D63" s="206"/>
      <c r="E63" s="46">
        <v>0</v>
      </c>
      <c r="F63" s="46">
        <v>1</v>
      </c>
      <c r="G63" s="46">
        <v>0</v>
      </c>
      <c r="H63" s="47">
        <f ca="1">--TRIM(RIGHT(SUBSTITUTE(LEFT(A62,_xlfn.AGGREGATE(16,6,FIND({0,1,2,3,4,5,6,7,8,9},A62,ROW(INDIRECT("1:"&amp;LEN(A62)))),1))," ",REPT(" ",LEN(A62))),LEN(A62)))</f>
        <v>13</v>
      </c>
      <c r="I63" s="1" t="s">
        <v>64</v>
      </c>
      <c r="J63" s="51">
        <f ca="1">H63*25%</f>
        <v>3.25</v>
      </c>
    </row>
    <row r="64" spans="1:12" ht="30.75" customHeight="1" x14ac:dyDescent="0.2">
      <c r="A64" s="65" t="s">
        <v>140</v>
      </c>
      <c r="B64" s="64"/>
      <c r="C64" s="238" t="str">
        <f ca="1">I60</f>
        <v>Excavation work Completed. Plinth work completed, RCC Slab, Brickwork, Internal Plaster upto 12 Floor, External Plaster upto 10 Floor Completed</v>
      </c>
      <c r="D64" s="238"/>
      <c r="E64" s="238"/>
      <c r="F64" s="238"/>
      <c r="G64" s="238"/>
      <c r="H64" s="239"/>
      <c r="I64" s="1" t="s">
        <v>66</v>
      </c>
      <c r="J64" s="54">
        <f ca="1">H63*50%</f>
        <v>6.5</v>
      </c>
    </row>
    <row r="65" spans="1:10" ht="15" customHeight="1" x14ac:dyDescent="0.2">
      <c r="A65" s="102" t="s">
        <v>61</v>
      </c>
      <c r="B65" s="103"/>
      <c r="C65" s="237" t="s">
        <v>142</v>
      </c>
      <c r="D65" s="237"/>
      <c r="E65" s="50" t="s">
        <v>62</v>
      </c>
      <c r="F65" s="50" t="s">
        <v>63</v>
      </c>
      <c r="G65" s="174" t="s">
        <v>56</v>
      </c>
      <c r="H65" s="175"/>
      <c r="I65" s="1" t="s">
        <v>68</v>
      </c>
      <c r="J65" s="54">
        <f ca="1">H63</f>
        <v>13</v>
      </c>
    </row>
    <row r="66" spans="1:10" ht="15" customHeight="1" x14ac:dyDescent="0.2">
      <c r="A66" s="102" t="s">
        <v>65</v>
      </c>
      <c r="B66" s="103"/>
      <c r="C66" s="108">
        <v>0</v>
      </c>
      <c r="D66" s="108"/>
      <c r="E66" s="52">
        <f ca="1">J65</f>
        <v>13</v>
      </c>
      <c r="F66" s="53">
        <f ca="1">((100/H63)*E66)/100</f>
        <v>1</v>
      </c>
      <c r="G66" s="176">
        <f ca="1">(((E67/H63*10)+(40/(F63+G63+H63)*E68)+(15/(H63)*E69)+(5/(H63)*E70)+(5/H63*E71)+(10/H63*E72)+(5/H63*E73)+(5/H63*E74)+(5/H63*E75))/100)</f>
        <v>0.73461538461538456</v>
      </c>
      <c r="H66" s="177"/>
      <c r="I66" s="1" t="s">
        <v>70</v>
      </c>
      <c r="J66" s="56">
        <f ca="1">(IF(E63&gt;1,(H63/(E63+2)),H63/4))</f>
        <v>3.25</v>
      </c>
    </row>
    <row r="67" spans="1:10" ht="15" customHeight="1" x14ac:dyDescent="0.2">
      <c r="A67" s="102" t="s">
        <v>67</v>
      </c>
      <c r="B67" s="103"/>
      <c r="C67" s="108">
        <v>0.1</v>
      </c>
      <c r="D67" s="108"/>
      <c r="E67" s="55">
        <f ca="1">J73</f>
        <v>13</v>
      </c>
      <c r="F67" s="53">
        <f ca="1">((100/H63)*E67)/100</f>
        <v>1</v>
      </c>
      <c r="G67" s="176"/>
      <c r="H67" s="177"/>
      <c r="I67" s="1" t="s">
        <v>72</v>
      </c>
      <c r="J67" s="56">
        <f ca="1">(IF(E63&gt;1,(H63/(E63+2)+J66),H63/4+J66))</f>
        <v>6.5</v>
      </c>
    </row>
    <row r="68" spans="1:10" ht="15" customHeight="1" x14ac:dyDescent="0.2">
      <c r="A68" s="102" t="s">
        <v>69</v>
      </c>
      <c r="B68" s="103"/>
      <c r="C68" s="108">
        <v>0.4</v>
      </c>
      <c r="D68" s="108"/>
      <c r="E68" s="55">
        <v>14</v>
      </c>
      <c r="F68" s="53">
        <f ca="1">((100/(F63+G63+H63))*E68)/100</f>
        <v>1</v>
      </c>
      <c r="G68" s="176"/>
      <c r="H68" s="177"/>
      <c r="I68" s="1" t="s">
        <v>74</v>
      </c>
      <c r="J68" s="56">
        <f>(IF(E63&gt;1,(H63/(E63+2)+J67),0))</f>
        <v>0</v>
      </c>
    </row>
    <row r="69" spans="1:10" ht="15" customHeight="1" x14ac:dyDescent="0.2">
      <c r="A69" s="102" t="s">
        <v>71</v>
      </c>
      <c r="B69" s="103"/>
      <c r="C69" s="108">
        <v>0.15</v>
      </c>
      <c r="D69" s="108"/>
      <c r="E69" s="52">
        <v>13</v>
      </c>
      <c r="F69" s="53">
        <f ca="1">((100/H63)*E69)/100</f>
        <v>1</v>
      </c>
      <c r="G69" s="176"/>
      <c r="H69" s="177"/>
      <c r="I69" s="1" t="s">
        <v>76</v>
      </c>
      <c r="J69" s="56">
        <f>(IF(E63&gt;2,(H63/(E63+2)+J68),0))</f>
        <v>0</v>
      </c>
    </row>
    <row r="70" spans="1:10" ht="15" customHeight="1" x14ac:dyDescent="0.2">
      <c r="A70" s="102" t="s">
        <v>73</v>
      </c>
      <c r="B70" s="103"/>
      <c r="C70" s="108">
        <v>0.05</v>
      </c>
      <c r="D70" s="108"/>
      <c r="E70" s="52">
        <v>12</v>
      </c>
      <c r="F70" s="53">
        <f ca="1">((100/H63)*E70)/100</f>
        <v>0.92307692307692302</v>
      </c>
      <c r="G70" s="176"/>
      <c r="H70" s="177"/>
      <c r="I70" s="1" t="s">
        <v>78</v>
      </c>
      <c r="J70" s="57">
        <f>(IF(E63&gt;3,(H63/(E63+2)+J69),0))</f>
        <v>0</v>
      </c>
    </row>
    <row r="71" spans="1:10" ht="15" customHeight="1" x14ac:dyDescent="0.2">
      <c r="A71" s="102" t="s">
        <v>75</v>
      </c>
      <c r="B71" s="103"/>
      <c r="C71" s="108">
        <v>0.05</v>
      </c>
      <c r="D71" s="108"/>
      <c r="E71" s="52">
        <v>10</v>
      </c>
      <c r="F71" s="53">
        <f ca="1">((100/(H63))*E71)/100</f>
        <v>0.76923076923076916</v>
      </c>
      <c r="G71" s="176"/>
      <c r="H71" s="177"/>
      <c r="I71" s="1" t="s">
        <v>80</v>
      </c>
      <c r="J71" s="56">
        <f>(IF(E63&gt;4,(H63/(E63+2)+J70),0))</f>
        <v>0</v>
      </c>
    </row>
    <row r="72" spans="1:10" ht="15" customHeight="1" x14ac:dyDescent="0.2">
      <c r="A72" s="102" t="s">
        <v>77</v>
      </c>
      <c r="B72" s="103"/>
      <c r="C72" s="108">
        <v>0.1</v>
      </c>
      <c r="D72" s="108"/>
      <c r="E72" s="52">
        <v>0</v>
      </c>
      <c r="F72" s="53">
        <f ca="1">((100/H63)*E72)/100</f>
        <v>0</v>
      </c>
      <c r="G72" s="176"/>
      <c r="H72" s="177"/>
      <c r="I72" s="1" t="s">
        <v>82</v>
      </c>
      <c r="J72" s="56">
        <f ca="1">(IF(E63=1,(H63/(E63+3)+J67),IF(E63=0,(H63/4+J67),IF(E63&gt;1,0))))</f>
        <v>9.75</v>
      </c>
    </row>
    <row r="73" spans="1:10" ht="15.75" customHeight="1" thickBot="1" x14ac:dyDescent="0.25">
      <c r="A73" s="102" t="s">
        <v>79</v>
      </c>
      <c r="B73" s="103"/>
      <c r="C73" s="108">
        <v>0.05</v>
      </c>
      <c r="D73" s="108"/>
      <c r="E73" s="52">
        <v>0</v>
      </c>
      <c r="F73" s="53">
        <f ca="1">((100/H63)*E73)/100</f>
        <v>0</v>
      </c>
      <c r="G73" s="176"/>
      <c r="H73" s="177"/>
      <c r="I73" s="60" t="s">
        <v>84</v>
      </c>
      <c r="J73" s="61">
        <f ca="1">(IF(E63&gt;1.5,(H63/(E63+2)+J67+MAX(0,J68-J67)+MAX(0,J69-J68)+MAX(0,J70-J69)+MAX(0,J71-J70)+MAX(0,J72-J71)),IF(E63=1,(H63/(E63+3)+J72),IF(E63=0,H63/4+J72))))</f>
        <v>13</v>
      </c>
    </row>
    <row r="74" spans="1:10" ht="28.5" customHeight="1" thickBot="1" x14ac:dyDescent="0.25">
      <c r="A74" s="102" t="s">
        <v>81</v>
      </c>
      <c r="B74" s="103"/>
      <c r="C74" s="108">
        <v>0.05</v>
      </c>
      <c r="D74" s="108"/>
      <c r="E74" s="52">
        <v>0</v>
      </c>
      <c r="F74" s="53">
        <f ca="1">((100/(H63))*E74)/100</f>
        <v>0</v>
      </c>
      <c r="G74" s="176"/>
      <c r="H74" s="177"/>
    </row>
    <row r="75" spans="1:10" ht="13.5" thickBot="1" x14ac:dyDescent="0.25">
      <c r="A75" s="183" t="s">
        <v>83</v>
      </c>
      <c r="B75" s="184"/>
      <c r="C75" s="232">
        <v>0.05</v>
      </c>
      <c r="D75" s="232"/>
      <c r="E75" s="58">
        <v>0</v>
      </c>
      <c r="F75" s="59">
        <f ca="1">((100/(H63))*E75)/100</f>
        <v>0</v>
      </c>
      <c r="G75" s="178"/>
      <c r="H75" s="179"/>
      <c r="I75" s="44" t="str">
        <f ca="1">(IF(G81&gt;99%,"All work completed. Please provide OC.",IF(G81&gt;89.8%,"Plinth, RCC, Brick, Plaster, Flooring, Painting work Completed. Finishing work is in process.",IF(G81&lt;94%,(IF(E81=0,"Work not yet Started.",IF(F81=25%,"Piling work in process",IF(F81=50%,"Excavation work in process",IF(F81=100%,"Excavation work Completed. ","0")))&amp;(IF(E82=0%,"",IF(E82=J81,"Footing work is process",IF(E82=J82,"Footing work Completed",IF(E82=J83,"1st Basement Completed",IF(E82=J84,"1st &amp; 2nd Basement Completed",IF(E82=J85,"1st to 3rd Basement Completed",IF(E82=J86,"1st to 4th Basement Completed",IF(E82=J87,"Plinth work is process",IF(E82=J88,"Plinth work completed","0")))))))))))&amp;(IF(E83=(F78+G78+H78),", RCC Slab",IF(E83&gt;0,", RCC upto "&amp;E83&amp;" Slab",""))&amp;(IF(E84=H78,", Brickwork",IF(E84&gt;0,", Brickwork upto "&amp;E84&amp;" Floor",""))&amp;(IF(E85=H78,", Internal Plaster",IF(E85&gt;0,", Internal Plaster upto "&amp;E85&amp;" Floor",""))&amp;(IF(E86=H78,", External Plaster",IF(E86&gt;0,", External Plaster upto "&amp;E86&amp;" Floor",""))&amp;(IF(E87=H78,", Flooring",IF(E87&gt;0,", Flooring upto "&amp;E87&amp;" Floor",""))&amp;(IF(E88=H78,", Painting",IF(E88&gt;0,", Painting upto "&amp;E88&amp;" Floor",""))&amp;(IF(E89&gt;0,", Finishing upto "&amp;E89&amp;" Floor","")&amp;(IF(E83&gt;0.5," Completed",""))))))))))))))</f>
        <v>Work not yet Started.</v>
      </c>
    </row>
    <row r="76" spans="1:10" ht="13.5" thickBot="1" x14ac:dyDescent="0.25">
      <c r="A76" s="227" t="s">
        <v>57</v>
      </c>
      <c r="B76" s="227"/>
      <c r="C76" s="227"/>
      <c r="D76" s="227"/>
      <c r="E76" s="227"/>
      <c r="F76" s="227"/>
      <c r="G76" s="227"/>
      <c r="H76" s="227"/>
      <c r="I76" s="48"/>
      <c r="J76" s="49"/>
    </row>
    <row r="77" spans="1:10" ht="26.25" customHeight="1" x14ac:dyDescent="0.2">
      <c r="A77" s="201" t="s">
        <v>269</v>
      </c>
      <c r="B77" s="202"/>
      <c r="C77" s="202"/>
      <c r="D77" s="203"/>
      <c r="E77" s="42" t="s">
        <v>58</v>
      </c>
      <c r="F77" s="42" t="s">
        <v>59</v>
      </c>
      <c r="G77" s="42" t="s">
        <v>60</v>
      </c>
      <c r="H77" s="43" t="s">
        <v>46</v>
      </c>
      <c r="I77" s="48" t="s">
        <v>141</v>
      </c>
      <c r="J77" s="49"/>
    </row>
    <row r="78" spans="1:10" x14ac:dyDescent="0.2">
      <c r="A78" s="204"/>
      <c r="B78" s="205"/>
      <c r="C78" s="205"/>
      <c r="D78" s="206"/>
      <c r="E78" s="46">
        <v>0</v>
      </c>
      <c r="F78" s="46">
        <v>1</v>
      </c>
      <c r="G78" s="46">
        <v>0</v>
      </c>
      <c r="H78" s="47">
        <f ca="1">--TRIM(RIGHT(SUBSTITUTE(LEFT(A77,_xlfn.AGGREGATE(16,6,FIND({0,1,2,3,4,5,6,7,8,9},A77,ROW(INDIRECT("1:"&amp;LEN(A77)))),1))," ",REPT(" ",LEN(A77))),LEN(A77)))</f>
        <v>13</v>
      </c>
      <c r="I78" s="1" t="s">
        <v>64</v>
      </c>
      <c r="J78" s="51">
        <f ca="1">H78*25%</f>
        <v>3.25</v>
      </c>
    </row>
    <row r="79" spans="1:10" ht="15" customHeight="1" x14ac:dyDescent="0.2">
      <c r="A79" s="65" t="s">
        <v>140</v>
      </c>
      <c r="B79" s="64"/>
      <c r="C79" s="238" t="str">
        <f ca="1">I75</f>
        <v>Work not yet Started.</v>
      </c>
      <c r="D79" s="238"/>
      <c r="E79" s="238"/>
      <c r="F79" s="238"/>
      <c r="G79" s="238"/>
      <c r="H79" s="239"/>
      <c r="I79" s="1" t="s">
        <v>66</v>
      </c>
      <c r="J79" s="54">
        <f ca="1">H78*50%</f>
        <v>6.5</v>
      </c>
    </row>
    <row r="80" spans="1:10" ht="15" customHeight="1" x14ac:dyDescent="0.2">
      <c r="A80" s="102" t="s">
        <v>61</v>
      </c>
      <c r="B80" s="103"/>
      <c r="C80" s="237" t="s">
        <v>142</v>
      </c>
      <c r="D80" s="237"/>
      <c r="E80" s="74" t="s">
        <v>62</v>
      </c>
      <c r="F80" s="74" t="s">
        <v>63</v>
      </c>
      <c r="G80" s="174" t="s">
        <v>56</v>
      </c>
      <c r="H80" s="175"/>
      <c r="I80" s="1" t="s">
        <v>68</v>
      </c>
      <c r="J80" s="54">
        <f ca="1">H78</f>
        <v>13</v>
      </c>
    </row>
    <row r="81" spans="1:10" ht="15" customHeight="1" x14ac:dyDescent="0.2">
      <c r="A81" s="102" t="s">
        <v>65</v>
      </c>
      <c r="B81" s="103"/>
      <c r="C81" s="108">
        <v>0</v>
      </c>
      <c r="D81" s="108"/>
      <c r="E81" s="52">
        <v>0</v>
      </c>
      <c r="F81" s="75">
        <f ca="1">((100/H78)*E81)/100</f>
        <v>0</v>
      </c>
      <c r="G81" s="176">
        <f ca="1">(((E82/H78*10)+(40/(F78+G78+H78)*E83)+(15/(H78)*E84)+(5/(H78)*E85)+(5/H78*E86)+(10/H78*E87)+(5/H78*E88)+(5/H78*E89)+(5/H78*E90))/100)</f>
        <v>0</v>
      </c>
      <c r="H81" s="177"/>
      <c r="I81" s="1" t="s">
        <v>70</v>
      </c>
      <c r="J81" s="56">
        <f ca="1">(IF(E78&gt;1,(H78/(E78+2)),H78/4))</f>
        <v>3.25</v>
      </c>
    </row>
    <row r="82" spans="1:10" ht="15" customHeight="1" x14ac:dyDescent="0.2">
      <c r="A82" s="102" t="s">
        <v>67</v>
      </c>
      <c r="B82" s="103"/>
      <c r="C82" s="108">
        <v>0.1</v>
      </c>
      <c r="D82" s="108"/>
      <c r="E82" s="55">
        <v>0</v>
      </c>
      <c r="F82" s="75">
        <f ca="1">((100/H78)*E82)/100</f>
        <v>0</v>
      </c>
      <c r="G82" s="176"/>
      <c r="H82" s="177"/>
      <c r="I82" s="1" t="s">
        <v>72</v>
      </c>
      <c r="J82" s="56">
        <f ca="1">(IF(E78&gt;1,(H78/(E78+2)+J81),H78/4+J81))</f>
        <v>6.5</v>
      </c>
    </row>
    <row r="83" spans="1:10" ht="15" customHeight="1" x14ac:dyDescent="0.2">
      <c r="A83" s="102" t="s">
        <v>69</v>
      </c>
      <c r="B83" s="103"/>
      <c r="C83" s="108">
        <v>0.4</v>
      </c>
      <c r="D83" s="108"/>
      <c r="E83" s="55">
        <v>0</v>
      </c>
      <c r="F83" s="75">
        <f ca="1">((100/(F78+G78+H78))*E83)/100</f>
        <v>0</v>
      </c>
      <c r="G83" s="176"/>
      <c r="H83" s="177"/>
      <c r="I83" s="1" t="s">
        <v>74</v>
      </c>
      <c r="J83" s="56">
        <f>(IF(E78&gt;1,(H78/(E78+2)+J82),0))</f>
        <v>0</v>
      </c>
    </row>
    <row r="84" spans="1:10" ht="15" customHeight="1" x14ac:dyDescent="0.2">
      <c r="A84" s="102" t="s">
        <v>71</v>
      </c>
      <c r="B84" s="103"/>
      <c r="C84" s="108">
        <v>0.15</v>
      </c>
      <c r="D84" s="108"/>
      <c r="E84" s="52">
        <v>0</v>
      </c>
      <c r="F84" s="75">
        <f ca="1">((100/H78)*E84)/100</f>
        <v>0</v>
      </c>
      <c r="G84" s="176"/>
      <c r="H84" s="177"/>
      <c r="I84" s="1" t="s">
        <v>76</v>
      </c>
      <c r="J84" s="56">
        <f>(IF(E78&gt;2,(H78/(E78+2)+J83),0))</f>
        <v>0</v>
      </c>
    </row>
    <row r="85" spans="1:10" ht="15" customHeight="1" x14ac:dyDescent="0.2">
      <c r="A85" s="102" t="s">
        <v>73</v>
      </c>
      <c r="B85" s="103"/>
      <c r="C85" s="108">
        <v>0.05</v>
      </c>
      <c r="D85" s="108"/>
      <c r="E85" s="52">
        <v>0</v>
      </c>
      <c r="F85" s="75">
        <f ca="1">((100/H78)*E85)/100</f>
        <v>0</v>
      </c>
      <c r="G85" s="176"/>
      <c r="H85" s="177"/>
      <c r="I85" s="1" t="s">
        <v>78</v>
      </c>
      <c r="J85" s="57">
        <f>(IF(E78&gt;3,(H78/(E78+2)+J84),0))</f>
        <v>0</v>
      </c>
    </row>
    <row r="86" spans="1:10" ht="15" customHeight="1" x14ac:dyDescent="0.2">
      <c r="A86" s="102" t="s">
        <v>75</v>
      </c>
      <c r="B86" s="103"/>
      <c r="C86" s="108">
        <v>0.05</v>
      </c>
      <c r="D86" s="108"/>
      <c r="E86" s="52">
        <v>0</v>
      </c>
      <c r="F86" s="75">
        <f ca="1">((100/(H78))*E86)/100</f>
        <v>0</v>
      </c>
      <c r="G86" s="176"/>
      <c r="H86" s="177"/>
      <c r="I86" s="1" t="s">
        <v>80</v>
      </c>
      <c r="J86" s="56">
        <f>(IF(E78&gt;4,(H78/(E78+2)+J85),0))</f>
        <v>0</v>
      </c>
    </row>
    <row r="87" spans="1:10" ht="15" customHeight="1" x14ac:dyDescent="0.2">
      <c r="A87" s="102" t="s">
        <v>77</v>
      </c>
      <c r="B87" s="103"/>
      <c r="C87" s="108">
        <v>0.1</v>
      </c>
      <c r="D87" s="108"/>
      <c r="E87" s="52">
        <v>0</v>
      </c>
      <c r="F87" s="75">
        <f ca="1">((100/H78)*E87)/100</f>
        <v>0</v>
      </c>
      <c r="G87" s="176"/>
      <c r="H87" s="177"/>
      <c r="I87" s="1" t="s">
        <v>82</v>
      </c>
      <c r="J87" s="56">
        <f ca="1">(IF(E78=1,(H78/(E78+3)+J82),IF(E78=0,(H78/4+J82),IF(E78&gt;1,0))))</f>
        <v>9.75</v>
      </c>
    </row>
    <row r="88" spans="1:10" ht="15.75" customHeight="1" thickBot="1" x14ac:dyDescent="0.25">
      <c r="A88" s="102" t="s">
        <v>79</v>
      </c>
      <c r="B88" s="103"/>
      <c r="C88" s="108">
        <v>0.05</v>
      </c>
      <c r="D88" s="108"/>
      <c r="E88" s="52">
        <v>0</v>
      </c>
      <c r="F88" s="75">
        <f ca="1">((100/H78)*E88)/100</f>
        <v>0</v>
      </c>
      <c r="G88" s="176"/>
      <c r="H88" s="177"/>
      <c r="I88" s="60" t="s">
        <v>84</v>
      </c>
      <c r="J88" s="61">
        <f ca="1">(IF(E78&gt;1.5,(H78/(E78+2)+J82+MAX(0,J83-J82)+MAX(0,J84-J83)+MAX(0,J85-J84)+MAX(0,J86-J85)+MAX(0,J87-J86)),IF(E78=1,(H78/(E78+3)+J87),IF(E78=0,H78/4+J87))))</f>
        <v>13</v>
      </c>
    </row>
    <row r="89" spans="1:10" ht="28.5" customHeight="1" x14ac:dyDescent="0.2">
      <c r="A89" s="102" t="s">
        <v>81</v>
      </c>
      <c r="B89" s="103"/>
      <c r="C89" s="108">
        <v>0.05</v>
      </c>
      <c r="D89" s="108"/>
      <c r="E89" s="52">
        <v>0</v>
      </c>
      <c r="F89" s="75">
        <f ca="1">((100/(H78))*E89)/100</f>
        <v>0</v>
      </c>
      <c r="G89" s="176"/>
      <c r="H89" s="177"/>
    </row>
    <row r="90" spans="1:10" ht="13.5" thickBot="1" x14ac:dyDescent="0.25">
      <c r="A90" s="183" t="s">
        <v>83</v>
      </c>
      <c r="B90" s="184"/>
      <c r="C90" s="232">
        <v>0.05</v>
      </c>
      <c r="D90" s="232"/>
      <c r="E90" s="58">
        <v>0</v>
      </c>
      <c r="F90" s="76">
        <f ca="1">((100/(H78))*E90)/100</f>
        <v>0</v>
      </c>
      <c r="G90" s="178"/>
      <c r="H90" s="179"/>
    </row>
    <row r="91" spans="1:10" x14ac:dyDescent="0.2">
      <c r="A91" s="162" t="s">
        <v>25</v>
      </c>
      <c r="B91" s="163"/>
      <c r="C91" s="143" t="s">
        <v>114</v>
      </c>
      <c r="D91" s="143"/>
      <c r="E91" s="143"/>
      <c r="F91" s="143"/>
      <c r="G91" s="143"/>
      <c r="H91" s="143"/>
    </row>
    <row r="92" spans="1:10" x14ac:dyDescent="0.2">
      <c r="A92" s="96" t="s">
        <v>26</v>
      </c>
      <c r="B92" s="96"/>
      <c r="C92" s="96"/>
      <c r="D92" s="96"/>
      <c r="E92" s="96"/>
      <c r="F92" s="96"/>
      <c r="G92" s="96"/>
      <c r="H92" s="96"/>
    </row>
    <row r="93" spans="1:10" x14ac:dyDescent="0.2">
      <c r="A93" s="185" t="s">
        <v>27</v>
      </c>
      <c r="B93" s="186"/>
      <c r="C93" s="233" t="s">
        <v>50</v>
      </c>
      <c r="D93" s="234"/>
      <c r="E93" s="105" t="s">
        <v>28</v>
      </c>
      <c r="F93" s="105"/>
      <c r="G93" s="15" t="s">
        <v>18</v>
      </c>
      <c r="H93" s="78" t="s">
        <v>52</v>
      </c>
    </row>
    <row r="94" spans="1:10" x14ac:dyDescent="0.2">
      <c r="A94" s="185" t="s">
        <v>29</v>
      </c>
      <c r="B94" s="186"/>
      <c r="C94" s="233" t="s">
        <v>49</v>
      </c>
      <c r="D94" s="234"/>
      <c r="E94" s="105" t="s">
        <v>30</v>
      </c>
      <c r="F94" s="105"/>
      <c r="G94" s="15" t="s">
        <v>18</v>
      </c>
      <c r="H94" s="78" t="s">
        <v>52</v>
      </c>
    </row>
    <row r="95" spans="1:10" x14ac:dyDescent="0.2">
      <c r="A95" s="185" t="s">
        <v>31</v>
      </c>
      <c r="B95" s="186"/>
      <c r="C95" s="233" t="s">
        <v>271</v>
      </c>
      <c r="D95" s="234"/>
      <c r="E95" s="105" t="s">
        <v>32</v>
      </c>
      <c r="F95" s="105"/>
      <c r="G95" s="15" t="s">
        <v>18</v>
      </c>
      <c r="H95" s="86" t="s">
        <v>52</v>
      </c>
    </row>
    <row r="96" spans="1:10" x14ac:dyDescent="0.2">
      <c r="A96" s="185" t="s">
        <v>33</v>
      </c>
      <c r="B96" s="186"/>
      <c r="C96" s="233" t="s">
        <v>122</v>
      </c>
      <c r="D96" s="234"/>
      <c r="E96" s="105" t="s">
        <v>34</v>
      </c>
      <c r="F96" s="105"/>
      <c r="G96" s="15" t="s">
        <v>18</v>
      </c>
      <c r="H96" s="78" t="s">
        <v>51</v>
      </c>
    </row>
    <row r="97" spans="1:8" x14ac:dyDescent="0.2">
      <c r="A97" s="185" t="s">
        <v>35</v>
      </c>
      <c r="B97" s="186"/>
      <c r="C97" s="233" t="s">
        <v>129</v>
      </c>
      <c r="D97" s="234"/>
      <c r="E97" s="105" t="s">
        <v>36</v>
      </c>
      <c r="F97" s="105"/>
      <c r="G97" s="15" t="s">
        <v>18</v>
      </c>
      <c r="H97" s="78" t="s">
        <v>52</v>
      </c>
    </row>
    <row r="98" spans="1:8" ht="27.75" customHeight="1" x14ac:dyDescent="0.2">
      <c r="A98" s="185" t="s">
        <v>37</v>
      </c>
      <c r="B98" s="186"/>
      <c r="C98" s="235" t="s">
        <v>143</v>
      </c>
      <c r="D98" s="236"/>
      <c r="E98" s="105" t="s">
        <v>38</v>
      </c>
      <c r="F98" s="105"/>
      <c r="G98" s="15" t="s">
        <v>18</v>
      </c>
      <c r="H98" s="78" t="s">
        <v>52</v>
      </c>
    </row>
    <row r="99" spans="1:8" x14ac:dyDescent="0.2">
      <c r="A99" s="185" t="s">
        <v>39</v>
      </c>
      <c r="B99" s="186"/>
      <c r="C99" s="235" t="s">
        <v>123</v>
      </c>
      <c r="D99" s="236"/>
      <c r="E99" s="105" t="s">
        <v>40</v>
      </c>
      <c r="F99" s="105"/>
      <c r="G99" s="15" t="s">
        <v>18</v>
      </c>
      <c r="H99" s="78" t="s">
        <v>52</v>
      </c>
    </row>
    <row r="100" spans="1:8" x14ac:dyDescent="0.2">
      <c r="A100" s="88" t="s">
        <v>41</v>
      </c>
      <c r="B100" s="90"/>
      <c r="C100" s="235" t="s">
        <v>128</v>
      </c>
      <c r="D100" s="236"/>
      <c r="E100" s="96" t="s">
        <v>42</v>
      </c>
      <c r="F100" s="96"/>
      <c r="G100" s="106" t="s">
        <v>52</v>
      </c>
      <c r="H100" s="106"/>
    </row>
    <row r="101" spans="1:8" ht="25.5" customHeight="1" x14ac:dyDescent="0.2">
      <c r="A101" s="88" t="s">
        <v>43</v>
      </c>
      <c r="B101" s="90"/>
      <c r="C101" s="240" t="s">
        <v>54</v>
      </c>
      <c r="D101" s="241"/>
      <c r="E101" s="96" t="s">
        <v>44</v>
      </c>
      <c r="F101" s="96"/>
      <c r="G101" s="105" t="s">
        <v>53</v>
      </c>
      <c r="H101" s="105"/>
    </row>
    <row r="102" spans="1:8" x14ac:dyDescent="0.2">
      <c r="A102" s="180" t="s">
        <v>199</v>
      </c>
      <c r="B102" s="181"/>
      <c r="C102" s="181"/>
      <c r="D102" s="181"/>
      <c r="E102" s="181"/>
      <c r="F102" s="181"/>
      <c r="G102" s="181"/>
      <c r="H102" s="182"/>
    </row>
    <row r="103" spans="1:8" x14ac:dyDescent="0.2">
      <c r="A103" s="96" t="s">
        <v>200</v>
      </c>
      <c r="B103" s="96"/>
      <c r="C103" s="88" t="s">
        <v>201</v>
      </c>
      <c r="D103" s="90"/>
      <c r="E103" s="96" t="s">
        <v>202</v>
      </c>
      <c r="F103" s="96"/>
      <c r="G103" s="96" t="s">
        <v>203</v>
      </c>
      <c r="H103" s="96"/>
    </row>
    <row r="104" spans="1:8" x14ac:dyDescent="0.2">
      <c r="A104" s="107" t="s">
        <v>280</v>
      </c>
      <c r="B104" s="107"/>
      <c r="C104" s="100">
        <f>COUNT(D118:D130)</f>
        <v>13</v>
      </c>
      <c r="D104" s="109"/>
      <c r="E104" s="100">
        <f t="shared" ref="E104" si="0">SUM(F118:F130)</f>
        <v>1956.7983240000001</v>
      </c>
      <c r="F104" s="109"/>
      <c r="G104" s="100">
        <f>SUM(H118:H130)</f>
        <v>3033.0374022000001</v>
      </c>
      <c r="H104" s="109"/>
    </row>
    <row r="105" spans="1:8" x14ac:dyDescent="0.2">
      <c r="A105" s="96" t="s">
        <v>204</v>
      </c>
      <c r="B105" s="96"/>
      <c r="C105" s="248">
        <f>SUM(C104)</f>
        <v>13</v>
      </c>
      <c r="D105" s="249"/>
      <c r="E105" s="225">
        <f>SUM(E104)</f>
        <v>1956.7983240000001</v>
      </c>
      <c r="F105" s="226"/>
      <c r="G105" s="225">
        <f>SUM(G104)</f>
        <v>3033.0374022000001</v>
      </c>
      <c r="H105" s="226"/>
    </row>
    <row r="106" spans="1:8" x14ac:dyDescent="0.2">
      <c r="A106" s="96" t="s">
        <v>205</v>
      </c>
      <c r="B106" s="96"/>
      <c r="C106" s="96"/>
      <c r="D106" s="96"/>
      <c r="E106" s="96"/>
      <c r="F106" s="96"/>
      <c r="G106" s="96"/>
      <c r="H106" s="96"/>
    </row>
    <row r="107" spans="1:8" x14ac:dyDescent="0.2">
      <c r="A107" s="96" t="s">
        <v>200</v>
      </c>
      <c r="B107" s="96"/>
      <c r="C107" s="88" t="s">
        <v>201</v>
      </c>
      <c r="D107" s="90"/>
      <c r="E107" s="96" t="s">
        <v>202</v>
      </c>
      <c r="F107" s="96"/>
      <c r="G107" s="96" t="s">
        <v>203</v>
      </c>
      <c r="H107" s="96"/>
    </row>
    <row r="108" spans="1:8" x14ac:dyDescent="0.2">
      <c r="A108" s="107" t="s">
        <v>281</v>
      </c>
      <c r="B108" s="107"/>
      <c r="C108" s="100">
        <f>COUNT(D136:D143)*11+COUNT(D145:D149,D151:D152)</f>
        <v>95</v>
      </c>
      <c r="D108" s="101"/>
      <c r="E108" s="100">
        <f t="shared" ref="E108" si="1">SUM(F136:F143)*11+SUM(F145:F149,F151:F152)</f>
        <v>44953.531740000006</v>
      </c>
      <c r="F108" s="101"/>
      <c r="G108" s="100">
        <f>SUM(H136:H143)*11+SUM(H145:H149,H151:H152)</f>
        <v>67430.297609999994</v>
      </c>
      <c r="H108" s="101"/>
    </row>
    <row r="109" spans="1:8" x14ac:dyDescent="0.2">
      <c r="A109" s="107" t="s">
        <v>282</v>
      </c>
      <c r="B109" s="107"/>
      <c r="C109" s="100">
        <f>COUNT(D156:D163)*5</f>
        <v>40</v>
      </c>
      <c r="D109" s="101"/>
      <c r="E109" s="100">
        <f t="shared" ref="E109" si="2">SUM(F156:F163)*5</f>
        <v>18901.799279999999</v>
      </c>
      <c r="F109" s="101"/>
      <c r="G109" s="100">
        <f t="shared" ref="G109" si="3">SUM(H156:H163)*5</f>
        <v>28352.698919999999</v>
      </c>
      <c r="H109" s="101"/>
    </row>
    <row r="110" spans="1:8" ht="15.75" customHeight="1" thickBot="1" x14ac:dyDescent="0.25">
      <c r="A110" s="254" t="s">
        <v>204</v>
      </c>
      <c r="B110" s="254"/>
      <c r="C110" s="250">
        <f>SUM(C108:C109)</f>
        <v>135</v>
      </c>
      <c r="D110" s="251"/>
      <c r="E110" s="152">
        <f>SUM(E108:E109)</f>
        <v>63855.331020000005</v>
      </c>
      <c r="F110" s="153"/>
      <c r="G110" s="152">
        <f>SUM(G108:G109)</f>
        <v>95782.996529999989</v>
      </c>
      <c r="H110" s="153"/>
    </row>
    <row r="111" spans="1:8" ht="13.5" thickBot="1" x14ac:dyDescent="0.25">
      <c r="A111" s="255" t="s">
        <v>206</v>
      </c>
      <c r="B111" s="256"/>
      <c r="C111" s="252">
        <f>C105+C110</f>
        <v>148</v>
      </c>
      <c r="D111" s="253"/>
      <c r="E111" s="154">
        <f>E105+E110</f>
        <v>65812.129344000001</v>
      </c>
      <c r="F111" s="154"/>
      <c r="G111" s="154">
        <f>G105+G110</f>
        <v>98816.033932199993</v>
      </c>
      <c r="H111" s="155"/>
    </row>
    <row r="112" spans="1:8" x14ac:dyDescent="0.2">
      <c r="A112" s="144" t="s">
        <v>45</v>
      </c>
      <c r="B112" s="144"/>
      <c r="C112" s="144"/>
      <c r="D112" s="144"/>
      <c r="E112" s="144"/>
      <c r="F112" s="144"/>
      <c r="G112" s="144"/>
      <c r="H112" s="144"/>
    </row>
    <row r="113" spans="1:9" x14ac:dyDescent="0.2">
      <c r="A113" s="96" t="s">
        <v>217</v>
      </c>
      <c r="B113" s="96"/>
      <c r="C113" s="96"/>
      <c r="D113" s="96"/>
      <c r="E113" s="96"/>
      <c r="F113" s="96"/>
      <c r="G113" s="96"/>
      <c r="H113" s="96"/>
    </row>
    <row r="114" spans="1:9" ht="38.25" x14ac:dyDescent="0.2">
      <c r="A114" s="244" t="s">
        <v>218</v>
      </c>
      <c r="B114" s="242" t="s">
        <v>219</v>
      </c>
      <c r="C114" s="244" t="s">
        <v>131</v>
      </c>
      <c r="D114" s="242" t="s">
        <v>212</v>
      </c>
      <c r="E114" s="242" t="s">
        <v>215</v>
      </c>
      <c r="F114" s="244" t="s">
        <v>213</v>
      </c>
      <c r="G114" s="22" t="s">
        <v>214</v>
      </c>
      <c r="H114" s="63" t="s">
        <v>144</v>
      </c>
      <c r="I114" s="17">
        <v>10.763999999999999</v>
      </c>
    </row>
    <row r="115" spans="1:9" x14ac:dyDescent="0.2">
      <c r="A115" s="245"/>
      <c r="B115" s="243"/>
      <c r="C115" s="245"/>
      <c r="D115" s="243"/>
      <c r="E115" s="243"/>
      <c r="F115" s="245"/>
      <c r="G115" s="23"/>
      <c r="H115" s="79">
        <v>0.55000000000000004</v>
      </c>
    </row>
    <row r="116" spans="1:9" x14ac:dyDescent="0.2">
      <c r="A116" s="149" t="s">
        <v>135</v>
      </c>
      <c r="B116" s="149"/>
      <c r="C116" s="149"/>
      <c r="D116" s="149"/>
      <c r="E116" s="149"/>
      <c r="F116" s="149"/>
      <c r="G116" s="149"/>
      <c r="H116" s="149"/>
    </row>
    <row r="117" spans="1:9" x14ac:dyDescent="0.2">
      <c r="A117" s="149" t="s">
        <v>272</v>
      </c>
      <c r="B117" s="149"/>
      <c r="C117" s="149"/>
      <c r="D117" s="149"/>
      <c r="E117" s="149"/>
      <c r="F117" s="149"/>
      <c r="G117" s="149"/>
      <c r="H117" s="149"/>
    </row>
    <row r="118" spans="1:9" x14ac:dyDescent="0.2">
      <c r="A118" s="246">
        <v>1</v>
      </c>
      <c r="B118" s="247"/>
      <c r="C118" s="19" t="s">
        <v>216</v>
      </c>
      <c r="D118" s="17">
        <f>(2.7*4.65)*10.764</f>
        <v>135.14202</v>
      </c>
      <c r="E118" s="16">
        <v>0</v>
      </c>
      <c r="F118" s="17">
        <f>D118+(IF(E118&lt;201,E118,IF(E118&lt;301,E118/2,E118/3)))</f>
        <v>135.14202</v>
      </c>
      <c r="G118" s="17">
        <v>0</v>
      </c>
      <c r="H118" s="17">
        <f t="shared" ref="H118:H129" si="4">F118*(($H$115)+1)+(IF(G118&lt;101,G118,IF(G118&lt;201,G118/2,IF(G118&lt;=301,G118/3,G118/4))))</f>
        <v>209.47013100000001</v>
      </c>
    </row>
    <row r="119" spans="1:9" x14ac:dyDescent="0.2">
      <c r="A119" s="246">
        <f>A118+1</f>
        <v>2</v>
      </c>
      <c r="B119" s="247"/>
      <c r="C119" s="19" t="s">
        <v>216</v>
      </c>
      <c r="D119" s="17">
        <f>(3.45*4.65)*10.764</f>
        <v>172.68146999999999</v>
      </c>
      <c r="E119" s="19">
        <v>0</v>
      </c>
      <c r="F119" s="17">
        <f t="shared" ref="F119:F129" si="5">D119+(IF(E119&lt;201,E119,IF(E119&lt;301,E119/2,E119/3)))</f>
        <v>172.68146999999999</v>
      </c>
      <c r="G119" s="17">
        <v>0</v>
      </c>
      <c r="H119" s="17">
        <f t="shared" si="4"/>
        <v>267.65627849999998</v>
      </c>
    </row>
    <row r="120" spans="1:9" x14ac:dyDescent="0.2">
      <c r="A120" s="246">
        <f t="shared" ref="A120:A130" si="6">A119+1</f>
        <v>3</v>
      </c>
      <c r="B120" s="247"/>
      <c r="C120" s="19" t="s">
        <v>216</v>
      </c>
      <c r="D120" s="17">
        <f>(3.15*4.25)*10.764</f>
        <v>144.10305</v>
      </c>
      <c r="E120" s="19">
        <v>0</v>
      </c>
      <c r="F120" s="17">
        <f t="shared" si="5"/>
        <v>144.10305</v>
      </c>
      <c r="G120" s="17">
        <v>0</v>
      </c>
      <c r="H120" s="17">
        <f t="shared" si="4"/>
        <v>223.35972749999999</v>
      </c>
      <c r="I120" s="83"/>
    </row>
    <row r="121" spans="1:9" x14ac:dyDescent="0.2">
      <c r="A121" s="246">
        <f t="shared" si="6"/>
        <v>4</v>
      </c>
      <c r="B121" s="247"/>
      <c r="C121" s="19" t="s">
        <v>216</v>
      </c>
      <c r="D121" s="17">
        <f>(2.7*4.35)*10.764</f>
        <v>126.42317999999999</v>
      </c>
      <c r="E121" s="19">
        <v>0</v>
      </c>
      <c r="F121" s="17">
        <f t="shared" si="5"/>
        <v>126.42317999999999</v>
      </c>
      <c r="G121" s="17">
        <v>0</v>
      </c>
      <c r="H121" s="17">
        <f t="shared" si="4"/>
        <v>195.955929</v>
      </c>
    </row>
    <row r="122" spans="1:9" x14ac:dyDescent="0.2">
      <c r="A122" s="246">
        <f t="shared" si="6"/>
        <v>5</v>
      </c>
      <c r="B122" s="247"/>
      <c r="C122" s="19" t="s">
        <v>216</v>
      </c>
      <c r="D122" s="17">
        <f>(2.1*4.35)*10.764</f>
        <v>98.329139999999995</v>
      </c>
      <c r="E122" s="19">
        <v>0</v>
      </c>
      <c r="F122" s="17">
        <f t="shared" si="5"/>
        <v>98.329139999999995</v>
      </c>
      <c r="G122" s="17">
        <v>0</v>
      </c>
      <c r="H122" s="17">
        <f t="shared" si="4"/>
        <v>152.410167</v>
      </c>
    </row>
    <row r="123" spans="1:9" x14ac:dyDescent="0.2">
      <c r="A123" s="246">
        <f t="shared" si="6"/>
        <v>6</v>
      </c>
      <c r="B123" s="247"/>
      <c r="C123" s="19" t="s">
        <v>216</v>
      </c>
      <c r="D123" s="17">
        <f>(2.7*6.59)*10.764</f>
        <v>191.52385199999998</v>
      </c>
      <c r="E123" s="19">
        <v>0</v>
      </c>
      <c r="F123" s="17">
        <f t="shared" si="5"/>
        <v>191.52385199999998</v>
      </c>
      <c r="G123" s="17">
        <v>0</v>
      </c>
      <c r="H123" s="17">
        <f t="shared" si="4"/>
        <v>296.86197059999995</v>
      </c>
      <c r="I123" s="83"/>
    </row>
    <row r="124" spans="1:9" x14ac:dyDescent="0.2">
      <c r="A124" s="246">
        <f t="shared" si="6"/>
        <v>7</v>
      </c>
      <c r="B124" s="247"/>
      <c r="C124" s="19" t="s">
        <v>216</v>
      </c>
      <c r="D124" s="17">
        <f>(2.7*6.59)*10.764</f>
        <v>191.52385199999998</v>
      </c>
      <c r="E124" s="19">
        <v>0</v>
      </c>
      <c r="F124" s="17">
        <f t="shared" si="5"/>
        <v>191.52385199999998</v>
      </c>
      <c r="G124" s="17">
        <v>0</v>
      </c>
      <c r="H124" s="17">
        <f t="shared" si="4"/>
        <v>296.86197059999995</v>
      </c>
      <c r="I124" s="83"/>
    </row>
    <row r="125" spans="1:9" x14ac:dyDescent="0.2">
      <c r="A125" s="246">
        <f t="shared" si="6"/>
        <v>8</v>
      </c>
      <c r="B125" s="247"/>
      <c r="C125" s="19" t="s">
        <v>216</v>
      </c>
      <c r="D125" s="17">
        <f>(2.1*4.35)*10.764</f>
        <v>98.329139999999995</v>
      </c>
      <c r="E125" s="19">
        <v>0</v>
      </c>
      <c r="F125" s="17">
        <f t="shared" si="5"/>
        <v>98.329139999999995</v>
      </c>
      <c r="G125" s="17">
        <v>0</v>
      </c>
      <c r="H125" s="17">
        <f t="shared" si="4"/>
        <v>152.410167</v>
      </c>
      <c r="I125" s="81"/>
    </row>
    <row r="126" spans="1:9" x14ac:dyDescent="0.2">
      <c r="A126" s="246">
        <f t="shared" si="6"/>
        <v>9</v>
      </c>
      <c r="B126" s="247"/>
      <c r="C126" s="19" t="s">
        <v>216</v>
      </c>
      <c r="D126" s="17">
        <f>(2.7*4.35)*10.764</f>
        <v>126.42317999999999</v>
      </c>
      <c r="E126" s="19">
        <v>0</v>
      </c>
      <c r="F126" s="17">
        <f t="shared" si="5"/>
        <v>126.42317999999999</v>
      </c>
      <c r="G126" s="17">
        <v>0</v>
      </c>
      <c r="H126" s="17">
        <f t="shared" si="4"/>
        <v>195.955929</v>
      </c>
      <c r="I126" s="81"/>
    </row>
    <row r="127" spans="1:9" x14ac:dyDescent="0.2">
      <c r="A127" s="246">
        <f t="shared" si="6"/>
        <v>10</v>
      </c>
      <c r="B127" s="247"/>
      <c r="C127" s="19" t="s">
        <v>216</v>
      </c>
      <c r="D127" s="17">
        <f>(3.15*4.35)*10.764</f>
        <v>147.49370999999996</v>
      </c>
      <c r="E127" s="19">
        <v>0</v>
      </c>
      <c r="F127" s="17">
        <f t="shared" si="5"/>
        <v>147.49370999999996</v>
      </c>
      <c r="G127" s="17">
        <v>0</v>
      </c>
      <c r="H127" s="17">
        <f t="shared" si="4"/>
        <v>228.61525049999995</v>
      </c>
      <c r="I127" s="81"/>
    </row>
    <row r="128" spans="1:9" x14ac:dyDescent="0.2">
      <c r="A128" s="246">
        <f t="shared" si="6"/>
        <v>11</v>
      </c>
      <c r="B128" s="247"/>
      <c r="C128" s="19" t="s">
        <v>216</v>
      </c>
      <c r="D128" s="17">
        <f>(4.8*3+3.6*1.6)*10.764</f>
        <v>217.00224</v>
      </c>
      <c r="E128" s="19">
        <v>0</v>
      </c>
      <c r="F128" s="17">
        <f t="shared" si="5"/>
        <v>217.00224</v>
      </c>
      <c r="G128" s="17">
        <v>0</v>
      </c>
      <c r="H128" s="17">
        <f t="shared" si="4"/>
        <v>336.35347200000001</v>
      </c>
      <c r="I128" s="82"/>
    </row>
    <row r="129" spans="1:12" x14ac:dyDescent="0.2">
      <c r="A129" s="246">
        <f t="shared" si="6"/>
        <v>12</v>
      </c>
      <c r="B129" s="247"/>
      <c r="C129" s="19" t="s">
        <v>216</v>
      </c>
      <c r="D129" s="17">
        <f>(3.45*4.65)*10.764</f>
        <v>172.68146999999999</v>
      </c>
      <c r="E129" s="19">
        <v>0</v>
      </c>
      <c r="F129" s="17">
        <f t="shared" si="5"/>
        <v>172.68146999999999</v>
      </c>
      <c r="G129" s="17">
        <v>0</v>
      </c>
      <c r="H129" s="17">
        <f t="shared" si="4"/>
        <v>267.65627849999998</v>
      </c>
    </row>
    <row r="130" spans="1:12" x14ac:dyDescent="0.2">
      <c r="A130" s="246">
        <f t="shared" si="6"/>
        <v>13</v>
      </c>
      <c r="B130" s="247"/>
      <c r="C130" s="19" t="s">
        <v>216</v>
      </c>
      <c r="D130" s="17">
        <f>(2.7*4.65)*10.764</f>
        <v>135.14202</v>
      </c>
      <c r="E130" s="19">
        <v>0</v>
      </c>
      <c r="F130" s="17">
        <f t="shared" ref="F130" si="7">D130+(IF(E130&lt;201,E130,IF(E130&lt;301,E130/2,E130/3)))</f>
        <v>135.14202</v>
      </c>
      <c r="G130" s="17">
        <v>0</v>
      </c>
      <c r="H130" s="17">
        <f t="shared" ref="H130" si="8">F130*(($H$115)+1)+(IF(G130&lt;101,G130,IF(G130&lt;201,G130/2,IF(G130&lt;=301,G130/3,G130/4))))</f>
        <v>209.47013100000001</v>
      </c>
    </row>
    <row r="131" spans="1:12" x14ac:dyDescent="0.2">
      <c r="A131" s="246"/>
      <c r="B131" s="257"/>
      <c r="C131" s="257"/>
      <c r="D131" s="257"/>
      <c r="E131" s="257"/>
      <c r="F131" s="257"/>
      <c r="G131" s="257"/>
      <c r="H131" s="247"/>
    </row>
    <row r="132" spans="1:12" ht="38.25" x14ac:dyDescent="0.2">
      <c r="A132" s="244" t="s">
        <v>210</v>
      </c>
      <c r="B132" s="242" t="s">
        <v>211</v>
      </c>
      <c r="C132" s="244" t="s">
        <v>131</v>
      </c>
      <c r="D132" s="242" t="s">
        <v>212</v>
      </c>
      <c r="E132" s="242" t="s">
        <v>290</v>
      </c>
      <c r="F132" s="244" t="s">
        <v>213</v>
      </c>
      <c r="G132" s="73" t="s">
        <v>214</v>
      </c>
      <c r="H132" s="71" t="s">
        <v>144</v>
      </c>
    </row>
    <row r="133" spans="1:12" x14ac:dyDescent="0.2">
      <c r="A133" s="245"/>
      <c r="B133" s="243"/>
      <c r="C133" s="245"/>
      <c r="D133" s="243"/>
      <c r="E133" s="243"/>
      <c r="F133" s="245"/>
      <c r="G133" s="72"/>
      <c r="H133" s="79">
        <v>0.5</v>
      </c>
    </row>
    <row r="134" spans="1:12" x14ac:dyDescent="0.2">
      <c r="A134" s="149" t="s">
        <v>135</v>
      </c>
      <c r="B134" s="149"/>
      <c r="C134" s="149"/>
      <c r="D134" s="149"/>
      <c r="E134" s="149"/>
      <c r="F134" s="149"/>
      <c r="G134" s="149"/>
      <c r="H134" s="258"/>
    </row>
    <row r="135" spans="1:12" x14ac:dyDescent="0.2">
      <c r="A135" s="149" t="s">
        <v>273</v>
      </c>
      <c r="B135" s="149"/>
      <c r="C135" s="149"/>
      <c r="D135" s="149"/>
      <c r="E135" s="149"/>
      <c r="F135" s="149"/>
      <c r="G135" s="149"/>
      <c r="H135" s="149"/>
      <c r="I135" s="6">
        <f>7+4</f>
        <v>11</v>
      </c>
      <c r="L135" s="6">
        <v>5500</v>
      </c>
    </row>
    <row r="136" spans="1:12" x14ac:dyDescent="0.2">
      <c r="A136" s="246">
        <v>1</v>
      </c>
      <c r="B136" s="247"/>
      <c r="C136" s="19" t="s">
        <v>55</v>
      </c>
      <c r="D136" s="17">
        <f>(2.7*4.5+2.1*2.1+2.7*3+1.2*1.8+1.8*1.2+0.9*2.3+0.2*1.2+2.7*0.6)*10.764</f>
        <v>354.24324000000001</v>
      </c>
      <c r="E136" s="17">
        <f>(2.7+0.6*2.1+0.75*2.7)*10.764</f>
        <v>64.422539999999998</v>
      </c>
      <c r="F136" s="17">
        <f>D136+E136</f>
        <v>418.66578000000004</v>
      </c>
      <c r="G136" s="17">
        <v>0</v>
      </c>
      <c r="H136" s="17">
        <f>F136*(($H$133)+1)+(IF(G136&lt;101,G136,IF(G136&lt;201,G136/2,IF(G136&lt;=301,G136/3,G136/4))))</f>
        <v>627.99867000000006</v>
      </c>
      <c r="I136" s="6">
        <f>2.7*4.5+2.1*2.1+2.7*3+1.2*(1.8+1.8)+1.85*0.9+1.2*1.15+1.8*0.6</f>
        <v>33.105000000000004</v>
      </c>
      <c r="J136" s="87">
        <f>F136*1.2</f>
        <v>502.39893600000005</v>
      </c>
      <c r="K136" s="6">
        <f>J136*5400</f>
        <v>2712954.2544000004</v>
      </c>
      <c r="L136" s="6">
        <f>L$135*H136</f>
        <v>3453992.6850000005</v>
      </c>
    </row>
    <row r="137" spans="1:12" x14ac:dyDescent="0.2">
      <c r="A137" s="246">
        <f>A136+1</f>
        <v>2</v>
      </c>
      <c r="B137" s="247"/>
      <c r="C137" s="19" t="s">
        <v>55</v>
      </c>
      <c r="D137" s="17">
        <f>(2.7*4.5+2.1*2.1+2.7*3+1.2*1.8+1.8*1.2+0.9*2.3+0.2*1.2+2.7*0.6)*10.764</f>
        <v>354.24324000000001</v>
      </c>
      <c r="E137" s="17">
        <f>(2.7+0.6*2.1+0.75*2.7)*10.764</f>
        <v>64.422539999999998</v>
      </c>
      <c r="F137" s="17">
        <f t="shared" ref="F137:F143" si="9">D137+E137</f>
        <v>418.66578000000004</v>
      </c>
      <c r="G137" s="17">
        <v>0</v>
      </c>
      <c r="H137" s="17">
        <f t="shared" ref="H137:H143" si="10">F137*(($H$133)+1)+(IF(G137&lt;101,G137,IF(G137&lt;201,G137/2,IF(G137&lt;=301,G137/3,G137/4))))</f>
        <v>627.99867000000006</v>
      </c>
      <c r="J137" s="87">
        <f t="shared" ref="J137:J152" si="11">F137*1.2</f>
        <v>502.39893600000005</v>
      </c>
      <c r="K137" s="6">
        <f t="shared" ref="K137:K152" si="12">J137*5400</f>
        <v>2712954.2544000004</v>
      </c>
      <c r="L137" s="6">
        <f t="shared" ref="L137:L152" si="13">L$135*H137</f>
        <v>3453992.6850000005</v>
      </c>
    </row>
    <row r="138" spans="1:12" x14ac:dyDescent="0.2">
      <c r="A138" s="246">
        <f t="shared" ref="A138:A143" si="14">A137+1</f>
        <v>3</v>
      </c>
      <c r="B138" s="247"/>
      <c r="C138" s="19" t="s">
        <v>55</v>
      </c>
      <c r="D138" s="17">
        <f>(4.5*2.7+2.1*2.1+2.85*3+1.2*1.8+1.2*1.2+0.9*1.4+1.8*0.6)*10.764</f>
        <v>334.22220000000004</v>
      </c>
      <c r="E138" s="17">
        <f>(2.25+0.75*2.1+0.6*2.85)*10.764</f>
        <v>59.578739999999996</v>
      </c>
      <c r="F138" s="17">
        <f t="shared" si="9"/>
        <v>393.80094000000003</v>
      </c>
      <c r="G138" s="17">
        <v>0</v>
      </c>
      <c r="H138" s="17">
        <f t="shared" si="10"/>
        <v>590.70141000000001</v>
      </c>
      <c r="J138" s="87">
        <f t="shared" si="11"/>
        <v>472.561128</v>
      </c>
      <c r="K138" s="6">
        <f t="shared" si="12"/>
        <v>2551830.0912000001</v>
      </c>
      <c r="L138" s="6">
        <f t="shared" si="13"/>
        <v>3248857.7549999999</v>
      </c>
    </row>
    <row r="139" spans="1:12" x14ac:dyDescent="0.2">
      <c r="A139" s="246">
        <f t="shared" si="14"/>
        <v>4</v>
      </c>
      <c r="B139" s="247"/>
      <c r="C139" s="19" t="s">
        <v>274</v>
      </c>
      <c r="D139" s="17">
        <f>(3*4.8+2.55*1.95+2.1*2.1+2.7*3.35+3.35*2.77+1.8*1.2+1.2*2.1+0.9*3.1+1.8*0.6)*10.764</f>
        <v>545.27194799999995</v>
      </c>
      <c r="E139" s="17">
        <f>(1.05*3+1*2.77+0.75*(2.1+2.7))*10.764</f>
        <v>102.47327999999999</v>
      </c>
      <c r="F139" s="17">
        <f t="shared" si="9"/>
        <v>647.745228</v>
      </c>
      <c r="G139" s="17">
        <v>0</v>
      </c>
      <c r="H139" s="17">
        <f t="shared" si="10"/>
        <v>971.617842</v>
      </c>
      <c r="I139" s="6">
        <f>3*4.8+2.1*2.1+2.7*3.35+3.35*2.77+1.2*(2.1+1.8)+2.55*1.95+3*0.9+1.8*0.6</f>
        <v>50.567</v>
      </c>
      <c r="J139" s="87">
        <f t="shared" si="11"/>
        <v>777.2942736</v>
      </c>
      <c r="K139" s="6">
        <f t="shared" si="12"/>
        <v>4197389.0774400001</v>
      </c>
      <c r="L139" s="6">
        <f t="shared" si="13"/>
        <v>5343898.1310000001</v>
      </c>
    </row>
    <row r="140" spans="1:12" x14ac:dyDescent="0.2">
      <c r="A140" s="246">
        <f t="shared" si="14"/>
        <v>5</v>
      </c>
      <c r="B140" s="247"/>
      <c r="C140" s="19" t="s">
        <v>55</v>
      </c>
      <c r="D140" s="17">
        <f>(2.85*4.5+2.1*2.1+2.7*3.06+1.2*1.8+1.8*1.2+0.9*2.2+0.2*1.2+2.7*0.6)*10.764</f>
        <v>362.28394799999995</v>
      </c>
      <c r="E140" s="17">
        <f>(1*2.85+0.75*(2.1+2.7))*10.764</f>
        <v>69.427800000000005</v>
      </c>
      <c r="F140" s="17">
        <f t="shared" si="9"/>
        <v>431.71174799999994</v>
      </c>
      <c r="G140" s="17">
        <v>0</v>
      </c>
      <c r="H140" s="17">
        <f t="shared" si="10"/>
        <v>647.56762199999991</v>
      </c>
      <c r="I140" s="6">
        <f>3487000/H140</f>
        <v>5384.7658245025732</v>
      </c>
      <c r="J140" s="87">
        <f t="shared" si="11"/>
        <v>518.05409759999986</v>
      </c>
      <c r="K140" s="6">
        <f t="shared" si="12"/>
        <v>2797492.1270399992</v>
      </c>
      <c r="L140" s="6">
        <f t="shared" si="13"/>
        <v>3561621.9209999996</v>
      </c>
    </row>
    <row r="141" spans="1:12" x14ac:dyDescent="0.2">
      <c r="A141" s="246">
        <f t="shared" si="14"/>
        <v>6</v>
      </c>
      <c r="B141" s="247"/>
      <c r="C141" s="19" t="s">
        <v>55</v>
      </c>
      <c r="D141" s="17">
        <f>(2.85*4.5+2.1*2.1+2.7*3+1.2*1.8+1.8*1.2+0.9*2.2+0.2*1.2+2.7*0.6)*10.764</f>
        <v>360.54017999999996</v>
      </c>
      <c r="E141" s="17">
        <f>(1*2.85+0.75*(2.1+2.7))*10.764</f>
        <v>69.427800000000005</v>
      </c>
      <c r="F141" s="17">
        <f t="shared" si="9"/>
        <v>429.96797999999995</v>
      </c>
      <c r="G141" s="17">
        <v>0</v>
      </c>
      <c r="H141" s="17">
        <f t="shared" si="10"/>
        <v>644.95196999999996</v>
      </c>
      <c r="J141" s="87">
        <f t="shared" si="11"/>
        <v>515.96157599999992</v>
      </c>
      <c r="K141" s="6">
        <f t="shared" si="12"/>
        <v>2786192.5103999996</v>
      </c>
      <c r="L141" s="6">
        <f t="shared" si="13"/>
        <v>3547235.835</v>
      </c>
    </row>
    <row r="142" spans="1:12" x14ac:dyDescent="0.2">
      <c r="A142" s="246">
        <f t="shared" si="14"/>
        <v>7</v>
      </c>
      <c r="B142" s="247"/>
      <c r="C142" s="19" t="s">
        <v>274</v>
      </c>
      <c r="D142" s="17">
        <f>(3*4.8+2.55*1.95+2.1*2.1+2.7*3.35+3.35*2.77+1.8*1.2+1.2*2.1+0.9*3.1+1.8*0.6)*10.764</f>
        <v>545.27194799999995</v>
      </c>
      <c r="E142" s="17">
        <f>(1.05*3+1*2.77+0.75*(2.1+2.7))*10.764</f>
        <v>102.47327999999999</v>
      </c>
      <c r="F142" s="17">
        <f t="shared" si="9"/>
        <v>647.745228</v>
      </c>
      <c r="G142" s="17">
        <v>0</v>
      </c>
      <c r="H142" s="17">
        <f t="shared" si="10"/>
        <v>971.617842</v>
      </c>
      <c r="J142" s="87">
        <f t="shared" si="11"/>
        <v>777.2942736</v>
      </c>
      <c r="K142" s="6">
        <f t="shared" si="12"/>
        <v>4197389.0774400001</v>
      </c>
      <c r="L142" s="6">
        <f t="shared" si="13"/>
        <v>5343898.1310000001</v>
      </c>
    </row>
    <row r="143" spans="1:12" x14ac:dyDescent="0.2">
      <c r="A143" s="246">
        <f t="shared" si="14"/>
        <v>8</v>
      </c>
      <c r="B143" s="247"/>
      <c r="C143" s="19" t="s">
        <v>55</v>
      </c>
      <c r="D143" s="17">
        <f>(4.5*2.7+2.1*2.1+2.85*3+1.2*1.8+1.2*1.2+0.9*1.4+1.8*0.6)*10.764</f>
        <v>334.22220000000004</v>
      </c>
      <c r="E143" s="17">
        <f>(2.25+0.75*2.1+0.6*2.85)*10.764</f>
        <v>59.578739999999996</v>
      </c>
      <c r="F143" s="17">
        <f t="shared" si="9"/>
        <v>393.80094000000003</v>
      </c>
      <c r="G143" s="17">
        <v>0</v>
      </c>
      <c r="H143" s="17">
        <f t="shared" si="10"/>
        <v>590.70141000000001</v>
      </c>
      <c r="J143" s="87">
        <f t="shared" si="11"/>
        <v>472.561128</v>
      </c>
      <c r="K143" s="6">
        <f t="shared" si="12"/>
        <v>2551830.0912000001</v>
      </c>
      <c r="L143" s="6">
        <f t="shared" si="13"/>
        <v>3248857.7549999999</v>
      </c>
    </row>
    <row r="144" spans="1:12" x14ac:dyDescent="0.2">
      <c r="A144" s="149" t="s">
        <v>276</v>
      </c>
      <c r="B144" s="149"/>
      <c r="C144" s="149"/>
      <c r="D144" s="149"/>
      <c r="E144" s="149"/>
      <c r="F144" s="149"/>
      <c r="G144" s="149"/>
      <c r="H144" s="149"/>
      <c r="I144" s="6">
        <v>1</v>
      </c>
      <c r="J144" s="87">
        <f t="shared" si="11"/>
        <v>0</v>
      </c>
      <c r="K144" s="6">
        <f t="shared" si="12"/>
        <v>0</v>
      </c>
      <c r="L144" s="6">
        <f t="shared" si="13"/>
        <v>0</v>
      </c>
    </row>
    <row r="145" spans="1:12" x14ac:dyDescent="0.2">
      <c r="A145" s="246">
        <v>1</v>
      </c>
      <c r="B145" s="247"/>
      <c r="C145" s="19" t="s">
        <v>55</v>
      </c>
      <c r="D145" s="17">
        <f>(2.7*4.5+2.1*2.1+2.7*3+1.2*1.8+1.8*1.2+0.9*2.3+0.2*1.2+2.7*0.6)*10.764</f>
        <v>354.24324000000001</v>
      </c>
      <c r="E145" s="17">
        <f>(2.7+0.6*2.1+0.75*2.7)*10.764</f>
        <v>64.422539999999998</v>
      </c>
      <c r="F145" s="17">
        <f>D145+E145</f>
        <v>418.66578000000004</v>
      </c>
      <c r="G145" s="17">
        <v>0</v>
      </c>
      <c r="H145" s="17">
        <f>F145*(($H$133)+1)+(IF(G145&lt;101,G145,IF(G145&lt;201,G145/2,IF(G145&lt;=301,G145/3,G145/4))))</f>
        <v>627.99867000000006</v>
      </c>
      <c r="I145" s="6">
        <f>3600000/H145</f>
        <v>5732.4962169107775</v>
      </c>
      <c r="J145" s="87">
        <f t="shared" si="11"/>
        <v>502.39893600000005</v>
      </c>
      <c r="K145" s="6">
        <f t="shared" si="12"/>
        <v>2712954.2544000004</v>
      </c>
      <c r="L145" s="6">
        <f t="shared" si="13"/>
        <v>3453992.6850000005</v>
      </c>
    </row>
    <row r="146" spans="1:12" x14ac:dyDescent="0.2">
      <c r="A146" s="246">
        <f>A145+1</f>
        <v>2</v>
      </c>
      <c r="B146" s="247"/>
      <c r="C146" s="19" t="s">
        <v>55</v>
      </c>
      <c r="D146" s="17">
        <f>(2.7*4.5+2.1*2.1+2.7*3+1.2*1.8+1.8*1.2+0.9*2.3+0.2*1.2+2.7*0.6)*10.764</f>
        <v>354.24324000000001</v>
      </c>
      <c r="E146" s="17">
        <f>(2.7+0.6*2.1+0.75*2.7)*10.764</f>
        <v>64.422539999999998</v>
      </c>
      <c r="F146" s="17">
        <f t="shared" ref="F146:F152" si="15">D146+E146</f>
        <v>418.66578000000004</v>
      </c>
      <c r="G146" s="17">
        <v>0</v>
      </c>
      <c r="H146" s="17">
        <f t="shared" ref="H146:H152" si="16">F146*(($H$133)+1)+(IF(G146&lt;101,G146,IF(G146&lt;201,G146/2,IF(G146&lt;=301,G146/3,G146/4))))</f>
        <v>627.99867000000006</v>
      </c>
      <c r="J146" s="87">
        <f t="shared" si="11"/>
        <v>502.39893600000005</v>
      </c>
      <c r="K146" s="6">
        <f t="shared" si="12"/>
        <v>2712954.2544000004</v>
      </c>
      <c r="L146" s="6">
        <f t="shared" si="13"/>
        <v>3453992.6850000005</v>
      </c>
    </row>
    <row r="147" spans="1:12" x14ac:dyDescent="0.2">
      <c r="A147" s="246">
        <f t="shared" ref="A147:A152" si="17">A146+1</f>
        <v>3</v>
      </c>
      <c r="B147" s="247"/>
      <c r="C147" s="19" t="s">
        <v>55</v>
      </c>
      <c r="D147" s="17">
        <f>(4.5*2.7+2.1*2.1+2.85*3+1.2*1.8+1.2*1.2+0.9*1.4+1.8*0.6)*10.764</f>
        <v>334.22220000000004</v>
      </c>
      <c r="E147" s="17">
        <f>(2.25+0.75*2.1+0.6*2.85)*10.764</f>
        <v>59.578739999999996</v>
      </c>
      <c r="F147" s="17">
        <f t="shared" si="15"/>
        <v>393.80094000000003</v>
      </c>
      <c r="G147" s="17">
        <v>0</v>
      </c>
      <c r="H147" s="17">
        <f t="shared" si="16"/>
        <v>590.70141000000001</v>
      </c>
      <c r="J147" s="87">
        <f t="shared" si="11"/>
        <v>472.561128</v>
      </c>
      <c r="K147" s="6">
        <f t="shared" si="12"/>
        <v>2551830.0912000001</v>
      </c>
      <c r="L147" s="6">
        <f t="shared" si="13"/>
        <v>3248857.7549999999</v>
      </c>
    </row>
    <row r="148" spans="1:12" x14ac:dyDescent="0.2">
      <c r="A148" s="246">
        <f t="shared" si="17"/>
        <v>4</v>
      </c>
      <c r="B148" s="247"/>
      <c r="C148" s="19" t="s">
        <v>274</v>
      </c>
      <c r="D148" s="17">
        <f>(3*4.8+2.55*1.95+2.1*2.1+2.7*3.35+3.35*2.77+1.8*1.2+1.2*2.1+0.9*3.1+1.8*0.6)*10.764</f>
        <v>545.27194799999995</v>
      </c>
      <c r="E148" s="17">
        <f>(1.05*3+1*2.77+0.75*(2.1+2.7))*10.764</f>
        <v>102.47327999999999</v>
      </c>
      <c r="F148" s="17">
        <f t="shared" si="15"/>
        <v>647.745228</v>
      </c>
      <c r="G148" s="17">
        <v>0</v>
      </c>
      <c r="H148" s="17">
        <f t="shared" si="16"/>
        <v>971.617842</v>
      </c>
      <c r="I148" s="6">
        <f>5600000/H148</f>
        <v>5763.5829211131349</v>
      </c>
      <c r="J148" s="87">
        <f t="shared" si="11"/>
        <v>777.2942736</v>
      </c>
      <c r="K148" s="6">
        <f t="shared" si="12"/>
        <v>4197389.0774400001</v>
      </c>
      <c r="L148" s="6">
        <f t="shared" si="13"/>
        <v>5343898.1310000001</v>
      </c>
    </row>
    <row r="149" spans="1:12" x14ac:dyDescent="0.2">
      <c r="A149" s="246">
        <f t="shared" si="17"/>
        <v>5</v>
      </c>
      <c r="B149" s="247"/>
      <c r="C149" s="19" t="s">
        <v>55</v>
      </c>
      <c r="D149" s="17">
        <f>(2.85*4.5+2.1*2.1+2.7*3+1.2*1.8+1.8*1.2+0.9*2.2+0.2*1.2+2.7*0.6)*10.764</f>
        <v>360.54017999999996</v>
      </c>
      <c r="E149" s="17">
        <f>(1*2.85+0.75*(2.1+2.7))*10.764</f>
        <v>69.427800000000005</v>
      </c>
      <c r="F149" s="17">
        <f t="shared" si="15"/>
        <v>429.96797999999995</v>
      </c>
      <c r="G149" s="17">
        <v>0</v>
      </c>
      <c r="H149" s="17">
        <f t="shared" si="16"/>
        <v>644.95196999999996</v>
      </c>
      <c r="J149" s="87">
        <f t="shared" si="11"/>
        <v>515.96157599999992</v>
      </c>
      <c r="K149" s="6">
        <f t="shared" si="12"/>
        <v>2786192.5103999996</v>
      </c>
      <c r="L149" s="6">
        <f t="shared" si="13"/>
        <v>3547235.835</v>
      </c>
    </row>
    <row r="150" spans="1:12" x14ac:dyDescent="0.2">
      <c r="A150" s="246">
        <f t="shared" si="17"/>
        <v>6</v>
      </c>
      <c r="B150" s="247"/>
      <c r="C150" s="246" t="s">
        <v>275</v>
      </c>
      <c r="D150" s="257"/>
      <c r="E150" s="257"/>
      <c r="F150" s="257"/>
      <c r="G150" s="257"/>
      <c r="H150" s="247"/>
      <c r="J150" s="87">
        <f t="shared" si="11"/>
        <v>0</v>
      </c>
      <c r="K150" s="6">
        <f t="shared" si="12"/>
        <v>0</v>
      </c>
      <c r="L150" s="6">
        <f t="shared" si="13"/>
        <v>0</v>
      </c>
    </row>
    <row r="151" spans="1:12" x14ac:dyDescent="0.2">
      <c r="A151" s="246">
        <f t="shared" si="17"/>
        <v>7</v>
      </c>
      <c r="B151" s="247"/>
      <c r="C151" s="19" t="s">
        <v>274</v>
      </c>
      <c r="D151" s="17">
        <f>(3*4.8+2.55*1.95+2.1*2.1+2.7*3.35+3.35*2.77+1.8*1.2+1.2*2.1+0.9*3.1+1.8*0.6)*10.764</f>
        <v>545.27194799999995</v>
      </c>
      <c r="E151" s="17">
        <f>(1.05*3+1*2.77+0.75*(2.1+2.7))*10.764</f>
        <v>102.47327999999999</v>
      </c>
      <c r="F151" s="17">
        <f t="shared" si="15"/>
        <v>647.745228</v>
      </c>
      <c r="G151" s="17">
        <v>0</v>
      </c>
      <c r="H151" s="17">
        <f t="shared" si="16"/>
        <v>971.617842</v>
      </c>
      <c r="J151" s="87">
        <f t="shared" si="11"/>
        <v>777.2942736</v>
      </c>
      <c r="K151" s="6">
        <f t="shared" si="12"/>
        <v>4197389.0774400001</v>
      </c>
      <c r="L151" s="6">
        <f t="shared" si="13"/>
        <v>5343898.1310000001</v>
      </c>
    </row>
    <row r="152" spans="1:12" x14ac:dyDescent="0.2">
      <c r="A152" s="246">
        <f t="shared" si="17"/>
        <v>8</v>
      </c>
      <c r="B152" s="247"/>
      <c r="C152" s="19" t="s">
        <v>55</v>
      </c>
      <c r="D152" s="17">
        <f>(4.5*2.7+2.1*2.1+2.85*3+1.2*1.8+1.2*1.2+0.9*1.4+1.8*0.6)*10.764</f>
        <v>334.22220000000004</v>
      </c>
      <c r="E152" s="17">
        <f>(2.25+0.75*2.1+0.6*2.85)*10.764</f>
        <v>59.578739999999996</v>
      </c>
      <c r="F152" s="17">
        <f t="shared" si="15"/>
        <v>393.80094000000003</v>
      </c>
      <c r="G152" s="17">
        <v>0</v>
      </c>
      <c r="H152" s="17">
        <f t="shared" si="16"/>
        <v>590.70141000000001</v>
      </c>
      <c r="J152" s="87">
        <f t="shared" si="11"/>
        <v>472.561128</v>
      </c>
      <c r="K152" s="6">
        <f t="shared" si="12"/>
        <v>2551830.0912000001</v>
      </c>
      <c r="L152" s="6">
        <f t="shared" si="13"/>
        <v>3248857.7549999999</v>
      </c>
    </row>
    <row r="153" spans="1:12" x14ac:dyDescent="0.2">
      <c r="A153" s="149" t="s">
        <v>277</v>
      </c>
      <c r="B153" s="149"/>
      <c r="C153" s="149"/>
      <c r="D153" s="149"/>
      <c r="E153" s="149"/>
      <c r="F153" s="149"/>
      <c r="G153" s="149"/>
      <c r="H153" s="149"/>
    </row>
    <row r="154" spans="1:12" x14ac:dyDescent="0.2">
      <c r="A154" s="149" t="s">
        <v>278</v>
      </c>
      <c r="B154" s="149"/>
      <c r="C154" s="149"/>
      <c r="D154" s="149"/>
      <c r="E154" s="149"/>
      <c r="F154" s="149"/>
      <c r="G154" s="149"/>
      <c r="H154" s="149"/>
    </row>
    <row r="155" spans="1:12" x14ac:dyDescent="0.2">
      <c r="A155" s="149" t="s">
        <v>279</v>
      </c>
      <c r="B155" s="149"/>
      <c r="C155" s="149"/>
      <c r="D155" s="149"/>
      <c r="E155" s="149"/>
      <c r="F155" s="149"/>
      <c r="G155" s="149"/>
      <c r="H155" s="149"/>
      <c r="I155" s="6">
        <v>5</v>
      </c>
    </row>
    <row r="156" spans="1:12" x14ac:dyDescent="0.2">
      <c r="A156" s="246">
        <v>1</v>
      </c>
      <c r="B156" s="247"/>
      <c r="C156" s="19" t="s">
        <v>55</v>
      </c>
      <c r="D156" s="17">
        <f>(2.7*4.5+2.1*2.1+2.7*3+1.2*1.8+1.8*1.2+0.9*2.3+0.2*1.2+2.7*0.6)*10.764</f>
        <v>354.24324000000001</v>
      </c>
      <c r="E156" s="17">
        <f>(2.7+0.6*2.1+0.75*2.7)*10.764</f>
        <v>64.422539999999998</v>
      </c>
      <c r="F156" s="17">
        <f>D156+E156</f>
        <v>418.66578000000004</v>
      </c>
      <c r="G156" s="17">
        <v>0</v>
      </c>
      <c r="H156" s="17">
        <f>F156*(($H$133)+1)+(IF(G156&lt;101,G156,IF(G156&lt;201,G156/2,IF(G156&lt;=301,G156/3,G156/4))))</f>
        <v>627.99867000000006</v>
      </c>
      <c r="I156" s="6">
        <f>2.7*4.5+2.1*2.1+2.7*3+1.2*(1.8+1.8)+1.9*0.9+1.2*1.15+1.8*0.6</f>
        <v>33.150000000000006</v>
      </c>
      <c r="J156" s="81"/>
    </row>
    <row r="157" spans="1:12" x14ac:dyDescent="0.2">
      <c r="A157" s="246">
        <f>A156+1</f>
        <v>2</v>
      </c>
      <c r="B157" s="247"/>
      <c r="C157" s="19" t="s">
        <v>55</v>
      </c>
      <c r="D157" s="17">
        <f>(2.7*4.5+2.1*2.1+2.7*3+1.2*1.8+1.8*1.2+0.9*2.3+0.2*1.2+2.7*0.6)*10.764</f>
        <v>354.24324000000001</v>
      </c>
      <c r="E157" s="17">
        <f>(2.7+0.6*2.1+0.75*2.7)*10.764</f>
        <v>64.422539999999998</v>
      </c>
      <c r="F157" s="17">
        <f t="shared" ref="F157:F163" si="18">D157+E157</f>
        <v>418.66578000000004</v>
      </c>
      <c r="G157" s="17">
        <v>0</v>
      </c>
      <c r="H157" s="17">
        <f t="shared" ref="H157:H163" si="19">F157*(($H$133)+1)+(IF(G157&lt;101,G157,IF(G157&lt;201,G157/2,IF(G157&lt;=301,G157/3,G157/4))))</f>
        <v>627.99867000000006</v>
      </c>
      <c r="J157" s="81"/>
    </row>
    <row r="158" spans="1:12" x14ac:dyDescent="0.2">
      <c r="A158" s="246">
        <f t="shared" ref="A158:A163" si="20">A157+1</f>
        <v>3</v>
      </c>
      <c r="B158" s="247"/>
      <c r="C158" s="19" t="s">
        <v>55</v>
      </c>
      <c r="D158" s="17">
        <f>(4.5*2.7+2.1*2.1+2.85*3+1.2*1.8+1.2*1.2+0.9*1.4+1.8*0.6)*10.764</f>
        <v>334.22220000000004</v>
      </c>
      <c r="E158" s="17">
        <f>(2.25+0.75*2.1+0.6*2.85)*10.764</f>
        <v>59.578739999999996</v>
      </c>
      <c r="F158" s="17">
        <f t="shared" si="18"/>
        <v>393.80094000000003</v>
      </c>
      <c r="G158" s="17">
        <v>0</v>
      </c>
      <c r="H158" s="17">
        <f t="shared" si="19"/>
        <v>590.70141000000001</v>
      </c>
      <c r="I158" s="6">
        <f>4.5*2.7+2.1*2.1+2.85*3+1.2*(1.8+1.2)+1.5*0.9+1.8*0.6</f>
        <v>31.14</v>
      </c>
      <c r="J158" s="81"/>
      <c r="K158" s="6">
        <f>(4.5*2.7+2.1*2.1+2.85*3+1.2*1.8+1.2*1.2+0.9*1.4+1.8*0.6)</f>
        <v>31.050000000000004</v>
      </c>
    </row>
    <row r="159" spans="1:12" x14ac:dyDescent="0.2">
      <c r="A159" s="246">
        <f t="shared" si="20"/>
        <v>4</v>
      </c>
      <c r="B159" s="247"/>
      <c r="C159" s="19" t="s">
        <v>274</v>
      </c>
      <c r="D159" s="17">
        <f>(3*4.8+2.55*1.95+2.1*2.1+2.7*3.35+3.35*2.77+1.8*1.2+1.2*2.1+0.9*3.1+1.8*0.6)*10.764</f>
        <v>545.27194799999995</v>
      </c>
      <c r="E159" s="17">
        <f>(1.05*3+1*2.77+0.75*(2.1+2.7))*10.764</f>
        <v>102.47327999999999</v>
      </c>
      <c r="F159" s="17">
        <f t="shared" si="18"/>
        <v>647.745228</v>
      </c>
      <c r="G159" s="17">
        <v>0</v>
      </c>
      <c r="H159" s="17">
        <f t="shared" si="19"/>
        <v>971.617842</v>
      </c>
      <c r="J159" s="81"/>
    </row>
    <row r="160" spans="1:12" x14ac:dyDescent="0.2">
      <c r="A160" s="246">
        <f t="shared" si="20"/>
        <v>5</v>
      </c>
      <c r="B160" s="247"/>
      <c r="C160" s="19" t="s">
        <v>55</v>
      </c>
      <c r="D160" s="17">
        <f>(2.85*4.5+2.1*2.1+2.7*3+1.2*1.8+1.8*1.2+0.9*2.2+0.2*1.2+2.7*0.6)*10.764</f>
        <v>360.54017999999996</v>
      </c>
      <c r="E160" s="17">
        <f>(1*2.85+0.75*(2.1+2.7))*10.764</f>
        <v>69.427800000000005</v>
      </c>
      <c r="F160" s="17">
        <f t="shared" si="18"/>
        <v>429.96797999999995</v>
      </c>
      <c r="G160" s="17">
        <v>0</v>
      </c>
      <c r="H160" s="17">
        <f t="shared" si="19"/>
        <v>644.95196999999996</v>
      </c>
      <c r="J160" s="81"/>
    </row>
    <row r="161" spans="1:10" x14ac:dyDescent="0.2">
      <c r="A161" s="246">
        <f t="shared" si="20"/>
        <v>6</v>
      </c>
      <c r="B161" s="247"/>
      <c r="C161" s="19" t="s">
        <v>55</v>
      </c>
      <c r="D161" s="17">
        <f>(2.85*4.5+2.1*2.1+2.7*3+1.2*1.8+1.8*1.2+0.9*2.2+0.2*1.2+2.7*0.6)*10.764</f>
        <v>360.54017999999996</v>
      </c>
      <c r="E161" s="17">
        <f>(1*2.85+0.75*(2.1+2.7))*10.764</f>
        <v>69.427800000000005</v>
      </c>
      <c r="F161" s="17">
        <f t="shared" si="18"/>
        <v>429.96797999999995</v>
      </c>
      <c r="G161" s="17">
        <v>0</v>
      </c>
      <c r="H161" s="17">
        <f t="shared" si="19"/>
        <v>644.95196999999996</v>
      </c>
      <c r="J161" s="81"/>
    </row>
    <row r="162" spans="1:10" x14ac:dyDescent="0.2">
      <c r="A162" s="246">
        <f t="shared" si="20"/>
        <v>7</v>
      </c>
      <c r="B162" s="247"/>
      <c r="C162" s="19" t="s">
        <v>274</v>
      </c>
      <c r="D162" s="17">
        <f>(3*4.8+2.55*1.95+2.1*2.1+2.7*3.35+3.35*2.77+1.8*1.2+1.2*2.1+0.9*3.1+1.8*0.6)*10.764</f>
        <v>545.27194799999995</v>
      </c>
      <c r="E162" s="17">
        <f>(1.05*3+1*2.77+0.75*(2.1+2.7))*10.764</f>
        <v>102.47327999999999</v>
      </c>
      <c r="F162" s="17">
        <f t="shared" si="18"/>
        <v>647.745228</v>
      </c>
      <c r="G162" s="17">
        <v>0</v>
      </c>
      <c r="H162" s="17">
        <f t="shared" si="19"/>
        <v>971.617842</v>
      </c>
      <c r="J162" s="81"/>
    </row>
    <row r="163" spans="1:10" x14ac:dyDescent="0.2">
      <c r="A163" s="246">
        <f t="shared" si="20"/>
        <v>8</v>
      </c>
      <c r="B163" s="247"/>
      <c r="C163" s="19" t="s">
        <v>55</v>
      </c>
      <c r="D163" s="17">
        <f>(4.5*2.7+2.1*2.1+2.85*3+1.2*1.8+1.2*1.2+0.9*1.4+1.8*0.6)*10.764</f>
        <v>334.22220000000004</v>
      </c>
      <c r="E163" s="17">
        <f>(2.25+0.75*2.1+0.6*2.85)*10.764</f>
        <v>59.578739999999996</v>
      </c>
      <c r="F163" s="17">
        <f t="shared" si="18"/>
        <v>393.80094000000003</v>
      </c>
      <c r="G163" s="17">
        <v>0</v>
      </c>
      <c r="H163" s="17">
        <f t="shared" si="19"/>
        <v>590.70141000000001</v>
      </c>
      <c r="J163" s="81"/>
    </row>
    <row r="164" spans="1:10" hidden="1" x14ac:dyDescent="0.2">
      <c r="A164" s="149" t="s">
        <v>209</v>
      </c>
      <c r="B164" s="149"/>
      <c r="C164" s="149"/>
      <c r="D164" s="149"/>
      <c r="E164" s="149"/>
      <c r="F164" s="149"/>
      <c r="G164" s="149"/>
      <c r="H164" s="149"/>
    </row>
    <row r="165" spans="1:10" hidden="1" x14ac:dyDescent="0.2">
      <c r="A165" s="246">
        <v>1</v>
      </c>
      <c r="B165" s="247"/>
      <c r="C165" s="19" t="s">
        <v>55</v>
      </c>
      <c r="D165" s="19"/>
      <c r="E165" s="19"/>
      <c r="F165" s="17">
        <f>D165+E165</f>
        <v>0</v>
      </c>
      <c r="G165" s="17">
        <v>0</v>
      </c>
      <c r="H165" s="19">
        <f>F165*(($H$133)+1)+(IF(G165&lt;101,G165,IF(G165&lt;201,G165/2,IF(G165&lt;=301,G165/3,G165/4))))</f>
        <v>0</v>
      </c>
    </row>
    <row r="166" spans="1:10" hidden="1" x14ac:dyDescent="0.2">
      <c r="A166" s="246">
        <f>A165+1</f>
        <v>2</v>
      </c>
      <c r="B166" s="247"/>
      <c r="C166" s="19" t="s">
        <v>55</v>
      </c>
      <c r="D166" s="19"/>
      <c r="E166" s="19"/>
      <c r="F166" s="17">
        <f t="shared" ref="F166:F176" si="21">D166+E166</f>
        <v>0</v>
      </c>
      <c r="G166" s="17">
        <v>0</v>
      </c>
      <c r="H166" s="19">
        <f t="shared" ref="H166:H176" si="22">F166*(($H$133)+1)+(IF(G166&lt;101,G166,IF(G166&lt;201,G166/2,IF(G166&lt;=301,G166/3,G166/4))))</f>
        <v>0</v>
      </c>
    </row>
    <row r="167" spans="1:10" hidden="1" x14ac:dyDescent="0.2">
      <c r="A167" s="246">
        <f t="shared" ref="A167:A176" si="23">A166+1</f>
        <v>3</v>
      </c>
      <c r="B167" s="247"/>
      <c r="C167" s="19" t="s">
        <v>55</v>
      </c>
      <c r="D167" s="19"/>
      <c r="E167" s="19"/>
      <c r="F167" s="17">
        <f t="shared" si="21"/>
        <v>0</v>
      </c>
      <c r="G167" s="17">
        <v>0</v>
      </c>
      <c r="H167" s="19">
        <f t="shared" si="22"/>
        <v>0</v>
      </c>
    </row>
    <row r="168" spans="1:10" hidden="1" x14ac:dyDescent="0.2">
      <c r="A168" s="246">
        <f t="shared" si="23"/>
        <v>4</v>
      </c>
      <c r="B168" s="247"/>
      <c r="C168" s="19" t="s">
        <v>55</v>
      </c>
      <c r="D168" s="19"/>
      <c r="E168" s="19"/>
      <c r="F168" s="17">
        <f t="shared" si="21"/>
        <v>0</v>
      </c>
      <c r="G168" s="17">
        <v>0</v>
      </c>
      <c r="H168" s="19">
        <f t="shared" si="22"/>
        <v>0</v>
      </c>
    </row>
    <row r="169" spans="1:10" hidden="1" x14ac:dyDescent="0.2">
      <c r="A169" s="246">
        <f t="shared" si="23"/>
        <v>5</v>
      </c>
      <c r="B169" s="247"/>
      <c r="C169" s="19" t="s">
        <v>55</v>
      </c>
      <c r="D169" s="19"/>
      <c r="E169" s="19"/>
      <c r="F169" s="17">
        <f t="shared" si="21"/>
        <v>0</v>
      </c>
      <c r="G169" s="17">
        <v>0</v>
      </c>
      <c r="H169" s="19">
        <f t="shared" si="22"/>
        <v>0</v>
      </c>
    </row>
    <row r="170" spans="1:10" hidden="1" x14ac:dyDescent="0.2">
      <c r="A170" s="246">
        <f t="shared" si="23"/>
        <v>6</v>
      </c>
      <c r="B170" s="247"/>
      <c r="C170" s="19" t="s">
        <v>55</v>
      </c>
      <c r="D170" s="19"/>
      <c r="E170" s="19"/>
      <c r="F170" s="17">
        <f t="shared" si="21"/>
        <v>0</v>
      </c>
      <c r="G170" s="17">
        <v>0</v>
      </c>
      <c r="H170" s="19">
        <f t="shared" si="22"/>
        <v>0</v>
      </c>
    </row>
    <row r="171" spans="1:10" hidden="1" x14ac:dyDescent="0.2">
      <c r="A171" s="246">
        <f t="shared" si="23"/>
        <v>7</v>
      </c>
      <c r="B171" s="247"/>
      <c r="C171" s="19" t="s">
        <v>55</v>
      </c>
      <c r="D171" s="19"/>
      <c r="E171" s="19"/>
      <c r="F171" s="17">
        <f t="shared" si="21"/>
        <v>0</v>
      </c>
      <c r="G171" s="17">
        <v>0</v>
      </c>
      <c r="H171" s="19">
        <f t="shared" si="22"/>
        <v>0</v>
      </c>
    </row>
    <row r="172" spans="1:10" hidden="1" x14ac:dyDescent="0.2">
      <c r="A172" s="246">
        <f t="shared" si="23"/>
        <v>8</v>
      </c>
      <c r="B172" s="247"/>
      <c r="C172" s="19" t="s">
        <v>55</v>
      </c>
      <c r="D172" s="19"/>
      <c r="E172" s="19"/>
      <c r="F172" s="17">
        <f t="shared" si="21"/>
        <v>0</v>
      </c>
      <c r="G172" s="17">
        <v>0</v>
      </c>
      <c r="H172" s="19">
        <f t="shared" si="22"/>
        <v>0</v>
      </c>
    </row>
    <row r="173" spans="1:10" hidden="1" x14ac:dyDescent="0.2">
      <c r="A173" s="246">
        <f t="shared" si="23"/>
        <v>9</v>
      </c>
      <c r="B173" s="247"/>
      <c r="C173" s="19" t="s">
        <v>55</v>
      </c>
      <c r="D173" s="19"/>
      <c r="E173" s="19"/>
      <c r="F173" s="17">
        <f t="shared" si="21"/>
        <v>0</v>
      </c>
      <c r="G173" s="17">
        <v>0</v>
      </c>
      <c r="H173" s="19">
        <f t="shared" si="22"/>
        <v>0</v>
      </c>
    </row>
    <row r="174" spans="1:10" hidden="1" x14ac:dyDescent="0.2">
      <c r="A174" s="246">
        <f t="shared" si="23"/>
        <v>10</v>
      </c>
      <c r="B174" s="247"/>
      <c r="C174" s="19" t="s">
        <v>55</v>
      </c>
      <c r="D174" s="19"/>
      <c r="E174" s="19"/>
      <c r="F174" s="17">
        <f t="shared" si="21"/>
        <v>0</v>
      </c>
      <c r="G174" s="17">
        <v>0</v>
      </c>
      <c r="H174" s="19">
        <f t="shared" si="22"/>
        <v>0</v>
      </c>
    </row>
    <row r="175" spans="1:10" hidden="1" x14ac:dyDescent="0.2">
      <c r="A175" s="246">
        <f t="shared" si="23"/>
        <v>11</v>
      </c>
      <c r="B175" s="247"/>
      <c r="C175" s="19" t="s">
        <v>55</v>
      </c>
      <c r="D175" s="19"/>
      <c r="E175" s="19"/>
      <c r="F175" s="17">
        <f t="shared" si="21"/>
        <v>0</v>
      </c>
      <c r="G175" s="17">
        <v>0</v>
      </c>
      <c r="H175" s="19">
        <f t="shared" si="22"/>
        <v>0</v>
      </c>
    </row>
    <row r="176" spans="1:10" hidden="1" x14ac:dyDescent="0.2">
      <c r="A176" s="246">
        <f t="shared" si="23"/>
        <v>12</v>
      </c>
      <c r="B176" s="247"/>
      <c r="C176" s="19" t="s">
        <v>55</v>
      </c>
      <c r="D176" s="19"/>
      <c r="E176" s="19"/>
      <c r="F176" s="17">
        <f t="shared" si="21"/>
        <v>0</v>
      </c>
      <c r="G176" s="17">
        <v>0</v>
      </c>
      <c r="H176" s="19">
        <f t="shared" si="22"/>
        <v>0</v>
      </c>
    </row>
    <row r="177" spans="1:8" hidden="1" x14ac:dyDescent="0.2">
      <c r="A177" s="149" t="s">
        <v>126</v>
      </c>
      <c r="B177" s="149"/>
      <c r="C177" s="149"/>
      <c r="D177" s="149"/>
      <c r="E177" s="149"/>
      <c r="F177" s="149"/>
      <c r="G177" s="149"/>
      <c r="H177" s="149"/>
    </row>
    <row r="178" spans="1:8" hidden="1" x14ac:dyDescent="0.2">
      <c r="A178" s="246">
        <v>1</v>
      </c>
      <c r="B178" s="247"/>
      <c r="C178" s="19" t="s">
        <v>55</v>
      </c>
      <c r="D178" s="19"/>
      <c r="E178" s="19"/>
      <c r="F178" s="17">
        <f>D178+E178</f>
        <v>0</v>
      </c>
      <c r="G178" s="17">
        <v>0</v>
      </c>
      <c r="H178" s="19">
        <f>F178*(($H$133)+1)+(IF(G178&lt;101,G178,IF(G178&lt;201,G178/2,IF(G178&lt;=301,G178/3,G178/4))))</f>
        <v>0</v>
      </c>
    </row>
    <row r="179" spans="1:8" hidden="1" x14ac:dyDescent="0.2">
      <c r="A179" s="246">
        <f>A178+1</f>
        <v>2</v>
      </c>
      <c r="B179" s="247"/>
      <c r="C179" s="19" t="s">
        <v>55</v>
      </c>
      <c r="D179" s="19"/>
      <c r="E179" s="19"/>
      <c r="F179" s="17">
        <f t="shared" ref="F179:F189" si="24">D179+E179</f>
        <v>0</v>
      </c>
      <c r="G179" s="17">
        <v>0</v>
      </c>
      <c r="H179" s="19">
        <f t="shared" ref="H179:H189" si="25">F179*(($H$133)+1)+(IF(G179&lt;101,G179,IF(G179&lt;201,G179/2,IF(G179&lt;=301,G179/3,G179/4))))</f>
        <v>0</v>
      </c>
    </row>
    <row r="180" spans="1:8" hidden="1" x14ac:dyDescent="0.2">
      <c r="A180" s="246">
        <f t="shared" ref="A180:A189" si="26">A179+1</f>
        <v>3</v>
      </c>
      <c r="B180" s="247"/>
      <c r="C180" s="19" t="s">
        <v>55</v>
      </c>
      <c r="D180" s="19"/>
      <c r="E180" s="19"/>
      <c r="F180" s="17">
        <f t="shared" si="24"/>
        <v>0</v>
      </c>
      <c r="G180" s="17">
        <v>0</v>
      </c>
      <c r="H180" s="19">
        <f t="shared" si="25"/>
        <v>0</v>
      </c>
    </row>
    <row r="181" spans="1:8" hidden="1" x14ac:dyDescent="0.2">
      <c r="A181" s="246">
        <f t="shared" si="26"/>
        <v>4</v>
      </c>
      <c r="B181" s="247"/>
      <c r="C181" s="19" t="s">
        <v>55</v>
      </c>
      <c r="D181" s="19"/>
      <c r="E181" s="19"/>
      <c r="F181" s="17">
        <f t="shared" si="24"/>
        <v>0</v>
      </c>
      <c r="G181" s="17">
        <v>0</v>
      </c>
      <c r="H181" s="19">
        <f t="shared" si="25"/>
        <v>0</v>
      </c>
    </row>
    <row r="182" spans="1:8" hidden="1" x14ac:dyDescent="0.2">
      <c r="A182" s="246">
        <f t="shared" si="26"/>
        <v>5</v>
      </c>
      <c r="B182" s="247"/>
      <c r="C182" s="19" t="s">
        <v>55</v>
      </c>
      <c r="D182" s="19"/>
      <c r="E182" s="19"/>
      <c r="F182" s="17">
        <f t="shared" si="24"/>
        <v>0</v>
      </c>
      <c r="G182" s="17">
        <v>0</v>
      </c>
      <c r="H182" s="19">
        <f t="shared" si="25"/>
        <v>0</v>
      </c>
    </row>
    <row r="183" spans="1:8" hidden="1" x14ac:dyDescent="0.2">
      <c r="A183" s="246">
        <f t="shared" si="26"/>
        <v>6</v>
      </c>
      <c r="B183" s="247"/>
      <c r="C183" s="19" t="s">
        <v>55</v>
      </c>
      <c r="D183" s="19"/>
      <c r="E183" s="19"/>
      <c r="F183" s="17">
        <f t="shared" si="24"/>
        <v>0</v>
      </c>
      <c r="G183" s="17">
        <v>0</v>
      </c>
      <c r="H183" s="19">
        <f t="shared" si="25"/>
        <v>0</v>
      </c>
    </row>
    <row r="184" spans="1:8" hidden="1" x14ac:dyDescent="0.2">
      <c r="A184" s="246">
        <f t="shared" si="26"/>
        <v>7</v>
      </c>
      <c r="B184" s="247"/>
      <c r="C184" s="19" t="s">
        <v>55</v>
      </c>
      <c r="D184" s="19"/>
      <c r="E184" s="19"/>
      <c r="F184" s="17">
        <f t="shared" si="24"/>
        <v>0</v>
      </c>
      <c r="G184" s="17">
        <v>0</v>
      </c>
      <c r="H184" s="19">
        <f t="shared" si="25"/>
        <v>0</v>
      </c>
    </row>
    <row r="185" spans="1:8" hidden="1" x14ac:dyDescent="0.2">
      <c r="A185" s="246">
        <f t="shared" si="26"/>
        <v>8</v>
      </c>
      <c r="B185" s="247"/>
      <c r="C185" s="19" t="s">
        <v>55</v>
      </c>
      <c r="D185" s="19"/>
      <c r="E185" s="19"/>
      <c r="F185" s="17">
        <f t="shared" si="24"/>
        <v>0</v>
      </c>
      <c r="G185" s="17">
        <v>0</v>
      </c>
      <c r="H185" s="19">
        <f t="shared" si="25"/>
        <v>0</v>
      </c>
    </row>
    <row r="186" spans="1:8" hidden="1" x14ac:dyDescent="0.2">
      <c r="A186" s="246">
        <f t="shared" si="26"/>
        <v>9</v>
      </c>
      <c r="B186" s="247"/>
      <c r="C186" s="19" t="s">
        <v>55</v>
      </c>
      <c r="D186" s="19"/>
      <c r="E186" s="19"/>
      <c r="F186" s="17">
        <f t="shared" si="24"/>
        <v>0</v>
      </c>
      <c r="G186" s="17">
        <v>0</v>
      </c>
      <c r="H186" s="19">
        <f t="shared" si="25"/>
        <v>0</v>
      </c>
    </row>
    <row r="187" spans="1:8" hidden="1" x14ac:dyDescent="0.2">
      <c r="A187" s="246">
        <f t="shared" si="26"/>
        <v>10</v>
      </c>
      <c r="B187" s="247"/>
      <c r="C187" s="19" t="s">
        <v>55</v>
      </c>
      <c r="D187" s="19"/>
      <c r="E187" s="19"/>
      <c r="F187" s="17">
        <f t="shared" si="24"/>
        <v>0</v>
      </c>
      <c r="G187" s="17">
        <v>0</v>
      </c>
      <c r="H187" s="19">
        <f t="shared" si="25"/>
        <v>0</v>
      </c>
    </row>
    <row r="188" spans="1:8" hidden="1" x14ac:dyDescent="0.2">
      <c r="A188" s="246">
        <f t="shared" si="26"/>
        <v>11</v>
      </c>
      <c r="B188" s="247"/>
      <c r="C188" s="19" t="s">
        <v>55</v>
      </c>
      <c r="D188" s="19"/>
      <c r="E188" s="19"/>
      <c r="F188" s="17">
        <f t="shared" si="24"/>
        <v>0</v>
      </c>
      <c r="G188" s="17">
        <v>0</v>
      </c>
      <c r="H188" s="19">
        <f t="shared" si="25"/>
        <v>0</v>
      </c>
    </row>
    <row r="189" spans="1:8" hidden="1" x14ac:dyDescent="0.2">
      <c r="A189" s="246">
        <f t="shared" si="26"/>
        <v>12</v>
      </c>
      <c r="B189" s="247"/>
      <c r="C189" s="19" t="s">
        <v>55</v>
      </c>
      <c r="D189" s="19"/>
      <c r="E189" s="19"/>
      <c r="F189" s="17">
        <f t="shared" si="24"/>
        <v>0</v>
      </c>
      <c r="G189" s="17">
        <v>0</v>
      </c>
      <c r="H189" s="19">
        <f t="shared" si="25"/>
        <v>0</v>
      </c>
    </row>
    <row r="190" spans="1:8" hidden="1" x14ac:dyDescent="0.2">
      <c r="A190" s="149" t="s">
        <v>127</v>
      </c>
      <c r="B190" s="149"/>
      <c r="C190" s="149"/>
      <c r="D190" s="149"/>
      <c r="E190" s="149"/>
      <c r="F190" s="149"/>
      <c r="G190" s="149"/>
      <c r="H190" s="149"/>
    </row>
    <row r="191" spans="1:8" hidden="1" x14ac:dyDescent="0.2">
      <c r="A191" s="246">
        <v>1</v>
      </c>
      <c r="B191" s="247"/>
      <c r="C191" s="19" t="s">
        <v>55</v>
      </c>
      <c r="D191" s="19"/>
      <c r="E191" s="19"/>
      <c r="F191" s="17">
        <f>D191+E191</f>
        <v>0</v>
      </c>
      <c r="G191" s="17">
        <v>0</v>
      </c>
      <c r="H191" s="19">
        <f>F191*(($H$133)+1)+(IF(G191&lt;101,G191,IF(G191&lt;201,G191/2,IF(G191&lt;=301,G191/3,G191/4))))</f>
        <v>0</v>
      </c>
    </row>
    <row r="192" spans="1:8" hidden="1" x14ac:dyDescent="0.2">
      <c r="A192" s="246">
        <f>A191+1</f>
        <v>2</v>
      </c>
      <c r="B192" s="247"/>
      <c r="C192" s="19" t="s">
        <v>55</v>
      </c>
      <c r="D192" s="19"/>
      <c r="E192" s="19"/>
      <c r="F192" s="17">
        <f t="shared" ref="F192:F202" si="27">D192+E192</f>
        <v>0</v>
      </c>
      <c r="G192" s="17">
        <v>0</v>
      </c>
      <c r="H192" s="19">
        <f t="shared" ref="H192:H202" si="28">F192*(($H$133)+1)+(IF(G192&lt;101,G192,IF(G192&lt;201,G192/2,IF(G192&lt;=301,G192/3,G192/4))))</f>
        <v>0</v>
      </c>
    </row>
    <row r="193" spans="1:8" hidden="1" x14ac:dyDescent="0.2">
      <c r="A193" s="246">
        <f t="shared" ref="A193:A202" si="29">A192+1</f>
        <v>3</v>
      </c>
      <c r="B193" s="247"/>
      <c r="C193" s="19" t="s">
        <v>55</v>
      </c>
      <c r="D193" s="19"/>
      <c r="E193" s="19"/>
      <c r="F193" s="17">
        <f t="shared" si="27"/>
        <v>0</v>
      </c>
      <c r="G193" s="17">
        <v>0</v>
      </c>
      <c r="H193" s="19">
        <f t="shared" si="28"/>
        <v>0</v>
      </c>
    </row>
    <row r="194" spans="1:8" hidden="1" x14ac:dyDescent="0.2">
      <c r="A194" s="246">
        <f t="shared" si="29"/>
        <v>4</v>
      </c>
      <c r="B194" s="247"/>
      <c r="C194" s="19" t="s">
        <v>55</v>
      </c>
      <c r="D194" s="19"/>
      <c r="E194" s="19"/>
      <c r="F194" s="17">
        <f t="shared" si="27"/>
        <v>0</v>
      </c>
      <c r="G194" s="17">
        <v>0</v>
      </c>
      <c r="H194" s="19">
        <f t="shared" si="28"/>
        <v>0</v>
      </c>
    </row>
    <row r="195" spans="1:8" hidden="1" x14ac:dyDescent="0.2">
      <c r="A195" s="246">
        <f t="shared" si="29"/>
        <v>5</v>
      </c>
      <c r="B195" s="247"/>
      <c r="C195" s="19" t="s">
        <v>55</v>
      </c>
      <c r="D195" s="19"/>
      <c r="E195" s="19"/>
      <c r="F195" s="17">
        <f t="shared" si="27"/>
        <v>0</v>
      </c>
      <c r="G195" s="17">
        <v>0</v>
      </c>
      <c r="H195" s="19">
        <f t="shared" si="28"/>
        <v>0</v>
      </c>
    </row>
    <row r="196" spans="1:8" hidden="1" x14ac:dyDescent="0.2">
      <c r="A196" s="246">
        <f t="shared" si="29"/>
        <v>6</v>
      </c>
      <c r="B196" s="247"/>
      <c r="C196" s="19" t="s">
        <v>55</v>
      </c>
      <c r="D196" s="19"/>
      <c r="E196" s="19"/>
      <c r="F196" s="17">
        <f t="shared" si="27"/>
        <v>0</v>
      </c>
      <c r="G196" s="17">
        <v>0</v>
      </c>
      <c r="H196" s="19">
        <f t="shared" si="28"/>
        <v>0</v>
      </c>
    </row>
    <row r="197" spans="1:8" hidden="1" x14ac:dyDescent="0.2">
      <c r="A197" s="246">
        <f t="shared" si="29"/>
        <v>7</v>
      </c>
      <c r="B197" s="247"/>
      <c r="C197" s="19" t="s">
        <v>55</v>
      </c>
      <c r="D197" s="19"/>
      <c r="E197" s="19"/>
      <c r="F197" s="17">
        <f t="shared" si="27"/>
        <v>0</v>
      </c>
      <c r="G197" s="17">
        <v>0</v>
      </c>
      <c r="H197" s="19">
        <f t="shared" si="28"/>
        <v>0</v>
      </c>
    </row>
    <row r="198" spans="1:8" hidden="1" x14ac:dyDescent="0.2">
      <c r="A198" s="246">
        <f t="shared" si="29"/>
        <v>8</v>
      </c>
      <c r="B198" s="247"/>
      <c r="C198" s="19" t="s">
        <v>55</v>
      </c>
      <c r="D198" s="19"/>
      <c r="E198" s="19"/>
      <c r="F198" s="17">
        <f t="shared" si="27"/>
        <v>0</v>
      </c>
      <c r="G198" s="17">
        <v>0</v>
      </c>
      <c r="H198" s="19">
        <f t="shared" si="28"/>
        <v>0</v>
      </c>
    </row>
    <row r="199" spans="1:8" hidden="1" x14ac:dyDescent="0.2">
      <c r="A199" s="246">
        <f t="shared" si="29"/>
        <v>9</v>
      </c>
      <c r="B199" s="247"/>
      <c r="C199" s="19" t="s">
        <v>55</v>
      </c>
      <c r="D199" s="19"/>
      <c r="E199" s="19"/>
      <c r="F199" s="17">
        <f t="shared" si="27"/>
        <v>0</v>
      </c>
      <c r="G199" s="17">
        <v>0</v>
      </c>
      <c r="H199" s="19">
        <f t="shared" si="28"/>
        <v>0</v>
      </c>
    </row>
    <row r="200" spans="1:8" hidden="1" x14ac:dyDescent="0.2">
      <c r="A200" s="246">
        <f t="shared" si="29"/>
        <v>10</v>
      </c>
      <c r="B200" s="247"/>
      <c r="C200" s="19" t="s">
        <v>55</v>
      </c>
      <c r="D200" s="19"/>
      <c r="E200" s="19"/>
      <c r="F200" s="17">
        <f t="shared" si="27"/>
        <v>0</v>
      </c>
      <c r="G200" s="17">
        <v>0</v>
      </c>
      <c r="H200" s="19">
        <f t="shared" si="28"/>
        <v>0</v>
      </c>
    </row>
    <row r="201" spans="1:8" hidden="1" x14ac:dyDescent="0.2">
      <c r="A201" s="246">
        <f t="shared" si="29"/>
        <v>11</v>
      </c>
      <c r="B201" s="247"/>
      <c r="C201" s="19" t="s">
        <v>55</v>
      </c>
      <c r="D201" s="19"/>
      <c r="E201" s="19"/>
      <c r="F201" s="17">
        <f t="shared" si="27"/>
        <v>0</v>
      </c>
      <c r="G201" s="17">
        <v>0</v>
      </c>
      <c r="H201" s="19">
        <f t="shared" si="28"/>
        <v>0</v>
      </c>
    </row>
    <row r="202" spans="1:8" hidden="1" x14ac:dyDescent="0.2">
      <c r="A202" s="246">
        <f t="shared" si="29"/>
        <v>12</v>
      </c>
      <c r="B202" s="247"/>
      <c r="C202" s="19" t="s">
        <v>55</v>
      </c>
      <c r="D202" s="19"/>
      <c r="E202" s="19"/>
      <c r="F202" s="17">
        <f t="shared" si="27"/>
        <v>0</v>
      </c>
      <c r="G202" s="17">
        <v>0</v>
      </c>
      <c r="H202" s="19">
        <f t="shared" si="28"/>
        <v>0</v>
      </c>
    </row>
    <row r="203" spans="1:8" hidden="1" x14ac:dyDescent="0.2">
      <c r="A203" s="149" t="s">
        <v>127</v>
      </c>
      <c r="B203" s="149"/>
      <c r="C203" s="149"/>
      <c r="D203" s="149"/>
      <c r="E203" s="149"/>
      <c r="F203" s="149"/>
      <c r="G203" s="149"/>
      <c r="H203" s="149"/>
    </row>
    <row r="204" spans="1:8" hidden="1" x14ac:dyDescent="0.2">
      <c r="A204" s="246">
        <v>1</v>
      </c>
      <c r="B204" s="247"/>
      <c r="C204" s="19" t="s">
        <v>55</v>
      </c>
      <c r="D204" s="19"/>
      <c r="E204" s="19"/>
      <c r="F204" s="17">
        <f>D204+E204</f>
        <v>0</v>
      </c>
      <c r="G204" s="17">
        <v>0</v>
      </c>
      <c r="H204" s="19">
        <f>F204*(($H$133)+1)+(IF(G204&lt;101,G204,IF(G204&lt;201,G204/2,IF(G204&lt;=301,G204/3,G204/4))))</f>
        <v>0</v>
      </c>
    </row>
    <row r="205" spans="1:8" hidden="1" x14ac:dyDescent="0.2">
      <c r="A205" s="246">
        <f>A204+1</f>
        <v>2</v>
      </c>
      <c r="B205" s="247"/>
      <c r="C205" s="19" t="s">
        <v>55</v>
      </c>
      <c r="D205" s="19"/>
      <c r="E205" s="19"/>
      <c r="F205" s="17">
        <f t="shared" ref="F205:F215" si="30">D205+E205</f>
        <v>0</v>
      </c>
      <c r="G205" s="17">
        <v>0</v>
      </c>
      <c r="H205" s="19">
        <f t="shared" ref="H205:H215" si="31">F205*(($H$133)+1)+(IF(G205&lt;101,G205,IF(G205&lt;201,G205/2,IF(G205&lt;=301,G205/3,G205/4))))</f>
        <v>0</v>
      </c>
    </row>
    <row r="206" spans="1:8" hidden="1" x14ac:dyDescent="0.2">
      <c r="A206" s="246">
        <f t="shared" ref="A206:A215" si="32">A205+1</f>
        <v>3</v>
      </c>
      <c r="B206" s="247"/>
      <c r="C206" s="19" t="s">
        <v>55</v>
      </c>
      <c r="D206" s="19"/>
      <c r="E206" s="19"/>
      <c r="F206" s="17">
        <f t="shared" si="30"/>
        <v>0</v>
      </c>
      <c r="G206" s="17">
        <v>0</v>
      </c>
      <c r="H206" s="19">
        <f t="shared" si="31"/>
        <v>0</v>
      </c>
    </row>
    <row r="207" spans="1:8" hidden="1" x14ac:dyDescent="0.2">
      <c r="A207" s="246">
        <f t="shared" si="32"/>
        <v>4</v>
      </c>
      <c r="B207" s="247"/>
      <c r="C207" s="19" t="s">
        <v>55</v>
      </c>
      <c r="D207" s="19"/>
      <c r="E207" s="19"/>
      <c r="F207" s="17">
        <f t="shared" si="30"/>
        <v>0</v>
      </c>
      <c r="G207" s="17">
        <v>0</v>
      </c>
      <c r="H207" s="19">
        <f t="shared" si="31"/>
        <v>0</v>
      </c>
    </row>
    <row r="208" spans="1:8" hidden="1" x14ac:dyDescent="0.2">
      <c r="A208" s="246">
        <f t="shared" si="32"/>
        <v>5</v>
      </c>
      <c r="B208" s="247"/>
      <c r="C208" s="19" t="s">
        <v>55</v>
      </c>
      <c r="D208" s="19"/>
      <c r="E208" s="19"/>
      <c r="F208" s="17">
        <f t="shared" si="30"/>
        <v>0</v>
      </c>
      <c r="G208" s="17">
        <v>0</v>
      </c>
      <c r="H208" s="19">
        <f t="shared" si="31"/>
        <v>0</v>
      </c>
    </row>
    <row r="209" spans="1:11" hidden="1" x14ac:dyDescent="0.2">
      <c r="A209" s="246">
        <f t="shared" si="32"/>
        <v>6</v>
      </c>
      <c r="B209" s="247"/>
      <c r="C209" s="19" t="s">
        <v>55</v>
      </c>
      <c r="D209" s="19"/>
      <c r="E209" s="19"/>
      <c r="F209" s="17">
        <f t="shared" si="30"/>
        <v>0</v>
      </c>
      <c r="G209" s="17">
        <v>0</v>
      </c>
      <c r="H209" s="19">
        <f t="shared" si="31"/>
        <v>0</v>
      </c>
    </row>
    <row r="210" spans="1:11" hidden="1" x14ac:dyDescent="0.2">
      <c r="A210" s="246">
        <f t="shared" si="32"/>
        <v>7</v>
      </c>
      <c r="B210" s="247"/>
      <c r="C210" s="19" t="s">
        <v>55</v>
      </c>
      <c r="D210" s="19"/>
      <c r="E210" s="19"/>
      <c r="F210" s="17">
        <f t="shared" si="30"/>
        <v>0</v>
      </c>
      <c r="G210" s="17">
        <v>0</v>
      </c>
      <c r="H210" s="19">
        <f t="shared" si="31"/>
        <v>0</v>
      </c>
    </row>
    <row r="211" spans="1:11" hidden="1" x14ac:dyDescent="0.2">
      <c r="A211" s="246">
        <f t="shared" si="32"/>
        <v>8</v>
      </c>
      <c r="B211" s="247"/>
      <c r="C211" s="19" t="s">
        <v>55</v>
      </c>
      <c r="D211" s="19"/>
      <c r="E211" s="19"/>
      <c r="F211" s="17">
        <f t="shared" si="30"/>
        <v>0</v>
      </c>
      <c r="G211" s="17">
        <v>0</v>
      </c>
      <c r="H211" s="19">
        <f t="shared" si="31"/>
        <v>0</v>
      </c>
    </row>
    <row r="212" spans="1:11" hidden="1" x14ac:dyDescent="0.2">
      <c r="A212" s="246">
        <f t="shared" si="32"/>
        <v>9</v>
      </c>
      <c r="B212" s="247"/>
      <c r="C212" s="19" t="s">
        <v>55</v>
      </c>
      <c r="D212" s="19"/>
      <c r="E212" s="19"/>
      <c r="F212" s="17">
        <f t="shared" si="30"/>
        <v>0</v>
      </c>
      <c r="G212" s="17">
        <v>0</v>
      </c>
      <c r="H212" s="19">
        <f t="shared" si="31"/>
        <v>0</v>
      </c>
    </row>
    <row r="213" spans="1:11" hidden="1" x14ac:dyDescent="0.2">
      <c r="A213" s="246">
        <f t="shared" si="32"/>
        <v>10</v>
      </c>
      <c r="B213" s="247"/>
      <c r="C213" s="19" t="s">
        <v>55</v>
      </c>
      <c r="D213" s="19"/>
      <c r="E213" s="19"/>
      <c r="F213" s="17">
        <f t="shared" si="30"/>
        <v>0</v>
      </c>
      <c r="G213" s="17">
        <v>0</v>
      </c>
      <c r="H213" s="19">
        <f t="shared" si="31"/>
        <v>0</v>
      </c>
    </row>
    <row r="214" spans="1:11" ht="12.75" hidden="1" customHeight="1" x14ac:dyDescent="0.2">
      <c r="A214" s="246">
        <f t="shared" si="32"/>
        <v>11</v>
      </c>
      <c r="B214" s="247"/>
      <c r="C214" s="19" t="s">
        <v>55</v>
      </c>
      <c r="D214" s="19"/>
      <c r="E214" s="19"/>
      <c r="F214" s="17">
        <f t="shared" si="30"/>
        <v>0</v>
      </c>
      <c r="G214" s="17">
        <v>0</v>
      </c>
      <c r="H214" s="19">
        <f t="shared" si="31"/>
        <v>0</v>
      </c>
    </row>
    <row r="215" spans="1:11" ht="14.25" hidden="1" customHeight="1" x14ac:dyDescent="0.2">
      <c r="A215" s="246">
        <f t="shared" si="32"/>
        <v>12</v>
      </c>
      <c r="B215" s="247"/>
      <c r="C215" s="19" t="s">
        <v>55</v>
      </c>
      <c r="D215" s="19"/>
      <c r="E215" s="19"/>
      <c r="F215" s="17">
        <f t="shared" si="30"/>
        <v>0</v>
      </c>
      <c r="G215" s="17">
        <v>0</v>
      </c>
      <c r="H215" s="19">
        <f t="shared" si="31"/>
        <v>0</v>
      </c>
    </row>
    <row r="216" spans="1:11" ht="14.25" customHeight="1" x14ac:dyDescent="0.2">
      <c r="A216" s="145" t="s">
        <v>115</v>
      </c>
      <c r="B216" s="145"/>
      <c r="C216" s="145"/>
      <c r="D216" s="145"/>
      <c r="E216" s="145"/>
      <c r="F216" s="145"/>
      <c r="G216" s="145"/>
      <c r="H216" s="145"/>
    </row>
    <row r="217" spans="1:11" x14ac:dyDescent="0.2">
      <c r="A217" s="146" t="s">
        <v>116</v>
      </c>
      <c r="B217" s="147"/>
      <c r="C217" s="147"/>
      <c r="D217" s="147"/>
      <c r="E217" s="148"/>
      <c r="F217" s="146">
        <v>5700</v>
      </c>
      <c r="G217" s="147"/>
      <c r="H217" s="148"/>
    </row>
    <row r="218" spans="1:11" x14ac:dyDescent="0.2">
      <c r="A218" s="146" t="s">
        <v>117</v>
      </c>
      <c r="B218" s="147"/>
      <c r="C218" s="147"/>
      <c r="D218" s="147"/>
      <c r="E218" s="148"/>
      <c r="F218" s="146">
        <v>300000</v>
      </c>
      <c r="G218" s="147"/>
      <c r="H218" s="148"/>
    </row>
    <row r="219" spans="1:11" x14ac:dyDescent="0.2">
      <c r="A219" s="96" t="s">
        <v>47</v>
      </c>
      <c r="B219" s="96"/>
      <c r="C219" s="96"/>
      <c r="D219" s="96"/>
      <c r="E219" s="96"/>
      <c r="F219" s="96"/>
      <c r="G219" s="96"/>
      <c r="H219" s="96"/>
      <c r="J219" s="6" t="s">
        <v>293</v>
      </c>
    </row>
    <row r="220" spans="1:11" ht="26.25" customHeight="1" x14ac:dyDescent="0.2">
      <c r="A220" s="21">
        <v>1</v>
      </c>
      <c r="B220" s="97" t="s">
        <v>292</v>
      </c>
      <c r="C220" s="98"/>
      <c r="D220" s="98"/>
      <c r="E220" s="98"/>
      <c r="F220" s="98"/>
      <c r="G220" s="98"/>
      <c r="H220" s="99"/>
    </row>
    <row r="221" spans="1:11" x14ac:dyDescent="0.2">
      <c r="A221" s="21">
        <f t="shared" ref="A221:A232" si="33">A220+1</f>
        <v>2</v>
      </c>
      <c r="B221" s="97" t="s">
        <v>220</v>
      </c>
      <c r="C221" s="98"/>
      <c r="D221" s="98"/>
      <c r="E221" s="98"/>
      <c r="F221" s="98"/>
      <c r="G221" s="98"/>
      <c r="H221" s="99"/>
      <c r="K221" s="82"/>
    </row>
    <row r="222" spans="1:11" x14ac:dyDescent="0.2">
      <c r="A222" s="21">
        <f t="shared" si="33"/>
        <v>3</v>
      </c>
      <c r="B222" s="97" t="s">
        <v>221</v>
      </c>
      <c r="C222" s="98"/>
      <c r="D222" s="98"/>
      <c r="E222" s="98"/>
      <c r="F222" s="98"/>
      <c r="G222" s="98"/>
      <c r="H222" s="99"/>
    </row>
    <row r="223" spans="1:11" ht="12.75" customHeight="1" x14ac:dyDescent="0.2">
      <c r="A223" s="21">
        <f t="shared" si="33"/>
        <v>4</v>
      </c>
      <c r="B223" s="97" t="s">
        <v>222</v>
      </c>
      <c r="C223" s="98"/>
      <c r="D223" s="98"/>
      <c r="E223" s="98"/>
      <c r="F223" s="98"/>
      <c r="G223" s="98"/>
      <c r="H223" s="99"/>
    </row>
    <row r="224" spans="1:11" x14ac:dyDescent="0.2">
      <c r="A224" s="21">
        <f t="shared" si="33"/>
        <v>5</v>
      </c>
      <c r="B224" s="97" t="s">
        <v>287</v>
      </c>
      <c r="C224" s="98"/>
      <c r="D224" s="98"/>
      <c r="E224" s="98"/>
      <c r="F224" s="98"/>
      <c r="G224" s="98"/>
      <c r="H224" s="99"/>
    </row>
    <row r="225" spans="1:8" x14ac:dyDescent="0.2">
      <c r="A225" s="21">
        <f t="shared" si="33"/>
        <v>6</v>
      </c>
      <c r="B225" s="97" t="s">
        <v>226</v>
      </c>
      <c r="C225" s="98"/>
      <c r="D225" s="98"/>
      <c r="E225" s="98"/>
      <c r="F225" s="80">
        <f>H133</f>
        <v>0.5</v>
      </c>
      <c r="G225" s="66"/>
      <c r="H225" s="67"/>
    </row>
    <row r="226" spans="1:8" x14ac:dyDescent="0.2">
      <c r="A226" s="21">
        <f t="shared" si="33"/>
        <v>7</v>
      </c>
      <c r="B226" s="97" t="s">
        <v>223</v>
      </c>
      <c r="C226" s="98"/>
      <c r="D226" s="98"/>
      <c r="E226" s="98"/>
      <c r="F226" s="98"/>
      <c r="G226" s="98"/>
      <c r="H226" s="99"/>
    </row>
    <row r="227" spans="1:8" ht="25.5" customHeight="1" x14ac:dyDescent="0.2">
      <c r="A227" s="21">
        <f t="shared" si="33"/>
        <v>8</v>
      </c>
      <c r="B227" s="97" t="s">
        <v>224</v>
      </c>
      <c r="C227" s="98"/>
      <c r="D227" s="98"/>
      <c r="E227" s="98"/>
      <c r="F227" s="98"/>
      <c r="G227" s="98"/>
      <c r="H227" s="99"/>
    </row>
    <row r="228" spans="1:8" x14ac:dyDescent="0.2">
      <c r="A228" s="21">
        <f t="shared" si="33"/>
        <v>9</v>
      </c>
      <c r="B228" s="97" t="s">
        <v>225</v>
      </c>
      <c r="C228" s="98"/>
      <c r="D228" s="98"/>
      <c r="E228" s="98"/>
      <c r="F228" s="98"/>
      <c r="G228" s="98"/>
      <c r="H228" s="99"/>
    </row>
    <row r="229" spans="1:8" x14ac:dyDescent="0.2">
      <c r="A229" s="21">
        <f t="shared" si="33"/>
        <v>10</v>
      </c>
      <c r="B229" s="97" t="s">
        <v>286</v>
      </c>
      <c r="C229" s="98"/>
      <c r="D229" s="98"/>
      <c r="E229" s="98"/>
      <c r="F229" s="98"/>
      <c r="G229" s="98"/>
      <c r="H229" s="99"/>
    </row>
    <row r="230" spans="1:8" ht="25.5" customHeight="1" x14ac:dyDescent="0.2">
      <c r="A230" s="21">
        <f t="shared" si="33"/>
        <v>11</v>
      </c>
      <c r="B230" s="97" t="s">
        <v>294</v>
      </c>
      <c r="C230" s="98"/>
      <c r="D230" s="98"/>
      <c r="E230" s="98"/>
      <c r="F230" s="98"/>
      <c r="G230" s="98"/>
      <c r="H230" s="99"/>
    </row>
    <row r="231" spans="1:8" x14ac:dyDescent="0.2">
      <c r="A231" s="21">
        <f t="shared" si="33"/>
        <v>12</v>
      </c>
      <c r="B231" s="97" t="s">
        <v>295</v>
      </c>
      <c r="C231" s="98"/>
      <c r="D231" s="98"/>
      <c r="E231" s="98"/>
      <c r="F231" s="98"/>
      <c r="G231" s="98"/>
      <c r="H231" s="99"/>
    </row>
    <row r="232" spans="1:8" x14ac:dyDescent="0.2">
      <c r="A232" s="21">
        <f t="shared" si="33"/>
        <v>13</v>
      </c>
      <c r="B232" s="97" t="s">
        <v>298</v>
      </c>
      <c r="C232" s="98"/>
      <c r="D232" s="98"/>
      <c r="E232" s="98"/>
      <c r="F232" s="98"/>
      <c r="G232" s="98"/>
      <c r="H232" s="99"/>
    </row>
    <row r="233" spans="1:8" x14ac:dyDescent="0.2">
      <c r="A233" s="94" t="s">
        <v>120</v>
      </c>
      <c r="B233" s="95"/>
      <c r="C233" s="94" t="str">
        <f>C7</f>
        <v>Om Square</v>
      </c>
      <c r="D233" s="104"/>
      <c r="E233" s="104"/>
      <c r="F233" s="104"/>
      <c r="G233" s="104"/>
      <c r="H233" s="95"/>
    </row>
    <row r="234" spans="1:8" x14ac:dyDescent="0.2">
      <c r="A234" s="259"/>
      <c r="B234" s="260"/>
      <c r="C234" s="260"/>
      <c r="D234" s="260"/>
      <c r="E234" s="260"/>
      <c r="F234" s="260"/>
      <c r="G234" s="260"/>
      <c r="H234" s="261"/>
    </row>
    <row r="235" spans="1:8" x14ac:dyDescent="0.2">
      <c r="A235" s="91"/>
      <c r="B235" s="92"/>
      <c r="C235" s="92"/>
      <c r="D235" s="92"/>
      <c r="E235" s="92"/>
      <c r="F235" s="92"/>
      <c r="G235" s="92"/>
      <c r="H235" s="93"/>
    </row>
    <row r="236" spans="1:8" x14ac:dyDescent="0.2">
      <c r="A236" s="91"/>
      <c r="B236" s="92"/>
      <c r="C236" s="92"/>
      <c r="D236" s="92"/>
      <c r="E236" s="92"/>
      <c r="F236" s="92"/>
      <c r="G236" s="92"/>
      <c r="H236" s="93"/>
    </row>
    <row r="237" spans="1:8" x14ac:dyDescent="0.2">
      <c r="A237" s="91"/>
      <c r="B237" s="92"/>
      <c r="C237" s="92"/>
      <c r="D237" s="92"/>
      <c r="E237" s="92"/>
      <c r="F237" s="92"/>
      <c r="G237" s="92"/>
      <c r="H237" s="93"/>
    </row>
    <row r="238" spans="1:8" x14ac:dyDescent="0.2">
      <c r="A238" s="91"/>
      <c r="B238" s="92"/>
      <c r="C238" s="92"/>
      <c r="D238" s="92"/>
      <c r="E238" s="92"/>
      <c r="F238" s="92"/>
      <c r="G238" s="92"/>
      <c r="H238" s="93"/>
    </row>
    <row r="239" spans="1:8" x14ac:dyDescent="0.2">
      <c r="A239" s="91"/>
      <c r="B239" s="92"/>
      <c r="C239" s="92"/>
      <c r="D239" s="92"/>
      <c r="E239" s="92"/>
      <c r="F239" s="92"/>
      <c r="G239" s="92"/>
      <c r="H239" s="93"/>
    </row>
    <row r="240" spans="1:8" x14ac:dyDescent="0.2">
      <c r="A240" s="91"/>
      <c r="B240" s="92"/>
      <c r="C240" s="92"/>
      <c r="D240" s="92"/>
      <c r="E240" s="92"/>
      <c r="F240" s="92"/>
      <c r="G240" s="92"/>
      <c r="H240" s="93"/>
    </row>
    <row r="241" spans="1:8" x14ac:dyDescent="0.2">
      <c r="A241" s="91"/>
      <c r="B241" s="92"/>
      <c r="C241" s="92"/>
      <c r="D241" s="92"/>
      <c r="E241" s="92"/>
      <c r="F241" s="92"/>
      <c r="G241" s="92"/>
      <c r="H241" s="93"/>
    </row>
    <row r="242" spans="1:8" x14ac:dyDescent="0.2">
      <c r="A242" s="91"/>
      <c r="B242" s="92"/>
      <c r="C242" s="92"/>
      <c r="D242" s="92"/>
      <c r="E242" s="92"/>
      <c r="F242" s="92"/>
      <c r="G242" s="92"/>
      <c r="H242" s="93"/>
    </row>
    <row r="243" spans="1:8" x14ac:dyDescent="0.2">
      <c r="A243" s="91"/>
      <c r="B243" s="92"/>
      <c r="C243" s="92"/>
      <c r="D243" s="92"/>
      <c r="E243" s="92"/>
      <c r="F243" s="92"/>
      <c r="G243" s="92"/>
      <c r="H243" s="93"/>
    </row>
    <row r="244" spans="1:8" x14ac:dyDescent="0.2">
      <c r="A244" s="91"/>
      <c r="B244" s="92"/>
      <c r="C244" s="92"/>
      <c r="D244" s="92"/>
      <c r="E244" s="92"/>
      <c r="F244" s="92"/>
      <c r="G244" s="92"/>
      <c r="H244" s="93"/>
    </row>
    <row r="245" spans="1:8" x14ac:dyDescent="0.2">
      <c r="A245" s="91"/>
      <c r="B245" s="92"/>
      <c r="C245" s="92"/>
      <c r="D245" s="92"/>
      <c r="E245" s="92"/>
      <c r="F245" s="92"/>
      <c r="G245" s="92"/>
      <c r="H245" s="93"/>
    </row>
    <row r="246" spans="1:8" x14ac:dyDescent="0.2">
      <c r="A246" s="91"/>
      <c r="B246" s="92"/>
      <c r="C246" s="92"/>
      <c r="D246" s="92"/>
      <c r="E246" s="92"/>
      <c r="F246" s="92"/>
      <c r="G246" s="92"/>
      <c r="H246" s="93"/>
    </row>
    <row r="247" spans="1:8" x14ac:dyDescent="0.2">
      <c r="A247" s="91"/>
      <c r="B247" s="92"/>
      <c r="C247" s="92"/>
      <c r="D247" s="92"/>
      <c r="E247" s="92"/>
      <c r="F247" s="92"/>
      <c r="G247" s="92"/>
      <c r="H247" s="93"/>
    </row>
    <row r="248" spans="1:8" x14ac:dyDescent="0.2">
      <c r="A248" s="91"/>
      <c r="B248" s="92"/>
      <c r="C248" s="92"/>
      <c r="D248" s="92"/>
      <c r="E248" s="92"/>
      <c r="F248" s="92"/>
      <c r="G248" s="92"/>
      <c r="H248" s="93"/>
    </row>
    <row r="249" spans="1:8" x14ac:dyDescent="0.2">
      <c r="A249" s="91"/>
      <c r="B249" s="92"/>
      <c r="C249" s="92"/>
      <c r="D249" s="92"/>
      <c r="E249" s="92"/>
      <c r="F249" s="92"/>
      <c r="G249" s="92"/>
      <c r="H249" s="93"/>
    </row>
    <row r="250" spans="1:8" x14ac:dyDescent="0.2">
      <c r="A250" s="91"/>
      <c r="B250" s="92"/>
      <c r="C250" s="92"/>
      <c r="D250" s="92"/>
      <c r="E250" s="92"/>
      <c r="F250" s="92"/>
      <c r="G250" s="92"/>
      <c r="H250" s="93"/>
    </row>
    <row r="251" spans="1:8" x14ac:dyDescent="0.2">
      <c r="A251" s="91"/>
      <c r="B251" s="92"/>
      <c r="C251" s="92"/>
      <c r="D251" s="92"/>
      <c r="E251" s="92"/>
      <c r="F251" s="92"/>
      <c r="G251" s="92"/>
      <c r="H251" s="93"/>
    </row>
    <row r="252" spans="1:8" x14ac:dyDescent="0.2">
      <c r="A252" s="91"/>
      <c r="B252" s="92"/>
      <c r="C252" s="92"/>
      <c r="D252" s="92"/>
      <c r="E252" s="92"/>
      <c r="F252" s="92"/>
      <c r="G252" s="92"/>
      <c r="H252" s="93"/>
    </row>
    <row r="253" spans="1:8" x14ac:dyDescent="0.2">
      <c r="A253" s="91"/>
      <c r="B253" s="92"/>
      <c r="C253" s="92"/>
      <c r="D253" s="92"/>
      <c r="E253" s="92"/>
      <c r="F253" s="92"/>
      <c r="G253" s="92"/>
      <c r="H253" s="93"/>
    </row>
    <row r="254" spans="1:8" x14ac:dyDescent="0.2">
      <c r="A254" s="91"/>
      <c r="B254" s="92"/>
      <c r="C254" s="92"/>
      <c r="D254" s="92"/>
      <c r="E254" s="92"/>
      <c r="F254" s="92"/>
      <c r="G254" s="92"/>
      <c r="H254" s="93"/>
    </row>
    <row r="255" spans="1:8" x14ac:dyDescent="0.2">
      <c r="A255" s="91"/>
      <c r="B255" s="92"/>
      <c r="C255" s="92"/>
      <c r="D255" s="92"/>
      <c r="E255" s="92"/>
      <c r="F255" s="92"/>
      <c r="G255" s="92"/>
      <c r="H255" s="93"/>
    </row>
    <row r="256" spans="1:8" x14ac:dyDescent="0.2">
      <c r="A256" s="91"/>
      <c r="B256" s="92"/>
      <c r="C256" s="92"/>
      <c r="D256" s="92"/>
      <c r="E256" s="92"/>
      <c r="F256" s="92"/>
      <c r="G256" s="92"/>
      <c r="H256" s="93"/>
    </row>
    <row r="257" spans="1:8" x14ac:dyDescent="0.2">
      <c r="A257" s="91"/>
      <c r="B257" s="92"/>
      <c r="C257" s="92"/>
      <c r="D257" s="92"/>
      <c r="E257" s="92"/>
      <c r="F257" s="92"/>
      <c r="G257" s="92"/>
      <c r="H257" s="93"/>
    </row>
    <row r="258" spans="1:8" x14ac:dyDescent="0.2">
      <c r="A258" s="91"/>
      <c r="B258" s="92"/>
      <c r="C258" s="92"/>
      <c r="D258" s="92"/>
      <c r="E258" s="92"/>
      <c r="F258" s="92"/>
      <c r="G258" s="92"/>
      <c r="H258" s="93"/>
    </row>
    <row r="259" spans="1:8" x14ac:dyDescent="0.2">
      <c r="A259" s="91"/>
      <c r="B259" s="92"/>
      <c r="C259" s="92"/>
      <c r="D259" s="92"/>
      <c r="E259" s="92"/>
      <c r="F259" s="92"/>
      <c r="G259" s="92"/>
      <c r="H259" s="93"/>
    </row>
    <row r="260" spans="1:8" x14ac:dyDescent="0.2">
      <c r="A260" s="91"/>
      <c r="B260" s="92"/>
      <c r="C260" s="92"/>
      <c r="D260" s="92"/>
      <c r="E260" s="92"/>
      <c r="F260" s="92"/>
      <c r="G260" s="92"/>
      <c r="H260" s="93"/>
    </row>
    <row r="261" spans="1:8" x14ac:dyDescent="0.2">
      <c r="A261" s="91"/>
      <c r="B261" s="92"/>
      <c r="C261" s="92"/>
      <c r="D261" s="92"/>
      <c r="E261" s="92"/>
      <c r="F261" s="92"/>
      <c r="G261" s="92"/>
      <c r="H261" s="93"/>
    </row>
    <row r="262" spans="1:8" x14ac:dyDescent="0.2">
      <c r="A262" s="91"/>
      <c r="B262" s="92"/>
      <c r="C262" s="92"/>
      <c r="D262" s="92"/>
      <c r="E262" s="92"/>
      <c r="F262" s="92"/>
      <c r="G262" s="92"/>
      <c r="H262" s="93"/>
    </row>
    <row r="263" spans="1:8" x14ac:dyDescent="0.2">
      <c r="A263" s="91"/>
      <c r="B263" s="92"/>
      <c r="C263" s="92"/>
      <c r="D263" s="92"/>
      <c r="E263" s="92"/>
      <c r="F263" s="92"/>
      <c r="G263" s="92"/>
      <c r="H263" s="93"/>
    </row>
    <row r="264" spans="1:8" x14ac:dyDescent="0.2">
      <c r="A264" s="91"/>
      <c r="B264" s="92"/>
      <c r="C264" s="92"/>
      <c r="D264" s="92"/>
      <c r="E264" s="92"/>
      <c r="F264" s="92"/>
      <c r="G264" s="92"/>
      <c r="H264" s="93"/>
    </row>
    <row r="265" spans="1:8" x14ac:dyDescent="0.2">
      <c r="A265" s="91"/>
      <c r="B265" s="92"/>
      <c r="C265" s="92"/>
      <c r="D265" s="92"/>
      <c r="E265" s="92"/>
      <c r="F265" s="92"/>
      <c r="G265" s="92"/>
      <c r="H265" s="93"/>
    </row>
    <row r="266" spans="1:8" x14ac:dyDescent="0.2">
      <c r="A266" s="91"/>
      <c r="B266" s="92"/>
      <c r="C266" s="92"/>
      <c r="D266" s="92"/>
      <c r="E266" s="92"/>
      <c r="F266" s="92"/>
      <c r="G266" s="92"/>
      <c r="H266" s="93"/>
    </row>
    <row r="267" spans="1:8" x14ac:dyDescent="0.2">
      <c r="A267" s="91"/>
      <c r="B267" s="92"/>
      <c r="C267" s="92"/>
      <c r="D267" s="92"/>
      <c r="E267" s="92"/>
      <c r="F267" s="92"/>
      <c r="G267" s="92"/>
      <c r="H267" s="93"/>
    </row>
    <row r="268" spans="1:8" x14ac:dyDescent="0.2">
      <c r="A268" s="91"/>
      <c r="B268" s="92"/>
      <c r="C268" s="92"/>
      <c r="D268" s="92"/>
      <c r="E268" s="92"/>
      <c r="F268" s="92"/>
      <c r="G268" s="92"/>
      <c r="H268" s="93"/>
    </row>
    <row r="269" spans="1:8" x14ac:dyDescent="0.2">
      <c r="A269" s="91"/>
      <c r="B269" s="92"/>
      <c r="C269" s="92"/>
      <c r="D269" s="92"/>
      <c r="E269" s="92"/>
      <c r="F269" s="92"/>
      <c r="G269" s="92"/>
      <c r="H269" s="93"/>
    </row>
    <row r="270" spans="1:8" x14ac:dyDescent="0.2">
      <c r="A270" s="91"/>
      <c r="B270" s="92"/>
      <c r="C270" s="92"/>
      <c r="D270" s="92"/>
      <c r="E270" s="92"/>
      <c r="F270" s="92"/>
      <c r="G270" s="92"/>
      <c r="H270" s="93"/>
    </row>
    <row r="271" spans="1:8" x14ac:dyDescent="0.2">
      <c r="A271" s="91"/>
      <c r="B271" s="92"/>
      <c r="C271" s="92"/>
      <c r="D271" s="92"/>
      <c r="E271" s="92"/>
      <c r="F271" s="92"/>
      <c r="G271" s="92"/>
      <c r="H271" s="93"/>
    </row>
    <row r="272" spans="1:8" x14ac:dyDescent="0.2">
      <c r="A272" s="91"/>
      <c r="B272" s="92"/>
      <c r="C272" s="92"/>
      <c r="D272" s="92"/>
      <c r="E272" s="92"/>
      <c r="F272" s="92"/>
      <c r="G272" s="92"/>
      <c r="H272" s="93"/>
    </row>
    <row r="273" spans="1:8" x14ac:dyDescent="0.2">
      <c r="A273" s="91"/>
      <c r="B273" s="92"/>
      <c r="C273" s="92"/>
      <c r="D273" s="92"/>
      <c r="E273" s="92"/>
      <c r="F273" s="92"/>
      <c r="G273" s="92"/>
      <c r="H273" s="93"/>
    </row>
    <row r="274" spans="1:8" x14ac:dyDescent="0.2">
      <c r="A274" s="91"/>
      <c r="B274" s="92"/>
      <c r="C274" s="92"/>
      <c r="D274" s="92"/>
      <c r="E274" s="92"/>
      <c r="F274" s="92"/>
      <c r="G274" s="92"/>
      <c r="H274" s="93"/>
    </row>
    <row r="275" spans="1:8" x14ac:dyDescent="0.2">
      <c r="A275" s="91"/>
      <c r="B275" s="92"/>
      <c r="C275" s="92"/>
      <c r="D275" s="92"/>
      <c r="E275" s="92"/>
      <c r="F275" s="92"/>
      <c r="G275" s="92"/>
      <c r="H275" s="93"/>
    </row>
    <row r="276" spans="1:8" x14ac:dyDescent="0.2">
      <c r="A276" s="91"/>
      <c r="B276" s="92"/>
      <c r="C276" s="92"/>
      <c r="D276" s="92"/>
      <c r="E276" s="92"/>
      <c r="F276" s="92"/>
      <c r="G276" s="92"/>
      <c r="H276" s="93"/>
    </row>
    <row r="277" spans="1:8" x14ac:dyDescent="0.2">
      <c r="A277" s="91"/>
      <c r="B277" s="92"/>
      <c r="C277" s="92"/>
      <c r="D277" s="92"/>
      <c r="E277" s="92"/>
      <c r="F277" s="92"/>
      <c r="G277" s="92"/>
      <c r="H277" s="93"/>
    </row>
    <row r="278" spans="1:8" x14ac:dyDescent="0.2">
      <c r="A278" s="91"/>
      <c r="B278" s="92"/>
      <c r="C278" s="92"/>
      <c r="D278" s="92"/>
      <c r="E278" s="92"/>
      <c r="F278" s="92"/>
      <c r="G278" s="92"/>
      <c r="H278" s="93"/>
    </row>
    <row r="279" spans="1:8" x14ac:dyDescent="0.2">
      <c r="A279" s="91"/>
      <c r="B279" s="92"/>
      <c r="C279" s="92"/>
      <c r="D279" s="92"/>
      <c r="E279" s="92"/>
      <c r="F279" s="92"/>
      <c r="G279" s="92"/>
      <c r="H279" s="93"/>
    </row>
    <row r="280" spans="1:8" x14ac:dyDescent="0.2">
      <c r="A280" s="91"/>
      <c r="B280" s="92"/>
      <c r="C280" s="92"/>
      <c r="D280" s="92"/>
      <c r="E280" s="92"/>
      <c r="F280" s="92"/>
      <c r="G280" s="92"/>
      <c r="H280" s="93"/>
    </row>
    <row r="281" spans="1:8" x14ac:dyDescent="0.2">
      <c r="A281" s="91"/>
      <c r="B281" s="92"/>
      <c r="C281" s="92"/>
      <c r="D281" s="92"/>
      <c r="E281" s="92"/>
      <c r="F281" s="92"/>
      <c r="G281" s="92"/>
      <c r="H281" s="93"/>
    </row>
    <row r="282" spans="1:8" x14ac:dyDescent="0.2">
      <c r="A282" s="91"/>
      <c r="B282" s="92"/>
      <c r="C282" s="92"/>
      <c r="D282" s="92"/>
      <c r="E282" s="92"/>
      <c r="F282" s="92"/>
      <c r="G282" s="92"/>
      <c r="H282" s="93"/>
    </row>
    <row r="283" spans="1:8" x14ac:dyDescent="0.2">
      <c r="A283" s="91"/>
      <c r="B283" s="92"/>
      <c r="C283" s="92"/>
      <c r="D283" s="92"/>
      <c r="E283" s="92"/>
      <c r="F283" s="92"/>
      <c r="G283" s="92"/>
      <c r="H283" s="93"/>
    </row>
    <row r="284" spans="1:8" x14ac:dyDescent="0.2">
      <c r="A284" s="91"/>
      <c r="B284" s="92"/>
      <c r="C284" s="92"/>
      <c r="D284" s="92"/>
      <c r="E284" s="92"/>
      <c r="F284" s="92"/>
      <c r="G284" s="92"/>
      <c r="H284" s="93"/>
    </row>
    <row r="285" spans="1:8" x14ac:dyDescent="0.2">
      <c r="A285" s="91"/>
      <c r="B285" s="92"/>
      <c r="C285" s="92"/>
      <c r="D285" s="92"/>
      <c r="E285" s="92"/>
      <c r="F285" s="92"/>
      <c r="G285" s="92"/>
      <c r="H285" s="93"/>
    </row>
    <row r="286" spans="1:8" ht="12.75" customHeight="1" x14ac:dyDescent="0.2">
      <c r="A286" s="94" t="s">
        <v>145</v>
      </c>
      <c r="B286" s="95"/>
      <c r="C286" s="94"/>
      <c r="D286" s="104"/>
      <c r="E286" s="104"/>
      <c r="F286" s="104"/>
      <c r="G286" s="104"/>
      <c r="H286" s="95"/>
    </row>
    <row r="287" spans="1:8" x14ac:dyDescent="0.2">
      <c r="A287" s="91"/>
      <c r="B287" s="92"/>
      <c r="C287" s="92"/>
      <c r="D287" s="92"/>
      <c r="E287" s="92"/>
      <c r="F287" s="92"/>
      <c r="G287" s="92"/>
      <c r="H287" s="93"/>
    </row>
    <row r="288" spans="1:8" x14ac:dyDescent="0.2">
      <c r="A288" s="91"/>
      <c r="B288" s="92"/>
      <c r="C288" s="92"/>
      <c r="D288" s="92"/>
      <c r="E288" s="92"/>
      <c r="F288" s="92"/>
      <c r="G288" s="92"/>
      <c r="H288" s="93"/>
    </row>
    <row r="289" spans="1:8" x14ac:dyDescent="0.2">
      <c r="A289" s="91"/>
      <c r="B289" s="92"/>
      <c r="C289" s="92"/>
      <c r="D289" s="92"/>
      <c r="E289" s="92"/>
      <c r="F289" s="92"/>
      <c r="G289" s="92"/>
      <c r="H289" s="93"/>
    </row>
    <row r="290" spans="1:8" x14ac:dyDescent="0.2">
      <c r="A290" s="91"/>
      <c r="B290" s="92"/>
      <c r="C290" s="92"/>
      <c r="D290" s="92"/>
      <c r="E290" s="92"/>
      <c r="F290" s="92"/>
      <c r="G290" s="92"/>
      <c r="H290" s="93"/>
    </row>
    <row r="291" spans="1:8" x14ac:dyDescent="0.2">
      <c r="A291" s="91"/>
      <c r="B291" s="92"/>
      <c r="C291" s="92"/>
      <c r="D291" s="92"/>
      <c r="E291" s="92"/>
      <c r="F291" s="92"/>
      <c r="G291" s="92"/>
      <c r="H291" s="93"/>
    </row>
    <row r="292" spans="1:8" x14ac:dyDescent="0.2">
      <c r="A292" s="91"/>
      <c r="B292" s="92"/>
      <c r="C292" s="92"/>
      <c r="D292" s="92"/>
      <c r="E292" s="92"/>
      <c r="F292" s="92"/>
      <c r="G292" s="92"/>
      <c r="H292" s="93"/>
    </row>
    <row r="293" spans="1:8" x14ac:dyDescent="0.2">
      <c r="A293" s="91"/>
      <c r="B293" s="92"/>
      <c r="C293" s="92"/>
      <c r="D293" s="92"/>
      <c r="E293" s="92"/>
      <c r="F293" s="92"/>
      <c r="G293" s="92"/>
      <c r="H293" s="93"/>
    </row>
    <row r="294" spans="1:8" x14ac:dyDescent="0.2">
      <c r="A294" s="91"/>
      <c r="B294" s="92"/>
      <c r="C294" s="92"/>
      <c r="D294" s="92"/>
      <c r="E294" s="92"/>
      <c r="F294" s="92"/>
      <c r="G294" s="92"/>
      <c r="H294" s="93"/>
    </row>
    <row r="295" spans="1:8" x14ac:dyDescent="0.2">
      <c r="A295" s="91"/>
      <c r="B295" s="92"/>
      <c r="C295" s="92"/>
      <c r="D295" s="92"/>
      <c r="E295" s="92"/>
      <c r="F295" s="92"/>
      <c r="G295" s="92"/>
      <c r="H295" s="93"/>
    </row>
    <row r="296" spans="1:8" x14ac:dyDescent="0.2">
      <c r="A296" s="91"/>
      <c r="B296" s="92"/>
      <c r="C296" s="92"/>
      <c r="D296" s="92"/>
      <c r="E296" s="92"/>
      <c r="F296" s="92"/>
      <c r="G296" s="92"/>
      <c r="H296" s="93"/>
    </row>
    <row r="297" spans="1:8" x14ac:dyDescent="0.2">
      <c r="A297" s="91"/>
      <c r="B297" s="92"/>
      <c r="C297" s="92"/>
      <c r="D297" s="92"/>
      <c r="E297" s="92"/>
      <c r="F297" s="92"/>
      <c r="G297" s="92"/>
      <c r="H297" s="93"/>
    </row>
    <row r="298" spans="1:8" x14ac:dyDescent="0.2">
      <c r="A298" s="91"/>
      <c r="B298" s="92"/>
      <c r="C298" s="92"/>
      <c r="D298" s="92"/>
      <c r="E298" s="92"/>
      <c r="F298" s="92"/>
      <c r="G298" s="92"/>
      <c r="H298" s="93"/>
    </row>
    <row r="299" spans="1:8" x14ac:dyDescent="0.2">
      <c r="A299" s="91"/>
      <c r="B299" s="92"/>
      <c r="C299" s="92"/>
      <c r="D299" s="92"/>
      <c r="E299" s="92"/>
      <c r="F299" s="92"/>
      <c r="G299" s="92"/>
      <c r="H299" s="93"/>
    </row>
    <row r="300" spans="1:8" x14ac:dyDescent="0.2">
      <c r="A300" s="91"/>
      <c r="B300" s="92"/>
      <c r="C300" s="92"/>
      <c r="D300" s="92"/>
      <c r="E300" s="92"/>
      <c r="F300" s="92"/>
      <c r="G300" s="92"/>
      <c r="H300" s="93"/>
    </row>
    <row r="301" spans="1:8" x14ac:dyDescent="0.2">
      <c r="A301" s="91"/>
      <c r="B301" s="92"/>
      <c r="C301" s="92"/>
      <c r="D301" s="92"/>
      <c r="E301" s="92"/>
      <c r="F301" s="92"/>
      <c r="G301" s="92"/>
      <c r="H301" s="93"/>
    </row>
    <row r="302" spans="1:8" x14ac:dyDescent="0.2">
      <c r="A302" s="91"/>
      <c r="B302" s="92"/>
      <c r="C302" s="92"/>
      <c r="D302" s="92"/>
      <c r="E302" s="92"/>
      <c r="F302" s="92"/>
      <c r="G302" s="92"/>
      <c r="H302" s="93"/>
    </row>
    <row r="303" spans="1:8" x14ac:dyDescent="0.2">
      <c r="A303" s="91"/>
      <c r="B303" s="92"/>
      <c r="C303" s="92"/>
      <c r="D303" s="92"/>
      <c r="E303" s="92"/>
      <c r="F303" s="92"/>
      <c r="G303" s="92"/>
      <c r="H303" s="93"/>
    </row>
    <row r="304" spans="1:8" x14ac:dyDescent="0.2">
      <c r="A304" s="91"/>
      <c r="B304" s="92"/>
      <c r="C304" s="92"/>
      <c r="D304" s="92"/>
      <c r="E304" s="92"/>
      <c r="F304" s="92"/>
      <c r="G304" s="92"/>
      <c r="H304" s="93"/>
    </row>
    <row r="305" spans="1:8" x14ac:dyDescent="0.2">
      <c r="A305" s="91"/>
      <c r="B305" s="92"/>
      <c r="C305" s="92"/>
      <c r="D305" s="92"/>
      <c r="E305" s="92"/>
      <c r="F305" s="92"/>
      <c r="G305" s="92"/>
      <c r="H305" s="93"/>
    </row>
    <row r="306" spans="1:8" x14ac:dyDescent="0.2">
      <c r="A306" s="91"/>
      <c r="B306" s="92"/>
      <c r="C306" s="92"/>
      <c r="D306" s="92"/>
      <c r="E306" s="92"/>
      <c r="F306" s="92"/>
      <c r="G306" s="92"/>
      <c r="H306" s="93"/>
    </row>
    <row r="307" spans="1:8" x14ac:dyDescent="0.2">
      <c r="A307" s="91"/>
      <c r="B307" s="92"/>
      <c r="C307" s="92"/>
      <c r="D307" s="92"/>
      <c r="E307" s="92"/>
      <c r="F307" s="92"/>
      <c r="G307" s="92"/>
      <c r="H307" s="93"/>
    </row>
    <row r="308" spans="1:8" x14ac:dyDescent="0.2">
      <c r="A308" s="91"/>
      <c r="B308" s="92"/>
      <c r="C308" s="92"/>
      <c r="D308" s="92"/>
      <c r="E308" s="92"/>
      <c r="F308" s="92"/>
      <c r="G308" s="92"/>
      <c r="H308" s="93"/>
    </row>
    <row r="309" spans="1:8" x14ac:dyDescent="0.2">
      <c r="A309" s="91"/>
      <c r="B309" s="92"/>
      <c r="C309" s="92"/>
      <c r="D309" s="92"/>
      <c r="E309" s="92"/>
      <c r="F309" s="92"/>
      <c r="G309" s="92"/>
      <c r="H309" s="93"/>
    </row>
    <row r="310" spans="1:8" x14ac:dyDescent="0.2">
      <c r="A310" s="91"/>
      <c r="B310" s="92"/>
      <c r="C310" s="92"/>
      <c r="D310" s="92"/>
      <c r="E310" s="92"/>
      <c r="F310" s="92"/>
      <c r="G310" s="92"/>
      <c r="H310" s="93"/>
    </row>
    <row r="311" spans="1:8" x14ac:dyDescent="0.2">
      <c r="A311" s="91"/>
      <c r="B311" s="92"/>
      <c r="C311" s="92"/>
      <c r="D311" s="92"/>
      <c r="E311" s="92"/>
      <c r="F311" s="92"/>
      <c r="G311" s="92"/>
      <c r="H311" s="93"/>
    </row>
    <row r="312" spans="1:8" x14ac:dyDescent="0.2">
      <c r="A312" s="91"/>
      <c r="B312" s="92"/>
      <c r="C312" s="92"/>
      <c r="D312" s="92"/>
      <c r="E312" s="92"/>
      <c r="F312" s="92"/>
      <c r="G312" s="92"/>
      <c r="H312" s="93"/>
    </row>
    <row r="313" spans="1:8" x14ac:dyDescent="0.2">
      <c r="A313" s="91"/>
      <c r="B313" s="92"/>
      <c r="C313" s="92"/>
      <c r="D313" s="92"/>
      <c r="E313" s="92"/>
      <c r="F313" s="92"/>
      <c r="G313" s="92"/>
      <c r="H313" s="93"/>
    </row>
    <row r="314" spans="1:8" x14ac:dyDescent="0.2">
      <c r="A314" s="91"/>
      <c r="B314" s="92"/>
      <c r="C314" s="92"/>
      <c r="D314" s="92"/>
      <c r="E314" s="92"/>
      <c r="F314" s="92"/>
      <c r="G314" s="92"/>
      <c r="H314" s="93"/>
    </row>
    <row r="315" spans="1:8" x14ac:dyDescent="0.2">
      <c r="A315" s="91"/>
      <c r="B315" s="92"/>
      <c r="C315" s="92"/>
      <c r="D315" s="92"/>
      <c r="E315" s="92"/>
      <c r="F315" s="92"/>
      <c r="G315" s="92"/>
      <c r="H315" s="93"/>
    </row>
    <row r="316" spans="1:8" x14ac:dyDescent="0.2">
      <c r="A316" s="91"/>
      <c r="B316" s="92"/>
      <c r="C316" s="92"/>
      <c r="D316" s="92"/>
      <c r="E316" s="92"/>
      <c r="F316" s="92"/>
      <c r="G316" s="92"/>
      <c r="H316" s="93"/>
    </row>
    <row r="317" spans="1:8" x14ac:dyDescent="0.2">
      <c r="A317" s="91"/>
      <c r="B317" s="92"/>
      <c r="C317" s="92"/>
      <c r="D317" s="92"/>
      <c r="E317" s="92"/>
      <c r="F317" s="92"/>
      <c r="G317" s="92"/>
      <c r="H317" s="93"/>
    </row>
    <row r="318" spans="1:8" x14ac:dyDescent="0.2">
      <c r="A318" s="91"/>
      <c r="B318" s="92"/>
      <c r="C318" s="92"/>
      <c r="D318" s="92"/>
      <c r="E318" s="92"/>
      <c r="F318" s="92"/>
      <c r="G318" s="92"/>
      <c r="H318" s="93"/>
    </row>
    <row r="319" spans="1:8" x14ac:dyDescent="0.2">
      <c r="A319" s="91"/>
      <c r="B319" s="92"/>
      <c r="C319" s="92"/>
      <c r="D319" s="92"/>
      <c r="E319" s="92"/>
      <c r="F319" s="92"/>
      <c r="G319" s="92"/>
      <c r="H319" s="93"/>
    </row>
    <row r="320" spans="1:8" x14ac:dyDescent="0.2">
      <c r="A320" s="91"/>
      <c r="B320" s="92"/>
      <c r="C320" s="92"/>
      <c r="D320" s="92"/>
      <c r="E320" s="92"/>
      <c r="F320" s="92"/>
      <c r="G320" s="92"/>
      <c r="H320" s="93"/>
    </row>
    <row r="321" spans="1:8" x14ac:dyDescent="0.2">
      <c r="A321" s="91"/>
      <c r="B321" s="92"/>
      <c r="C321" s="92"/>
      <c r="D321" s="92"/>
      <c r="E321" s="92"/>
      <c r="F321" s="92"/>
      <c r="G321" s="92"/>
      <c r="H321" s="93"/>
    </row>
    <row r="322" spans="1:8" x14ac:dyDescent="0.2">
      <c r="A322" s="91"/>
      <c r="B322" s="92"/>
      <c r="C322" s="92"/>
      <c r="D322" s="92"/>
      <c r="E322" s="92"/>
      <c r="F322" s="92"/>
      <c r="G322" s="92"/>
      <c r="H322" s="93"/>
    </row>
    <row r="323" spans="1:8" x14ac:dyDescent="0.2">
      <c r="A323" s="91"/>
      <c r="B323" s="92"/>
      <c r="C323" s="92"/>
      <c r="D323" s="92"/>
      <c r="E323" s="92"/>
      <c r="F323" s="92"/>
      <c r="G323" s="92"/>
      <c r="H323" s="93"/>
    </row>
    <row r="324" spans="1:8" x14ac:dyDescent="0.2">
      <c r="A324" s="91"/>
      <c r="B324" s="92"/>
      <c r="C324" s="92"/>
      <c r="D324" s="92"/>
      <c r="E324" s="92"/>
      <c r="F324" s="92"/>
      <c r="G324" s="92"/>
      <c r="H324" s="93"/>
    </row>
    <row r="325" spans="1:8" x14ac:dyDescent="0.2">
      <c r="A325" s="91"/>
      <c r="B325" s="92"/>
      <c r="C325" s="92"/>
      <c r="D325" s="92"/>
      <c r="E325" s="92"/>
      <c r="F325" s="92"/>
      <c r="G325" s="92"/>
      <c r="H325" s="93"/>
    </row>
    <row r="326" spans="1:8" x14ac:dyDescent="0.2">
      <c r="A326" s="91"/>
      <c r="B326" s="92"/>
      <c r="C326" s="92"/>
      <c r="D326" s="92"/>
      <c r="E326" s="92"/>
      <c r="F326" s="92"/>
      <c r="G326" s="92"/>
      <c r="H326" s="93"/>
    </row>
    <row r="327" spans="1:8" x14ac:dyDescent="0.2">
      <c r="A327" s="91"/>
      <c r="B327" s="92"/>
      <c r="C327" s="92"/>
      <c r="D327" s="92"/>
      <c r="E327" s="92"/>
      <c r="F327" s="92"/>
      <c r="G327" s="92"/>
      <c r="H327" s="93"/>
    </row>
    <row r="328" spans="1:8" x14ac:dyDescent="0.2">
      <c r="A328" s="91"/>
      <c r="B328" s="92"/>
      <c r="C328" s="92"/>
      <c r="D328" s="92"/>
      <c r="E328" s="92"/>
      <c r="F328" s="92"/>
      <c r="G328" s="92"/>
      <c r="H328" s="93"/>
    </row>
    <row r="329" spans="1:8" x14ac:dyDescent="0.2">
      <c r="A329" s="91"/>
      <c r="B329" s="92"/>
      <c r="C329" s="92"/>
      <c r="D329" s="92"/>
      <c r="E329" s="92"/>
      <c r="F329" s="92"/>
      <c r="G329" s="92"/>
      <c r="H329" s="93"/>
    </row>
    <row r="330" spans="1:8" x14ac:dyDescent="0.2">
      <c r="A330" s="91"/>
      <c r="B330" s="92"/>
      <c r="C330" s="92"/>
      <c r="D330" s="92"/>
      <c r="E330" s="92"/>
      <c r="F330" s="92"/>
      <c r="G330" s="92"/>
      <c r="H330" s="93"/>
    </row>
    <row r="331" spans="1:8" x14ac:dyDescent="0.2">
      <c r="A331" s="91"/>
      <c r="B331" s="92"/>
      <c r="C331" s="92"/>
      <c r="D331" s="92"/>
      <c r="E331" s="92"/>
      <c r="F331" s="92"/>
      <c r="G331" s="92"/>
      <c r="H331" s="93"/>
    </row>
    <row r="332" spans="1:8" x14ac:dyDescent="0.2">
      <c r="A332" s="91"/>
      <c r="B332" s="92"/>
      <c r="C332" s="92"/>
      <c r="D332" s="92"/>
      <c r="E332" s="92"/>
      <c r="F332" s="92"/>
      <c r="G332" s="92"/>
      <c r="H332" s="93"/>
    </row>
    <row r="333" spans="1:8" x14ac:dyDescent="0.2">
      <c r="A333" s="91"/>
      <c r="B333" s="92"/>
      <c r="C333" s="92"/>
      <c r="D333" s="92"/>
      <c r="E333" s="92"/>
      <c r="F333" s="92"/>
      <c r="G333" s="92"/>
      <c r="H333" s="93"/>
    </row>
    <row r="334" spans="1:8" x14ac:dyDescent="0.2">
      <c r="A334" s="91"/>
      <c r="B334" s="92"/>
      <c r="C334" s="92"/>
      <c r="D334" s="92"/>
      <c r="E334" s="92"/>
      <c r="F334" s="92"/>
      <c r="G334" s="92"/>
      <c r="H334" s="93"/>
    </row>
    <row r="335" spans="1:8" x14ac:dyDescent="0.2">
      <c r="A335" s="91"/>
      <c r="B335" s="92"/>
      <c r="C335" s="92"/>
      <c r="D335" s="92"/>
      <c r="E335" s="92"/>
      <c r="F335" s="92"/>
      <c r="G335" s="92"/>
      <c r="H335" s="93"/>
    </row>
    <row r="336" spans="1:8" x14ac:dyDescent="0.2">
      <c r="A336" s="91"/>
      <c r="B336" s="92"/>
      <c r="C336" s="92"/>
      <c r="D336" s="92"/>
      <c r="E336" s="92"/>
      <c r="F336" s="92"/>
      <c r="G336" s="92"/>
      <c r="H336" s="93"/>
    </row>
    <row r="337" spans="1:8" x14ac:dyDescent="0.2">
      <c r="A337" s="91"/>
      <c r="B337" s="92"/>
      <c r="C337" s="92"/>
      <c r="D337" s="92"/>
      <c r="E337" s="92"/>
      <c r="F337" s="92"/>
      <c r="G337" s="92"/>
      <c r="H337" s="93"/>
    </row>
    <row r="338" spans="1:8" x14ac:dyDescent="0.2">
      <c r="A338" s="91"/>
      <c r="B338" s="92"/>
      <c r="C338" s="92"/>
      <c r="D338" s="92"/>
      <c r="E338" s="92"/>
      <c r="F338" s="92"/>
      <c r="G338" s="92"/>
      <c r="H338" s="93"/>
    </row>
    <row r="339" spans="1:8" x14ac:dyDescent="0.2">
      <c r="A339" s="262"/>
      <c r="B339" s="263"/>
      <c r="C339" s="263"/>
      <c r="D339" s="263"/>
      <c r="E339" s="263"/>
      <c r="F339" s="263"/>
      <c r="G339" s="263"/>
      <c r="H339" s="264"/>
    </row>
    <row r="340" spans="1:8" x14ac:dyDescent="0.2">
      <c r="A340" s="94" t="s">
        <v>121</v>
      </c>
      <c r="B340" s="95"/>
      <c r="C340" s="88"/>
      <c r="D340" s="89"/>
      <c r="E340" s="89"/>
      <c r="F340" s="89"/>
      <c r="G340" s="89"/>
      <c r="H340" s="90"/>
    </row>
    <row r="341" spans="1:8" x14ac:dyDescent="0.2">
      <c r="A341" s="91"/>
      <c r="B341" s="92"/>
      <c r="C341" s="92"/>
      <c r="D341" s="92"/>
      <c r="E341" s="92"/>
      <c r="F341" s="92"/>
      <c r="G341" s="92"/>
      <c r="H341" s="93"/>
    </row>
    <row r="342" spans="1:8" x14ac:dyDescent="0.2">
      <c r="A342" s="91"/>
      <c r="B342" s="92"/>
      <c r="C342" s="92"/>
      <c r="D342" s="92"/>
      <c r="E342" s="92"/>
      <c r="F342" s="92"/>
      <c r="G342" s="92"/>
      <c r="H342" s="93"/>
    </row>
    <row r="343" spans="1:8" x14ac:dyDescent="0.2">
      <c r="A343" s="91"/>
      <c r="B343" s="92"/>
      <c r="C343" s="92"/>
      <c r="D343" s="92"/>
      <c r="E343" s="92"/>
      <c r="F343" s="92"/>
      <c r="G343" s="92"/>
      <c r="H343" s="93"/>
    </row>
    <row r="344" spans="1:8" x14ac:dyDescent="0.2">
      <c r="A344" s="91"/>
      <c r="B344" s="92"/>
      <c r="C344" s="92"/>
      <c r="D344" s="92"/>
      <c r="E344" s="92"/>
      <c r="F344" s="92"/>
      <c r="G344" s="92"/>
      <c r="H344" s="93"/>
    </row>
    <row r="345" spans="1:8" x14ac:dyDescent="0.2">
      <c r="A345" s="91"/>
      <c r="B345" s="92"/>
      <c r="C345" s="92"/>
      <c r="D345" s="92"/>
      <c r="E345" s="92"/>
      <c r="F345" s="92"/>
      <c r="G345" s="92"/>
      <c r="H345" s="93"/>
    </row>
    <row r="346" spans="1:8" x14ac:dyDescent="0.2">
      <c r="A346" s="91"/>
      <c r="B346" s="92"/>
      <c r="C346" s="92"/>
      <c r="D346" s="92"/>
      <c r="E346" s="92"/>
      <c r="F346" s="92"/>
      <c r="G346" s="92"/>
      <c r="H346" s="93"/>
    </row>
    <row r="347" spans="1:8" x14ac:dyDescent="0.2">
      <c r="A347" s="91"/>
      <c r="B347" s="92"/>
      <c r="C347" s="92"/>
      <c r="D347" s="92"/>
      <c r="E347" s="92"/>
      <c r="F347" s="92"/>
      <c r="G347" s="92"/>
      <c r="H347" s="93"/>
    </row>
    <row r="348" spans="1:8" x14ac:dyDescent="0.2">
      <c r="A348" s="91"/>
      <c r="B348" s="92"/>
      <c r="C348" s="92"/>
      <c r="D348" s="92"/>
      <c r="E348" s="92"/>
      <c r="F348" s="92"/>
      <c r="G348" s="92"/>
      <c r="H348" s="93"/>
    </row>
    <row r="349" spans="1:8" x14ac:dyDescent="0.2">
      <c r="A349" s="91"/>
      <c r="B349" s="92"/>
      <c r="C349" s="92"/>
      <c r="D349" s="92"/>
      <c r="E349" s="92"/>
      <c r="F349" s="92"/>
      <c r="G349" s="92"/>
      <c r="H349" s="93"/>
    </row>
    <row r="350" spans="1:8" x14ac:dyDescent="0.2">
      <c r="A350" s="91"/>
      <c r="B350" s="92"/>
      <c r="C350" s="92"/>
      <c r="D350" s="92"/>
      <c r="E350" s="92"/>
      <c r="F350" s="92"/>
      <c r="G350" s="92"/>
      <c r="H350" s="93"/>
    </row>
    <row r="351" spans="1:8" x14ac:dyDescent="0.2">
      <c r="A351" s="91"/>
      <c r="B351" s="92"/>
      <c r="C351" s="92"/>
      <c r="D351" s="92"/>
      <c r="E351" s="92"/>
      <c r="F351" s="92"/>
      <c r="G351" s="92"/>
      <c r="H351" s="93"/>
    </row>
    <row r="352" spans="1:8" x14ac:dyDescent="0.2">
      <c r="A352" s="91"/>
      <c r="B352" s="92"/>
      <c r="C352" s="92"/>
      <c r="D352" s="92"/>
      <c r="E352" s="92"/>
      <c r="F352" s="92"/>
      <c r="G352" s="92"/>
      <c r="H352" s="93"/>
    </row>
    <row r="353" spans="1:8" x14ac:dyDescent="0.2">
      <c r="A353" s="91"/>
      <c r="B353" s="92"/>
      <c r="C353" s="92"/>
      <c r="D353" s="92"/>
      <c r="E353" s="92"/>
      <c r="F353" s="92"/>
      <c r="G353" s="92"/>
      <c r="H353" s="93"/>
    </row>
    <row r="354" spans="1:8" x14ac:dyDescent="0.2">
      <c r="A354" s="91"/>
      <c r="B354" s="92"/>
      <c r="C354" s="92"/>
      <c r="D354" s="92"/>
      <c r="E354" s="92"/>
      <c r="F354" s="92"/>
      <c r="G354" s="92"/>
      <c r="H354" s="93"/>
    </row>
    <row r="355" spans="1:8" x14ac:dyDescent="0.2">
      <c r="A355" s="91"/>
      <c r="B355" s="92"/>
      <c r="C355" s="92"/>
      <c r="D355" s="92"/>
      <c r="E355" s="92"/>
      <c r="F355" s="92"/>
      <c r="G355" s="92"/>
      <c r="H355" s="93"/>
    </row>
    <row r="356" spans="1:8" x14ac:dyDescent="0.2">
      <c r="A356" s="91"/>
      <c r="B356" s="92"/>
      <c r="C356" s="92"/>
      <c r="D356" s="92"/>
      <c r="E356" s="92"/>
      <c r="F356" s="92"/>
      <c r="G356" s="92"/>
      <c r="H356" s="93"/>
    </row>
    <row r="357" spans="1:8" x14ac:dyDescent="0.2">
      <c r="A357" s="91"/>
      <c r="B357" s="92"/>
      <c r="C357" s="92"/>
      <c r="D357" s="92"/>
      <c r="E357" s="92"/>
      <c r="F357" s="92"/>
      <c r="G357" s="92"/>
      <c r="H357" s="93"/>
    </row>
    <row r="358" spans="1:8" x14ac:dyDescent="0.2">
      <c r="A358" s="91"/>
      <c r="B358" s="92"/>
      <c r="C358" s="92"/>
      <c r="D358" s="92"/>
      <c r="E358" s="92"/>
      <c r="F358" s="92"/>
      <c r="G358" s="92"/>
      <c r="H358" s="93"/>
    </row>
    <row r="359" spans="1:8" x14ac:dyDescent="0.2">
      <c r="A359" s="91"/>
      <c r="B359" s="92"/>
      <c r="C359" s="92"/>
      <c r="D359" s="92"/>
      <c r="E359" s="92"/>
      <c r="F359" s="92"/>
      <c r="G359" s="92"/>
      <c r="H359" s="93"/>
    </row>
    <row r="360" spans="1:8" x14ac:dyDescent="0.2">
      <c r="A360" s="91"/>
      <c r="B360" s="92"/>
      <c r="C360" s="92"/>
      <c r="D360" s="92"/>
      <c r="E360" s="92"/>
      <c r="F360" s="92"/>
      <c r="G360" s="92"/>
      <c r="H360" s="93"/>
    </row>
    <row r="361" spans="1:8" x14ac:dyDescent="0.2">
      <c r="A361" s="91"/>
      <c r="B361" s="92"/>
      <c r="C361" s="92"/>
      <c r="D361" s="92"/>
      <c r="E361" s="92"/>
      <c r="F361" s="92"/>
      <c r="G361" s="92"/>
      <c r="H361" s="93"/>
    </row>
    <row r="362" spans="1:8" x14ac:dyDescent="0.2">
      <c r="A362" s="91"/>
      <c r="B362" s="92"/>
      <c r="C362" s="92"/>
      <c r="D362" s="92"/>
      <c r="E362" s="92"/>
      <c r="F362" s="92"/>
      <c r="G362" s="92"/>
      <c r="H362" s="93"/>
    </row>
    <row r="363" spans="1:8" x14ac:dyDescent="0.2">
      <c r="A363" s="91"/>
      <c r="B363" s="92"/>
      <c r="C363" s="92"/>
      <c r="D363" s="92"/>
      <c r="E363" s="92"/>
      <c r="F363" s="92"/>
      <c r="G363" s="92"/>
      <c r="H363" s="93"/>
    </row>
    <row r="364" spans="1:8" x14ac:dyDescent="0.2">
      <c r="A364" s="91"/>
      <c r="B364" s="92"/>
      <c r="C364" s="92"/>
      <c r="D364" s="92"/>
      <c r="E364" s="92"/>
      <c r="F364" s="92"/>
      <c r="G364" s="92"/>
      <c r="H364" s="93"/>
    </row>
    <row r="365" spans="1:8" x14ac:dyDescent="0.2">
      <c r="A365" s="91"/>
      <c r="B365" s="92"/>
      <c r="C365" s="92"/>
      <c r="D365" s="92"/>
      <c r="E365" s="92"/>
      <c r="F365" s="92"/>
      <c r="G365" s="92"/>
      <c r="H365" s="93"/>
    </row>
    <row r="366" spans="1:8" x14ac:dyDescent="0.2">
      <c r="A366" s="91"/>
      <c r="B366" s="92"/>
      <c r="C366" s="92"/>
      <c r="D366" s="92"/>
      <c r="E366" s="92"/>
      <c r="F366" s="92"/>
      <c r="G366" s="92"/>
      <c r="H366" s="93"/>
    </row>
    <row r="367" spans="1:8" x14ac:dyDescent="0.2">
      <c r="A367" s="91"/>
      <c r="B367" s="92"/>
      <c r="C367" s="92"/>
      <c r="D367" s="92"/>
      <c r="E367" s="92"/>
      <c r="F367" s="92"/>
      <c r="G367" s="92"/>
      <c r="H367" s="93"/>
    </row>
    <row r="368" spans="1:8" x14ac:dyDescent="0.2">
      <c r="A368" s="91"/>
      <c r="B368" s="92"/>
      <c r="C368" s="92"/>
      <c r="D368" s="92"/>
      <c r="E368" s="92"/>
      <c r="F368" s="92"/>
      <c r="G368" s="92"/>
      <c r="H368" s="93"/>
    </row>
    <row r="369" spans="1:8" x14ac:dyDescent="0.2">
      <c r="A369" s="91"/>
      <c r="B369" s="92"/>
      <c r="C369" s="92"/>
      <c r="D369" s="92"/>
      <c r="E369" s="92"/>
      <c r="F369" s="92"/>
      <c r="G369" s="92"/>
      <c r="H369" s="93"/>
    </row>
    <row r="370" spans="1:8" x14ac:dyDescent="0.2">
      <c r="A370" s="91"/>
      <c r="B370" s="92"/>
      <c r="C370" s="92"/>
      <c r="D370" s="92"/>
      <c r="E370" s="92"/>
      <c r="F370" s="92"/>
      <c r="G370" s="92"/>
      <c r="H370" s="93"/>
    </row>
    <row r="371" spans="1:8" x14ac:dyDescent="0.2">
      <c r="A371" s="91"/>
      <c r="B371" s="92"/>
      <c r="C371" s="92"/>
      <c r="D371" s="92"/>
      <c r="E371" s="92"/>
      <c r="F371" s="92"/>
      <c r="G371" s="92"/>
      <c r="H371" s="93"/>
    </row>
    <row r="372" spans="1:8" x14ac:dyDescent="0.2">
      <c r="A372" s="91"/>
      <c r="B372" s="92"/>
      <c r="C372" s="92"/>
      <c r="D372" s="92"/>
      <c r="E372" s="92"/>
      <c r="F372" s="92"/>
      <c r="G372" s="92"/>
      <c r="H372" s="93"/>
    </row>
    <row r="373" spans="1:8" x14ac:dyDescent="0.2">
      <c r="A373" s="91"/>
      <c r="B373" s="92"/>
      <c r="C373" s="92"/>
      <c r="D373" s="92"/>
      <c r="E373" s="92"/>
      <c r="F373" s="92"/>
      <c r="G373" s="92"/>
      <c r="H373" s="93"/>
    </row>
    <row r="374" spans="1:8" x14ac:dyDescent="0.2">
      <c r="A374" s="91"/>
      <c r="B374" s="92"/>
      <c r="C374" s="92"/>
      <c r="D374" s="92"/>
      <c r="E374" s="92"/>
      <c r="F374" s="92"/>
      <c r="G374" s="92"/>
      <c r="H374" s="93"/>
    </row>
    <row r="375" spans="1:8" x14ac:dyDescent="0.2">
      <c r="A375" s="91"/>
      <c r="B375" s="92"/>
      <c r="C375" s="92"/>
      <c r="D375" s="92"/>
      <c r="E375" s="92"/>
      <c r="F375" s="92"/>
      <c r="G375" s="92"/>
      <c r="H375" s="93"/>
    </row>
    <row r="376" spans="1:8" x14ac:dyDescent="0.2">
      <c r="A376" s="91"/>
      <c r="B376" s="92"/>
      <c r="C376" s="92"/>
      <c r="D376" s="92"/>
      <c r="E376" s="92"/>
      <c r="F376" s="92"/>
      <c r="G376" s="92"/>
      <c r="H376" s="93"/>
    </row>
    <row r="377" spans="1:8" x14ac:dyDescent="0.2">
      <c r="A377" s="91"/>
      <c r="B377" s="92"/>
      <c r="C377" s="92"/>
      <c r="D377" s="92"/>
      <c r="E377" s="92"/>
      <c r="F377" s="92"/>
      <c r="G377" s="92"/>
      <c r="H377" s="93"/>
    </row>
    <row r="378" spans="1:8" x14ac:dyDescent="0.2">
      <c r="A378" s="91"/>
      <c r="B378" s="92"/>
      <c r="C378" s="92"/>
      <c r="D378" s="92"/>
      <c r="E378" s="92"/>
      <c r="F378" s="92"/>
      <c r="G378" s="92"/>
      <c r="H378" s="93"/>
    </row>
    <row r="379" spans="1:8" x14ac:dyDescent="0.2">
      <c r="A379" s="91"/>
      <c r="B379" s="92"/>
      <c r="C379" s="92"/>
      <c r="D379" s="92"/>
      <c r="E379" s="92"/>
      <c r="F379" s="92"/>
      <c r="G379" s="92"/>
      <c r="H379" s="93"/>
    </row>
    <row r="380" spans="1:8" x14ac:dyDescent="0.2">
      <c r="A380" s="91"/>
      <c r="B380" s="92"/>
      <c r="C380" s="92"/>
      <c r="D380" s="92"/>
      <c r="E380" s="92"/>
      <c r="F380" s="92"/>
      <c r="G380" s="92"/>
      <c r="H380" s="93"/>
    </row>
    <row r="381" spans="1:8" x14ac:dyDescent="0.2">
      <c r="A381" s="91"/>
      <c r="B381" s="92"/>
      <c r="C381" s="92"/>
      <c r="D381" s="92"/>
      <c r="E381" s="92"/>
      <c r="F381" s="92"/>
      <c r="G381" s="92"/>
      <c r="H381" s="93"/>
    </row>
    <row r="382" spans="1:8" x14ac:dyDescent="0.2">
      <c r="A382" s="91"/>
      <c r="B382" s="92"/>
      <c r="C382" s="92"/>
      <c r="D382" s="92"/>
      <c r="E382" s="92"/>
      <c r="F382" s="92"/>
      <c r="G382" s="92"/>
      <c r="H382" s="93"/>
    </row>
    <row r="383" spans="1:8" x14ac:dyDescent="0.2">
      <c r="A383" s="91"/>
      <c r="B383" s="92"/>
      <c r="C383" s="92"/>
      <c r="D383" s="92"/>
      <c r="E383" s="92"/>
      <c r="F383" s="92"/>
      <c r="G383" s="92"/>
      <c r="H383" s="93"/>
    </row>
    <row r="384" spans="1:8" x14ac:dyDescent="0.2">
      <c r="A384" s="91"/>
      <c r="B384" s="92"/>
      <c r="C384" s="92"/>
      <c r="D384" s="92"/>
      <c r="E384" s="92"/>
      <c r="F384" s="92"/>
      <c r="G384" s="92"/>
      <c r="H384" s="93"/>
    </row>
    <row r="385" spans="1:8" x14ac:dyDescent="0.2">
      <c r="A385" s="91"/>
      <c r="B385" s="92"/>
      <c r="C385" s="92"/>
      <c r="D385" s="92"/>
      <c r="E385" s="92"/>
      <c r="F385" s="92"/>
      <c r="G385" s="92"/>
      <c r="H385" s="93"/>
    </row>
    <row r="386" spans="1:8" x14ac:dyDescent="0.2">
      <c r="A386" s="91"/>
      <c r="B386" s="92"/>
      <c r="C386" s="92"/>
      <c r="D386" s="92"/>
      <c r="E386" s="92"/>
      <c r="F386" s="92"/>
      <c r="G386" s="92"/>
      <c r="H386" s="93"/>
    </row>
    <row r="387" spans="1:8" x14ac:dyDescent="0.2">
      <c r="A387" s="91"/>
      <c r="B387" s="92"/>
      <c r="C387" s="92"/>
      <c r="D387" s="92"/>
      <c r="E387" s="92"/>
      <c r="F387" s="92"/>
      <c r="G387" s="92"/>
      <c r="H387" s="93"/>
    </row>
    <row r="388" spans="1:8" x14ac:dyDescent="0.2">
      <c r="A388" s="91"/>
      <c r="B388" s="92"/>
      <c r="C388" s="92"/>
      <c r="D388" s="92"/>
      <c r="E388" s="92"/>
      <c r="F388" s="92"/>
      <c r="G388" s="92"/>
      <c r="H388" s="93"/>
    </row>
    <row r="389" spans="1:8" x14ac:dyDescent="0.2">
      <c r="A389" s="91"/>
      <c r="B389" s="92"/>
      <c r="C389" s="92"/>
      <c r="D389" s="92"/>
      <c r="E389" s="92"/>
      <c r="F389" s="92"/>
      <c r="G389" s="92"/>
      <c r="H389" s="93"/>
    </row>
    <row r="390" spans="1:8" ht="50.25" customHeight="1" x14ac:dyDescent="0.2">
      <c r="A390" s="88" t="s">
        <v>118</v>
      </c>
      <c r="B390" s="90"/>
      <c r="C390" s="128" t="s">
        <v>291</v>
      </c>
      <c r="D390" s="129"/>
      <c r="E390" s="96" t="s">
        <v>119</v>
      </c>
      <c r="F390" s="96"/>
      <c r="G390" s="105"/>
      <c r="H390" s="105"/>
    </row>
  </sheetData>
  <mergeCells count="535">
    <mergeCell ref="A162:B162"/>
    <mergeCell ref="A163:B163"/>
    <mergeCell ref="B232:H232"/>
    <mergeCell ref="A153:H153"/>
    <mergeCell ref="A154:H154"/>
    <mergeCell ref="A155:H155"/>
    <mergeCell ref="A156:B156"/>
    <mergeCell ref="A157:B157"/>
    <mergeCell ref="A158:B158"/>
    <mergeCell ref="A159:B159"/>
    <mergeCell ref="A160:B160"/>
    <mergeCell ref="A161:B161"/>
    <mergeCell ref="A207:B207"/>
    <mergeCell ref="A190:H190"/>
    <mergeCell ref="A179:B179"/>
    <mergeCell ref="A180:B180"/>
    <mergeCell ref="A181:B181"/>
    <mergeCell ref="A182:B182"/>
    <mergeCell ref="A183:B183"/>
    <mergeCell ref="A184:B184"/>
    <mergeCell ref="A185:B185"/>
    <mergeCell ref="A186:B186"/>
    <mergeCell ref="A187:B187"/>
    <mergeCell ref="A174:B174"/>
    <mergeCell ref="A144:H144"/>
    <mergeCell ref="A145:B145"/>
    <mergeCell ref="A146:B146"/>
    <mergeCell ref="A147:B147"/>
    <mergeCell ref="A148:B148"/>
    <mergeCell ref="A149:B149"/>
    <mergeCell ref="A150:B150"/>
    <mergeCell ref="A151:B151"/>
    <mergeCell ref="A152:B152"/>
    <mergeCell ref="C150:H150"/>
    <mergeCell ref="A135:H135"/>
    <mergeCell ref="A136:B136"/>
    <mergeCell ref="A137:B137"/>
    <mergeCell ref="A138:B138"/>
    <mergeCell ref="A139:B139"/>
    <mergeCell ref="A140:B140"/>
    <mergeCell ref="A141:B141"/>
    <mergeCell ref="A142:B142"/>
    <mergeCell ref="A143:B143"/>
    <mergeCell ref="A90:B90"/>
    <mergeCell ref="C90:D90"/>
    <mergeCell ref="A130:B130"/>
    <mergeCell ref="A114:A115"/>
    <mergeCell ref="C114:C115"/>
    <mergeCell ref="A120:B120"/>
    <mergeCell ref="A123:B123"/>
    <mergeCell ref="A124:B124"/>
    <mergeCell ref="A125:B125"/>
    <mergeCell ref="A126:B126"/>
    <mergeCell ref="C85:D85"/>
    <mergeCell ref="A86:B86"/>
    <mergeCell ref="C86:D86"/>
    <mergeCell ref="A87:B87"/>
    <mergeCell ref="C87:D87"/>
    <mergeCell ref="A88:B88"/>
    <mergeCell ref="C88:D88"/>
    <mergeCell ref="A89:B89"/>
    <mergeCell ref="C89:D89"/>
    <mergeCell ref="I51:L51"/>
    <mergeCell ref="C286:H286"/>
    <mergeCell ref="A390:B390"/>
    <mergeCell ref="C390:D390"/>
    <mergeCell ref="A286:B286"/>
    <mergeCell ref="A208:B208"/>
    <mergeCell ref="A209:B209"/>
    <mergeCell ref="A210:B210"/>
    <mergeCell ref="A211:B211"/>
    <mergeCell ref="A212:B212"/>
    <mergeCell ref="A213:B213"/>
    <mergeCell ref="A214:B214"/>
    <mergeCell ref="A215:B215"/>
    <mergeCell ref="B220:H220"/>
    <mergeCell ref="A333:H333"/>
    <mergeCell ref="A334:H334"/>
    <mergeCell ref="A335:H335"/>
    <mergeCell ref="A336:H336"/>
    <mergeCell ref="A337:H337"/>
    <mergeCell ref="A338:H338"/>
    <mergeCell ref="A339:H339"/>
    <mergeCell ref="A315:H315"/>
    <mergeCell ref="A316:H316"/>
    <mergeCell ref="A317:H317"/>
    <mergeCell ref="A318:H318"/>
    <mergeCell ref="A319:H319"/>
    <mergeCell ref="A306:H306"/>
    <mergeCell ref="A307:H307"/>
    <mergeCell ref="A308:H308"/>
    <mergeCell ref="A309:H309"/>
    <mergeCell ref="A310:H310"/>
    <mergeCell ref="A311:H311"/>
    <mergeCell ref="A314:H314"/>
    <mergeCell ref="A287:H287"/>
    <mergeCell ref="A288:H288"/>
    <mergeCell ref="A218:E218"/>
    <mergeCell ref="F218:H218"/>
    <mergeCell ref="A234:H234"/>
    <mergeCell ref="A188:B188"/>
    <mergeCell ref="A189:B189"/>
    <mergeCell ref="A191:B191"/>
    <mergeCell ref="A192:B192"/>
    <mergeCell ref="A193:B193"/>
    <mergeCell ref="A194:B194"/>
    <mergeCell ref="A195:B195"/>
    <mergeCell ref="A196:B196"/>
    <mergeCell ref="A197:B197"/>
    <mergeCell ref="F217:H217"/>
    <mergeCell ref="A203:H203"/>
    <mergeCell ref="A198:B198"/>
    <mergeCell ref="A199:B199"/>
    <mergeCell ref="A200:B200"/>
    <mergeCell ref="A201:B201"/>
    <mergeCell ref="A202:B202"/>
    <mergeCell ref="A204:B204"/>
    <mergeCell ref="A205:B205"/>
    <mergeCell ref="A206:B206"/>
    <mergeCell ref="A175:B175"/>
    <mergeCell ref="A176:B176"/>
    <mergeCell ref="A131:H131"/>
    <mergeCell ref="A113:H113"/>
    <mergeCell ref="B114:B115"/>
    <mergeCell ref="B132:B133"/>
    <mergeCell ref="A178:B178"/>
    <mergeCell ref="A164:H164"/>
    <mergeCell ref="A165:B165"/>
    <mergeCell ref="A166:B166"/>
    <mergeCell ref="A167:B167"/>
    <mergeCell ref="A168:B168"/>
    <mergeCell ref="A169:B169"/>
    <mergeCell ref="A170:B170"/>
    <mergeCell ref="A171:B171"/>
    <mergeCell ref="A172:B172"/>
    <mergeCell ref="A127:B127"/>
    <mergeCell ref="A128:B128"/>
    <mergeCell ref="A129:B129"/>
    <mergeCell ref="E132:E133"/>
    <mergeCell ref="F132:F133"/>
    <mergeCell ref="A134:H134"/>
    <mergeCell ref="A121:B121"/>
    <mergeCell ref="A122:B122"/>
    <mergeCell ref="E114:E115"/>
    <mergeCell ref="F114:F115"/>
    <mergeCell ref="E107:F107"/>
    <mergeCell ref="G107:H107"/>
    <mergeCell ref="A173:B173"/>
    <mergeCell ref="C104:D104"/>
    <mergeCell ref="C105:D105"/>
    <mergeCell ref="C107:D107"/>
    <mergeCell ref="C108:D108"/>
    <mergeCell ref="C109:D109"/>
    <mergeCell ref="C110:D110"/>
    <mergeCell ref="C111:D111"/>
    <mergeCell ref="D114:D115"/>
    <mergeCell ref="A132:A133"/>
    <mergeCell ref="C132:C133"/>
    <mergeCell ref="D132:D133"/>
    <mergeCell ref="A107:B107"/>
    <mergeCell ref="A108:B108"/>
    <mergeCell ref="A109:B109"/>
    <mergeCell ref="A110:B110"/>
    <mergeCell ref="A111:B111"/>
    <mergeCell ref="A117:H117"/>
    <mergeCell ref="A118:B118"/>
    <mergeCell ref="A119:B119"/>
    <mergeCell ref="C66:D66"/>
    <mergeCell ref="C67:D67"/>
    <mergeCell ref="C64:H64"/>
    <mergeCell ref="A66:B66"/>
    <mergeCell ref="G103:H103"/>
    <mergeCell ref="C100:D100"/>
    <mergeCell ref="C101:D101"/>
    <mergeCell ref="A76:H76"/>
    <mergeCell ref="A77:D78"/>
    <mergeCell ref="C79:H79"/>
    <mergeCell ref="A80:B80"/>
    <mergeCell ref="C80:D80"/>
    <mergeCell ref="G80:H80"/>
    <mergeCell ref="A81:B81"/>
    <mergeCell ref="C81:D81"/>
    <mergeCell ref="G81:H90"/>
    <mergeCell ref="C103:D103"/>
    <mergeCell ref="A82:B82"/>
    <mergeCell ref="C82:D82"/>
    <mergeCell ref="A83:B83"/>
    <mergeCell ref="C83:D83"/>
    <mergeCell ref="A84:B84"/>
    <mergeCell ref="C84:D84"/>
    <mergeCell ref="A85:B85"/>
    <mergeCell ref="G104:H104"/>
    <mergeCell ref="E105:F105"/>
    <mergeCell ref="G105:H105"/>
    <mergeCell ref="A106:H106"/>
    <mergeCell ref="A69:B69"/>
    <mergeCell ref="A70:B70"/>
    <mergeCell ref="E60:F60"/>
    <mergeCell ref="A61:H61"/>
    <mergeCell ref="G60:H60"/>
    <mergeCell ref="C60:D60"/>
    <mergeCell ref="A98:B98"/>
    <mergeCell ref="A99:B99"/>
    <mergeCell ref="A100:B100"/>
    <mergeCell ref="A101:B101"/>
    <mergeCell ref="C74:D74"/>
    <mergeCell ref="C75:D75"/>
    <mergeCell ref="C93:D93"/>
    <mergeCell ref="C94:D94"/>
    <mergeCell ref="C95:D95"/>
    <mergeCell ref="C96:D96"/>
    <mergeCell ref="C97:D97"/>
    <mergeCell ref="C98:D98"/>
    <mergeCell ref="C99:D99"/>
    <mergeCell ref="C65:D65"/>
    <mergeCell ref="C46:F46"/>
    <mergeCell ref="C48:F48"/>
    <mergeCell ref="C53:F53"/>
    <mergeCell ref="A62:D63"/>
    <mergeCell ref="A52:B52"/>
    <mergeCell ref="C52:H52"/>
    <mergeCell ref="C54:F54"/>
    <mergeCell ref="A54:B55"/>
    <mergeCell ref="C55:F55"/>
    <mergeCell ref="C58:F58"/>
    <mergeCell ref="A56:B58"/>
    <mergeCell ref="C56:F57"/>
    <mergeCell ref="E50:F50"/>
    <mergeCell ref="C49:D49"/>
    <mergeCell ref="C50:D50"/>
    <mergeCell ref="C51:D51"/>
    <mergeCell ref="C3:E3"/>
    <mergeCell ref="C4:E4"/>
    <mergeCell ref="C5:E5"/>
    <mergeCell ref="G3:H3"/>
    <mergeCell ref="G4:H4"/>
    <mergeCell ref="G5:H5"/>
    <mergeCell ref="C31:D31"/>
    <mergeCell ref="C32:D32"/>
    <mergeCell ref="A25:B25"/>
    <mergeCell ref="A26:B26"/>
    <mergeCell ref="A27:B27"/>
    <mergeCell ref="A28:B28"/>
    <mergeCell ref="A29:B29"/>
    <mergeCell ref="A30:B30"/>
    <mergeCell ref="A31:B34"/>
    <mergeCell ref="A7:B7"/>
    <mergeCell ref="A8:B8"/>
    <mergeCell ref="A9:B9"/>
    <mergeCell ref="A10:B10"/>
    <mergeCell ref="A11:B11"/>
    <mergeCell ref="A12:B12"/>
    <mergeCell ref="A13:B13"/>
    <mergeCell ref="A14:B14"/>
    <mergeCell ref="C33:D33"/>
    <mergeCell ref="F18:H18"/>
    <mergeCell ref="A102:H102"/>
    <mergeCell ref="A35:B35"/>
    <mergeCell ref="A36:B36"/>
    <mergeCell ref="A16:B16"/>
    <mergeCell ref="A17:B17"/>
    <mergeCell ref="A18:B18"/>
    <mergeCell ref="A19:B19"/>
    <mergeCell ref="A20:B20"/>
    <mergeCell ref="A21:B21"/>
    <mergeCell ref="A22:B22"/>
    <mergeCell ref="A23:B23"/>
    <mergeCell ref="A24:B24"/>
    <mergeCell ref="A71:B71"/>
    <mergeCell ref="A72:B72"/>
    <mergeCell ref="A73:B73"/>
    <mergeCell ref="A74:B74"/>
    <mergeCell ref="A75:B75"/>
    <mergeCell ref="A91:B91"/>
    <mergeCell ref="A93:B93"/>
    <mergeCell ref="A94:B94"/>
    <mergeCell ref="A95:B95"/>
    <mergeCell ref="A96:B96"/>
    <mergeCell ref="A97:B97"/>
    <mergeCell ref="A15:B15"/>
    <mergeCell ref="E110:F110"/>
    <mergeCell ref="G110:H110"/>
    <mergeCell ref="E111:F111"/>
    <mergeCell ref="G111:H111"/>
    <mergeCell ref="C29:H29"/>
    <mergeCell ref="C30:H30"/>
    <mergeCell ref="A37:B37"/>
    <mergeCell ref="A38:B38"/>
    <mergeCell ref="A40:B45"/>
    <mergeCell ref="A46:B46"/>
    <mergeCell ref="A47:B47"/>
    <mergeCell ref="A48:B48"/>
    <mergeCell ref="A49:B51"/>
    <mergeCell ref="A53:B53"/>
    <mergeCell ref="A60:B60"/>
    <mergeCell ref="A65:B65"/>
    <mergeCell ref="C43:F43"/>
    <mergeCell ref="G43:H43"/>
    <mergeCell ref="C45:F45"/>
    <mergeCell ref="G45:H45"/>
    <mergeCell ref="G65:H65"/>
    <mergeCell ref="G66:H75"/>
    <mergeCell ref="E96:F96"/>
    <mergeCell ref="A326:H326"/>
    <mergeCell ref="A327:H327"/>
    <mergeCell ref="A328:H328"/>
    <mergeCell ref="A329:H329"/>
    <mergeCell ref="A330:H330"/>
    <mergeCell ref="A331:H331"/>
    <mergeCell ref="A332:H332"/>
    <mergeCell ref="A320:H320"/>
    <mergeCell ref="A321:H321"/>
    <mergeCell ref="A322:H322"/>
    <mergeCell ref="A323:H323"/>
    <mergeCell ref="E390:F390"/>
    <mergeCell ref="G390:H390"/>
    <mergeCell ref="C91:H91"/>
    <mergeCell ref="A92:H92"/>
    <mergeCell ref="E93:F93"/>
    <mergeCell ref="E94:F94"/>
    <mergeCell ref="E101:F101"/>
    <mergeCell ref="A112:H112"/>
    <mergeCell ref="A289:H289"/>
    <mergeCell ref="A290:H290"/>
    <mergeCell ref="A291:H291"/>
    <mergeCell ref="A292:H292"/>
    <mergeCell ref="A293:H293"/>
    <mergeCell ref="A294:H294"/>
    <mergeCell ref="A295:H295"/>
    <mergeCell ref="A296:H296"/>
    <mergeCell ref="A297:H297"/>
    <mergeCell ref="A216:H216"/>
    <mergeCell ref="A312:H312"/>
    <mergeCell ref="A313:H313"/>
    <mergeCell ref="A217:E217"/>
    <mergeCell ref="A116:H116"/>
    <mergeCell ref="A177:H177"/>
    <mergeCell ref="E108:F108"/>
    <mergeCell ref="A1:H1"/>
    <mergeCell ref="C23:H23"/>
    <mergeCell ref="C22:H22"/>
    <mergeCell ref="C26:H26"/>
    <mergeCell ref="C17:H17"/>
    <mergeCell ref="C16:H16"/>
    <mergeCell ref="C25:H25"/>
    <mergeCell ref="C10:H10"/>
    <mergeCell ref="A6:H6"/>
    <mergeCell ref="C20:H20"/>
    <mergeCell ref="C21:H21"/>
    <mergeCell ref="C24:H24"/>
    <mergeCell ref="A2:H2"/>
    <mergeCell ref="C7:H7"/>
    <mergeCell ref="C8:H8"/>
    <mergeCell ref="C19:H19"/>
    <mergeCell ref="C9:H9"/>
    <mergeCell ref="C13:H13"/>
    <mergeCell ref="C14:H14"/>
    <mergeCell ref="C15:H15"/>
    <mergeCell ref="C18:E18"/>
    <mergeCell ref="C11:H11"/>
    <mergeCell ref="C12:H12"/>
    <mergeCell ref="A5:B5"/>
    <mergeCell ref="C27:E27"/>
    <mergeCell ref="A59:H59"/>
    <mergeCell ref="C47:H47"/>
    <mergeCell ref="E49:H49"/>
    <mergeCell ref="G41:H41"/>
    <mergeCell ref="C37:H37"/>
    <mergeCell ref="C28:E28"/>
    <mergeCell ref="E36:F36"/>
    <mergeCell ref="G27:H27"/>
    <mergeCell ref="G28:H28"/>
    <mergeCell ref="C35:H35"/>
    <mergeCell ref="G36:H36"/>
    <mergeCell ref="A39:H39"/>
    <mergeCell ref="C40:F40"/>
    <mergeCell ref="G40:H40"/>
    <mergeCell ref="C41:F41"/>
    <mergeCell ref="C44:F44"/>
    <mergeCell ref="G44:H44"/>
    <mergeCell ref="C38:H38"/>
    <mergeCell ref="G42:H42"/>
    <mergeCell ref="E51:H51"/>
    <mergeCell ref="C34:D34"/>
    <mergeCell ref="C36:D36"/>
    <mergeCell ref="C42:F42"/>
    <mergeCell ref="G108:H108"/>
    <mergeCell ref="E109:F109"/>
    <mergeCell ref="G109:H109"/>
    <mergeCell ref="A67:B67"/>
    <mergeCell ref="A68:B68"/>
    <mergeCell ref="C233:H233"/>
    <mergeCell ref="E97:F97"/>
    <mergeCell ref="E98:F98"/>
    <mergeCell ref="E99:F99"/>
    <mergeCell ref="G100:H100"/>
    <mergeCell ref="G101:H101"/>
    <mergeCell ref="E100:F100"/>
    <mergeCell ref="A103:B103"/>
    <mergeCell ref="A104:B104"/>
    <mergeCell ref="A105:B105"/>
    <mergeCell ref="C68:D68"/>
    <mergeCell ref="C69:D69"/>
    <mergeCell ref="C70:D70"/>
    <mergeCell ref="C71:D71"/>
    <mergeCell ref="C72:D72"/>
    <mergeCell ref="C73:D73"/>
    <mergeCell ref="E95:F95"/>
    <mergeCell ref="E103:F103"/>
    <mergeCell ref="E104:F104"/>
    <mergeCell ref="A235:H235"/>
    <mergeCell ref="A236:H236"/>
    <mergeCell ref="A237:H237"/>
    <mergeCell ref="A238:H238"/>
    <mergeCell ref="A239:H239"/>
    <mergeCell ref="A219:H219"/>
    <mergeCell ref="B221:H221"/>
    <mergeCell ref="B222:H222"/>
    <mergeCell ref="B223:H223"/>
    <mergeCell ref="B224:H224"/>
    <mergeCell ref="B226:H226"/>
    <mergeCell ref="B227:H227"/>
    <mergeCell ref="B228:H228"/>
    <mergeCell ref="B229:H229"/>
    <mergeCell ref="A233:B233"/>
    <mergeCell ref="B225:E225"/>
    <mergeCell ref="B231:H231"/>
    <mergeCell ref="B230:H230"/>
    <mergeCell ref="A240:H240"/>
    <mergeCell ref="A241:H241"/>
    <mergeCell ref="A242:H242"/>
    <mergeCell ref="A243:H243"/>
    <mergeCell ref="A244:H244"/>
    <mergeCell ref="A245:H245"/>
    <mergeCell ref="A246:H246"/>
    <mergeCell ref="A247:H247"/>
    <mergeCell ref="A248:H248"/>
    <mergeCell ref="A249:H249"/>
    <mergeCell ref="A250:H250"/>
    <mergeCell ref="A251:H251"/>
    <mergeCell ref="A252:H252"/>
    <mergeCell ref="A253:H253"/>
    <mergeCell ref="A254:H254"/>
    <mergeCell ref="A255:H255"/>
    <mergeCell ref="A256:H256"/>
    <mergeCell ref="A257:H257"/>
    <mergeCell ref="A258:H258"/>
    <mergeCell ref="A259:H259"/>
    <mergeCell ref="A260:H260"/>
    <mergeCell ref="A261:H261"/>
    <mergeCell ref="A262:H262"/>
    <mergeCell ref="A263:H263"/>
    <mergeCell ref="A264:H264"/>
    <mergeCell ref="A265:H265"/>
    <mergeCell ref="A266:H266"/>
    <mergeCell ref="A267:H267"/>
    <mergeCell ref="A268:H268"/>
    <mergeCell ref="A269:H269"/>
    <mergeCell ref="A270:H270"/>
    <mergeCell ref="A271:H271"/>
    <mergeCell ref="A272:H272"/>
    <mergeCell ref="A273:H273"/>
    <mergeCell ref="A274:H274"/>
    <mergeCell ref="A275:H275"/>
    <mergeCell ref="A341:H341"/>
    <mergeCell ref="A342:H342"/>
    <mergeCell ref="A343:H343"/>
    <mergeCell ref="A285:H285"/>
    <mergeCell ref="A276:H276"/>
    <mergeCell ref="A277:H277"/>
    <mergeCell ref="A278:H278"/>
    <mergeCell ref="A279:H279"/>
    <mergeCell ref="A280:H280"/>
    <mergeCell ref="A281:H281"/>
    <mergeCell ref="A282:H282"/>
    <mergeCell ref="A283:H283"/>
    <mergeCell ref="A284:H284"/>
    <mergeCell ref="A298:H298"/>
    <mergeCell ref="A299:H299"/>
    <mergeCell ref="A300:H300"/>
    <mergeCell ref="A301:H301"/>
    <mergeCell ref="A302:H302"/>
    <mergeCell ref="A303:H303"/>
    <mergeCell ref="A304:H304"/>
    <mergeCell ref="A305:H305"/>
    <mergeCell ref="A324:H324"/>
    <mergeCell ref="A325:H325"/>
    <mergeCell ref="A340:B340"/>
    <mergeCell ref="A362:H362"/>
    <mergeCell ref="A363:H363"/>
    <mergeCell ref="A344:H344"/>
    <mergeCell ref="A345:H345"/>
    <mergeCell ref="A346:H346"/>
    <mergeCell ref="A347:H347"/>
    <mergeCell ref="A348:H348"/>
    <mergeCell ref="A349:H349"/>
    <mergeCell ref="A350:H350"/>
    <mergeCell ref="A351:H351"/>
    <mergeCell ref="A352:H352"/>
    <mergeCell ref="A378:H378"/>
    <mergeCell ref="A379:H379"/>
    <mergeCell ref="A389:H389"/>
    <mergeCell ref="A380:H380"/>
    <mergeCell ref="A381:H381"/>
    <mergeCell ref="A382:H382"/>
    <mergeCell ref="A383:H383"/>
    <mergeCell ref="A384:H384"/>
    <mergeCell ref="A385:H385"/>
    <mergeCell ref="A386:H386"/>
    <mergeCell ref="A387:H387"/>
    <mergeCell ref="A388:H388"/>
    <mergeCell ref="C340:H340"/>
    <mergeCell ref="A371:H371"/>
    <mergeCell ref="A372:H372"/>
    <mergeCell ref="A373:H373"/>
    <mergeCell ref="A374:H374"/>
    <mergeCell ref="A375:H375"/>
    <mergeCell ref="A376:H376"/>
    <mergeCell ref="A377:H377"/>
    <mergeCell ref="A364:H364"/>
    <mergeCell ref="A365:H365"/>
    <mergeCell ref="A366:H366"/>
    <mergeCell ref="A367:H367"/>
    <mergeCell ref="A368:H368"/>
    <mergeCell ref="A369:H369"/>
    <mergeCell ref="A370:H370"/>
    <mergeCell ref="A353:H353"/>
    <mergeCell ref="A354:H354"/>
    <mergeCell ref="A355:H355"/>
    <mergeCell ref="A356:H356"/>
    <mergeCell ref="A357:H357"/>
    <mergeCell ref="A358:H358"/>
    <mergeCell ref="A359:H359"/>
    <mergeCell ref="A360:H360"/>
    <mergeCell ref="A361:H361"/>
  </mergeCells>
  <dataValidations count="7">
    <dataValidation type="list" allowBlank="1" showInputMessage="1" showErrorMessage="1" sqref="A9:B9" xr:uid="{00000000-0002-0000-0000-000000000000}">
      <formula1>"CTS No,Survey No,Plot No,Gut No,FP No,"</formula1>
    </dataValidation>
    <dataValidation type="list" allowBlank="1" showInputMessage="1" showErrorMessage="1" sqref="B132" xr:uid="{00000000-0002-0000-0000-000001000000}">
      <formula1>"Flat No. (Sale Plan),Sale / Rehab,Sale / Mhada"</formula1>
    </dataValidation>
    <dataValidation type="list" allowBlank="1" showInputMessage="1" showErrorMessage="1" sqref="D114 D132" xr:uid="{00000000-0002-0000-0000-000002000000}">
      <formula1>"Carpet area,RERA Carpet area"</formula1>
    </dataValidation>
    <dataValidation type="list" allowBlank="1" showInputMessage="1" showErrorMessage="1" sqref="E132:E133" xr:uid="{00000000-0002-0000-0000-000003000000}">
      <formula1>"Fungible area,Balcony Area + Chajja Area,Cornice Area,AP Area,WS Area"</formula1>
    </dataValidation>
    <dataValidation type="list" allowBlank="1" showInputMessage="1" showErrorMessage="1" sqref="E114:E115" xr:uid="{00000000-0002-0000-0000-000004000000}">
      <formula1>"Attached Loft area,Attached Otla area,Attached Mezzanine area"</formula1>
    </dataValidation>
    <dataValidation type="list" allowBlank="1" showInputMessage="1" showErrorMessage="1" sqref="B114" xr:uid="{00000000-0002-0000-0000-000005000000}">
      <formula1>"Shop No. (Sale Plan),Sale / Rehab,Sale / Mhada"</formula1>
    </dataValidation>
    <dataValidation type="list" allowBlank="1" showInputMessage="1" showErrorMessage="1" sqref="H133 H115" xr:uid="{00000000-0002-0000-0000-000006000000}">
      <formula1>".45,.50,.55,.60"</formula1>
    </dataValidation>
  </dataValidations>
  <hyperlinks>
    <hyperlink ref="C19" r:id="rId1" xr:uid="{00000000-0004-0000-0000-000000000000}"/>
  </hyperlinks>
  <printOptions horizontalCentered="1"/>
  <pageMargins left="0.23622047244094491" right="0.23622047244094491" top="0.78740157480314965" bottom="0.70866141732283472" header="0.19685039370078741" footer="0.19685039370078741"/>
  <pageSetup paperSize="2" fitToHeight="0" orientation="portrait" r:id="rId2"/>
  <headerFooter>
    <oddHeader>&amp;C&amp;G</oddHeader>
    <oddFooter>&amp;L&amp;"Times New Roman,Bold"&amp;F&amp;R&amp;"Times New Roman,Bold"&amp;P</oddFooter>
  </headerFooter>
  <rowBreaks count="6" manualBreakCount="6">
    <brk id="30" max="7" man="1"/>
    <brk id="60" max="7" man="1"/>
    <brk id="101" max="7" man="1"/>
    <brk id="232" max="7" man="1"/>
    <brk id="285" max="7" man="1"/>
    <brk id="339" max="7"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E21" sqref="E21"/>
    </sheetView>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3"/>
  <sheetViews>
    <sheetView zoomScale="115" zoomScaleNormal="115" workbookViewId="0">
      <selection activeCell="C1" sqref="A1:XFD13"/>
    </sheetView>
  </sheetViews>
  <sheetFormatPr defaultRowHeight="15" x14ac:dyDescent="0.25"/>
  <cols>
    <col min="1" max="1" width="24.140625" customWidth="1"/>
    <col min="2" max="6" width="17.5703125" customWidth="1"/>
    <col min="7" max="7" width="10.42578125" customWidth="1"/>
  </cols>
  <sheetData>
    <row r="1" spans="1:8" x14ac:dyDescent="0.25">
      <c r="A1" s="265" t="s">
        <v>113</v>
      </c>
      <c r="B1" s="266"/>
      <c r="C1" s="9" t="s">
        <v>58</v>
      </c>
      <c r="D1" s="9" t="s">
        <v>59</v>
      </c>
      <c r="E1" s="9" t="s">
        <v>60</v>
      </c>
      <c r="F1" s="10" t="s">
        <v>46</v>
      </c>
    </row>
    <row r="2" spans="1:8" x14ac:dyDescent="0.25">
      <c r="A2" s="267"/>
      <c r="B2" s="268"/>
      <c r="C2" s="7">
        <v>0</v>
      </c>
      <c r="D2" s="26">
        <v>1</v>
      </c>
      <c r="E2" s="7">
        <v>0</v>
      </c>
      <c r="F2" s="8">
        <f ca="1">--TRIM(RIGHT(SUBSTITUTE(LEFT(A1,_xlfn.AGGREGATE(16,6,FIND({0,1,2,3,4,5,6,7,8,9},A1,ROW(INDIRECT("1:"&amp;LEN(A1)))),1))," ",REPT(" ",LEN(A1))),LEN(A1)))</f>
        <v>3</v>
      </c>
    </row>
    <row r="3" spans="1:8" x14ac:dyDescent="0.25">
      <c r="A3" s="2" t="s">
        <v>61</v>
      </c>
      <c r="B3" s="3" t="s">
        <v>62</v>
      </c>
      <c r="C3" s="24" t="s">
        <v>63</v>
      </c>
      <c r="D3" s="27" t="s">
        <v>56</v>
      </c>
      <c r="E3" s="269" t="s">
        <v>134</v>
      </c>
      <c r="F3" s="270"/>
      <c r="G3" s="36" t="s">
        <v>64</v>
      </c>
      <c r="H3" s="31">
        <f ca="1">F2*25%</f>
        <v>0.75</v>
      </c>
    </row>
    <row r="4" spans="1:8" x14ac:dyDescent="0.25">
      <c r="A4" s="2" t="s">
        <v>65</v>
      </c>
      <c r="B4" s="4">
        <f ca="1">H5</f>
        <v>3</v>
      </c>
      <c r="C4" s="25">
        <f ca="1">((100/F2)*B4)/100</f>
        <v>1</v>
      </c>
      <c r="D4" s="29" t="str">
        <f ca="1">IF(C13=100%,"All work Completed. Possession granted to the Building.",IF(C12=100%,"All work Completed, Waiting for OC",D10&amp;""&amp;D11&amp;""&amp;D9&amp;""&amp;D12&amp;" "&amp;D13))</f>
        <v xml:space="preserve">Excavation, Plinth, RCC Slab, Brickwork Completed </v>
      </c>
      <c r="E4" s="271" t="str">
        <f ca="1">D4</f>
        <v xml:space="preserve">Excavation, Plinth, RCC Slab, Brickwork Completed </v>
      </c>
      <c r="F4" s="272"/>
      <c r="G4" s="1" t="s">
        <v>66</v>
      </c>
      <c r="H4" s="32">
        <f ca="1">F2*50%</f>
        <v>1.5</v>
      </c>
    </row>
    <row r="5" spans="1:8" x14ac:dyDescent="0.25">
      <c r="A5" s="2" t="s">
        <v>67</v>
      </c>
      <c r="B5" s="5">
        <f ca="1">H13</f>
        <v>3</v>
      </c>
      <c r="C5" s="25">
        <f ca="1">((100/F2)*B5)/100</f>
        <v>1</v>
      </c>
      <c r="D5" s="30"/>
      <c r="E5" s="273"/>
      <c r="F5" s="274"/>
      <c r="G5" s="1" t="s">
        <v>68</v>
      </c>
      <c r="H5" s="32">
        <f ca="1">F2</f>
        <v>3</v>
      </c>
    </row>
    <row r="6" spans="1:8" x14ac:dyDescent="0.25">
      <c r="A6" s="2" t="s">
        <v>69</v>
      </c>
      <c r="B6" s="5">
        <v>4</v>
      </c>
      <c r="C6" s="25">
        <f ca="1">((100/(D2+E2+F2))*B6)/100</f>
        <v>1</v>
      </c>
      <c r="D6" s="30"/>
      <c r="E6" s="273"/>
      <c r="F6" s="274"/>
      <c r="G6" s="1" t="s">
        <v>70</v>
      </c>
      <c r="H6" s="33">
        <f ca="1">(IF(C2&gt;1,(F2/(C2+2)),F2/4))</f>
        <v>0.75</v>
      </c>
    </row>
    <row r="7" spans="1:8" x14ac:dyDescent="0.25">
      <c r="A7" s="2" t="s">
        <v>71</v>
      </c>
      <c r="B7" s="4">
        <v>3</v>
      </c>
      <c r="C7" s="25">
        <f ca="1">((100/F2)*B7)/100</f>
        <v>1</v>
      </c>
      <c r="D7" s="30"/>
      <c r="E7" s="273"/>
      <c r="F7" s="274"/>
      <c r="G7" s="1" t="s">
        <v>72</v>
      </c>
      <c r="H7" s="33">
        <f ca="1">(IF(C2&gt;1,(F2/(C2+2)+H6),F2/4+H6))</f>
        <v>1.5</v>
      </c>
    </row>
    <row r="8" spans="1:8" x14ac:dyDescent="0.25">
      <c r="A8" s="2" t="s">
        <v>73</v>
      </c>
      <c r="B8" s="4">
        <v>0</v>
      </c>
      <c r="C8" s="25">
        <f ca="1">((100/F2)*B8)/100</f>
        <v>0</v>
      </c>
      <c r="D8" s="28">
        <f ca="1">(((B5/F2*10)+(40/(D2+E2+F2)*B6)+(15/(F2)*B7)+(5/(F2)*B8)+(5/F2*B9)+(10/F2*B10)+(5/F2*B11)+(5/F2*B12)+(5/F2*B13))/100)</f>
        <v>0.65</v>
      </c>
      <c r="E8" s="273"/>
      <c r="F8" s="274"/>
      <c r="G8" s="1" t="s">
        <v>74</v>
      </c>
      <c r="H8" s="33">
        <f>(IF(C2&gt;1,(F2/(C2+2)+H7),0))</f>
        <v>0</v>
      </c>
    </row>
    <row r="9" spans="1:8" x14ac:dyDescent="0.25">
      <c r="A9" s="2" t="s">
        <v>75</v>
      </c>
      <c r="B9" s="4">
        <v>0</v>
      </c>
      <c r="C9" s="25">
        <f ca="1">((100/(F2))*B9)/100</f>
        <v>0</v>
      </c>
      <c r="D9" s="30" t="str">
        <f ca="1">(IF(B4=0,"Work not yet Started.",IF(C4=25%,"Piling work in process",IF(C4=50%,"Excavation work in process",IF(C4=100%,"","0")))))&amp;(IF(B5=0%,"",IF(B5=H6,", Footing work is process",IF(B5=H7,", Footing work Completed",IF(B5=H8,", 1st Basement Completed",IF(B5=H9,", 1st &amp; 2nd Basement Completed",IF(B5=H10,", 1st to 3rd Basement Completed",IF(B5=H11,", 1st to 4th Basement Completed",IF(B5=H12,", Plinth work is process",IF(B5=H13,"","0"))))))))))</f>
        <v/>
      </c>
      <c r="E9" s="273"/>
      <c r="F9" s="274"/>
      <c r="G9" s="1" t="s">
        <v>76</v>
      </c>
      <c r="H9" s="33">
        <f>(IF(C2&gt;2,(F2/(C2+2)+H8),0))</f>
        <v>0</v>
      </c>
    </row>
    <row r="10" spans="1:8" x14ac:dyDescent="0.25">
      <c r="A10" s="2" t="s">
        <v>77</v>
      </c>
      <c r="B10" s="4">
        <v>0</v>
      </c>
      <c r="C10" s="25">
        <f ca="1">((100/F2)*B10)/100</f>
        <v>0</v>
      </c>
      <c r="D10" s="30" t="str">
        <f ca="1">IF(C4=100%,"Excavation","")&amp;IF(C5=100%,", Plinth","")&amp;IF(C6=100%,", RCC Slab","")&amp;IF(C7=100%,", Brickwork","")&amp;IF(C8=100%,", Internal Plaster","")&amp;IF(C9=100%,", External Plaster","")&amp;IF(C10=100%,", Flooring","")&amp;IF(C11=100%,", Painting","")&amp;IF(C12=100%,", Building common Amenities","")</f>
        <v>Excavation, Plinth, RCC Slab, Brickwork</v>
      </c>
      <c r="E10" s="273"/>
      <c r="F10" s="274"/>
      <c r="G10" s="1" t="s">
        <v>78</v>
      </c>
      <c r="H10" s="34">
        <f>(IF(C2&gt;3,(F2/(C2+2)+H9),0))</f>
        <v>0</v>
      </c>
    </row>
    <row r="11" spans="1:8" x14ac:dyDescent="0.25">
      <c r="A11" s="2" t="s">
        <v>79</v>
      </c>
      <c r="B11" s="4">
        <v>0</v>
      </c>
      <c r="C11" s="25">
        <f ca="1">((100/F2)*B11)/100</f>
        <v>0</v>
      </c>
      <c r="D11" s="30" t="str">
        <f ca="1">IF(D10&lt;&gt;""," Completed","")</f>
        <v xml:space="preserve"> Completed</v>
      </c>
      <c r="E11" s="273"/>
      <c r="F11" s="274"/>
      <c r="G11" s="1" t="s">
        <v>80</v>
      </c>
      <c r="H11" s="33">
        <f>(IF(C2&gt;4,(F2/(C2+2)+H10),0))</f>
        <v>0</v>
      </c>
    </row>
    <row r="12" spans="1:8" x14ac:dyDescent="0.25">
      <c r="A12" s="2" t="s">
        <v>81</v>
      </c>
      <c r="B12" s="4">
        <v>0</v>
      </c>
      <c r="C12" s="25">
        <f ca="1">((100/(F2))*B12)/100</f>
        <v>0</v>
      </c>
      <c r="D12" s="30" t="str">
        <f ca="1">(IF(B6=(D2+E2+F2),"",IF(B6&gt;0,", RCC upto "&amp;B6&amp;" Slab","")))&amp;(IF(B7=F2,"",IF(B7&gt;0,", Brickwork upto "&amp;B7&amp;" Floor","")))&amp;(IF(B8=F2,"",IF(B8&gt;0,", Internal Plaster upto "&amp;B8&amp;" Floor","")))&amp;(IF(B9=F2,"",IF(B9&gt;0,", External Plaster upto "&amp;B9&amp;" Floor","")))&amp;(IF(B10=F2,"",IF(B10&gt;0,", Flooring upto "&amp;B10&amp;" Floor","")))&amp;(IF(B11=F2,"",IF(B11&gt;0,", Painting upto "&amp;B11&amp;" Floor","")))&amp;(IF(B12=F2,"",IF(B12&gt;0,", Finishing upto "&amp;B12&amp;" Floor","")))&amp;(IF(B13=F2,"",IF(B13&gt;0,", Possession upto "&amp;B13&amp;" Floor","")))</f>
        <v/>
      </c>
      <c r="E12" s="273"/>
      <c r="F12" s="274"/>
      <c r="G12" s="1" t="s">
        <v>82</v>
      </c>
      <c r="H12" s="33">
        <f ca="1">(IF(C2=1,(F2/(C2+3)+H7),IF(C2=0,(F2/4+H7),IF(C2&gt;1,0))))</f>
        <v>2.25</v>
      </c>
    </row>
    <row r="13" spans="1:8" ht="15.75" thickBot="1" x14ac:dyDescent="0.3">
      <c r="A13" s="38" t="s">
        <v>83</v>
      </c>
      <c r="B13" s="39">
        <v>0</v>
      </c>
      <c r="C13" s="40">
        <f ca="1">((100/(F2))*B13)/100</f>
        <v>0</v>
      </c>
      <c r="D13" s="41" t="str">
        <f ca="1">IF(D12&lt;&gt;"","Completed","")</f>
        <v/>
      </c>
      <c r="E13" s="275"/>
      <c r="F13" s="276"/>
      <c r="G13" s="37" t="s">
        <v>84</v>
      </c>
      <c r="H13" s="35">
        <f ca="1">(IF(C2&gt;1.5,(F2/(C2+2)+H7+MAX(0,H8-H7)+MAX(0,H9-H8)+MAX(0,H10-H9)+MAX(0,H11-H10)+MAX(0,H12-H11)),IF(C2=1,(F2/(C2+3)+H12),IF(C2=0,F2/4+H12))))</f>
        <v>3</v>
      </c>
    </row>
  </sheetData>
  <mergeCells count="3">
    <mergeCell ref="A1:B2"/>
    <mergeCell ref="E3:F3"/>
    <mergeCell ref="E4:F1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Sheet1</vt:lpstr>
      <vt:lpstr>C%</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MANGESH AMDEKAR</dc:creator>
  <cp:lastModifiedBy>VSJC</cp:lastModifiedBy>
  <cp:lastPrinted>2025-09-18T11:13:11Z</cp:lastPrinted>
  <dcterms:created xsi:type="dcterms:W3CDTF">2019-01-21T04:29:02Z</dcterms:created>
  <dcterms:modified xsi:type="dcterms:W3CDTF">2025-09-18T11:15:40Z</dcterms:modified>
</cp:coreProperties>
</file>