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hruti\Sept 25\21352 - North Imperial Greens Tower 1 &amp; Tower 2\"/>
    </mc:Choice>
  </mc:AlternateContent>
  <bookViews>
    <workbookView xWindow="0" yWindow="0" windowWidth="20490" windowHeight="7455"/>
  </bookViews>
  <sheets>
    <sheet name="Report" sheetId="1" r:id="rId1"/>
    <sheet name="C%" sheetId="4" r:id="rId2"/>
  </sheets>
  <definedNames>
    <definedName name="_xlnm.Print_Area" localSheetId="0">Report!$A$1:$H$595</definedName>
  </definedNames>
  <calcPr calcId="152511"/>
</workbook>
</file>

<file path=xl/calcChain.xml><?xml version="1.0" encoding="utf-8"?>
<calcChain xmlns="http://schemas.openxmlformats.org/spreadsheetml/2006/main">
  <c r="J194" i="1" l="1"/>
  <c r="J197" i="1"/>
  <c r="J199" i="1"/>
  <c r="J173" i="1"/>
  <c r="J151" i="1"/>
  <c r="J162" i="1"/>
  <c r="A436" i="1"/>
  <c r="A435" i="1"/>
  <c r="J88" i="1"/>
  <c r="J87" i="1"/>
  <c r="J86" i="1"/>
  <c r="J85" i="1"/>
  <c r="G109" i="1"/>
  <c r="E109" i="1"/>
  <c r="C109" i="1"/>
  <c r="C108" i="1"/>
  <c r="C104" i="1"/>
  <c r="E108" i="1"/>
  <c r="G108" i="1"/>
  <c r="E104" i="1"/>
  <c r="F362" i="1"/>
  <c r="F368" i="1"/>
  <c r="H368" i="1" s="1"/>
  <c r="D368" i="1"/>
  <c r="F367" i="1"/>
  <c r="H367" i="1" s="1"/>
  <c r="D367" i="1"/>
  <c r="H366" i="1"/>
  <c r="F366" i="1"/>
  <c r="D366" i="1"/>
  <c r="D365" i="1"/>
  <c r="F365" i="1" s="1"/>
  <c r="H365" i="1" s="1"/>
  <c r="D364" i="1"/>
  <c r="F364" i="1" s="1"/>
  <c r="H364" i="1" s="1"/>
  <c r="D363" i="1"/>
  <c r="F363" i="1" s="1"/>
  <c r="H363" i="1" s="1"/>
  <c r="H362" i="1"/>
  <c r="D362" i="1"/>
  <c r="F361" i="1"/>
  <c r="H361" i="1" s="1"/>
  <c r="D361" i="1"/>
  <c r="H359" i="1"/>
  <c r="F359" i="1"/>
  <c r="D359" i="1"/>
  <c r="F358" i="1"/>
  <c r="H358" i="1" s="1"/>
  <c r="D358" i="1"/>
  <c r="D357" i="1"/>
  <c r="F357" i="1" s="1"/>
  <c r="H357" i="1" s="1"/>
  <c r="D356" i="1"/>
  <c r="F356" i="1" s="1"/>
  <c r="H356" i="1" s="1"/>
  <c r="D355" i="1"/>
  <c r="F355" i="1" s="1"/>
  <c r="H355" i="1" s="1"/>
  <c r="F354" i="1"/>
  <c r="H354" i="1" s="1"/>
  <c r="D354" i="1"/>
  <c r="F353" i="1"/>
  <c r="H353" i="1" s="1"/>
  <c r="D353" i="1"/>
  <c r="F352" i="1"/>
  <c r="H352" i="1" s="1"/>
  <c r="D352" i="1"/>
  <c r="F350" i="1"/>
  <c r="H350" i="1" s="1"/>
  <c r="D350" i="1"/>
  <c r="D349" i="1"/>
  <c r="F349" i="1" s="1"/>
  <c r="H349" i="1" s="1"/>
  <c r="D348" i="1"/>
  <c r="F348" i="1" s="1"/>
  <c r="H348" i="1" s="1"/>
  <c r="D347" i="1"/>
  <c r="F347" i="1" s="1"/>
  <c r="H347" i="1" s="1"/>
  <c r="F346" i="1"/>
  <c r="H346" i="1" s="1"/>
  <c r="D346" i="1"/>
  <c r="F345" i="1"/>
  <c r="H345" i="1" s="1"/>
  <c r="D345" i="1"/>
  <c r="F344" i="1"/>
  <c r="H344" i="1" s="1"/>
  <c r="D344" i="1"/>
  <c r="F343" i="1"/>
  <c r="H343" i="1" s="1"/>
  <c r="D343" i="1"/>
  <c r="D341" i="1"/>
  <c r="F341" i="1" s="1"/>
  <c r="H341" i="1" s="1"/>
  <c r="D340" i="1"/>
  <c r="F340" i="1" s="1"/>
  <c r="H340" i="1" s="1"/>
  <c r="D338" i="1"/>
  <c r="D337" i="1"/>
  <c r="D336" i="1"/>
  <c r="D335" i="1"/>
  <c r="D334" i="1"/>
  <c r="D333" i="1"/>
  <c r="D332" i="1"/>
  <c r="F332" i="1" s="1"/>
  <c r="H332" i="1" s="1"/>
  <c r="D331" i="1"/>
  <c r="D330" i="1"/>
  <c r="F330" i="1" s="1"/>
  <c r="H330" i="1" s="1"/>
  <c r="D329" i="1"/>
  <c r="D328" i="1"/>
  <c r="D327" i="1"/>
  <c r="D326" i="1"/>
  <c r="D325" i="1"/>
  <c r="D324" i="1"/>
  <c r="F324" i="1" s="1"/>
  <c r="H324" i="1" s="1"/>
  <c r="D323" i="1"/>
  <c r="D322" i="1"/>
  <c r="F322" i="1" s="1"/>
  <c r="H322" i="1" s="1"/>
  <c r="D321" i="1"/>
  <c r="D320" i="1"/>
  <c r="D319" i="1"/>
  <c r="D318" i="1"/>
  <c r="D317" i="1"/>
  <c r="D316" i="1"/>
  <c r="F316" i="1" s="1"/>
  <c r="H316" i="1" s="1"/>
  <c r="D315" i="1"/>
  <c r="D314" i="1"/>
  <c r="D313" i="1"/>
  <c r="D312" i="1"/>
  <c r="D311" i="1"/>
  <c r="D310" i="1"/>
  <c r="F338" i="1"/>
  <c r="H338" i="1" s="1"/>
  <c r="F337" i="1"/>
  <c r="H337" i="1" s="1"/>
  <c r="H336" i="1"/>
  <c r="F336" i="1"/>
  <c r="F335" i="1"/>
  <c r="H335" i="1" s="1"/>
  <c r="F334" i="1"/>
  <c r="H334" i="1" s="1"/>
  <c r="F333" i="1"/>
  <c r="H333" i="1" s="1"/>
  <c r="F331" i="1"/>
  <c r="H331" i="1" s="1"/>
  <c r="F329" i="1"/>
  <c r="H329" i="1" s="1"/>
  <c r="F328" i="1"/>
  <c r="H328" i="1" s="1"/>
  <c r="F327" i="1"/>
  <c r="H327" i="1" s="1"/>
  <c r="F326" i="1"/>
  <c r="H326" i="1" s="1"/>
  <c r="F325" i="1"/>
  <c r="H325" i="1" s="1"/>
  <c r="F323" i="1"/>
  <c r="H323" i="1" s="1"/>
  <c r="F321" i="1"/>
  <c r="H321" i="1" s="1"/>
  <c r="F320" i="1"/>
  <c r="H320" i="1" s="1"/>
  <c r="F319" i="1"/>
  <c r="H319" i="1" s="1"/>
  <c r="F318" i="1"/>
  <c r="H318" i="1" s="1"/>
  <c r="F317" i="1"/>
  <c r="H317" i="1" s="1"/>
  <c r="F315" i="1"/>
  <c r="H315" i="1" s="1"/>
  <c r="F314" i="1"/>
  <c r="H314" i="1" s="1"/>
  <c r="F313" i="1"/>
  <c r="H313" i="1" s="1"/>
  <c r="F312" i="1"/>
  <c r="H312" i="1" s="1"/>
  <c r="F311" i="1"/>
  <c r="H311" i="1" s="1"/>
  <c r="F310" i="1"/>
  <c r="H310" i="1" s="1"/>
  <c r="D306" i="1"/>
  <c r="D305" i="1"/>
  <c r="D304" i="1"/>
  <c r="D303" i="1"/>
  <c r="D302" i="1"/>
  <c r="D301" i="1"/>
  <c r="D300" i="1"/>
  <c r="F300" i="1" s="1"/>
  <c r="H300" i="1" s="1"/>
  <c r="D299" i="1"/>
  <c r="F299" i="1" s="1"/>
  <c r="H299" i="1" s="1"/>
  <c r="D298" i="1"/>
  <c r="D297" i="1"/>
  <c r="D296" i="1"/>
  <c r="D295" i="1"/>
  <c r="D294" i="1"/>
  <c r="D293" i="1"/>
  <c r="D292" i="1"/>
  <c r="F292" i="1" s="1"/>
  <c r="H292" i="1" s="1"/>
  <c r="D291" i="1"/>
  <c r="F291" i="1" s="1"/>
  <c r="H291" i="1" s="1"/>
  <c r="D290" i="1"/>
  <c r="D289" i="1"/>
  <c r="D288" i="1"/>
  <c r="D287" i="1"/>
  <c r="D282" i="1"/>
  <c r="F282" i="1" s="1"/>
  <c r="H282" i="1" s="1"/>
  <c r="D281" i="1"/>
  <c r="D280" i="1"/>
  <c r="F306" i="1"/>
  <c r="H306" i="1" s="1"/>
  <c r="F305" i="1"/>
  <c r="H305" i="1" s="1"/>
  <c r="F304" i="1"/>
  <c r="H304" i="1" s="1"/>
  <c r="F303" i="1"/>
  <c r="H303" i="1" s="1"/>
  <c r="F302" i="1"/>
  <c r="H302" i="1" s="1"/>
  <c r="F301" i="1"/>
  <c r="H301" i="1" s="1"/>
  <c r="F298" i="1"/>
  <c r="H298" i="1" s="1"/>
  <c r="F297" i="1"/>
  <c r="H297" i="1" s="1"/>
  <c r="F296" i="1"/>
  <c r="H296" i="1" s="1"/>
  <c r="F295" i="1"/>
  <c r="H295" i="1" s="1"/>
  <c r="F294" i="1"/>
  <c r="H294" i="1" s="1"/>
  <c r="F293" i="1"/>
  <c r="H293" i="1" s="1"/>
  <c r="F290" i="1"/>
  <c r="H290" i="1" s="1"/>
  <c r="F289" i="1"/>
  <c r="H289" i="1" s="1"/>
  <c r="F288" i="1"/>
  <c r="H288" i="1" s="1"/>
  <c r="F287" i="1"/>
  <c r="H287" i="1" s="1"/>
  <c r="F281" i="1"/>
  <c r="H281" i="1" s="1"/>
  <c r="F280" i="1"/>
  <c r="H280" i="1" s="1"/>
  <c r="D277" i="1"/>
  <c r="D276" i="1"/>
  <c r="D275" i="1"/>
  <c r="F275" i="1" s="1"/>
  <c r="H275" i="1" s="1"/>
  <c r="D274" i="1"/>
  <c r="D273" i="1"/>
  <c r="F273" i="1" s="1"/>
  <c r="H273" i="1" s="1"/>
  <c r="D272" i="1"/>
  <c r="F272" i="1" s="1"/>
  <c r="H272" i="1" s="1"/>
  <c r="D271" i="1"/>
  <c r="F271" i="1" s="1"/>
  <c r="H271" i="1" s="1"/>
  <c r="D270" i="1"/>
  <c r="F270" i="1" s="1"/>
  <c r="H270" i="1" s="1"/>
  <c r="D269" i="1"/>
  <c r="D268" i="1"/>
  <c r="D267" i="1"/>
  <c r="F267" i="1" s="1"/>
  <c r="H267" i="1" s="1"/>
  <c r="D266" i="1"/>
  <c r="D265" i="1"/>
  <c r="F265" i="1" s="1"/>
  <c r="H265" i="1" s="1"/>
  <c r="D264" i="1"/>
  <c r="F264" i="1" s="1"/>
  <c r="H264" i="1" s="1"/>
  <c r="D263" i="1"/>
  <c r="F263" i="1" s="1"/>
  <c r="H263" i="1" s="1"/>
  <c r="D262" i="1"/>
  <c r="F262" i="1" s="1"/>
  <c r="H262" i="1" s="1"/>
  <c r="D261" i="1"/>
  <c r="D260" i="1"/>
  <c r="D259" i="1"/>
  <c r="D258" i="1"/>
  <c r="D254" i="1"/>
  <c r="F254" i="1" s="1"/>
  <c r="H254" i="1" s="1"/>
  <c r="D253" i="1"/>
  <c r="F253" i="1" s="1"/>
  <c r="H253" i="1" s="1"/>
  <c r="D252" i="1"/>
  <c r="D251" i="1"/>
  <c r="F251" i="1" s="1"/>
  <c r="H251" i="1" s="1"/>
  <c r="D250" i="1"/>
  <c r="F277" i="1"/>
  <c r="H277" i="1" s="1"/>
  <c r="F276" i="1"/>
  <c r="H276" i="1" s="1"/>
  <c r="F274" i="1"/>
  <c r="H274" i="1" s="1"/>
  <c r="F269" i="1"/>
  <c r="H269" i="1" s="1"/>
  <c r="F268" i="1"/>
  <c r="H268" i="1" s="1"/>
  <c r="F266" i="1"/>
  <c r="H266" i="1" s="1"/>
  <c r="F261" i="1"/>
  <c r="H261" i="1" s="1"/>
  <c r="F260" i="1"/>
  <c r="H260" i="1" s="1"/>
  <c r="F259" i="1"/>
  <c r="H259" i="1" s="1"/>
  <c r="F258" i="1"/>
  <c r="H258" i="1" s="1"/>
  <c r="F252" i="1"/>
  <c r="H252" i="1" s="1"/>
  <c r="F250" i="1"/>
  <c r="H250" i="1" s="1"/>
  <c r="D246" i="1"/>
  <c r="F246" i="1" s="1"/>
  <c r="H246" i="1" s="1"/>
  <c r="D245" i="1"/>
  <c r="F245" i="1" s="1"/>
  <c r="H245" i="1" s="1"/>
  <c r="D244" i="1"/>
  <c r="F244" i="1" s="1"/>
  <c r="H244" i="1" s="1"/>
  <c r="D243" i="1"/>
  <c r="F243" i="1" s="1"/>
  <c r="H243" i="1" s="1"/>
  <c r="D241" i="1"/>
  <c r="F241" i="1" s="1"/>
  <c r="H241" i="1" s="1"/>
  <c r="D240" i="1"/>
  <c r="F240" i="1" s="1"/>
  <c r="H240" i="1" s="1"/>
  <c r="D239" i="1"/>
  <c r="F239" i="1" s="1"/>
  <c r="H239" i="1" s="1"/>
  <c r="D238" i="1"/>
  <c r="F238" i="1" s="1"/>
  <c r="H238" i="1" s="1"/>
  <c r="D237" i="1"/>
  <c r="F237" i="1" s="1"/>
  <c r="H237" i="1" s="1"/>
  <c r="D236" i="1"/>
  <c r="F236" i="1" s="1"/>
  <c r="H236" i="1" s="1"/>
  <c r="D235" i="1"/>
  <c r="F235" i="1" s="1"/>
  <c r="H235" i="1" s="1"/>
  <c r="D233" i="1"/>
  <c r="F233" i="1" s="1"/>
  <c r="H233" i="1" s="1"/>
  <c r="D232" i="1"/>
  <c r="F232" i="1" s="1"/>
  <c r="H232" i="1" s="1"/>
  <c r="D231" i="1"/>
  <c r="F231" i="1" s="1"/>
  <c r="H231" i="1" s="1"/>
  <c r="D230" i="1"/>
  <c r="F230" i="1" s="1"/>
  <c r="H230" i="1" s="1"/>
  <c r="D229" i="1"/>
  <c r="F229" i="1" s="1"/>
  <c r="H229" i="1" s="1"/>
  <c r="D228" i="1"/>
  <c r="F228" i="1" s="1"/>
  <c r="H228" i="1" s="1"/>
  <c r="F227" i="1"/>
  <c r="H227" i="1" s="1"/>
  <c r="D227" i="1"/>
  <c r="D226" i="1"/>
  <c r="F226" i="1" s="1"/>
  <c r="H226" i="1" s="1"/>
  <c r="D225" i="1"/>
  <c r="F225" i="1" s="1"/>
  <c r="H225" i="1" s="1"/>
  <c r="D224" i="1"/>
  <c r="F224" i="1" s="1"/>
  <c r="H224" i="1" s="1"/>
  <c r="D223" i="1"/>
  <c r="F223" i="1" s="1"/>
  <c r="H223" i="1" s="1"/>
  <c r="D220" i="1"/>
  <c r="D219" i="1"/>
  <c r="D218" i="1"/>
  <c r="D217" i="1"/>
  <c r="D216" i="1"/>
  <c r="F216" i="1" s="1"/>
  <c r="H216" i="1" s="1"/>
  <c r="D215" i="1"/>
  <c r="F215" i="1" s="1"/>
  <c r="H215" i="1" s="1"/>
  <c r="D214" i="1"/>
  <c r="F214" i="1" s="1"/>
  <c r="H214" i="1" s="1"/>
  <c r="D213" i="1"/>
  <c r="F213" i="1" s="1"/>
  <c r="H213" i="1" s="1"/>
  <c r="D212" i="1"/>
  <c r="D211" i="1"/>
  <c r="D210" i="1"/>
  <c r="F210" i="1" s="1"/>
  <c r="H210" i="1" s="1"/>
  <c r="D209" i="1"/>
  <c r="D208" i="1"/>
  <c r="F208" i="1" s="1"/>
  <c r="H208" i="1" s="1"/>
  <c r="D207" i="1"/>
  <c r="D206" i="1"/>
  <c r="F206" i="1" s="1"/>
  <c r="H206" i="1" s="1"/>
  <c r="D205" i="1"/>
  <c r="F205" i="1" s="1"/>
  <c r="H205" i="1" s="1"/>
  <c r="D204" i="1"/>
  <c r="D203" i="1"/>
  <c r="F203" i="1" s="1"/>
  <c r="H203" i="1" s="1"/>
  <c r="D202" i="1"/>
  <c r="F202" i="1" s="1"/>
  <c r="H202" i="1" s="1"/>
  <c r="D201" i="1"/>
  <c r="D200" i="1"/>
  <c r="F200" i="1" s="1"/>
  <c r="H200" i="1" s="1"/>
  <c r="D199" i="1"/>
  <c r="D198" i="1"/>
  <c r="F198" i="1" s="1"/>
  <c r="H198" i="1" s="1"/>
  <c r="D197" i="1"/>
  <c r="F197" i="1" s="1"/>
  <c r="H197" i="1" s="1"/>
  <c r="D196" i="1"/>
  <c r="F219" i="1"/>
  <c r="H219" i="1" s="1"/>
  <c r="F218" i="1"/>
  <c r="H218" i="1" s="1"/>
  <c r="F217" i="1"/>
  <c r="H217" i="1" s="1"/>
  <c r="F212" i="1"/>
  <c r="H212" i="1" s="1"/>
  <c r="F220" i="1"/>
  <c r="H220" i="1" s="1"/>
  <c r="F211" i="1"/>
  <c r="H211" i="1" s="1"/>
  <c r="F209" i="1"/>
  <c r="H209" i="1" s="1"/>
  <c r="F207" i="1"/>
  <c r="H207" i="1" s="1"/>
  <c r="F204" i="1"/>
  <c r="H204" i="1" s="1"/>
  <c r="F201" i="1"/>
  <c r="H201" i="1" s="1"/>
  <c r="F199" i="1"/>
  <c r="H199" i="1" s="1"/>
  <c r="F196" i="1"/>
  <c r="H196" i="1" s="1"/>
  <c r="D194" i="1"/>
  <c r="F194" i="1" s="1"/>
  <c r="H194" i="1" s="1"/>
  <c r="D185" i="1"/>
  <c r="F185" i="1" s="1"/>
  <c r="H185" i="1" s="1"/>
  <c r="H78" i="1"/>
  <c r="A437" i="1" l="1"/>
  <c r="J82" i="1"/>
  <c r="E81" i="1" s="1"/>
  <c r="F81" i="1" s="1"/>
  <c r="J81" i="1"/>
  <c r="J80" i="1"/>
  <c r="J83" i="1"/>
  <c r="J84" i="1" s="1"/>
  <c r="J89" i="1" s="1"/>
  <c r="J90" i="1" s="1"/>
  <c r="E82" i="1" s="1"/>
  <c r="F82" i="1" s="1"/>
  <c r="F90" i="1"/>
  <c r="F89" i="1"/>
  <c r="F85" i="1"/>
  <c r="F88" i="1"/>
  <c r="F84" i="1"/>
  <c r="F87" i="1"/>
  <c r="F83" i="1"/>
  <c r="F86" i="1"/>
  <c r="D184" i="1"/>
  <c r="D183" i="1"/>
  <c r="F183" i="1" s="1"/>
  <c r="H183" i="1" s="1"/>
  <c r="D182" i="1"/>
  <c r="D181" i="1"/>
  <c r="F181" i="1" s="1"/>
  <c r="H181" i="1" s="1"/>
  <c r="D180" i="1"/>
  <c r="D179" i="1"/>
  <c r="F179" i="1" s="1"/>
  <c r="H179" i="1" s="1"/>
  <c r="D178" i="1"/>
  <c r="D177" i="1"/>
  <c r="F177" i="1" s="1"/>
  <c r="H177" i="1" s="1"/>
  <c r="D176" i="1"/>
  <c r="D175" i="1"/>
  <c r="D174" i="1"/>
  <c r="F174" i="1" s="1"/>
  <c r="H174" i="1" s="1"/>
  <c r="D173" i="1"/>
  <c r="F173" i="1" s="1"/>
  <c r="H173" i="1" s="1"/>
  <c r="D172" i="1"/>
  <c r="F172" i="1" s="1"/>
  <c r="H172" i="1" s="1"/>
  <c r="D171" i="1"/>
  <c r="F171" i="1" s="1"/>
  <c r="H171" i="1" s="1"/>
  <c r="D170" i="1"/>
  <c r="F170" i="1" s="1"/>
  <c r="H170" i="1" s="1"/>
  <c r="F175" i="1"/>
  <c r="H175" i="1" s="1"/>
  <c r="D190" i="1"/>
  <c r="F190" i="1" s="1"/>
  <c r="H190" i="1" s="1"/>
  <c r="D189" i="1"/>
  <c r="F189" i="1" s="1"/>
  <c r="H189" i="1" s="1"/>
  <c r="D188" i="1"/>
  <c r="F188" i="1" s="1"/>
  <c r="H188" i="1" s="1"/>
  <c r="F184" i="1"/>
  <c r="H184" i="1" s="1"/>
  <c r="F182" i="1"/>
  <c r="H182" i="1" s="1"/>
  <c r="F180" i="1"/>
  <c r="H180" i="1" s="1"/>
  <c r="F178" i="1"/>
  <c r="H178" i="1" s="1"/>
  <c r="F176" i="1"/>
  <c r="H176" i="1" s="1"/>
  <c r="D167" i="1"/>
  <c r="F167" i="1" s="1"/>
  <c r="H167" i="1" s="1"/>
  <c r="D166" i="1"/>
  <c r="F166" i="1" s="1"/>
  <c r="H166" i="1" s="1"/>
  <c r="D165" i="1"/>
  <c r="F165" i="1" s="1"/>
  <c r="H165" i="1" s="1"/>
  <c r="D164" i="1"/>
  <c r="F164" i="1" s="1"/>
  <c r="H164" i="1" s="1"/>
  <c r="D163" i="1"/>
  <c r="F163" i="1" s="1"/>
  <c r="H163" i="1" s="1"/>
  <c r="D162" i="1"/>
  <c r="F162" i="1" s="1"/>
  <c r="H162" i="1" s="1"/>
  <c r="D161" i="1"/>
  <c r="F161" i="1" s="1"/>
  <c r="H161" i="1" s="1"/>
  <c r="D160" i="1"/>
  <c r="F160" i="1" s="1"/>
  <c r="H160" i="1" s="1"/>
  <c r="G155" i="1"/>
  <c r="G154" i="1"/>
  <c r="G153" i="1"/>
  <c r="D158" i="1"/>
  <c r="F158" i="1" s="1"/>
  <c r="H158" i="1" s="1"/>
  <c r="D157" i="1"/>
  <c r="D156" i="1"/>
  <c r="D155" i="1"/>
  <c r="F155" i="1" s="1"/>
  <c r="D154" i="1"/>
  <c r="F154" i="1" s="1"/>
  <c r="D153" i="1"/>
  <c r="F153" i="1" s="1"/>
  <c r="D152" i="1"/>
  <c r="F152" i="1" s="1"/>
  <c r="H152" i="1" s="1"/>
  <c r="D151" i="1"/>
  <c r="F151" i="1" s="1"/>
  <c r="H151" i="1" s="1"/>
  <c r="D150" i="1"/>
  <c r="F150" i="1" s="1"/>
  <c r="H150" i="1" s="1"/>
  <c r="G147" i="1"/>
  <c r="G146" i="1"/>
  <c r="G145" i="1"/>
  <c r="G144" i="1"/>
  <c r="D148" i="1"/>
  <c r="D147" i="1"/>
  <c r="F147" i="1" s="1"/>
  <c r="D146" i="1"/>
  <c r="F146" i="1" s="1"/>
  <c r="D145" i="1"/>
  <c r="F145" i="1" s="1"/>
  <c r="D144" i="1"/>
  <c r="F157" i="1"/>
  <c r="H157" i="1" s="1"/>
  <c r="F156" i="1"/>
  <c r="H156" i="1" s="1"/>
  <c r="F148" i="1"/>
  <c r="H148" i="1" s="1"/>
  <c r="F144" i="1"/>
  <c r="D138" i="1"/>
  <c r="F138" i="1" s="1"/>
  <c r="H138" i="1" s="1"/>
  <c r="E137" i="1"/>
  <c r="D137" i="1"/>
  <c r="E136" i="1"/>
  <c r="F136" i="1" s="1"/>
  <c r="H136" i="1" s="1"/>
  <c r="D136" i="1"/>
  <c r="E135" i="1"/>
  <c r="F135" i="1" s="1"/>
  <c r="H135" i="1" s="1"/>
  <c r="D135" i="1"/>
  <c r="E134" i="1"/>
  <c r="D134" i="1"/>
  <c r="D133" i="1"/>
  <c r="E132" i="1"/>
  <c r="D132" i="1"/>
  <c r="F132" i="1" s="1"/>
  <c r="H132" i="1" s="1"/>
  <c r="E131" i="1"/>
  <c r="D131" i="1"/>
  <c r="F131" i="1" s="1"/>
  <c r="H131" i="1" s="1"/>
  <c r="E130" i="1"/>
  <c r="D130" i="1"/>
  <c r="F130" i="1" s="1"/>
  <c r="H130" i="1" s="1"/>
  <c r="E129" i="1"/>
  <c r="D129" i="1"/>
  <c r="D128" i="1"/>
  <c r="D127" i="1"/>
  <c r="E126" i="1"/>
  <c r="D126" i="1"/>
  <c r="E125" i="1"/>
  <c r="D125" i="1"/>
  <c r="D124" i="1"/>
  <c r="E123" i="1"/>
  <c r="D123" i="1"/>
  <c r="E122" i="1"/>
  <c r="D122" i="1"/>
  <c r="D121" i="1"/>
  <c r="E120" i="1"/>
  <c r="D120" i="1"/>
  <c r="E119" i="1"/>
  <c r="D119" i="1"/>
  <c r="D118" i="1"/>
  <c r="F137" i="1"/>
  <c r="H137" i="1" s="1"/>
  <c r="F133" i="1"/>
  <c r="H133" i="1" s="1"/>
  <c r="G41" i="1"/>
  <c r="G28" i="1"/>
  <c r="G81" i="1" l="1"/>
  <c r="I77" i="1" s="1"/>
  <c r="C79" i="1" s="1"/>
  <c r="H154" i="1"/>
  <c r="F134" i="1"/>
  <c r="H134" i="1" s="1"/>
  <c r="H144" i="1"/>
  <c r="H153" i="1"/>
  <c r="H155" i="1"/>
  <c r="H146" i="1"/>
  <c r="H147" i="1"/>
  <c r="H145" i="1"/>
  <c r="C110" i="1" l="1"/>
  <c r="F430" i="1"/>
  <c r="A426" i="1"/>
  <c r="A427" i="1" s="1"/>
  <c r="A428" i="1" s="1"/>
  <c r="A429" i="1" s="1"/>
  <c r="A430" i="1" s="1"/>
  <c r="A431" i="1" s="1"/>
  <c r="A410" i="1"/>
  <c r="A411" i="1" s="1"/>
  <c r="A412" i="1" s="1"/>
  <c r="A413" i="1" s="1"/>
  <c r="A414" i="1" s="1"/>
  <c r="A415" i="1" s="1"/>
  <c r="A416" i="1" s="1"/>
  <c r="A417" i="1" s="1"/>
  <c r="A418" i="1" s="1"/>
  <c r="A419" i="1" s="1"/>
  <c r="A420" i="1" s="1"/>
  <c r="A397" i="1"/>
  <c r="A398" i="1" s="1"/>
  <c r="A399" i="1" s="1"/>
  <c r="A400" i="1" s="1"/>
  <c r="A401" i="1" s="1"/>
  <c r="A402" i="1" s="1"/>
  <c r="A403" i="1" s="1"/>
  <c r="A404" i="1" s="1"/>
  <c r="A405" i="1" s="1"/>
  <c r="A406" i="1" s="1"/>
  <c r="A407" i="1" s="1"/>
  <c r="A384" i="1"/>
  <c r="A385" i="1" s="1"/>
  <c r="A386" i="1" s="1"/>
  <c r="A387" i="1" s="1"/>
  <c r="A388" i="1" s="1"/>
  <c r="A389" i="1" s="1"/>
  <c r="A390" i="1" s="1"/>
  <c r="A391" i="1" s="1"/>
  <c r="A392" i="1" s="1"/>
  <c r="A393" i="1" s="1"/>
  <c r="A394" i="1" s="1"/>
  <c r="A371" i="1"/>
  <c r="A372" i="1" s="1"/>
  <c r="A373" i="1" s="1"/>
  <c r="A374" i="1" s="1"/>
  <c r="A375" i="1" s="1"/>
  <c r="A376" i="1" s="1"/>
  <c r="A377" i="1" s="1"/>
  <c r="A378" i="1" s="1"/>
  <c r="A379" i="1" s="1"/>
  <c r="A380" i="1" s="1"/>
  <c r="A381" i="1" s="1"/>
  <c r="A119" i="1"/>
  <c r="A120" i="1" s="1"/>
  <c r="A121" i="1" s="1"/>
  <c r="A122" i="1" s="1"/>
  <c r="A123" i="1" s="1"/>
  <c r="A124" i="1" s="1"/>
  <c r="A125" i="1" s="1"/>
  <c r="A126" i="1" s="1"/>
  <c r="A127" i="1" s="1"/>
  <c r="A128" i="1" s="1"/>
  <c r="A129" i="1" s="1"/>
  <c r="A130" i="1" s="1"/>
  <c r="A131" i="1" s="1"/>
  <c r="A132" i="1" s="1"/>
  <c r="A133" i="1" s="1"/>
  <c r="A134" i="1" s="1"/>
  <c r="A135" i="1" s="1"/>
  <c r="A136" i="1" s="1"/>
  <c r="A137" i="1" s="1"/>
  <c r="A138" i="1" s="1"/>
  <c r="F420" i="1"/>
  <c r="H420" i="1" s="1"/>
  <c r="F419" i="1"/>
  <c r="H419" i="1" s="1"/>
  <c r="F418" i="1"/>
  <c r="H418" i="1" s="1"/>
  <c r="F417" i="1"/>
  <c r="H417" i="1" s="1"/>
  <c r="F416" i="1"/>
  <c r="H416" i="1" s="1"/>
  <c r="F415" i="1"/>
  <c r="H415" i="1" s="1"/>
  <c r="F414" i="1"/>
  <c r="H414" i="1" s="1"/>
  <c r="F413" i="1"/>
  <c r="H413" i="1" s="1"/>
  <c r="F412" i="1"/>
  <c r="H412" i="1" s="1"/>
  <c r="F411" i="1"/>
  <c r="H411" i="1" s="1"/>
  <c r="F410" i="1"/>
  <c r="H410" i="1" s="1"/>
  <c r="F409" i="1"/>
  <c r="H409" i="1" s="1"/>
  <c r="F407" i="1"/>
  <c r="H407" i="1" s="1"/>
  <c r="F406" i="1"/>
  <c r="H406" i="1" s="1"/>
  <c r="F405" i="1"/>
  <c r="H405" i="1" s="1"/>
  <c r="F404" i="1"/>
  <c r="H404" i="1" s="1"/>
  <c r="F403" i="1"/>
  <c r="H403" i="1" s="1"/>
  <c r="F402" i="1"/>
  <c r="H402" i="1" s="1"/>
  <c r="F401" i="1"/>
  <c r="H401" i="1" s="1"/>
  <c r="F400" i="1"/>
  <c r="H400" i="1" s="1"/>
  <c r="F399" i="1"/>
  <c r="H399" i="1" s="1"/>
  <c r="F398" i="1"/>
  <c r="H398" i="1" s="1"/>
  <c r="F397" i="1"/>
  <c r="H397" i="1" s="1"/>
  <c r="F396" i="1"/>
  <c r="H396" i="1" s="1"/>
  <c r="F394" i="1"/>
  <c r="H394" i="1" s="1"/>
  <c r="F393" i="1"/>
  <c r="H393" i="1" s="1"/>
  <c r="F392" i="1"/>
  <c r="H392" i="1" s="1"/>
  <c r="F391" i="1"/>
  <c r="H391" i="1" s="1"/>
  <c r="F390" i="1"/>
  <c r="H390" i="1" s="1"/>
  <c r="F389" i="1"/>
  <c r="H389" i="1" s="1"/>
  <c r="F388" i="1"/>
  <c r="H388" i="1" s="1"/>
  <c r="F387" i="1"/>
  <c r="H387" i="1" s="1"/>
  <c r="F386" i="1"/>
  <c r="H386" i="1" s="1"/>
  <c r="F385" i="1"/>
  <c r="H385" i="1" s="1"/>
  <c r="F384" i="1"/>
  <c r="H384" i="1" s="1"/>
  <c r="F383" i="1"/>
  <c r="H383" i="1" s="1"/>
  <c r="F119" i="1"/>
  <c r="H119" i="1" s="1"/>
  <c r="F120" i="1"/>
  <c r="F121" i="1"/>
  <c r="H121" i="1" s="1"/>
  <c r="F122" i="1"/>
  <c r="F123" i="1"/>
  <c r="F124" i="1"/>
  <c r="F125" i="1"/>
  <c r="F126" i="1"/>
  <c r="F127" i="1"/>
  <c r="F128" i="1"/>
  <c r="F129" i="1"/>
  <c r="F118" i="1"/>
  <c r="H118" i="1" s="1"/>
  <c r="F381" i="1"/>
  <c r="H381" i="1" s="1"/>
  <c r="F380" i="1"/>
  <c r="H380" i="1" s="1"/>
  <c r="F379" i="1"/>
  <c r="H379" i="1" s="1"/>
  <c r="F378" i="1"/>
  <c r="H378" i="1" s="1"/>
  <c r="F377" i="1"/>
  <c r="H377" i="1" s="1"/>
  <c r="F376" i="1"/>
  <c r="H376" i="1" s="1"/>
  <c r="F375" i="1"/>
  <c r="H375" i="1" s="1"/>
  <c r="F374" i="1"/>
  <c r="H374" i="1" s="1"/>
  <c r="F373" i="1"/>
  <c r="H373" i="1" s="1"/>
  <c r="F372" i="1"/>
  <c r="H372" i="1" s="1"/>
  <c r="F371" i="1"/>
  <c r="H371" i="1" s="1"/>
  <c r="F370" i="1"/>
  <c r="H370" i="1" s="1"/>
  <c r="A432" i="1" l="1"/>
  <c r="E105" i="1"/>
  <c r="C105" i="1"/>
  <c r="C111" i="1" s="1"/>
  <c r="A433" i="1" l="1"/>
  <c r="A434" i="1" s="1"/>
  <c r="E110" i="1"/>
  <c r="E111" i="1" s="1"/>
  <c r="C8" i="1"/>
  <c r="J73" i="1" l="1"/>
  <c r="J72" i="1"/>
  <c r="J71" i="1"/>
  <c r="J70" i="1"/>
  <c r="H63" i="1"/>
  <c r="J67" i="1" l="1"/>
  <c r="E66" i="1" s="1"/>
  <c r="F66" i="1" s="1"/>
  <c r="J65" i="1"/>
  <c r="F70" i="1"/>
  <c r="F75" i="1"/>
  <c r="F69" i="1"/>
  <c r="J68" i="1"/>
  <c r="F71" i="1"/>
  <c r="F74" i="1"/>
  <c r="F68" i="1"/>
  <c r="F72" i="1"/>
  <c r="F73" i="1"/>
  <c r="J66" i="1"/>
  <c r="J69" i="1" l="1"/>
  <c r="J74" i="1" s="1"/>
  <c r="J75" i="1" s="1"/>
  <c r="E67" i="1" s="1"/>
  <c r="F67" i="1" s="1"/>
  <c r="G66" i="1" l="1"/>
  <c r="I62" i="1" s="1"/>
  <c r="C64" i="1" s="1"/>
  <c r="H120" i="1"/>
  <c r="H122" i="1"/>
  <c r="H123" i="1"/>
  <c r="H124" i="1"/>
  <c r="H125" i="1"/>
  <c r="H126" i="1"/>
  <c r="H127" i="1"/>
  <c r="H128" i="1"/>
  <c r="H129" i="1"/>
  <c r="G104" i="1" l="1"/>
  <c r="G105" i="1" s="1"/>
  <c r="G42" i="1"/>
  <c r="G110" i="1" l="1"/>
  <c r="G111" i="1" s="1"/>
  <c r="G5" i="1"/>
  <c r="G43" i="1" l="1"/>
  <c r="H11" i="4" l="1"/>
  <c r="H10" i="4"/>
  <c r="H9" i="4"/>
  <c r="H8" i="4"/>
  <c r="F2" i="4"/>
  <c r="C12" i="4" l="1"/>
  <c r="C8" i="4"/>
  <c r="C11" i="4"/>
  <c r="C7" i="4"/>
  <c r="H6" i="4"/>
  <c r="H7" i="4" s="1"/>
  <c r="H12" i="4" s="1"/>
  <c r="H13" i="4" s="1"/>
  <c r="B5" i="4" s="1"/>
  <c r="C13" i="4"/>
  <c r="H3" i="4"/>
  <c r="H4" i="4"/>
  <c r="C10" i="4"/>
  <c r="D12" i="4"/>
  <c r="C9" i="4"/>
  <c r="H5" i="4"/>
  <c r="B4" i="4" s="1"/>
  <c r="C4" i="4" l="1"/>
  <c r="D9" i="4" s="1"/>
  <c r="C6" i="4"/>
  <c r="D13" i="4"/>
  <c r="D8" i="4"/>
  <c r="C5" i="4"/>
  <c r="D10" i="4" l="1"/>
  <c r="D11" i="4" l="1"/>
  <c r="D4" i="4" s="1"/>
  <c r="E4" i="4" s="1"/>
  <c r="C438" i="1" l="1"/>
</calcChain>
</file>

<file path=xl/comments1.xml><?xml version="1.0" encoding="utf-8"?>
<comments xmlns="http://schemas.openxmlformats.org/spreadsheetml/2006/main">
  <authors>
    <author>SACHIN</author>
    <author>Windows User</author>
  </authors>
  <commentList>
    <comment ref="A9" authorId="0" shapeId="0">
      <text>
        <r>
          <rPr>
            <b/>
            <sz val="9"/>
            <color indexed="81"/>
            <rFont val="Tahoma"/>
            <family val="2"/>
          </rPr>
          <t>SACHIN:</t>
        </r>
        <r>
          <rPr>
            <sz val="9"/>
            <color indexed="81"/>
            <rFont val="Tahoma"/>
            <family val="2"/>
          </rPr>
          <t xml:space="preserve">
As per CC</t>
        </r>
      </text>
    </comment>
    <comment ref="C9" authorId="0" shapeId="0">
      <text>
        <r>
          <rPr>
            <b/>
            <sz val="9"/>
            <color indexed="81"/>
            <rFont val="Tahoma"/>
            <family val="2"/>
          </rPr>
          <t>Take address from CC</t>
        </r>
      </text>
    </comment>
    <comment ref="C21" authorId="0" shapeId="0">
      <text>
        <r>
          <rPr>
            <b/>
            <sz val="9"/>
            <color indexed="81"/>
            <rFont val="Tahoma"/>
            <family val="2"/>
          </rPr>
          <t>Builder's office address from RERA</t>
        </r>
        <r>
          <rPr>
            <sz val="9"/>
            <color indexed="81"/>
            <rFont val="Tahoma"/>
            <family val="2"/>
          </rPr>
          <t xml:space="preserve">
</t>
        </r>
      </text>
    </comment>
    <comment ref="C24" authorId="0" shapeId="0">
      <text>
        <r>
          <rPr>
            <b/>
            <sz val="9"/>
            <color indexed="81"/>
            <rFont val="Tahoma"/>
            <family val="2"/>
          </rPr>
          <t>Provided during initiation</t>
        </r>
        <r>
          <rPr>
            <sz val="9"/>
            <color indexed="81"/>
            <rFont val="Tahoma"/>
            <family val="2"/>
          </rPr>
          <t xml:space="preserve">
</t>
        </r>
      </text>
    </comment>
    <comment ref="C25" authorId="1" shapeId="0">
      <text>
        <r>
          <rPr>
            <b/>
            <sz val="11"/>
            <color indexed="81"/>
            <rFont val="Tahoma"/>
            <family val="2"/>
          </rPr>
          <t xml:space="preserve">Authority
</t>
        </r>
      </text>
    </comment>
    <comment ref="C26" authorId="0" shapeId="0">
      <text>
        <r>
          <rPr>
            <b/>
            <sz val="9"/>
            <color indexed="81"/>
            <rFont val="Tahoma"/>
            <family val="2"/>
          </rPr>
          <t>Apartments or 
Apartments + Shops</t>
        </r>
      </text>
    </comment>
    <comment ref="G28" authorId="0" shapeId="0">
      <text>
        <r>
          <rPr>
            <b/>
            <sz val="9"/>
            <color indexed="81"/>
            <rFont val="Tahoma"/>
            <family val="2"/>
          </rPr>
          <t>15% of Total No of Flats</t>
        </r>
        <r>
          <rPr>
            <sz val="9"/>
            <color indexed="81"/>
            <rFont val="Tahoma"/>
            <family val="2"/>
          </rPr>
          <t xml:space="preserve">
</t>
        </r>
      </text>
    </comment>
    <comment ref="E32" authorId="0" shapeId="0">
      <text>
        <r>
          <rPr>
            <b/>
            <sz val="9"/>
            <color indexed="81"/>
            <rFont val="Tahoma"/>
            <family val="2"/>
          </rPr>
          <t>If Sale deed is provided</t>
        </r>
        <r>
          <rPr>
            <sz val="9"/>
            <color indexed="81"/>
            <rFont val="Tahoma"/>
            <family val="2"/>
          </rPr>
          <t xml:space="preserve">
</t>
        </r>
      </text>
    </comment>
    <comment ref="F32" authorId="0" shapeId="0">
      <text>
        <r>
          <rPr>
            <b/>
            <sz val="9"/>
            <color indexed="81"/>
            <rFont val="Tahoma"/>
            <family val="2"/>
          </rPr>
          <t>If Sale deed is provided</t>
        </r>
        <r>
          <rPr>
            <sz val="9"/>
            <color indexed="81"/>
            <rFont val="Tahoma"/>
            <family val="2"/>
          </rPr>
          <t xml:space="preserve">
</t>
        </r>
      </text>
    </comment>
    <comment ref="G32" authorId="0" shapeId="0">
      <text>
        <r>
          <rPr>
            <b/>
            <sz val="9"/>
            <color indexed="81"/>
            <rFont val="Tahoma"/>
            <family val="2"/>
          </rPr>
          <t>If Sale deed is provided</t>
        </r>
        <r>
          <rPr>
            <sz val="9"/>
            <color indexed="81"/>
            <rFont val="Tahoma"/>
            <family val="2"/>
          </rPr>
          <t xml:space="preserve">
</t>
        </r>
      </text>
    </comment>
    <comment ref="H32" authorId="0" shapeId="0">
      <text>
        <r>
          <rPr>
            <b/>
            <sz val="9"/>
            <color indexed="81"/>
            <rFont val="Tahoma"/>
            <family val="2"/>
          </rPr>
          <t>If Sale deed is provided</t>
        </r>
        <r>
          <rPr>
            <sz val="9"/>
            <color indexed="81"/>
            <rFont val="Tahoma"/>
            <family val="2"/>
          </rPr>
          <t xml:space="preserve">
</t>
        </r>
      </text>
    </comment>
    <comment ref="C47" authorId="0" shapeId="0">
      <text>
        <r>
          <rPr>
            <b/>
            <sz val="9"/>
            <color indexed="81"/>
            <rFont val="Tahoma"/>
            <family val="2"/>
          </rPr>
          <t>height should also be mentioned</t>
        </r>
      </text>
    </comment>
    <comment ref="C60" authorId="0" shapeId="0">
      <text>
        <r>
          <rPr>
            <b/>
            <sz val="9"/>
            <color indexed="81"/>
            <rFont val="Tahoma"/>
            <family val="2"/>
          </rPr>
          <t>RERA Start date</t>
        </r>
      </text>
    </comment>
    <comment ref="H93" authorId="0" shapeId="0">
      <text>
        <r>
          <rPr>
            <b/>
            <sz val="9"/>
            <color indexed="81"/>
            <rFont val="Tahoma"/>
            <family val="2"/>
          </rPr>
          <t>if multiple buildings are in project and are connected internally</t>
        </r>
      </text>
    </comment>
    <comment ref="C95" authorId="0" shapeId="0">
      <text>
        <r>
          <rPr>
            <b/>
            <sz val="9"/>
            <color indexed="81"/>
            <rFont val="Tahoma"/>
            <family val="2"/>
          </rPr>
          <t>AAC Block or Brick</t>
        </r>
      </text>
    </comment>
    <comment ref="H97" authorId="0" shapeId="0">
      <text>
        <r>
          <rPr>
            <b/>
            <sz val="9"/>
            <color indexed="81"/>
            <rFont val="Tahoma"/>
            <family val="2"/>
          </rPr>
          <t>If present on slopy area</t>
        </r>
        <r>
          <rPr>
            <sz val="9"/>
            <color indexed="81"/>
            <rFont val="Tahoma"/>
            <family val="2"/>
          </rPr>
          <t xml:space="preserve">
</t>
        </r>
      </text>
    </comment>
  </commentList>
</comments>
</file>

<file path=xl/sharedStrings.xml><?xml version="1.0" encoding="utf-8"?>
<sst xmlns="http://schemas.openxmlformats.org/spreadsheetml/2006/main" count="924" uniqueCount="334">
  <si>
    <t>Name of the project</t>
  </si>
  <si>
    <t xml:space="preserve">Address </t>
  </si>
  <si>
    <t>Name of the builder / developer</t>
  </si>
  <si>
    <t xml:space="preserve">Office address (agreement) </t>
  </si>
  <si>
    <t>Builder Bank Details</t>
  </si>
  <si>
    <t>Contact No.</t>
  </si>
  <si>
    <t>Village</t>
  </si>
  <si>
    <t>Other HFC's Approval / Funding</t>
  </si>
  <si>
    <t>No. of Tenements / Units in Project</t>
  </si>
  <si>
    <t>Verification of the schedule of the property</t>
  </si>
  <si>
    <t>Sale deed</t>
  </si>
  <si>
    <t>Physical on site</t>
  </si>
  <si>
    <t>North</t>
  </si>
  <si>
    <t>South</t>
  </si>
  <si>
    <t>East</t>
  </si>
  <si>
    <t>West</t>
  </si>
  <si>
    <t>Verification of survey No. (Title document)</t>
  </si>
  <si>
    <t xml:space="preserve">Approach road </t>
  </si>
  <si>
    <t>Yes/No</t>
  </si>
  <si>
    <t>Layout approval if applicable</t>
  </si>
  <si>
    <t>Building height / No. of Floors</t>
  </si>
  <si>
    <t>NA / Land conversion</t>
  </si>
  <si>
    <t>CONSTRUCTION PROGRESS</t>
  </si>
  <si>
    <t>Baseline start date</t>
  </si>
  <si>
    <t>Baseline finish date</t>
  </si>
  <si>
    <t>General comment on progress</t>
  </si>
  <si>
    <t>QUALITY/NDMC Parameters</t>
  </si>
  <si>
    <t>Type of Structure</t>
  </si>
  <si>
    <t>Expansion Joint Available</t>
  </si>
  <si>
    <t>Mortar Type</t>
  </si>
  <si>
    <t>Flood Prone Area</t>
  </si>
  <si>
    <t>Masonry Type</t>
  </si>
  <si>
    <t>Projected Parts Available</t>
  </si>
  <si>
    <t>Footing Type</t>
  </si>
  <si>
    <t>Fire Exit Available</t>
  </si>
  <si>
    <t>Soil Type</t>
  </si>
  <si>
    <t>Ground Slope &gt;20%</t>
  </si>
  <si>
    <t>Concrete Grade</t>
  </si>
  <si>
    <t>Ground Slope Vulnerable to land slide</t>
  </si>
  <si>
    <t>Steel Grade</t>
  </si>
  <si>
    <t>Soil liquefiable</t>
  </si>
  <si>
    <t>Cyclone Zone-Wind speed (m/s)</t>
  </si>
  <si>
    <t>Coastal regulatory Zone</t>
  </si>
  <si>
    <t>Seismic Zone</t>
  </si>
  <si>
    <t>Environment exposure condition</t>
  </si>
  <si>
    <t>BUILDING / BLOCK - Configuration Details</t>
  </si>
  <si>
    <t>Floors</t>
  </si>
  <si>
    <t>REMARKS ON RECOMMENDATION</t>
  </si>
  <si>
    <t>RERA No.-</t>
  </si>
  <si>
    <t>Cement &amp; Sand</t>
  </si>
  <si>
    <t>RCC</t>
  </si>
  <si>
    <t>Yes</t>
  </si>
  <si>
    <t>No</t>
  </si>
  <si>
    <t>Moderate</t>
  </si>
  <si>
    <t>III</t>
  </si>
  <si>
    <t>1BHK</t>
  </si>
  <si>
    <t>Progress %</t>
  </si>
  <si>
    <t>Construction details:</t>
  </si>
  <si>
    <t>Basement</t>
  </si>
  <si>
    <t>Ground</t>
  </si>
  <si>
    <t>Podium</t>
  </si>
  <si>
    <t>Type of Work</t>
  </si>
  <si>
    <t>Slab/Floor</t>
  </si>
  <si>
    <t>Complition %</t>
  </si>
  <si>
    <t>Piling Work in process</t>
  </si>
  <si>
    <t>Excavation</t>
  </si>
  <si>
    <t>Excavation in process</t>
  </si>
  <si>
    <t>Plinth</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</si>
  <si>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</si>
  <si>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</si>
  <si>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</si>
  <si>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</si>
  <si>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</si>
  <si>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</si>
  <si>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</si>
  <si>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</si>
  <si>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</si>
  <si>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</si>
  <si>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</si>
  <si>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</si>
  <si>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</si>
  <si>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</si>
  <si>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</si>
  <si>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</si>
  <si>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</si>
  <si>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 xml:space="preserve">APF Valuation Report </t>
  </si>
  <si>
    <t>Approved Plan</t>
  </si>
  <si>
    <t>Location of the project 
Municipal Limit :</t>
  </si>
  <si>
    <t>Project Type
(Apartments/Plot/ Combined)</t>
  </si>
  <si>
    <t>Geo Coordinates</t>
  </si>
  <si>
    <t>Landmark</t>
  </si>
  <si>
    <t>None</t>
  </si>
  <si>
    <t>No of Wings / Buildings</t>
  </si>
  <si>
    <t>Description</t>
  </si>
  <si>
    <t xml:space="preserve">Approval Detail : Plan approval </t>
  </si>
  <si>
    <t>Total land area of the project in Sq. Mt.</t>
  </si>
  <si>
    <t>Permissible FSI</t>
  </si>
  <si>
    <t>Permissible TDR/Paid FSI</t>
  </si>
  <si>
    <t>Total FSI availaible for the project</t>
  </si>
  <si>
    <t>Total Approved Builtup area of the project (Sq.Mt)</t>
  </si>
  <si>
    <t>Building plan approvals - Approval No :</t>
  </si>
  <si>
    <t>Project Details</t>
  </si>
  <si>
    <t xml:space="preserve">Name of Valuation Agency </t>
  </si>
  <si>
    <t>Date of
Initiation</t>
  </si>
  <si>
    <t>Date &amp; Time of Site Visit</t>
  </si>
  <si>
    <t>Date of Report
Release</t>
  </si>
  <si>
    <t xml:space="preserve">Branch Name/ID </t>
  </si>
  <si>
    <t>Name of the person met at site &amp; Contact No</t>
  </si>
  <si>
    <t>V.S.JADON &amp; CO VALUERS LLP</t>
  </si>
  <si>
    <t>Builder Office Verified</t>
  </si>
  <si>
    <t>Name of the authority :</t>
  </si>
  <si>
    <t>Reference No :</t>
  </si>
  <si>
    <t xml:space="preserve"> Building No.4 = G + 3rd Floor</t>
  </si>
  <si>
    <t xml:space="preserve">Speed of Construction is Average. </t>
  </si>
  <si>
    <t>Recommended Rates of the Property :</t>
  </si>
  <si>
    <t>Recommended rate of the flat Per Sq. Ft. ( on Saleable area)</t>
  </si>
  <si>
    <t>Recommended of Parking ( If Available)</t>
  </si>
  <si>
    <t>Name of Engineer Visited the property</t>
  </si>
  <si>
    <t xml:space="preserve">Authorized Signatory
Name &amp; Seal of the agency
                                               </t>
  </si>
  <si>
    <t>Photographs Of Property :</t>
  </si>
  <si>
    <t xml:space="preserve">Google Map : </t>
  </si>
  <si>
    <t>Isolated Footing</t>
  </si>
  <si>
    <t>FE415</t>
  </si>
  <si>
    <t>Connectivity</t>
  </si>
  <si>
    <t>Exposure Limit
(Proposed)</t>
  </si>
  <si>
    <t>1st Floor</t>
  </si>
  <si>
    <t>2nd Floor</t>
  </si>
  <si>
    <t>44 meter per sec</t>
  </si>
  <si>
    <t>Alluvial Soil</t>
  </si>
  <si>
    <t>Total Permissible Builtup area of the project (Sq.Mt)</t>
  </si>
  <si>
    <t>Plot area mentioned in the sale deed (As per 7/12)</t>
  </si>
  <si>
    <t>Plot area mentioned in the approved drg. on which FSI/FAR calculations computed (Net Plot Area)</t>
  </si>
  <si>
    <t>Stage of construction</t>
  </si>
  <si>
    <t>Taluka</t>
  </si>
  <si>
    <t>District</t>
  </si>
  <si>
    <t>Pincode</t>
  </si>
  <si>
    <t>Geo Link</t>
  </si>
  <si>
    <t xml:space="preserve">Stage of construction: </t>
  </si>
  <si>
    <t>All work Completed. OC Received.</t>
  </si>
  <si>
    <t>Project Progress %</t>
  </si>
  <si>
    <t>AAC Block/ Brick</t>
  </si>
  <si>
    <t>M20</t>
  </si>
  <si>
    <t>Saleable Area Sq.Ft.
Loading:</t>
  </si>
  <si>
    <t>Layout Of Property :</t>
  </si>
  <si>
    <t>Office No. 1031, Wing J, Akshar Business Park, Plot No. 03 Sector 25, Near APMC Market, Vashi, Navi Mumbai, Maharashtra 400703 TEL: 022-46090378/79/80                                                                       
E mail : vsjcapf@gmail.com. Web site : www.vsjadon.com</t>
  </si>
  <si>
    <t xml:space="preserve">Latitude, Longitude   </t>
  </si>
  <si>
    <t>Road</t>
  </si>
  <si>
    <t>City</t>
  </si>
  <si>
    <t>CTS No</t>
  </si>
  <si>
    <t xml:space="preserve">Thane </t>
  </si>
  <si>
    <t>Palghar</t>
  </si>
  <si>
    <t>Mumbai</t>
  </si>
  <si>
    <t>Raigad</t>
  </si>
  <si>
    <t>Pune</t>
  </si>
  <si>
    <t>Thane</t>
  </si>
  <si>
    <t>Mokhada</t>
  </si>
  <si>
    <t>Andheri</t>
  </si>
  <si>
    <t>Alibag</t>
  </si>
  <si>
    <t>Pune City</t>
  </si>
  <si>
    <t>Shahpur</t>
  </si>
  <si>
    <t>Talasari</t>
  </si>
  <si>
    <t>Borivali</t>
  </si>
  <si>
    <t>Panvel</t>
  </si>
  <si>
    <t>Haveli</t>
  </si>
  <si>
    <t>Kalyan</t>
  </si>
  <si>
    <t>Vasai</t>
  </si>
  <si>
    <t>Kurla</t>
  </si>
  <si>
    <t>Uran</t>
  </si>
  <si>
    <t>Khed</t>
  </si>
  <si>
    <t>Bhiwandi</t>
  </si>
  <si>
    <t>Vikramgad</t>
  </si>
  <si>
    <t>Karjat</t>
  </si>
  <si>
    <t>Baramati</t>
  </si>
  <si>
    <t>Ulhasnagar</t>
  </si>
  <si>
    <t>Khalapur</t>
  </si>
  <si>
    <t>Junnar</t>
  </si>
  <si>
    <t>Ambernath</t>
  </si>
  <si>
    <t>Dahanu</t>
  </si>
  <si>
    <t>Pen</t>
  </si>
  <si>
    <t>Shirur</t>
  </si>
  <si>
    <t>Murbad</t>
  </si>
  <si>
    <t>Wada</t>
  </si>
  <si>
    <t>Sudhagad</t>
  </si>
  <si>
    <t>Indapur</t>
  </si>
  <si>
    <t>Mahad</t>
  </si>
  <si>
    <t>Daund</t>
  </si>
  <si>
    <t>Roha</t>
  </si>
  <si>
    <t>Mawal</t>
  </si>
  <si>
    <t>Mangaon</t>
  </si>
  <si>
    <t>Ambegaon</t>
  </si>
  <si>
    <t>Poladpur</t>
  </si>
  <si>
    <t>Purandhar</t>
  </si>
  <si>
    <t>Mahasala</t>
  </si>
  <si>
    <t>Bhor</t>
  </si>
  <si>
    <t>Shriwardhan</t>
  </si>
  <si>
    <t>Mulshi</t>
  </si>
  <si>
    <t>Murud</t>
  </si>
  <si>
    <t>Velhe</t>
  </si>
  <si>
    <t>Commercial Area Details :</t>
  </si>
  <si>
    <t>Building &amp; Wing</t>
  </si>
  <si>
    <t>No. of Units</t>
  </si>
  <si>
    <t>Total Carpet Area</t>
  </si>
  <si>
    <t>Total Saleable Area</t>
  </si>
  <si>
    <t>Total</t>
  </si>
  <si>
    <t>Residential Area Details :</t>
  </si>
  <si>
    <t>Grand Total</t>
  </si>
  <si>
    <t>Approved No. of Floor</t>
  </si>
  <si>
    <t>Proposed No. of Floor</t>
  </si>
  <si>
    <t>Ground Floor</t>
  </si>
  <si>
    <t>Flat No.
(Approved
Plan)</t>
  </si>
  <si>
    <t>Flat No. (Sale Plan)</t>
  </si>
  <si>
    <t>Carpet area</t>
  </si>
  <si>
    <t>Fungible area</t>
  </si>
  <si>
    <t>Gross Carpet area</t>
  </si>
  <si>
    <t>Attached Terrace area</t>
  </si>
  <si>
    <t>Attached Loft area</t>
  </si>
  <si>
    <t>Shop</t>
  </si>
  <si>
    <t xml:space="preserve">Details of Residential &amp; Commercials in Building   </t>
  </si>
  <si>
    <t>Shop No.
(Approved
Plan)</t>
  </si>
  <si>
    <t>Shop No. (Sale Plan)</t>
  </si>
  <si>
    <t xml:space="preserve">Construction work is in process at the time of Visit (labour found)
Construction work was not active at the time of Visit. (labour Not found)
All work completed. Wait for OC / OC received.
Work not yet Started.
</t>
  </si>
  <si>
    <t>AAC block or Bricks, Cement bags, aggregate, Sand, etc found on site in average quantity.</t>
  </si>
  <si>
    <t xml:space="preserve">Labours found on site at the time of visit. </t>
  </si>
  <si>
    <t>We considered Carpet area as per Approved Plan.</t>
  </si>
  <si>
    <t>We have considered rate by verifying it from market inquire.</t>
  </si>
  <si>
    <t>Recommended rate should be considered as all inclusive rate if other charges are not mentioned. (Excluding GST &amp; other government Taxes)</t>
  </si>
  <si>
    <t>Car parking is subjected to authentic documentation.</t>
  </si>
  <si>
    <t>On Site, we meet Mr. .....</t>
  </si>
  <si>
    <t>We considered  Saleable area  as per our calculation. Loading</t>
  </si>
  <si>
    <t xml:space="preserve">Date </t>
  </si>
  <si>
    <t>Other statutory permissions</t>
  </si>
  <si>
    <t>NA</t>
  </si>
  <si>
    <t xml:space="preserve">Fire Noc No
Valid Up to: </t>
  </si>
  <si>
    <t xml:space="preserve">Environmental Clearance Certificate (EC) No
Valid Up for: </t>
  </si>
  <si>
    <t xml:space="preserve">Airport Noc No
Valid Up for: </t>
  </si>
  <si>
    <t xml:space="preserve">Valid upto Dated </t>
  </si>
  <si>
    <t xml:space="preserve">Site Elevation (AMSL) = 
Permissible Top Elevation (AMSL) = </t>
  </si>
  <si>
    <t xml:space="preserve">Date - - Valid For one Year
Area - </t>
  </si>
  <si>
    <t>``</t>
  </si>
  <si>
    <t>Validity &amp; Area mentioned:</t>
  </si>
  <si>
    <t>Mahindra Rural Housing Finance - Thane</t>
  </si>
  <si>
    <t>North Imperial Greens Tower 1 &amp; Tower 2</t>
  </si>
  <si>
    <t>451/1, 464/1/2, 451/2, 464/1/3, 455/A/1, 459, 460/1, 461/1, 464/1/1, 450 (Pt), 449 (Pt), 467/A (Pt), 538/1, 465/1, 463, 462</t>
  </si>
  <si>
    <t>Owale</t>
  </si>
  <si>
    <t>New DP Road</t>
  </si>
  <si>
    <t>Thane West</t>
  </si>
  <si>
    <t>Tower 1 = P51700077764
Tower 2 = P51700054824</t>
  </si>
  <si>
    <t>Vihang Valley</t>
  </si>
  <si>
    <t>19.2657909,72.9593195</t>
  </si>
  <si>
    <t>https://maps.app.goo.gl/uqNLzimftFrG6B1XA</t>
  </si>
  <si>
    <t>Skylark Buildspace Private Limited</t>
  </si>
  <si>
    <t>301 &amp; 302, Viraj Tower, Western Express Highway, Andheri East, Near WEH Metro Station, Andheri, Mumbai 400093.</t>
  </si>
  <si>
    <t>HDFC BANK
IFSC Code : HDFC0000321</t>
  </si>
  <si>
    <t>Mr. Pankaj Mhatre  8169147639</t>
  </si>
  <si>
    <t>Thane Muncipal Cooperation (TMC)</t>
  </si>
  <si>
    <t>Apartments + Shop</t>
  </si>
  <si>
    <t>Flats - 1840, Shops - 21</t>
  </si>
  <si>
    <t>Tower 1 = Gr/St + 1st to 34th Floor
Tower 2 = Gr/Stilt + 1st to 36th Floor</t>
  </si>
  <si>
    <t>Other Plot</t>
  </si>
  <si>
    <t>Road/Other Plot</t>
  </si>
  <si>
    <t>12 M W Road</t>
  </si>
  <si>
    <t>30 M W Road</t>
  </si>
  <si>
    <t>Raunak Delight</t>
  </si>
  <si>
    <t>Raunak Height/ Open Plot</t>
  </si>
  <si>
    <t>Yes, Approx 39ft</t>
  </si>
  <si>
    <t>1. 0.40Km from Seven Square Academy CBSE School
2. 0.85Km from Holy Family High School
3. 0.65Km from TMC Hospital
4. 1.60Km from Fortune Plus ICU &amp; MultiSpeciality Hospital
5. 0.70Km from Eden Super Market Super Market
6. 1.70Km from DMart Kavesar
7. 1.50Km from Sri Ranganatha temple, thane
8. 1.90Km from ISKCON Jagannath Devasthanm
9. 1.70Km from Haware City Bus stop
10. 10.1Km from Thane Railway Station</t>
  </si>
  <si>
    <t>Tower 1 = Gr/St + 1st to 34th Floor (Total Height = 106.85Mtr.)
Tower 2 = Gr/Stilt + 1st to 36th Floor (Total Height = 111.25Mtr.)</t>
  </si>
  <si>
    <t>S06/0366/21/TMC/TDD/57
Tower 1 = Gr/St + 1st to 32nd Floor
Tower 2 = Gr/St + 1st to 34th Floor</t>
  </si>
  <si>
    <t>S06/0366/21/TMC/TDD/57</t>
  </si>
  <si>
    <t>Construction/Building Permission
Valid Upto</t>
  </si>
  <si>
    <t xml:space="preserve">NA
</t>
  </si>
  <si>
    <t>SIA/MH/INFRA2/445835/2023</t>
  </si>
  <si>
    <t>CTS No.467/A, 449(Pt), 450(Pt), 451, 464/1 (Pt), 465/1, 538/1, 463, 461(Pt), 460(Pt), 462, 459, 455/A (Pt)</t>
  </si>
  <si>
    <t>Tower 1 =  29/10/2024
Tower 2 =  15/02/2024</t>
  </si>
  <si>
    <t>Tower 1 =  31/12/2032
Tower 2 =  31/12/2031</t>
  </si>
  <si>
    <t>Tower 1</t>
  </si>
  <si>
    <t>1st Floor for Residential, Meter room &amp; Parking</t>
  </si>
  <si>
    <t>2BHK</t>
  </si>
  <si>
    <t>-</t>
  </si>
  <si>
    <t>Meter room</t>
  </si>
  <si>
    <t>1A</t>
  </si>
  <si>
    <t>2A</t>
  </si>
  <si>
    <t>3A</t>
  </si>
  <si>
    <t>4A</t>
  </si>
  <si>
    <t>5A</t>
  </si>
  <si>
    <t>6A</t>
  </si>
  <si>
    <t>7A</t>
  </si>
  <si>
    <t>8A</t>
  </si>
  <si>
    <t>9A</t>
  </si>
  <si>
    <t>1B</t>
  </si>
  <si>
    <t>2B</t>
  </si>
  <si>
    <t>3B</t>
  </si>
  <si>
    <t>4B</t>
  </si>
  <si>
    <t>5B</t>
  </si>
  <si>
    <t>6B</t>
  </si>
  <si>
    <t>7B</t>
  </si>
  <si>
    <t>8B</t>
  </si>
  <si>
    <t>9B</t>
  </si>
  <si>
    <t>1C</t>
  </si>
  <si>
    <t>2C</t>
  </si>
  <si>
    <t>3C</t>
  </si>
  <si>
    <t>4C</t>
  </si>
  <si>
    <t>5C</t>
  </si>
  <si>
    <t>6C</t>
  </si>
  <si>
    <t>7C</t>
  </si>
  <si>
    <t>2nd Floor for Residential, Society Office, Fitness Centre, Creche &amp; Other Amenities</t>
  </si>
  <si>
    <t>Fitness Centre</t>
  </si>
  <si>
    <t>Society Office</t>
  </si>
  <si>
    <t>Creche</t>
  </si>
  <si>
    <t>3rd to 6th, 8th to 11th, 13th to 16th, 18th to 21st, 23rd to 26th, 28th to 31st, 33rd &amp; 34th Floor For Residential</t>
  </si>
  <si>
    <t>7th, 12th, 17th, 22nd, 27th &amp; 32nd Floor (Part Refuge Area)</t>
  </si>
  <si>
    <t>Refuge Area</t>
  </si>
  <si>
    <t>Tower 2</t>
  </si>
  <si>
    <t>1st Floor for Residential &amp; Meter Room</t>
  </si>
  <si>
    <t>10B</t>
  </si>
  <si>
    <t>8C</t>
  </si>
  <si>
    <t>9C</t>
  </si>
  <si>
    <t>10C</t>
  </si>
  <si>
    <t>Meter Room</t>
  </si>
  <si>
    <t>Ground Floor for Drivers room &amp; Parking</t>
  </si>
  <si>
    <t>2nd Floor for Residential, Fitness Centre, Creche, Society Office &amp; Other Amenities</t>
  </si>
  <si>
    <t>8th, 13th, 18th, 23rd, 28th &amp; 33rd Floor (Part Refuge Area)</t>
  </si>
  <si>
    <r>
      <t>Remark (</t>
    </r>
    <r>
      <rPr>
        <sz val="10"/>
        <rFont val="Times New Roman"/>
        <family val="1"/>
      </rPr>
      <t>Flat configuration /Bungalows, etc.)</t>
    </r>
  </si>
  <si>
    <t>3rd to 7th, 9th to 12th, 14th to 17th, 19th to 22nd, 24th to 27th, 29th to 32nd &amp; 34th to 36th Floor For Residential</t>
  </si>
  <si>
    <t>5,00,000/-</t>
  </si>
  <si>
    <t>Mr. Ajay Songare</t>
  </si>
  <si>
    <t>We considered Gross carpet area = Net carpet.</t>
  </si>
  <si>
    <t xml:space="preserve">Tower 1 = Gr/St + 1st to 34th Floor
</t>
  </si>
  <si>
    <t>Tower 1
Tower 2</t>
  </si>
  <si>
    <t>Tower 2 = Gr/Stilt + 1st to 36th Floor</t>
  </si>
  <si>
    <t>Please check for Fire NOC.</t>
  </si>
  <si>
    <t>As per Government Guideline/ Circle rate for Flat/Unit/ Built up (Rs per sqft) = 7023</t>
  </si>
  <si>
    <t>We have referred approved plans &amp; CC from RERA site.</t>
  </si>
  <si>
    <t>26/09/2025 at 12:16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</si>
</sst>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color theme="1"/>
      <name val="Calibri"/>
      <family val="2"/>
      <scheme val="minor"/>
    </font>
    <font>
      <b/>
      <sz val="10"/>
      <color theme="1"/>
      <name val="Times New Roman"/>
      <family val="1"/>
    </font>
    <font>
      <sz val="11"/>
      <color theme="1"/>
      <name val="Calibri"/>
      <family val="2"/>
      <scheme val="minor"/>
    </font>
    <font>
      <b/>
      <sz val="11"/>
      <color theme="1"/>
      <name val="Times New Roman"/>
      <family val="1"/>
    </font>
    <font>
      <sz val="10"/>
      <color theme="1"/>
      <name val="Calibri"/>
      <family val="2"/>
      <scheme val="minor"/>
    </font>
    <font>
      <sz val="10"/>
      <color rgb="FF000000"/>
      <name val="Times New Roman"/>
      <family val="1"/>
    </font>
    <font>
      <sz val="10"/>
      <color theme="1"/>
      <name val="Times New Roman"/>
      <family val="1"/>
    </font>
    <font>
      <b/>
      <sz val="10"/>
      <name val="Times New Roman"/>
      <family val="1"/>
    </font>
    <font>
      <sz val="10"/>
      <name val="Times New Roman"/>
      <family val="1"/>
    </font>
    <font>
      <b/>
      <sz val="10"/>
      <color rgb="FF000000"/>
      <name val="Times New Roman"/>
      <family val="1"/>
    </font>
    <font>
      <b/>
      <sz val="11"/>
      <color rgb="FF000000"/>
      <name val="Times New Roman"/>
      <family val="1"/>
    </font>
    <font>
      <b/>
      <sz val="10"/>
      <color rgb="FFFF0000"/>
      <name val="Times New Roman"/>
      <family val="1"/>
    </font>
    <font>
      <sz val="10"/>
      <color rgb="FFE3F2F3"/>
      <name val="Times New Roman"/>
      <family val="1"/>
    </font>
    <font>
      <sz val="9"/>
      <color indexed="81"/>
      <name val="Tahoma"/>
      <family val="2"/>
    </font>
    <font>
      <b/>
      <sz val="9"/>
      <color indexed="81"/>
      <name val="Tahoma"/>
      <family val="2"/>
    </font>
    <font>
      <b/>
      <sz val="11"/>
      <color indexed="81"/>
      <name val="Tahoma"/>
      <family val="2"/>
    </font>
    <font>
      <u/>
      <sz val="11"/>
      <color theme="10"/>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rgb="FFE3F2F3"/>
        <bgColor indexed="64"/>
      </patternFill>
    </fill>
    <fill>
      <patternFill patternType="solid">
        <fgColor rgb="FFE5EEF1"/>
        <bgColor indexed="64"/>
      </patternFill>
    </fill>
  </fills>
  <borders count="36">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16" fillId="0" borderId="0" applyNumberFormat="0" applyFill="0" applyBorder="0" applyAlignment="0" applyProtection="0"/>
  </cellStyleXfs>
  <cellXfs count="268">
    <xf numFmtId="0" fontId="0" fillId="0" borderId="0" xfId="0"/>
    <xf numFmtId="0" fontId="5" fillId="0" borderId="0" xfId="0" applyFont="1" applyFill="1" applyBorder="1" applyProtection="1">
      <protection hidden="1"/>
    </xf>
    <xf numFmtId="0" fontId="8" fillId="4" borderId="5" xfId="1" applyFont="1" applyFill="1" applyBorder="1" applyAlignment="1" applyProtection="1">
      <alignment horizontal="center" vertical="top" wrapText="1"/>
      <protection locked="0"/>
    </xf>
    <xf numFmtId="0" fontId="8" fillId="4" borderId="4" xfId="1" applyFont="1" applyFill="1" applyBorder="1" applyAlignment="1" applyProtection="1">
      <alignment horizontal="center" vertical="top" wrapText="1"/>
      <protection locked="0"/>
    </xf>
    <xf numFmtId="0" fontId="8" fillId="4" borderId="4" xfId="1" applyFont="1" applyFill="1" applyBorder="1" applyAlignment="1" applyProtection="1">
      <alignment horizontal="center" wrapText="1"/>
      <protection locked="0"/>
    </xf>
    <xf numFmtId="1" fontId="8" fillId="4" borderId="4" xfId="1" applyNumberFormat="1" applyFont="1" applyFill="1" applyBorder="1" applyAlignment="1" applyProtection="1">
      <alignment horizontal="center" wrapText="1"/>
      <protection locked="0"/>
    </xf>
    <xf numFmtId="0" fontId="6" fillId="0" borderId="0" xfId="0" applyFont="1"/>
    <xf numFmtId="0" fontId="8" fillId="2" borderId="4" xfId="1" applyFont="1" applyFill="1" applyBorder="1" applyAlignment="1" applyProtection="1">
      <alignment horizontal="center" vertical="center"/>
      <protection locked="0"/>
    </xf>
    <xf numFmtId="0" fontId="8" fillId="2" borderId="6" xfId="1" applyFont="1" applyFill="1" applyBorder="1" applyAlignment="1" applyProtection="1">
      <alignment horizontal="center" vertical="center"/>
      <protection locked="0"/>
    </xf>
    <xf numFmtId="0" fontId="8" fillId="2" borderId="16" xfId="1" applyFont="1" applyFill="1" applyBorder="1" applyAlignment="1" applyProtection="1">
      <alignment horizontal="center" vertical="center"/>
      <protection locked="0"/>
    </xf>
    <xf numFmtId="0" fontId="8" fillId="2" borderId="17" xfId="1" applyFont="1" applyFill="1" applyBorder="1" applyAlignment="1" applyProtection="1">
      <alignment horizontal="center" vertical="center"/>
      <protection locked="0"/>
    </xf>
    <xf numFmtId="0" fontId="6" fillId="0" borderId="0" xfId="0" applyFont="1" applyFill="1"/>
    <xf numFmtId="0" fontId="8" fillId="4" borderId="7" xfId="1" applyFont="1" applyFill="1" applyBorder="1" applyAlignment="1" applyProtection="1">
      <alignment horizontal="center" vertical="top" wrapText="1"/>
      <protection locked="0"/>
    </xf>
    <xf numFmtId="9" fontId="8" fillId="4" borderId="7" xfId="1" applyNumberFormat="1" applyFont="1" applyFill="1" applyBorder="1" applyAlignment="1" applyProtection="1">
      <alignment horizontal="center" vertical="center" wrapText="1"/>
      <protection hidden="1"/>
    </xf>
    <xf numFmtId="0" fontId="8" fillId="2" borderId="14" xfId="1" applyFont="1" applyFill="1" applyBorder="1" applyAlignment="1" applyProtection="1">
      <alignment horizontal="center" vertical="center"/>
      <protection locked="0"/>
    </xf>
    <xf numFmtId="0" fontId="8" fillId="4" borderId="14" xfId="1" applyFont="1" applyFill="1" applyBorder="1" applyAlignment="1" applyProtection="1">
      <alignment horizontal="center" vertical="top" wrapText="1"/>
      <protection locked="0"/>
    </xf>
    <xf numFmtId="9" fontId="8" fillId="4" borderId="26" xfId="1" applyNumberFormat="1" applyFont="1" applyFill="1" applyBorder="1" applyAlignment="1" applyProtection="1">
      <alignment horizontal="center" vertical="center"/>
      <protection hidden="1"/>
    </xf>
    <xf numFmtId="9" fontId="12" fillId="4" borderId="14" xfId="1" applyNumberFormat="1" applyFont="1" applyFill="1" applyBorder="1" applyAlignment="1" applyProtection="1">
      <alignment horizontal="left" vertical="center"/>
      <protection hidden="1"/>
    </xf>
    <xf numFmtId="9" fontId="12" fillId="4" borderId="26" xfId="1" applyNumberFormat="1" applyFont="1" applyFill="1" applyBorder="1" applyAlignment="1" applyProtection="1">
      <alignment horizontal="left" vertical="center"/>
      <protection hidden="1"/>
    </xf>
    <xf numFmtId="0" fontId="6" fillId="0" borderId="24" xfId="1" applyFont="1" applyBorder="1"/>
    <xf numFmtId="0" fontId="5" fillId="0" borderId="19" xfId="0" applyNumberFormat="1" applyFont="1" applyBorder="1" applyProtection="1">
      <protection hidden="1"/>
    </xf>
    <xf numFmtId="1" fontId="4" fillId="0" borderId="19" xfId="0" applyNumberFormat="1" applyFont="1" applyBorder="1"/>
    <xf numFmtId="1" fontId="4" fillId="0" borderId="19" xfId="0" applyNumberFormat="1" applyFont="1" applyBorder="1" applyAlignment="1">
      <alignment horizontal="right"/>
    </xf>
    <xf numFmtId="1" fontId="4" fillId="0" borderId="22" xfId="0" applyNumberFormat="1" applyFont="1" applyBorder="1"/>
    <xf numFmtId="0" fontId="5" fillId="0" borderId="25" xfId="0" applyFont="1" applyFill="1" applyBorder="1" applyProtection="1">
      <protection hidden="1"/>
    </xf>
    <xf numFmtId="0" fontId="5" fillId="0" borderId="21" xfId="0" applyFont="1" applyFill="1" applyBorder="1" applyProtection="1">
      <protection hidden="1"/>
    </xf>
    <xf numFmtId="0" fontId="8" fillId="4" borderId="11" xfId="1" applyFont="1" applyFill="1" applyBorder="1" applyAlignment="1" applyProtection="1">
      <alignment horizontal="center" vertical="top" wrapText="1"/>
      <protection locked="0"/>
    </xf>
    <xf numFmtId="0" fontId="8" fillId="4" borderId="12" xfId="1" applyFont="1" applyFill="1" applyBorder="1" applyAlignment="1" applyProtection="1">
      <alignment horizontal="center" wrapText="1"/>
      <protection locked="0"/>
    </xf>
    <xf numFmtId="9" fontId="8" fillId="4" borderId="27" xfId="1" applyNumberFormat="1" applyFont="1" applyFill="1" applyBorder="1" applyAlignment="1" applyProtection="1">
      <alignment horizontal="center" vertical="center" wrapText="1"/>
      <protection hidden="1"/>
    </xf>
    <xf numFmtId="9" fontId="12" fillId="4" borderId="28" xfId="1" applyNumberFormat="1" applyFont="1" applyFill="1" applyBorder="1" applyAlignment="1" applyProtection="1">
      <alignment horizontal="left" vertical="center"/>
      <protection hidden="1"/>
    </xf>
    <xf numFmtId="0" fontId="6" fillId="0" borderId="30" xfId="1" applyFont="1" applyFill="1" applyBorder="1" applyProtection="1">
      <protection hidden="1"/>
    </xf>
    <xf numFmtId="0" fontId="6" fillId="0" borderId="31" xfId="1" applyFont="1" applyBorder="1" applyProtection="1">
      <protection hidden="1"/>
    </xf>
    <xf numFmtId="0" fontId="6" fillId="0" borderId="0" xfId="1" applyFont="1" applyFill="1" applyBorder="1" applyProtection="1">
      <protection hidden="1"/>
    </xf>
    <xf numFmtId="0" fontId="6" fillId="0" borderId="3" xfId="1" applyFont="1" applyBorder="1" applyProtection="1">
      <protection hidden="1"/>
    </xf>
    <xf numFmtId="0" fontId="6" fillId="0" borderId="3" xfId="1" applyFont="1" applyBorder="1"/>
    <xf numFmtId="0" fontId="5" fillId="0" borderId="3" xfId="0" applyNumberFormat="1" applyFont="1" applyBorder="1" applyProtection="1">
      <protection hidden="1"/>
    </xf>
    <xf numFmtId="1" fontId="6" fillId="0" borderId="3" xfId="0" applyNumberFormat="1" applyFont="1" applyBorder="1"/>
    <xf numFmtId="1" fontId="6" fillId="0" borderId="3" xfId="0" applyNumberFormat="1" applyFont="1" applyBorder="1" applyAlignment="1">
      <alignment horizontal="right"/>
    </xf>
    <xf numFmtId="0" fontId="5" fillId="0" borderId="2" xfId="0" applyFont="1" applyFill="1" applyBorder="1" applyProtection="1">
      <protection hidden="1"/>
    </xf>
    <xf numFmtId="1" fontId="6" fillId="0" borderId="1" xfId="0" applyNumberFormat="1" applyFont="1" applyBorder="1"/>
    <xf numFmtId="0" fontId="0" fillId="0" borderId="4" xfId="0" applyBorder="1" applyAlignment="1">
      <alignment horizontal="center" vertical="center"/>
    </xf>
    <xf numFmtId="0" fontId="6" fillId="0" borderId="0" xfId="0" applyFont="1" applyAlignment="1">
      <alignment wrapText="1"/>
    </xf>
    <xf numFmtId="0" fontId="8" fillId="3" borderId="4" xfId="0" applyFont="1" applyFill="1" applyBorder="1" applyAlignment="1">
      <alignment horizontal="left" vertical="center"/>
    </xf>
    <xf numFmtId="0" fontId="8" fillId="3" borderId="4" xfId="0" applyFont="1" applyFill="1" applyBorder="1" applyAlignment="1">
      <alignment horizontal="left" vertical="center" wrapText="1"/>
    </xf>
    <xf numFmtId="0" fontId="7" fillId="2" borderId="15" xfId="1" applyFont="1" applyFill="1" applyBorder="1" applyAlignment="1" applyProtection="1">
      <alignment horizontal="left" vertical="top" wrapText="1"/>
      <protection locked="0"/>
    </xf>
    <xf numFmtId="0" fontId="7" fillId="2" borderId="16" xfId="1" applyFont="1" applyFill="1" applyBorder="1" applyAlignment="1" applyProtection="1">
      <alignment horizontal="left" vertical="top" wrapText="1"/>
      <protection locked="0"/>
    </xf>
    <xf numFmtId="0" fontId="7" fillId="2" borderId="5" xfId="1" applyFont="1" applyFill="1" applyBorder="1" applyAlignment="1" applyProtection="1">
      <alignment horizontal="left" vertical="top" wrapText="1"/>
      <protection locked="0"/>
    </xf>
    <xf numFmtId="0" fontId="7" fillId="2" borderId="4" xfId="1" applyFont="1" applyFill="1" applyBorder="1" applyAlignment="1" applyProtection="1">
      <alignment horizontal="left" vertical="top" wrapText="1"/>
      <protection locked="0"/>
    </xf>
    <xf numFmtId="0" fontId="8" fillId="4" borderId="8" xfId="1" applyFont="1" applyFill="1" applyBorder="1" applyAlignment="1" applyProtection="1">
      <alignment horizontal="center" vertical="center" wrapText="1"/>
      <protection locked="0"/>
    </xf>
    <xf numFmtId="0" fontId="8" fillId="4" borderId="9" xfId="1" applyFont="1" applyFill="1" applyBorder="1" applyAlignment="1" applyProtection="1">
      <alignment horizontal="center" vertical="center" wrapText="1"/>
      <protection locked="0"/>
    </xf>
    <xf numFmtId="9" fontId="8" fillId="4" borderId="25" xfId="1" applyNumberFormat="1" applyFont="1" applyFill="1" applyBorder="1" applyAlignment="1" applyProtection="1">
      <alignment horizontal="center" vertical="center" wrapText="1"/>
      <protection hidden="1"/>
    </xf>
    <xf numFmtId="9" fontId="8" fillId="4" borderId="23" xfId="1" applyNumberFormat="1" applyFont="1" applyFill="1" applyBorder="1" applyAlignment="1" applyProtection="1">
      <alignment horizontal="center" vertical="center" wrapText="1"/>
      <protection hidden="1"/>
    </xf>
    <xf numFmtId="9" fontId="8" fillId="4" borderId="0" xfId="1" applyNumberFormat="1" applyFont="1" applyFill="1" applyBorder="1" applyAlignment="1" applyProtection="1">
      <alignment horizontal="center" vertical="center" wrapText="1"/>
      <protection hidden="1"/>
    </xf>
    <xf numFmtId="9" fontId="8" fillId="4" borderId="3" xfId="1" applyNumberFormat="1" applyFont="1" applyFill="1" applyBorder="1" applyAlignment="1" applyProtection="1">
      <alignment horizontal="center" vertical="center" wrapText="1"/>
      <protection hidden="1"/>
    </xf>
    <xf numFmtId="9" fontId="8" fillId="4" borderId="2" xfId="1" applyNumberFormat="1" applyFont="1" applyFill="1" applyBorder="1" applyAlignment="1" applyProtection="1">
      <alignment horizontal="center" vertical="center" wrapText="1"/>
      <protection hidden="1"/>
    </xf>
    <xf numFmtId="9" fontId="8" fillId="4" borderId="1" xfId="1" applyNumberFormat="1" applyFont="1" applyFill="1" applyBorder="1" applyAlignment="1" applyProtection="1">
      <alignment horizontal="center" vertical="center" wrapText="1"/>
      <protection hidden="1"/>
    </xf>
    <xf numFmtId="0" fontId="1" fillId="0" borderId="4" xfId="0" applyFont="1" applyFill="1" applyBorder="1" applyAlignment="1">
      <alignment horizontal="center" vertical="top" wrapText="1"/>
    </xf>
    <xf numFmtId="0" fontId="1" fillId="0" borderId="4" xfId="0" applyFont="1" applyFill="1" applyBorder="1" applyAlignment="1">
      <alignment horizontal="center" vertical="top"/>
    </xf>
    <xf numFmtId="0" fontId="3" fillId="0" borderId="4" xfId="0" applyFont="1" applyFill="1" applyBorder="1" applyAlignment="1">
      <alignment horizontal="center" vertical="center"/>
    </xf>
    <xf numFmtId="0" fontId="1" fillId="0" borderId="4"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10" xfId="0" applyFont="1" applyFill="1" applyBorder="1" applyAlignment="1">
      <alignment horizontal="left" vertical="center"/>
    </xf>
    <xf numFmtId="0" fontId="1" fillId="0" borderId="4" xfId="0" applyFont="1" applyFill="1" applyBorder="1" applyAlignment="1">
      <alignment horizontal="left" vertical="center" wrapText="1"/>
    </xf>
    <xf numFmtId="164" fontId="8" fillId="0" borderId="4" xfId="1" applyNumberFormat="1" applyFont="1" applyFill="1" applyBorder="1" applyAlignment="1" applyProtection="1">
      <alignment horizontal="left" vertical="center" wrapText="1"/>
      <protection locked="0"/>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8" fillId="0" borderId="10" xfId="0" applyFont="1" applyFill="1" applyBorder="1" applyAlignment="1">
      <alignment horizontal="left" vertical="center"/>
    </xf>
    <xf numFmtId="0" fontId="6" fillId="0" borderId="10" xfId="0" applyFont="1" applyFill="1" applyBorder="1" applyAlignment="1">
      <alignment horizontal="center" vertical="center"/>
    </xf>
    <xf numFmtId="0" fontId="9" fillId="0" borderId="7" xfId="0" applyFont="1" applyFill="1" applyBorder="1" applyAlignment="1">
      <alignment horizontal="left" vertical="top" wrapText="1"/>
    </xf>
    <xf numFmtId="0" fontId="9" fillId="0" borderId="10" xfId="0" applyFont="1" applyFill="1" applyBorder="1" applyAlignment="1">
      <alignment horizontal="left" vertical="top" wrapText="1"/>
    </xf>
    <xf numFmtId="0" fontId="10" fillId="0" borderId="4" xfId="0" applyFont="1" applyFill="1" applyBorder="1" applyAlignment="1">
      <alignment vertical="top" wrapText="1"/>
    </xf>
    <xf numFmtId="0" fontId="5" fillId="0" borderId="4" xfId="0" applyFont="1" applyFill="1" applyBorder="1" applyAlignment="1">
      <alignment vertical="top" wrapText="1"/>
    </xf>
    <xf numFmtId="0" fontId="6" fillId="0" borderId="4" xfId="0" applyFont="1" applyFill="1" applyBorder="1" applyAlignment="1">
      <alignment vertical="top" wrapText="1"/>
    </xf>
    <xf numFmtId="0" fontId="5" fillId="0" borderId="4" xfId="0" applyFont="1" applyFill="1" applyBorder="1" applyAlignment="1">
      <alignment vertical="top"/>
    </xf>
    <xf numFmtId="0" fontId="5" fillId="0" borderId="4" xfId="0" applyFont="1" applyFill="1" applyBorder="1" applyAlignment="1">
      <alignment horizontal="left" vertical="top"/>
    </xf>
    <xf numFmtId="0" fontId="8" fillId="0" borderId="4" xfId="0" applyFont="1" applyFill="1" applyBorder="1" applyAlignment="1">
      <alignment horizontal="left" vertical="top" wrapText="1"/>
    </xf>
    <xf numFmtId="0" fontId="5" fillId="0" borderId="7"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10" xfId="0" applyFont="1" applyFill="1" applyBorder="1" applyAlignment="1">
      <alignment horizontal="center" vertical="top" wrapText="1"/>
    </xf>
    <xf numFmtId="0" fontId="16" fillId="0" borderId="7" xfId="3" applyFill="1" applyBorder="1" applyAlignment="1">
      <alignment horizontal="center" vertical="top" wrapText="1"/>
    </xf>
    <xf numFmtId="0" fontId="8" fillId="0" borderId="4" xfId="0" applyFont="1" applyFill="1" applyBorder="1" applyAlignment="1">
      <alignment vertical="top" wrapText="1"/>
    </xf>
    <xf numFmtId="0" fontId="7" fillId="0" borderId="7" xfId="0" applyFont="1" applyFill="1" applyBorder="1" applyAlignment="1">
      <alignment horizontal="left" vertical="top" wrapText="1"/>
    </xf>
    <xf numFmtId="0" fontId="7" fillId="0" borderId="10" xfId="0" applyFont="1" applyFill="1" applyBorder="1" applyAlignment="1">
      <alignment horizontal="left" vertical="top" wrapText="1"/>
    </xf>
    <xf numFmtId="0" fontId="8" fillId="0" borderId="4" xfId="0" applyFont="1" applyFill="1" applyBorder="1" applyAlignment="1">
      <alignment horizontal="left" vertical="top"/>
    </xf>
    <xf numFmtId="0" fontId="5" fillId="0" borderId="4" xfId="0" applyFont="1" applyFill="1" applyBorder="1" applyAlignment="1">
      <alignment horizontal="left" vertical="top" wrapText="1"/>
    </xf>
    <xf numFmtId="0" fontId="9" fillId="0" borderId="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8" xfId="0" applyFont="1" applyFill="1" applyBorder="1" applyAlignment="1">
      <alignment horizontal="left" vertical="top"/>
    </xf>
    <xf numFmtId="0" fontId="5" fillId="0" borderId="10" xfId="0" applyFont="1" applyFill="1" applyBorder="1" applyAlignment="1">
      <alignment horizontal="left" vertical="top"/>
    </xf>
    <xf numFmtId="0" fontId="9" fillId="0" borderId="29"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7"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18" xfId="0" applyFont="1" applyFill="1" applyBorder="1" applyAlignment="1">
      <alignment horizontal="left" vertical="top" wrapText="1"/>
    </xf>
    <xf numFmtId="0" fontId="9" fillId="0" borderId="19" xfId="0" applyFont="1" applyFill="1" applyBorder="1" applyAlignment="1">
      <alignment horizontal="left" vertical="top"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9" fillId="0" borderId="20"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9" fillId="0" borderId="4"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4" xfId="0" applyFont="1" applyFill="1" applyBorder="1" applyAlignment="1">
      <alignment horizontal="left" vertical="center"/>
    </xf>
    <xf numFmtId="0" fontId="6" fillId="0" borderId="4" xfId="0" applyFont="1" applyFill="1" applyBorder="1" applyAlignment="1">
      <alignment horizontal="left" vertical="top" wrapText="1"/>
    </xf>
    <xf numFmtId="0" fontId="6" fillId="0" borderId="4" xfId="0" applyFont="1" applyFill="1" applyBorder="1" applyAlignment="1">
      <alignment horizontal="left" vertical="top"/>
    </xf>
    <xf numFmtId="0" fontId="9" fillId="0" borderId="4" xfId="0" applyFont="1" applyFill="1" applyBorder="1" applyAlignment="1">
      <alignment horizontal="center" vertical="top" wrapText="1"/>
    </xf>
    <xf numFmtId="0" fontId="9" fillId="0" borderId="2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0" borderId="4" xfId="0" applyFont="1" applyFill="1" applyBorder="1" applyAlignment="1">
      <alignment horizontal="left" vertical="center"/>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2" fontId="6" fillId="0" borderId="4" xfId="0" applyNumberFormat="1"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9" fillId="0" borderId="4" xfId="0" applyFont="1" applyFill="1" applyBorder="1" applyAlignment="1">
      <alignment vertical="center" wrapText="1"/>
    </xf>
    <xf numFmtId="14" fontId="5" fillId="0" borderId="4" xfId="0" applyNumberFormat="1" applyFont="1" applyFill="1" applyBorder="1" applyAlignment="1">
      <alignment horizontal="left" vertical="center" wrapText="1"/>
    </xf>
    <xf numFmtId="0" fontId="1" fillId="0" borderId="7" xfId="0" applyFont="1" applyFill="1" applyBorder="1" applyAlignment="1">
      <alignment horizontal="left" vertical="top" wrapText="1"/>
    </xf>
    <xf numFmtId="0" fontId="1" fillId="0" borderId="10" xfId="0" applyFont="1" applyFill="1" applyBorder="1" applyAlignment="1">
      <alignment horizontal="left" vertical="top" wrapText="1"/>
    </xf>
    <xf numFmtId="0" fontId="9" fillId="0" borderId="4" xfId="0" applyFont="1" applyFill="1" applyBorder="1" applyAlignment="1">
      <alignment horizontal="left" vertical="center" wrapText="1"/>
    </xf>
    <xf numFmtId="0" fontId="9" fillId="0" borderId="29"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8" fillId="0" borderId="4" xfId="0" applyFont="1" applyFill="1" applyBorder="1" applyAlignment="1">
      <alignment horizontal="left" vertical="center"/>
    </xf>
    <xf numFmtId="0" fontId="9" fillId="0" borderId="18"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4" xfId="0" applyFont="1" applyFill="1" applyBorder="1" applyAlignment="1">
      <alignment vertical="top" wrapText="1"/>
    </xf>
    <xf numFmtId="0" fontId="8" fillId="0" borderId="4" xfId="0" applyFont="1" applyFill="1" applyBorder="1" applyAlignment="1">
      <alignment vertical="center"/>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5" fillId="0" borderId="10" xfId="0" applyFont="1" applyFill="1" applyBorder="1" applyAlignment="1">
      <alignment horizontal="center" vertical="center"/>
    </xf>
    <xf numFmtId="0" fontId="9" fillId="0" borderId="7"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11" fillId="0" borderId="7" xfId="0" applyFont="1" applyFill="1" applyBorder="1" applyAlignment="1">
      <alignment vertical="top" wrapText="1"/>
    </xf>
    <xf numFmtId="0" fontId="11" fillId="0" borderId="10" xfId="0" applyFont="1" applyFill="1" applyBorder="1" applyAlignment="1">
      <alignment vertical="top" wrapText="1"/>
    </xf>
    <xf numFmtId="14" fontId="5" fillId="0" borderId="4" xfId="0" applyNumberFormat="1" applyFont="1" applyFill="1" applyBorder="1" applyAlignment="1">
      <alignment horizontal="left" vertical="top" wrapText="1"/>
    </xf>
    <xf numFmtId="0" fontId="1" fillId="0" borderId="29"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0" xfId="0" applyFont="1" applyFill="1" applyBorder="1" applyAlignment="1">
      <alignment horizontal="left" vertical="top" wrapText="1"/>
    </xf>
    <xf numFmtId="0" fontId="1" fillId="0" borderId="22" xfId="0" applyFont="1" applyFill="1" applyBorder="1" applyAlignment="1">
      <alignment horizontal="left" vertical="top" wrapText="1"/>
    </xf>
    <xf numFmtId="0" fontId="11" fillId="0" borderId="29" xfId="0" applyFont="1" applyFill="1" applyBorder="1" applyAlignment="1">
      <alignment horizontal="left" vertical="top" wrapText="1"/>
    </xf>
    <xf numFmtId="0" fontId="11" fillId="0" borderId="24" xfId="0" applyFont="1" applyFill="1" applyBorder="1" applyAlignment="1">
      <alignment horizontal="left" vertical="top" wrapText="1"/>
    </xf>
    <xf numFmtId="0" fontId="5" fillId="0" borderId="29"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11" fillId="0" borderId="18" xfId="0" applyFont="1" applyFill="1" applyBorder="1" applyAlignment="1">
      <alignment horizontal="left" vertical="top" wrapText="1"/>
    </xf>
    <xf numFmtId="0" fontId="11" fillId="0" borderId="19" xfId="0" applyFont="1" applyFill="1" applyBorder="1" applyAlignment="1">
      <alignment horizontal="left" vertical="top"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11" fillId="0" borderId="20" xfId="0" applyFont="1" applyFill="1" applyBorder="1" applyAlignment="1">
      <alignment horizontal="left" vertical="top" wrapText="1"/>
    </xf>
    <xf numFmtId="0" fontId="11" fillId="0" borderId="22" xfId="0" applyFont="1" applyFill="1" applyBorder="1" applyAlignment="1">
      <alignment horizontal="left" vertical="top" wrapText="1"/>
    </xf>
    <xf numFmtId="0" fontId="9" fillId="0" borderId="4" xfId="0"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14" fontId="6" fillId="0" borderId="10" xfId="0" applyNumberFormat="1" applyFont="1" applyFill="1" applyBorder="1" applyAlignment="1">
      <alignment horizontal="center" vertical="center"/>
    </xf>
    <xf numFmtId="0" fontId="7" fillId="0" borderId="14" xfId="1" applyFont="1" applyFill="1" applyBorder="1" applyAlignment="1" applyProtection="1">
      <alignment horizontal="center" vertical="top" wrapText="1"/>
      <protection locked="0"/>
    </xf>
    <xf numFmtId="0" fontId="7" fillId="0" borderId="33" xfId="1" applyFont="1" applyFill="1" applyBorder="1" applyAlignment="1" applyProtection="1">
      <alignment horizontal="left" vertical="top" wrapText="1"/>
      <protection locked="0"/>
    </xf>
    <xf numFmtId="0" fontId="7" fillId="0" borderId="30" xfId="1" applyFont="1" applyFill="1" applyBorder="1" applyAlignment="1" applyProtection="1">
      <alignment horizontal="left" vertical="top" wrapText="1"/>
      <protection locked="0"/>
    </xf>
    <xf numFmtId="0" fontId="7" fillId="0" borderId="34" xfId="1" applyFont="1" applyFill="1" applyBorder="1" applyAlignment="1" applyProtection="1">
      <alignment horizontal="left" vertical="top" wrapText="1"/>
      <protection locked="0"/>
    </xf>
    <xf numFmtId="0" fontId="6" fillId="0" borderId="16" xfId="1" applyFont="1" applyFill="1" applyBorder="1" applyAlignment="1" applyProtection="1">
      <alignment horizontal="center" vertical="center"/>
      <protection locked="0"/>
    </xf>
    <xf numFmtId="0" fontId="6" fillId="0" borderId="17" xfId="1" applyFont="1" applyFill="1" applyBorder="1" applyAlignment="1" applyProtection="1">
      <alignment horizontal="center" vertical="center"/>
      <protection locked="0"/>
    </xf>
    <xf numFmtId="0" fontId="7" fillId="0" borderId="35" xfId="1" applyFont="1" applyFill="1" applyBorder="1" applyAlignment="1" applyProtection="1">
      <alignment horizontal="left" vertical="top" wrapText="1"/>
      <protection locked="0"/>
    </xf>
    <xf numFmtId="0" fontId="7" fillId="0" borderId="21" xfId="1" applyFont="1" applyFill="1" applyBorder="1" applyAlignment="1" applyProtection="1">
      <alignment horizontal="left" vertical="top" wrapText="1"/>
      <protection locked="0"/>
    </xf>
    <xf numFmtId="0" fontId="7" fillId="0" borderId="22" xfId="1" applyFont="1" applyFill="1" applyBorder="1" applyAlignment="1" applyProtection="1">
      <alignment horizontal="left" vertical="top" wrapText="1"/>
      <protection locked="0"/>
    </xf>
    <xf numFmtId="0" fontId="6" fillId="0" borderId="4" xfId="1" applyFont="1" applyFill="1" applyBorder="1" applyAlignment="1" applyProtection="1">
      <alignment horizontal="center" vertical="center"/>
      <protection locked="0"/>
    </xf>
    <xf numFmtId="0" fontId="6" fillId="0" borderId="6" xfId="1" applyFont="1" applyFill="1" applyBorder="1" applyAlignment="1" applyProtection="1">
      <alignment horizontal="center" vertical="center"/>
      <protection locked="0"/>
    </xf>
    <xf numFmtId="0" fontId="1" fillId="0" borderId="5" xfId="0" applyFont="1" applyFill="1" applyBorder="1" applyAlignment="1">
      <alignment horizontal="left" vertical="top"/>
    </xf>
    <xf numFmtId="0" fontId="1" fillId="0" borderId="4" xfId="0" applyFont="1" applyFill="1" applyBorder="1" applyAlignment="1">
      <alignment horizontal="left" vertical="top"/>
    </xf>
    <xf numFmtId="0" fontId="1" fillId="0" borderId="4" xfId="1" applyFont="1" applyFill="1" applyBorder="1" applyAlignment="1" applyProtection="1">
      <alignment horizontal="left" vertical="top" wrapText="1"/>
      <protection locked="0"/>
    </xf>
    <xf numFmtId="0" fontId="1" fillId="0" borderId="6" xfId="1" applyFont="1" applyFill="1" applyBorder="1" applyAlignment="1" applyProtection="1">
      <alignment horizontal="left" vertical="top" wrapText="1"/>
      <protection locked="0"/>
    </xf>
    <xf numFmtId="0" fontId="6" fillId="0" borderId="5" xfId="1" applyFont="1" applyFill="1" applyBorder="1" applyAlignment="1" applyProtection="1">
      <alignment horizontal="center" vertical="top" wrapText="1"/>
      <protection locked="0"/>
    </xf>
    <xf numFmtId="0" fontId="6" fillId="0" borderId="4" xfId="1" applyFont="1" applyFill="1" applyBorder="1" applyAlignment="1" applyProtection="1">
      <alignment horizontal="center" vertical="top" wrapText="1"/>
      <protection locked="0"/>
    </xf>
    <xf numFmtId="0" fontId="6" fillId="0" borderId="4" xfId="0" applyFont="1" applyFill="1" applyBorder="1" applyAlignment="1">
      <alignment horizontal="center"/>
    </xf>
    <xf numFmtId="0" fontId="6" fillId="0" borderId="4" xfId="1" applyFont="1" applyFill="1" applyBorder="1" applyAlignment="1" applyProtection="1">
      <alignment horizontal="center" vertical="top" wrapText="1"/>
      <protection locked="0"/>
    </xf>
    <xf numFmtId="0" fontId="6" fillId="0" borderId="4"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protection locked="0"/>
    </xf>
    <xf numFmtId="9" fontId="6" fillId="0" borderId="4" xfId="0" applyNumberFormat="1" applyFont="1" applyFill="1" applyBorder="1" applyAlignment="1">
      <alignment horizontal="center"/>
    </xf>
    <xf numFmtId="0" fontId="6" fillId="0" borderId="4" xfId="1" applyFont="1" applyFill="1" applyBorder="1" applyAlignment="1" applyProtection="1">
      <alignment horizontal="center" wrapText="1"/>
      <protection locked="0"/>
    </xf>
    <xf numFmtId="9" fontId="6" fillId="0" borderId="4" xfId="1" applyNumberFormat="1" applyFont="1" applyFill="1" applyBorder="1" applyAlignment="1" applyProtection="1">
      <alignment horizontal="center" vertical="center" wrapText="1"/>
      <protection hidden="1"/>
    </xf>
    <xf numFmtId="9" fontId="6" fillId="0" borderId="4" xfId="1" applyNumberFormat="1" applyFont="1" applyFill="1" applyBorder="1" applyAlignment="1" applyProtection="1">
      <alignment horizontal="center" vertical="center" wrapText="1"/>
      <protection hidden="1"/>
    </xf>
    <xf numFmtId="9" fontId="6" fillId="0" borderId="6" xfId="1" applyNumberFormat="1" applyFont="1" applyFill="1" applyBorder="1" applyAlignment="1" applyProtection="1">
      <alignment horizontal="center" vertical="center" wrapText="1"/>
      <protection hidden="1"/>
    </xf>
    <xf numFmtId="1" fontId="6" fillId="0" borderId="4" xfId="1" applyNumberFormat="1" applyFont="1" applyFill="1" applyBorder="1" applyAlignment="1" applyProtection="1">
      <alignment horizontal="center" wrapText="1"/>
      <protection locked="0"/>
    </xf>
    <xf numFmtId="0" fontId="6" fillId="0" borderId="11" xfId="1" applyFont="1" applyFill="1" applyBorder="1" applyAlignment="1" applyProtection="1">
      <alignment horizontal="center" vertical="top" wrapText="1"/>
      <protection locked="0"/>
    </xf>
    <xf numFmtId="0" fontId="6" fillId="0" borderId="12" xfId="1" applyFont="1" applyFill="1" applyBorder="1" applyAlignment="1" applyProtection="1">
      <alignment horizontal="center" vertical="top" wrapText="1"/>
      <protection locked="0"/>
    </xf>
    <xf numFmtId="9" fontId="6" fillId="0" borderId="12" xfId="0" applyNumberFormat="1" applyFont="1" applyFill="1" applyBorder="1" applyAlignment="1">
      <alignment horizontal="center"/>
    </xf>
    <xf numFmtId="0" fontId="6" fillId="0" borderId="12" xfId="1" applyFont="1" applyFill="1" applyBorder="1" applyAlignment="1" applyProtection="1">
      <alignment horizontal="center" wrapText="1"/>
      <protection locked="0"/>
    </xf>
    <xf numFmtId="9" fontId="6" fillId="0" borderId="12" xfId="1" applyNumberFormat="1" applyFont="1" applyFill="1" applyBorder="1" applyAlignment="1" applyProtection="1">
      <alignment horizontal="center" vertical="center" wrapText="1"/>
      <protection hidden="1"/>
    </xf>
    <xf numFmtId="9" fontId="6" fillId="0" borderId="12" xfId="1" applyNumberFormat="1" applyFont="1" applyFill="1" applyBorder="1" applyAlignment="1" applyProtection="1">
      <alignment horizontal="center" vertical="center" wrapText="1"/>
      <protection hidden="1"/>
    </xf>
    <xf numFmtId="9" fontId="6" fillId="0" borderId="32" xfId="1" applyNumberFormat="1" applyFont="1" applyFill="1" applyBorder="1" applyAlignment="1" applyProtection="1">
      <alignment horizontal="center" vertical="center" wrapText="1"/>
      <protection hidden="1"/>
    </xf>
    <xf numFmtId="0" fontId="8" fillId="0" borderId="13" xfId="0" applyFont="1" applyFill="1" applyBorder="1" applyAlignment="1">
      <alignment horizontal="left"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8" xfId="0" applyFont="1" applyFill="1" applyBorder="1" applyAlignment="1">
      <alignment horizontal="center" vertical="center" wrapText="1"/>
    </xf>
    <xf numFmtId="1" fontId="5" fillId="0" borderId="7" xfId="0" applyNumberFormat="1" applyFont="1" applyFill="1" applyBorder="1" applyAlignment="1">
      <alignment horizontal="center" vertical="center" wrapText="1"/>
    </xf>
    <xf numFmtId="1" fontId="9" fillId="0" borderId="7" xfId="0" applyNumberFormat="1" applyFont="1" applyFill="1" applyBorder="1" applyAlignment="1">
      <alignment horizontal="center" vertical="center" wrapText="1"/>
    </xf>
    <xf numFmtId="1" fontId="9" fillId="0" borderId="10" xfId="0" applyNumberFormat="1"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1" fontId="5" fillId="0" borderId="10" xfId="0" applyNumberFormat="1" applyFont="1" applyFill="1" applyBorder="1" applyAlignment="1">
      <alignment horizontal="center" vertical="center" wrapText="1"/>
    </xf>
    <xf numFmtId="0" fontId="9" fillId="0" borderId="14" xfId="0" applyFont="1" applyFill="1" applyBorder="1" applyAlignment="1">
      <alignment horizontal="center" vertical="top" wrapText="1"/>
    </xf>
    <xf numFmtId="0" fontId="7" fillId="0" borderId="14"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3" xfId="0" applyFont="1" applyFill="1" applyBorder="1" applyAlignment="1">
      <alignment horizontal="center" vertical="top" wrapText="1"/>
    </xf>
    <xf numFmtId="0" fontId="7" fillId="0" borderId="13" xfId="0" applyFont="1" applyFill="1" applyBorder="1" applyAlignment="1">
      <alignment horizontal="center" vertical="top" wrapText="1"/>
    </xf>
    <xf numFmtId="9" fontId="9" fillId="0" borderId="13" xfId="0" applyNumberFormat="1" applyFont="1" applyFill="1" applyBorder="1" applyAlignment="1">
      <alignment horizontal="center" vertical="top" wrapText="1"/>
    </xf>
    <xf numFmtId="9" fontId="7" fillId="0" borderId="13" xfId="2" applyFont="1" applyFill="1" applyBorder="1" applyAlignment="1" applyProtection="1">
      <alignment horizontal="center" vertical="top" wrapText="1"/>
      <protection locked="0"/>
    </xf>
    <xf numFmtId="0" fontId="5" fillId="0" borderId="7" xfId="0"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8" xfId="0" applyFont="1" applyFill="1" applyBorder="1" applyAlignment="1">
      <alignment horizontal="center" vertical="center"/>
    </xf>
    <xf numFmtId="0" fontId="9" fillId="0" borderId="29" xfId="0" applyFont="1" applyFill="1" applyBorder="1" applyAlignment="1">
      <alignment horizontal="center" vertical="top" wrapText="1"/>
    </xf>
    <xf numFmtId="9" fontId="9" fillId="0" borderId="20" xfId="0" applyNumberFormat="1" applyFont="1" applyFill="1" applyBorder="1" applyAlignment="1">
      <alignment horizontal="center" vertical="top" wrapText="1"/>
    </xf>
    <xf numFmtId="0" fontId="9" fillId="0" borderId="13" xfId="0" applyFont="1" applyFill="1" applyBorder="1" applyAlignment="1">
      <alignment horizontal="center" vertical="center" wrapText="1"/>
    </xf>
    <xf numFmtId="1" fontId="5" fillId="0" borderId="7" xfId="0" applyNumberFormat="1" applyFont="1" applyFill="1" applyBorder="1" applyAlignment="1">
      <alignment horizontal="center" vertical="center"/>
    </xf>
    <xf numFmtId="1" fontId="5" fillId="0" borderId="10" xfId="0" applyNumberFormat="1" applyFont="1" applyFill="1" applyBorder="1" applyAlignment="1">
      <alignment horizontal="center" vertical="center"/>
    </xf>
    <xf numFmtId="1" fontId="5" fillId="0" borderId="8" xfId="0" applyNumberFormat="1" applyFont="1" applyFill="1" applyBorder="1" applyAlignment="1">
      <alignment horizontal="center" vertical="center"/>
    </xf>
    <xf numFmtId="1" fontId="5" fillId="0" borderId="29" xfId="0" applyNumberFormat="1" applyFont="1" applyFill="1" applyBorder="1" applyAlignment="1">
      <alignment horizontal="center" vertical="center"/>
    </xf>
    <xf numFmtId="1" fontId="5" fillId="0" borderId="25" xfId="0" applyNumberFormat="1" applyFont="1" applyFill="1" applyBorder="1" applyAlignment="1">
      <alignment horizontal="center" vertical="center"/>
    </xf>
    <xf numFmtId="1" fontId="5" fillId="0" borderId="24" xfId="0" applyNumberFormat="1" applyFont="1" applyFill="1" applyBorder="1" applyAlignment="1">
      <alignment horizontal="center" vertical="center"/>
    </xf>
    <xf numFmtId="1" fontId="5" fillId="0" borderId="20" xfId="0" applyNumberFormat="1" applyFont="1" applyFill="1" applyBorder="1" applyAlignment="1">
      <alignment horizontal="center" vertical="center"/>
    </xf>
    <xf numFmtId="1" fontId="5" fillId="0" borderId="21" xfId="0" applyNumberFormat="1" applyFont="1" applyFill="1" applyBorder="1" applyAlignment="1">
      <alignment horizontal="center" vertical="center"/>
    </xf>
    <xf numFmtId="1" fontId="5" fillId="0" borderId="22" xfId="0" applyNumberFormat="1" applyFont="1" applyFill="1" applyBorder="1" applyAlignment="1">
      <alignment horizontal="center" vertical="center"/>
    </xf>
    <xf numFmtId="1" fontId="5" fillId="0" borderId="18" xfId="0" applyNumberFormat="1" applyFont="1" applyFill="1" applyBorder="1" applyAlignment="1">
      <alignment horizontal="center" vertical="center"/>
    </xf>
    <xf numFmtId="1" fontId="5" fillId="0" borderId="0" xfId="0" applyNumberFormat="1" applyFont="1" applyFill="1" applyBorder="1" applyAlignment="1">
      <alignment horizontal="center" vertical="center"/>
    </xf>
    <xf numFmtId="1" fontId="5" fillId="0" borderId="19" xfId="0" applyNumberFormat="1" applyFont="1" applyFill="1" applyBorder="1" applyAlignment="1">
      <alignment horizontal="center" vertical="center"/>
    </xf>
    <xf numFmtId="0" fontId="5" fillId="0" borderId="29"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9" fillId="0" borderId="8"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9" fontId="7" fillId="0" borderId="8" xfId="0" applyNumberFormat="1" applyFont="1" applyFill="1" applyBorder="1" applyAlignment="1">
      <alignment horizontal="left" vertical="top" wrapText="1"/>
    </xf>
    <xf numFmtId="0" fontId="7" fillId="0" borderId="8" xfId="0" applyFont="1" applyFill="1" applyBorder="1" applyAlignment="1">
      <alignment vertical="top" wrapText="1"/>
    </xf>
    <xf numFmtId="0" fontId="7" fillId="0" borderId="10" xfId="0" applyFont="1" applyFill="1" applyBorder="1" applyAlignment="1">
      <alignment vertical="top" wrapText="1"/>
    </xf>
    <xf numFmtId="0" fontId="7" fillId="0" borderId="29" xfId="0" applyFont="1" applyFill="1" applyBorder="1" applyAlignment="1">
      <alignment horizontal="left" vertical="top" wrapText="1"/>
    </xf>
    <xf numFmtId="0" fontId="7" fillId="0" borderId="25" xfId="0" applyFont="1" applyFill="1" applyBorder="1" applyAlignment="1">
      <alignment horizontal="left" vertical="top" wrapText="1"/>
    </xf>
    <xf numFmtId="0" fontId="7" fillId="0" borderId="24"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21" xfId="0" applyFont="1" applyFill="1" applyBorder="1" applyAlignment="1">
      <alignment horizontal="left" vertical="top" wrapText="1"/>
    </xf>
    <xf numFmtId="0" fontId="7" fillId="0" borderId="22" xfId="0" applyFont="1" applyFill="1" applyBorder="1" applyAlignment="1">
      <alignment horizontal="left" vertical="top" wrapText="1"/>
    </xf>
    <xf numFmtId="0" fontId="9"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22" fontId="8" fillId="0" borderId="4" xfId="0" applyNumberFormat="1" applyFont="1" applyFill="1" applyBorder="1" applyAlignment="1">
      <alignment horizontal="left" vertical="center" wrapText="1"/>
    </xf>
  </cellXfs>
  <cellStyles count="4">
    <cellStyle name="Hyperlink" xfId="3" builtinId="8"/>
    <cellStyle name="Normal" xfId="0" builtinId="0"/>
    <cellStyle name="Normal 3" xfId="1"/>
    <cellStyle name="Percent" xfId="2" builtinId="5"/>
  </cellStyles>
  <dxfs count="0"/>
  <tableStyles count="0" defaultTableStyle="TableStyleMedium2" defaultPivotStyle="PivotStyleLight16"/>
  <colors>
    <mruColors>
      <color rgb="FFF2FCDA"/>
      <color rgb="FFE5EEF1"/>
      <color rgb="FFE3F2F3"/>
      <color rgb="FFBBDDBD"/>
      <color rgb="FFE1F5E7"/>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4" Type="http://schemas.openxmlformats.org/officeDocument/2006/relationships/image" Target="../media/image1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2</xdr:col>
      <xdr:colOff>45850</xdr:colOff>
      <xdr:row>491</xdr:row>
      <xdr:rowOff>89693</xdr:rowOff>
    </xdr:from>
    <xdr:to>
      <xdr:col>6</xdr:col>
      <xdr:colOff>57846</xdr:colOff>
      <xdr:row>511</xdr:row>
      <xdr:rowOff>3924</xdr:rowOff>
    </xdr:to>
    <xdr:pic>
      <xdr:nvPicPr>
        <xdr:cNvPr id="3" name="Picture 2"/>
        <xdr:cNvPicPr>
          <a:picLocks noChangeAspect="1"/>
        </xdr:cNvPicPr>
      </xdr:nvPicPr>
      <xdr:blipFill>
        <a:blip xmlns:r="http://schemas.openxmlformats.org/officeDocument/2006/relationships" r:embed="rId1"/>
        <a:stretch>
          <a:fillRect/>
        </a:stretch>
      </xdr:blipFill>
      <xdr:spPr>
        <a:xfrm>
          <a:off x="1637085" y="75628546"/>
          <a:ext cx="3463408" cy="3051878"/>
        </a:xfrm>
        <a:prstGeom prst="rect">
          <a:avLst/>
        </a:prstGeom>
        <a:ln>
          <a:solidFill>
            <a:schemeClr val="tx1"/>
          </a:solidFill>
        </a:ln>
      </xdr:spPr>
    </xdr:pic>
    <xdr:clientData/>
  </xdr:twoCellAnchor>
  <xdr:twoCellAnchor>
    <xdr:from>
      <xdr:col>0</xdr:col>
      <xdr:colOff>550947</xdr:colOff>
      <xdr:row>511</xdr:row>
      <xdr:rowOff>122820</xdr:rowOff>
    </xdr:from>
    <xdr:to>
      <xdr:col>7</xdr:col>
      <xdr:colOff>332711</xdr:colOff>
      <xdr:row>541</xdr:row>
      <xdr:rowOff>115892</xdr:rowOff>
    </xdr:to>
    <xdr:grpSp>
      <xdr:nvGrpSpPr>
        <xdr:cNvPr id="9" name="Group 8"/>
        <xdr:cNvGrpSpPr/>
      </xdr:nvGrpSpPr>
      <xdr:grpSpPr>
        <a:xfrm>
          <a:off x="550947" y="84754516"/>
          <a:ext cx="5695547" cy="4962637"/>
          <a:chOff x="427682" y="78810526"/>
          <a:chExt cx="5687264" cy="4699543"/>
        </a:xfrm>
      </xdr:grpSpPr>
      <xdr:pic>
        <xdr:nvPicPr>
          <xdr:cNvPr id="4" name="Picture 3"/>
          <xdr:cNvPicPr>
            <a:picLocks noChangeAspect="1"/>
          </xdr:cNvPicPr>
        </xdr:nvPicPr>
        <xdr:blipFill>
          <a:blip xmlns:r="http://schemas.openxmlformats.org/officeDocument/2006/relationships" r:embed="rId2"/>
          <a:stretch>
            <a:fillRect/>
          </a:stretch>
        </xdr:blipFill>
        <xdr:spPr>
          <a:xfrm>
            <a:off x="427682" y="78810526"/>
            <a:ext cx="5687264" cy="4699543"/>
          </a:xfrm>
          <a:prstGeom prst="rect">
            <a:avLst/>
          </a:prstGeom>
          <a:ln>
            <a:solidFill>
              <a:schemeClr val="tx1"/>
            </a:solidFill>
          </a:ln>
        </xdr:spPr>
      </xdr:pic>
      <xdr:sp macro="" textlink="">
        <xdr:nvSpPr>
          <xdr:cNvPr id="5" name="TextBox 4"/>
          <xdr:cNvSpPr txBox="1"/>
        </xdr:nvSpPr>
        <xdr:spPr>
          <a:xfrm>
            <a:off x="2879912" y="80110853"/>
            <a:ext cx="481853"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2000" b="1">
                <a:solidFill>
                  <a:sysClr val="windowText" lastClr="000000"/>
                </a:solidFill>
              </a:rPr>
              <a:t>T1</a:t>
            </a:r>
          </a:p>
        </xdr:txBody>
      </xdr:sp>
      <xdr:sp macro="" textlink="">
        <xdr:nvSpPr>
          <xdr:cNvPr id="6" name="TextBox 5"/>
          <xdr:cNvSpPr txBox="1"/>
        </xdr:nvSpPr>
        <xdr:spPr>
          <a:xfrm>
            <a:off x="3144371" y="82504430"/>
            <a:ext cx="481853"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2000" b="1">
                <a:solidFill>
                  <a:sysClr val="windowText" lastClr="000000"/>
                </a:solidFill>
              </a:rPr>
              <a:t>T2</a:t>
            </a:r>
          </a:p>
        </xdr:txBody>
      </xdr:sp>
      <xdr:sp macro="" textlink="">
        <xdr:nvSpPr>
          <xdr:cNvPr id="7" name="Freeform 6"/>
          <xdr:cNvSpPr/>
        </xdr:nvSpPr>
        <xdr:spPr>
          <a:xfrm>
            <a:off x="2117912" y="80077235"/>
            <a:ext cx="1972235" cy="1423147"/>
          </a:xfrm>
          <a:custGeom>
            <a:avLst/>
            <a:gdLst>
              <a:gd name="connsiteX0" fmla="*/ 0 w 1972235"/>
              <a:gd name="connsiteY0" fmla="*/ 11206 h 1423147"/>
              <a:gd name="connsiteX1" fmla="*/ 33617 w 1972235"/>
              <a:gd name="connsiteY1" fmla="*/ 560294 h 1423147"/>
              <a:gd name="connsiteX2" fmla="*/ 1210235 w 1972235"/>
              <a:gd name="connsiteY2" fmla="*/ 560294 h 1423147"/>
              <a:gd name="connsiteX3" fmla="*/ 1445559 w 1972235"/>
              <a:gd name="connsiteY3" fmla="*/ 1423147 h 1423147"/>
              <a:gd name="connsiteX4" fmla="*/ 1972235 w 1972235"/>
              <a:gd name="connsiteY4" fmla="*/ 1277471 h 1423147"/>
              <a:gd name="connsiteX5" fmla="*/ 1568823 w 1972235"/>
              <a:gd name="connsiteY5" fmla="*/ 0 h 1423147"/>
              <a:gd name="connsiteX6" fmla="*/ 0 w 1972235"/>
              <a:gd name="connsiteY6" fmla="*/ 11206 h 142314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972235" h="1423147">
                <a:moveTo>
                  <a:pt x="0" y="11206"/>
                </a:moveTo>
                <a:lnTo>
                  <a:pt x="33617" y="560294"/>
                </a:lnTo>
                <a:lnTo>
                  <a:pt x="1210235" y="560294"/>
                </a:lnTo>
                <a:lnTo>
                  <a:pt x="1445559" y="1423147"/>
                </a:lnTo>
                <a:lnTo>
                  <a:pt x="1972235" y="1277471"/>
                </a:lnTo>
                <a:lnTo>
                  <a:pt x="1568823" y="0"/>
                </a:lnTo>
                <a:lnTo>
                  <a:pt x="0" y="11206"/>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8" name="Freeform 7"/>
          <xdr:cNvSpPr/>
        </xdr:nvSpPr>
        <xdr:spPr>
          <a:xfrm>
            <a:off x="2229971" y="81590029"/>
            <a:ext cx="1972235" cy="1512795"/>
          </a:xfrm>
          <a:custGeom>
            <a:avLst/>
            <a:gdLst>
              <a:gd name="connsiteX0" fmla="*/ 1535205 w 1972235"/>
              <a:gd name="connsiteY0" fmla="*/ 11206 h 1512795"/>
              <a:gd name="connsiteX1" fmla="*/ 1949823 w 1972235"/>
              <a:gd name="connsiteY1" fmla="*/ 22412 h 1512795"/>
              <a:gd name="connsiteX2" fmla="*/ 1972235 w 1972235"/>
              <a:gd name="connsiteY2" fmla="*/ 773206 h 1512795"/>
              <a:gd name="connsiteX3" fmla="*/ 1568823 w 1972235"/>
              <a:gd name="connsiteY3" fmla="*/ 1512795 h 1512795"/>
              <a:gd name="connsiteX4" fmla="*/ 0 w 1972235"/>
              <a:gd name="connsiteY4" fmla="*/ 862853 h 1512795"/>
              <a:gd name="connsiteX5" fmla="*/ 224117 w 1972235"/>
              <a:gd name="connsiteY5" fmla="*/ 381000 h 1512795"/>
              <a:gd name="connsiteX6" fmla="*/ 1322294 w 1972235"/>
              <a:gd name="connsiteY6" fmla="*/ 862853 h 1512795"/>
              <a:gd name="connsiteX7" fmla="*/ 1479176 w 1972235"/>
              <a:gd name="connsiteY7" fmla="*/ 616324 h 1512795"/>
              <a:gd name="connsiteX8" fmla="*/ 1479176 w 1972235"/>
              <a:gd name="connsiteY8" fmla="*/ 0 h 1512795"/>
              <a:gd name="connsiteX9" fmla="*/ 1535205 w 1972235"/>
              <a:gd name="connsiteY9" fmla="*/ 11206 h 15127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1972235" h="1512795">
                <a:moveTo>
                  <a:pt x="1535205" y="11206"/>
                </a:moveTo>
                <a:lnTo>
                  <a:pt x="1949823" y="22412"/>
                </a:lnTo>
                <a:lnTo>
                  <a:pt x="1972235" y="773206"/>
                </a:lnTo>
                <a:lnTo>
                  <a:pt x="1568823" y="1512795"/>
                </a:lnTo>
                <a:lnTo>
                  <a:pt x="0" y="862853"/>
                </a:lnTo>
                <a:lnTo>
                  <a:pt x="224117" y="381000"/>
                </a:lnTo>
                <a:lnTo>
                  <a:pt x="1322294" y="862853"/>
                </a:lnTo>
                <a:lnTo>
                  <a:pt x="1479176" y="616324"/>
                </a:lnTo>
                <a:lnTo>
                  <a:pt x="1479176" y="0"/>
                </a:lnTo>
                <a:lnTo>
                  <a:pt x="1535205" y="11206"/>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grpSp>
    <xdr:clientData/>
  </xdr:twoCellAnchor>
  <xdr:twoCellAnchor editAs="oneCell">
    <xdr:from>
      <xdr:col>1</xdr:col>
      <xdr:colOff>576306</xdr:colOff>
      <xdr:row>545</xdr:row>
      <xdr:rowOff>91248</xdr:rowOff>
    </xdr:from>
    <xdr:to>
      <xdr:col>6</xdr:col>
      <xdr:colOff>680359</xdr:colOff>
      <xdr:row>566</xdr:row>
      <xdr:rowOff>144954</xdr:rowOff>
    </xdr:to>
    <xdr:pic>
      <xdr:nvPicPr>
        <xdr:cNvPr id="10" name="Picture 9"/>
        <xdr:cNvPicPr>
          <a:picLocks noChangeAspect="1"/>
        </xdr:cNvPicPr>
      </xdr:nvPicPr>
      <xdr:blipFill>
        <a:blip xmlns:r="http://schemas.openxmlformats.org/officeDocument/2006/relationships" r:embed="rId3"/>
        <a:stretch>
          <a:fillRect/>
        </a:stretch>
      </xdr:blipFill>
      <xdr:spPr>
        <a:xfrm>
          <a:off x="1379127" y="86850391"/>
          <a:ext cx="4335875" cy="3482706"/>
        </a:xfrm>
        <a:prstGeom prst="rect">
          <a:avLst/>
        </a:prstGeom>
        <a:ln>
          <a:solidFill>
            <a:schemeClr val="tx1"/>
          </a:solidFill>
        </a:ln>
      </xdr:spPr>
    </xdr:pic>
    <xdr:clientData/>
  </xdr:twoCellAnchor>
  <xdr:twoCellAnchor>
    <xdr:from>
      <xdr:col>1</xdr:col>
      <xdr:colOff>81644</xdr:colOff>
      <xdr:row>567</xdr:row>
      <xdr:rowOff>112939</xdr:rowOff>
    </xdr:from>
    <xdr:to>
      <xdr:col>7</xdr:col>
      <xdr:colOff>146493</xdr:colOff>
      <xdr:row>592</xdr:row>
      <xdr:rowOff>140154</xdr:rowOff>
    </xdr:to>
    <xdr:grpSp>
      <xdr:nvGrpSpPr>
        <xdr:cNvPr id="13" name="Group 12"/>
        <xdr:cNvGrpSpPr/>
      </xdr:nvGrpSpPr>
      <xdr:grpSpPr>
        <a:xfrm>
          <a:off x="885057" y="94021156"/>
          <a:ext cx="5175219" cy="4168520"/>
          <a:chOff x="884465" y="90464368"/>
          <a:chExt cx="5153921" cy="4109357"/>
        </a:xfrm>
      </xdr:grpSpPr>
      <xdr:pic>
        <xdr:nvPicPr>
          <xdr:cNvPr id="11" name="Picture 10"/>
          <xdr:cNvPicPr>
            <a:picLocks noChangeAspect="1"/>
          </xdr:cNvPicPr>
        </xdr:nvPicPr>
        <xdr:blipFill>
          <a:blip xmlns:r="http://schemas.openxmlformats.org/officeDocument/2006/relationships" r:embed="rId4"/>
          <a:stretch>
            <a:fillRect/>
          </a:stretch>
        </xdr:blipFill>
        <xdr:spPr>
          <a:xfrm>
            <a:off x="884465" y="90464368"/>
            <a:ext cx="5153921" cy="4109357"/>
          </a:xfrm>
          <a:prstGeom prst="rect">
            <a:avLst/>
          </a:prstGeom>
          <a:ln>
            <a:solidFill>
              <a:schemeClr val="tx1"/>
            </a:solidFill>
          </a:ln>
        </xdr:spPr>
      </xdr:pic>
      <xdr:sp macro="" textlink="">
        <xdr:nvSpPr>
          <xdr:cNvPr id="12" name="Freeform 11"/>
          <xdr:cNvSpPr/>
        </xdr:nvSpPr>
        <xdr:spPr>
          <a:xfrm>
            <a:off x="3034393" y="91954350"/>
            <a:ext cx="1485900" cy="1499507"/>
          </a:xfrm>
          <a:custGeom>
            <a:avLst/>
            <a:gdLst>
              <a:gd name="connsiteX0" fmla="*/ 0 w 1485900"/>
              <a:gd name="connsiteY0" fmla="*/ 571500 h 1485900"/>
              <a:gd name="connsiteX1" fmla="*/ 561975 w 1485900"/>
              <a:gd name="connsiteY1" fmla="*/ 581025 h 1485900"/>
              <a:gd name="connsiteX2" fmla="*/ 676275 w 1485900"/>
              <a:gd name="connsiteY2" fmla="*/ 552450 h 1485900"/>
              <a:gd name="connsiteX3" fmla="*/ 657225 w 1485900"/>
              <a:gd name="connsiteY3" fmla="*/ 142875 h 1485900"/>
              <a:gd name="connsiteX4" fmla="*/ 695325 w 1485900"/>
              <a:gd name="connsiteY4" fmla="*/ 0 h 1485900"/>
              <a:gd name="connsiteX5" fmla="*/ 1485900 w 1485900"/>
              <a:gd name="connsiteY5" fmla="*/ 952500 h 1485900"/>
              <a:gd name="connsiteX6" fmla="*/ 1447800 w 1485900"/>
              <a:gd name="connsiteY6" fmla="*/ 1076325 h 1485900"/>
              <a:gd name="connsiteX7" fmla="*/ 1152525 w 1485900"/>
              <a:gd name="connsiteY7" fmla="*/ 1038225 h 1485900"/>
              <a:gd name="connsiteX8" fmla="*/ 1066800 w 1485900"/>
              <a:gd name="connsiteY8" fmla="*/ 1485900 h 1485900"/>
              <a:gd name="connsiteX9" fmla="*/ 695325 w 1485900"/>
              <a:gd name="connsiteY9" fmla="*/ 1400175 h 1485900"/>
              <a:gd name="connsiteX10" fmla="*/ 342900 w 1485900"/>
              <a:gd name="connsiteY10" fmla="*/ 1400175 h 1485900"/>
              <a:gd name="connsiteX11" fmla="*/ 200025 w 1485900"/>
              <a:gd name="connsiteY11" fmla="*/ 1095375 h 1485900"/>
              <a:gd name="connsiteX12" fmla="*/ 161925 w 1485900"/>
              <a:gd name="connsiteY12" fmla="*/ 800100 h 1485900"/>
              <a:gd name="connsiteX13" fmla="*/ 0 w 1485900"/>
              <a:gd name="connsiteY13" fmla="*/ 571500 h 14859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1485900" h="1485900">
                <a:moveTo>
                  <a:pt x="0" y="571500"/>
                </a:moveTo>
                <a:lnTo>
                  <a:pt x="561975" y="581025"/>
                </a:lnTo>
                <a:lnTo>
                  <a:pt x="676275" y="552450"/>
                </a:lnTo>
                <a:lnTo>
                  <a:pt x="657225" y="142875"/>
                </a:lnTo>
                <a:lnTo>
                  <a:pt x="695325" y="0"/>
                </a:lnTo>
                <a:lnTo>
                  <a:pt x="1485900" y="952500"/>
                </a:lnTo>
                <a:lnTo>
                  <a:pt x="1447800" y="1076325"/>
                </a:lnTo>
                <a:lnTo>
                  <a:pt x="1152525" y="1038225"/>
                </a:lnTo>
                <a:lnTo>
                  <a:pt x="1066800" y="1485900"/>
                </a:lnTo>
                <a:lnTo>
                  <a:pt x="695325" y="1400175"/>
                </a:lnTo>
                <a:lnTo>
                  <a:pt x="342900" y="1400175"/>
                </a:lnTo>
                <a:lnTo>
                  <a:pt x="200025" y="1095375"/>
                </a:lnTo>
                <a:lnTo>
                  <a:pt x="161925" y="800100"/>
                </a:lnTo>
                <a:lnTo>
                  <a:pt x="0" y="571500"/>
                </a:lnTo>
                <a:close/>
              </a:path>
            </a:pathLst>
          </a:cu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grpSp>
    <xdr:clientData/>
  </xdr:twoCellAnchor>
  <xdr:twoCellAnchor editAs="oneCell">
    <xdr:from>
      <xdr:col>10</xdr:col>
      <xdr:colOff>13607</xdr:colOff>
      <xdr:row>99</xdr:row>
      <xdr:rowOff>114888</xdr:rowOff>
    </xdr:from>
    <xdr:to>
      <xdr:col>17</xdr:col>
      <xdr:colOff>381001</xdr:colOff>
      <xdr:row>108</xdr:row>
      <xdr:rowOff>107227</xdr:rowOff>
    </xdr:to>
    <xdr:pic>
      <xdr:nvPicPr>
        <xdr:cNvPr id="14" name="Picture 13"/>
        <xdr:cNvPicPr>
          <a:picLocks noChangeAspect="1"/>
        </xdr:cNvPicPr>
      </xdr:nvPicPr>
      <xdr:blipFill>
        <a:blip xmlns:r="http://schemas.openxmlformats.org/officeDocument/2006/relationships" r:embed="rId5"/>
        <a:stretch>
          <a:fillRect/>
        </a:stretch>
      </xdr:blipFill>
      <xdr:spPr>
        <a:xfrm>
          <a:off x="8300357" y="21791067"/>
          <a:ext cx="4653644" cy="1625196"/>
        </a:xfrm>
        <a:prstGeom prst="rect">
          <a:avLst/>
        </a:prstGeom>
      </xdr:spPr>
    </xdr:pic>
    <xdr:clientData/>
  </xdr:twoCellAnchor>
  <xdr:twoCellAnchor editAs="oneCell">
    <xdr:from>
      <xdr:col>10</xdr:col>
      <xdr:colOff>186256</xdr:colOff>
      <xdr:row>92</xdr:row>
      <xdr:rowOff>54878</xdr:rowOff>
    </xdr:from>
    <xdr:to>
      <xdr:col>16</xdr:col>
      <xdr:colOff>285748</xdr:colOff>
      <xdr:row>99</xdr:row>
      <xdr:rowOff>25853</xdr:rowOff>
    </xdr:to>
    <xdr:pic>
      <xdr:nvPicPr>
        <xdr:cNvPr id="15" name="Picture 14"/>
        <xdr:cNvPicPr>
          <a:picLocks noChangeAspect="1"/>
        </xdr:cNvPicPr>
      </xdr:nvPicPr>
      <xdr:blipFill>
        <a:blip xmlns:r="http://schemas.openxmlformats.org/officeDocument/2006/relationships" r:embed="rId6"/>
        <a:stretch>
          <a:fillRect/>
        </a:stretch>
      </xdr:blipFill>
      <xdr:spPr>
        <a:xfrm>
          <a:off x="8473006" y="20261485"/>
          <a:ext cx="3773421" cy="1440547"/>
        </a:xfrm>
        <a:prstGeom prst="rect">
          <a:avLst/>
        </a:prstGeom>
      </xdr:spPr>
    </xdr:pic>
    <xdr:clientData/>
  </xdr:twoCellAnchor>
  <xdr:twoCellAnchor editAs="oneCell">
    <xdr:from>
      <xdr:col>8</xdr:col>
      <xdr:colOff>723900</xdr:colOff>
      <xdr:row>422</xdr:row>
      <xdr:rowOff>146526</xdr:rowOff>
    </xdr:from>
    <xdr:to>
      <xdr:col>18</xdr:col>
      <xdr:colOff>475152</xdr:colOff>
      <xdr:row>433</xdr:row>
      <xdr:rowOff>75858</xdr:rowOff>
    </xdr:to>
    <xdr:pic>
      <xdr:nvPicPr>
        <xdr:cNvPr id="16" name="Picture 15"/>
        <xdr:cNvPicPr>
          <a:picLocks noChangeAspect="1"/>
        </xdr:cNvPicPr>
      </xdr:nvPicPr>
      <xdr:blipFill>
        <a:blip xmlns:r="http://schemas.openxmlformats.org/officeDocument/2006/relationships" r:embed="rId7"/>
        <a:stretch>
          <a:fillRect/>
        </a:stretch>
      </xdr:blipFill>
      <xdr:spPr>
        <a:xfrm>
          <a:off x="7467600" y="69336126"/>
          <a:ext cx="6161577" cy="1920057"/>
        </a:xfrm>
        <a:prstGeom prst="rect">
          <a:avLst/>
        </a:prstGeom>
      </xdr:spPr>
    </xdr:pic>
    <xdr:clientData/>
  </xdr:twoCellAnchor>
  <xdr:twoCellAnchor>
    <xdr:from>
      <xdr:col>0</xdr:col>
      <xdr:colOff>564430</xdr:colOff>
      <xdr:row>438</xdr:row>
      <xdr:rowOff>104424</xdr:rowOff>
    </xdr:from>
    <xdr:to>
      <xdr:col>7</xdr:col>
      <xdr:colOff>445411</xdr:colOff>
      <xdr:row>489</xdr:row>
      <xdr:rowOff>76605</xdr:rowOff>
    </xdr:to>
    <xdr:grpSp>
      <xdr:nvGrpSpPr>
        <xdr:cNvPr id="25" name="Group 24"/>
        <xdr:cNvGrpSpPr/>
      </xdr:nvGrpSpPr>
      <xdr:grpSpPr>
        <a:xfrm>
          <a:off x="564430" y="72643511"/>
          <a:ext cx="5794764" cy="8420442"/>
          <a:chOff x="564430" y="72643511"/>
          <a:chExt cx="5794764" cy="8420442"/>
        </a:xfrm>
      </xdr:grpSpPr>
      <xdr:grpSp>
        <xdr:nvGrpSpPr>
          <xdr:cNvPr id="22" name="Group 21"/>
          <xdr:cNvGrpSpPr/>
        </xdr:nvGrpSpPr>
        <xdr:grpSpPr>
          <a:xfrm>
            <a:off x="577681" y="72643511"/>
            <a:ext cx="5781513" cy="8420442"/>
            <a:chOff x="511420" y="71346646"/>
            <a:chExt cx="5751249" cy="8192988"/>
          </a:xfrm>
        </xdr:grpSpPr>
        <xdr:pic>
          <xdr:nvPicPr>
            <xdr:cNvPr id="17" name="Picture 16" descr="https://vsjcllp.vsjadon.com/upload/insp-247752-1525.jpg"/>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2601060" y="77379634"/>
              <a:ext cx="1618313"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18" name="Picture 17" descr="https://vsjcllp.vsjadon.com/upload/insp-247752-843.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549521" y="75197676"/>
              <a:ext cx="2798764" cy="210101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19" name="Picture 18" descr="https://vsjcllp.vsjadon.com/upload/insp-247752-847.jpg"/>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11420" y="71348110"/>
              <a:ext cx="2829272" cy="377629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0" name="Picture 19" descr="https://vsjcllp.vsjadon.com/upload/insp-247752-849.jpg"/>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3427535" y="75203537"/>
              <a:ext cx="2798764" cy="210101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1" name="Picture 20" descr="https://vsjcllp.vsjadon.com/upload/insp-247752-851.jpg"/>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3433397" y="71346646"/>
              <a:ext cx="2829272" cy="377629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sp macro="" textlink="">
        <xdr:nvSpPr>
          <xdr:cNvPr id="23" name="TextBox 22"/>
          <xdr:cNvSpPr txBox="1"/>
        </xdr:nvSpPr>
        <xdr:spPr>
          <a:xfrm>
            <a:off x="5861986" y="72643511"/>
            <a:ext cx="482555" cy="437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2000" b="1">
                <a:solidFill>
                  <a:sysClr val="windowText" lastClr="000000"/>
                </a:solidFill>
              </a:rPr>
              <a:t>T1</a:t>
            </a:r>
          </a:p>
        </xdr:txBody>
      </xdr:sp>
      <xdr:sp macro="" textlink="">
        <xdr:nvSpPr>
          <xdr:cNvPr id="24" name="TextBox 23"/>
          <xdr:cNvSpPr txBox="1"/>
        </xdr:nvSpPr>
        <xdr:spPr>
          <a:xfrm>
            <a:off x="564430" y="72746215"/>
            <a:ext cx="446048" cy="422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2000" b="1">
                <a:solidFill>
                  <a:sysClr val="windowText" lastClr="000000"/>
                </a:solidFill>
              </a:rPr>
              <a:t>T2</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57978</xdr:colOff>
      <xdr:row>14</xdr:row>
      <xdr:rowOff>140805</xdr:rowOff>
    </xdr:from>
    <xdr:to>
      <xdr:col>6</xdr:col>
      <xdr:colOff>390168</xdr:colOff>
      <xdr:row>35</xdr:row>
      <xdr:rowOff>187924</xdr:rowOff>
    </xdr:to>
    <xdr:pic>
      <xdr:nvPicPr>
        <xdr:cNvPr id="2" name="Picture 1"/>
        <xdr:cNvPicPr>
          <a:picLocks noChangeAspect="1"/>
        </xdr:cNvPicPr>
      </xdr:nvPicPr>
      <xdr:blipFill>
        <a:blip xmlns:r="http://schemas.openxmlformats.org/officeDocument/2006/relationships" r:embed="rId1"/>
        <a:stretch>
          <a:fillRect/>
        </a:stretch>
      </xdr:blipFill>
      <xdr:spPr>
        <a:xfrm>
          <a:off x="1664804" y="2816088"/>
          <a:ext cx="6171429" cy="4047619"/>
        </a:xfrm>
        <a:prstGeom prst="rect">
          <a:avLst/>
        </a:prstGeom>
      </xdr:spPr>
    </xdr:pic>
    <xdr:clientData/>
  </xdr:twoCellAnchor>
  <xdr:twoCellAnchor editAs="oneCell">
    <xdr:from>
      <xdr:col>2</xdr:col>
      <xdr:colOff>215348</xdr:colOff>
      <xdr:row>38</xdr:row>
      <xdr:rowOff>60392</xdr:rowOff>
    </xdr:from>
    <xdr:to>
      <xdr:col>6</xdr:col>
      <xdr:colOff>522593</xdr:colOff>
      <xdr:row>52</xdr:row>
      <xdr:rowOff>163100</xdr:rowOff>
    </xdr:to>
    <xdr:pic>
      <xdr:nvPicPr>
        <xdr:cNvPr id="3" name="Picture 2"/>
        <xdr:cNvPicPr>
          <a:picLocks noChangeAspect="1"/>
        </xdr:cNvPicPr>
      </xdr:nvPicPr>
      <xdr:blipFill>
        <a:blip xmlns:r="http://schemas.openxmlformats.org/officeDocument/2006/relationships" r:embed="rId2"/>
        <a:stretch>
          <a:fillRect/>
        </a:stretch>
      </xdr:blipFill>
      <xdr:spPr>
        <a:xfrm>
          <a:off x="2990022" y="7307675"/>
          <a:ext cx="4978636" cy="2769708"/>
        </a:xfrm>
        <a:prstGeom prst="rect">
          <a:avLst/>
        </a:prstGeom>
      </xdr:spPr>
    </xdr:pic>
    <xdr:clientData/>
  </xdr:twoCellAnchor>
  <xdr:twoCellAnchor editAs="oneCell">
    <xdr:from>
      <xdr:col>4</xdr:col>
      <xdr:colOff>207065</xdr:colOff>
      <xdr:row>38</xdr:row>
      <xdr:rowOff>151501</xdr:rowOff>
    </xdr:from>
    <xdr:to>
      <xdr:col>14</xdr:col>
      <xdr:colOff>190001</xdr:colOff>
      <xdr:row>60</xdr:row>
      <xdr:rowOff>179549</xdr:rowOff>
    </xdr:to>
    <xdr:pic>
      <xdr:nvPicPr>
        <xdr:cNvPr id="4" name="Picture 3"/>
        <xdr:cNvPicPr>
          <a:picLocks noChangeAspect="1"/>
        </xdr:cNvPicPr>
      </xdr:nvPicPr>
      <xdr:blipFill>
        <a:blip xmlns:r="http://schemas.openxmlformats.org/officeDocument/2006/relationships" r:embed="rId3"/>
        <a:stretch>
          <a:fillRect/>
        </a:stretch>
      </xdr:blipFill>
      <xdr:spPr>
        <a:xfrm>
          <a:off x="5317435" y="7398784"/>
          <a:ext cx="7304762" cy="4219048"/>
        </a:xfrm>
        <a:prstGeom prst="rect">
          <a:avLst/>
        </a:prstGeom>
      </xdr:spPr>
    </xdr:pic>
    <xdr:clientData/>
  </xdr:twoCellAnchor>
  <xdr:twoCellAnchor editAs="oneCell">
    <xdr:from>
      <xdr:col>0</xdr:col>
      <xdr:colOff>1151282</xdr:colOff>
      <xdr:row>40</xdr:row>
      <xdr:rowOff>24847</xdr:rowOff>
    </xdr:from>
    <xdr:to>
      <xdr:col>5</xdr:col>
      <xdr:colOff>738207</xdr:colOff>
      <xdr:row>57</xdr:row>
      <xdr:rowOff>120401</xdr:rowOff>
    </xdr:to>
    <xdr:pic>
      <xdr:nvPicPr>
        <xdr:cNvPr id="5" name="Picture 4"/>
        <xdr:cNvPicPr>
          <a:picLocks noChangeAspect="1"/>
        </xdr:cNvPicPr>
      </xdr:nvPicPr>
      <xdr:blipFill>
        <a:blip xmlns:r="http://schemas.openxmlformats.org/officeDocument/2006/relationships" r:embed="rId4"/>
        <a:stretch>
          <a:fillRect/>
        </a:stretch>
      </xdr:blipFill>
      <xdr:spPr>
        <a:xfrm>
          <a:off x="1151282" y="7653130"/>
          <a:ext cx="5865142" cy="3334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uqNLzimftFrG6B1XA"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95"/>
  <sheetViews>
    <sheetView tabSelected="1" view="pageBreakPreview" zoomScale="115" zoomScaleNormal="115" zoomScaleSheetLayoutView="115" workbookViewId="0">
      <selection activeCell="I8" sqref="I8"/>
    </sheetView>
  </sheetViews>
  <sheetFormatPr defaultRowHeight="12.75" x14ac:dyDescent="0.2"/>
  <cols>
    <col min="1" max="2" width="12" style="6" customWidth="1"/>
    <col min="3" max="8" width="12.85546875" style="6" customWidth="1"/>
    <col min="9" max="9" width="13.85546875" style="6" customWidth="1"/>
    <col min="10" max="16384" width="9.140625" style="6"/>
  </cols>
  <sheetData>
    <row r="1" spans="1:20" ht="41.25" customHeight="1" x14ac:dyDescent="0.2">
      <c r="A1" s="56" t="s">
        <v>144</v>
      </c>
      <c r="B1" s="56"/>
      <c r="C1" s="57"/>
      <c r="D1" s="57"/>
      <c r="E1" s="57"/>
      <c r="F1" s="57"/>
      <c r="G1" s="57"/>
      <c r="H1" s="57"/>
    </row>
    <row r="2" spans="1:20" ht="14.25" x14ac:dyDescent="0.2">
      <c r="A2" s="58" t="s">
        <v>85</v>
      </c>
      <c r="B2" s="58"/>
      <c r="C2" s="58"/>
      <c r="D2" s="58"/>
      <c r="E2" s="58"/>
      <c r="F2" s="58"/>
      <c r="G2" s="58"/>
      <c r="H2" s="58"/>
    </row>
    <row r="3" spans="1:20" ht="25.5" x14ac:dyDescent="0.2">
      <c r="A3" s="59" t="s">
        <v>102</v>
      </c>
      <c r="B3" s="59"/>
      <c r="C3" s="60" t="s">
        <v>108</v>
      </c>
      <c r="D3" s="61"/>
      <c r="E3" s="62"/>
      <c r="F3" s="63" t="s">
        <v>103</v>
      </c>
      <c r="G3" s="64">
        <v>45925</v>
      </c>
      <c r="H3" s="64"/>
    </row>
    <row r="4" spans="1:20" ht="25.5" x14ac:dyDescent="0.2">
      <c r="A4" s="59" t="s">
        <v>106</v>
      </c>
      <c r="B4" s="59"/>
      <c r="C4" s="65" t="s">
        <v>240</v>
      </c>
      <c r="D4" s="66"/>
      <c r="E4" s="67"/>
      <c r="F4" s="63" t="s">
        <v>104</v>
      </c>
      <c r="G4" s="267" t="s">
        <v>333</v>
      </c>
      <c r="H4" s="267"/>
    </row>
    <row r="5" spans="1:20" ht="25.5" x14ac:dyDescent="0.2">
      <c r="A5" s="246" t="s">
        <v>107</v>
      </c>
      <c r="B5" s="248"/>
      <c r="C5" s="60" t="s">
        <v>231</v>
      </c>
      <c r="D5" s="61"/>
      <c r="E5" s="62"/>
      <c r="F5" s="63" t="s">
        <v>105</v>
      </c>
      <c r="G5" s="64" t="str">
        <f ca="1">TEXT(TODAY(),"DD/MM/YYYY")</f>
        <v>26/09/2025</v>
      </c>
      <c r="H5" s="64"/>
    </row>
    <row r="6" spans="1:20" ht="14.25" x14ac:dyDescent="0.2">
      <c r="A6" s="58" t="s">
        <v>101</v>
      </c>
      <c r="B6" s="58"/>
      <c r="C6" s="58"/>
      <c r="D6" s="58"/>
      <c r="E6" s="58"/>
      <c r="F6" s="58"/>
      <c r="G6" s="58"/>
      <c r="H6" s="58"/>
    </row>
    <row r="7" spans="1:20" ht="14.25" x14ac:dyDescent="0.2">
      <c r="A7" s="69" t="s">
        <v>0</v>
      </c>
      <c r="B7" s="70"/>
      <c r="C7" s="71" t="s">
        <v>241</v>
      </c>
      <c r="D7" s="71"/>
      <c r="E7" s="71"/>
      <c r="F7" s="71"/>
      <c r="G7" s="71"/>
      <c r="H7" s="71"/>
    </row>
    <row r="8" spans="1:20" ht="39.75" customHeight="1" x14ac:dyDescent="0.2">
      <c r="A8" s="69" t="s">
        <v>1</v>
      </c>
      <c r="B8" s="70"/>
      <c r="C8" s="72" t="str">
        <f>CONCATENATE((IF(OR(C7="",C7="NA"),"",C7)),", ",(IF(OR(A9="",A9="NA"),"",A9)),".",(IF(OR(C9="",C9="NA"),"",C9)),", near ",(IF(OR(C17="",C17="NA"),"",C17)),", ",(IF(OR(C11="",C11="NA"),"",C11)),", ",(IF(OR(C10="",C10="NA"),"",C10)),", ",(IF(OR(C12="",C12="NA"),"",C12)),", ",(IF(OR(C13="",C13="NA"),"",C13)),", ",(IF(OR(C14="",C14="NA"),"",C14))," - ",(IF(OR(C15="",C15="NA"),"",C15)),".")</f>
        <v>North Imperial Greens Tower 1 &amp; Tower 2, CTS No.451/1, 464/1/2, 451/2, 464/1/3, 455/A/1, 459, 460/1, 461/1, 464/1/1, 450 (Pt), 449 (Pt), 467/A (Pt), 538/1, 465/1, 463, 462, near Vihang Valley, New DP Road, Owale, Thane West, Thane, Thane - 400615.</v>
      </c>
      <c r="D8" s="72"/>
      <c r="E8" s="72"/>
      <c r="F8" s="72"/>
      <c r="G8" s="72"/>
      <c r="H8" s="72"/>
      <c r="P8" s="40" t="s">
        <v>149</v>
      </c>
      <c r="Q8" s="40" t="s">
        <v>150</v>
      </c>
      <c r="R8" s="40" t="s">
        <v>151</v>
      </c>
      <c r="S8" s="40" t="s">
        <v>152</v>
      </c>
      <c r="T8" s="40" t="s">
        <v>153</v>
      </c>
    </row>
    <row r="9" spans="1:20" ht="28.5" customHeight="1" x14ac:dyDescent="0.2">
      <c r="A9" s="69" t="s">
        <v>148</v>
      </c>
      <c r="B9" s="70"/>
      <c r="C9" s="73" t="s">
        <v>242</v>
      </c>
      <c r="D9" s="73"/>
      <c r="E9" s="73"/>
      <c r="F9" s="73"/>
      <c r="G9" s="73"/>
      <c r="H9" s="73"/>
      <c r="P9" s="40" t="s">
        <v>154</v>
      </c>
      <c r="Q9" s="40" t="s">
        <v>155</v>
      </c>
      <c r="R9" s="40" t="s">
        <v>156</v>
      </c>
      <c r="S9" s="40" t="s">
        <v>157</v>
      </c>
      <c r="T9" s="40" t="s">
        <v>158</v>
      </c>
    </row>
    <row r="10" spans="1:20" ht="15" x14ac:dyDescent="0.2">
      <c r="A10" s="69" t="s">
        <v>6</v>
      </c>
      <c r="B10" s="70"/>
      <c r="C10" s="74" t="s">
        <v>243</v>
      </c>
      <c r="D10" s="74"/>
      <c r="E10" s="74"/>
      <c r="F10" s="74"/>
      <c r="G10" s="74"/>
      <c r="H10" s="74"/>
      <c r="P10" s="40" t="s">
        <v>159</v>
      </c>
      <c r="Q10" s="40" t="s">
        <v>160</v>
      </c>
      <c r="R10" s="40" t="s">
        <v>161</v>
      </c>
      <c r="S10" s="40" t="s">
        <v>162</v>
      </c>
      <c r="T10" s="40" t="s">
        <v>163</v>
      </c>
    </row>
    <row r="11" spans="1:20" ht="15" x14ac:dyDescent="0.2">
      <c r="A11" s="69" t="s">
        <v>146</v>
      </c>
      <c r="B11" s="70"/>
      <c r="C11" s="74" t="s">
        <v>244</v>
      </c>
      <c r="D11" s="74"/>
      <c r="E11" s="74"/>
      <c r="F11" s="74"/>
      <c r="G11" s="74"/>
      <c r="H11" s="74"/>
      <c r="P11" s="40" t="s">
        <v>164</v>
      </c>
      <c r="Q11" s="40" t="s">
        <v>165</v>
      </c>
      <c r="R11" s="40" t="s">
        <v>166</v>
      </c>
      <c r="S11" s="40" t="s">
        <v>167</v>
      </c>
      <c r="T11" s="40" t="s">
        <v>168</v>
      </c>
    </row>
    <row r="12" spans="1:20" ht="15" x14ac:dyDescent="0.2">
      <c r="A12" s="69" t="s">
        <v>147</v>
      </c>
      <c r="B12" s="70"/>
      <c r="C12" s="74" t="s">
        <v>245</v>
      </c>
      <c r="D12" s="74"/>
      <c r="E12" s="74"/>
      <c r="F12" s="74"/>
      <c r="G12" s="74"/>
      <c r="H12" s="74"/>
      <c r="P12" s="40" t="s">
        <v>169</v>
      </c>
      <c r="Q12" s="40" t="s">
        <v>170</v>
      </c>
      <c r="R12" s="40" t="s">
        <v>151</v>
      </c>
      <c r="S12" s="40" t="s">
        <v>171</v>
      </c>
      <c r="T12" s="40" t="s">
        <v>172</v>
      </c>
    </row>
    <row r="13" spans="1:20" ht="15" x14ac:dyDescent="0.2">
      <c r="A13" s="69" t="s">
        <v>133</v>
      </c>
      <c r="B13" s="70"/>
      <c r="C13" s="74" t="s">
        <v>154</v>
      </c>
      <c r="D13" s="74"/>
      <c r="E13" s="74"/>
      <c r="F13" s="74"/>
      <c r="G13" s="74"/>
      <c r="H13" s="74"/>
      <c r="P13" s="40" t="s">
        <v>173</v>
      </c>
      <c r="Q13" s="40" t="s">
        <v>150</v>
      </c>
      <c r="R13" s="40"/>
      <c r="S13" s="40" t="s">
        <v>174</v>
      </c>
      <c r="T13" s="40" t="s">
        <v>175</v>
      </c>
    </row>
    <row r="14" spans="1:20" ht="15" x14ac:dyDescent="0.2">
      <c r="A14" s="69" t="s">
        <v>134</v>
      </c>
      <c r="B14" s="70"/>
      <c r="C14" s="74" t="s">
        <v>154</v>
      </c>
      <c r="D14" s="74"/>
      <c r="E14" s="74"/>
      <c r="F14" s="74"/>
      <c r="G14" s="74"/>
      <c r="H14" s="74"/>
      <c r="P14" s="40" t="s">
        <v>176</v>
      </c>
      <c r="Q14" s="40" t="s">
        <v>177</v>
      </c>
      <c r="R14" s="40"/>
      <c r="S14" s="40" t="s">
        <v>178</v>
      </c>
      <c r="T14" s="40" t="s">
        <v>179</v>
      </c>
    </row>
    <row r="15" spans="1:20" ht="15" x14ac:dyDescent="0.2">
      <c r="A15" s="69" t="s">
        <v>135</v>
      </c>
      <c r="B15" s="70"/>
      <c r="C15" s="75">
        <v>400615</v>
      </c>
      <c r="D15" s="75"/>
      <c r="E15" s="75"/>
      <c r="F15" s="75"/>
      <c r="G15" s="75"/>
      <c r="H15" s="75"/>
      <c r="P15" s="40" t="s">
        <v>180</v>
      </c>
      <c r="Q15" s="40" t="s">
        <v>181</v>
      </c>
      <c r="R15" s="40"/>
      <c r="S15" s="40" t="s">
        <v>182</v>
      </c>
      <c r="T15" s="40" t="s">
        <v>183</v>
      </c>
    </row>
    <row r="16" spans="1:20" ht="27.75" customHeight="1" x14ac:dyDescent="0.2">
      <c r="A16" s="69" t="s">
        <v>48</v>
      </c>
      <c r="B16" s="70"/>
      <c r="C16" s="72" t="s">
        <v>246</v>
      </c>
      <c r="D16" s="72"/>
      <c r="E16" s="72"/>
      <c r="F16" s="72"/>
      <c r="G16" s="72"/>
      <c r="H16" s="72"/>
      <c r="P16" s="40"/>
      <c r="Q16" s="40"/>
      <c r="R16" s="40"/>
      <c r="S16" s="40" t="s">
        <v>184</v>
      </c>
      <c r="T16" s="40" t="s">
        <v>185</v>
      </c>
    </row>
    <row r="17" spans="1:20" ht="15" x14ac:dyDescent="0.2">
      <c r="A17" s="69" t="s">
        <v>90</v>
      </c>
      <c r="B17" s="70"/>
      <c r="C17" s="76" t="s">
        <v>247</v>
      </c>
      <c r="D17" s="76"/>
      <c r="E17" s="76"/>
      <c r="F17" s="76"/>
      <c r="G17" s="76"/>
      <c r="H17" s="76"/>
      <c r="P17" s="40"/>
      <c r="Q17" s="40"/>
      <c r="R17" s="40"/>
      <c r="S17" s="40" t="s">
        <v>186</v>
      </c>
      <c r="T17" s="40" t="s">
        <v>187</v>
      </c>
    </row>
    <row r="18" spans="1:20" ht="15" x14ac:dyDescent="0.2">
      <c r="A18" s="69" t="s">
        <v>89</v>
      </c>
      <c r="B18" s="70"/>
      <c r="C18" s="77" t="s">
        <v>145</v>
      </c>
      <c r="D18" s="78"/>
      <c r="E18" s="79"/>
      <c r="F18" s="77" t="s">
        <v>248</v>
      </c>
      <c r="G18" s="78"/>
      <c r="H18" s="79"/>
      <c r="P18" s="40"/>
      <c r="Q18" s="40"/>
      <c r="R18" s="40"/>
      <c r="S18" s="40" t="s">
        <v>188</v>
      </c>
      <c r="T18" s="40" t="s">
        <v>189</v>
      </c>
    </row>
    <row r="19" spans="1:20" ht="15" x14ac:dyDescent="0.2">
      <c r="A19" s="69" t="s">
        <v>136</v>
      </c>
      <c r="B19" s="70"/>
      <c r="C19" s="80" t="s">
        <v>249</v>
      </c>
      <c r="D19" s="78"/>
      <c r="E19" s="78"/>
      <c r="F19" s="78"/>
      <c r="G19" s="78"/>
      <c r="H19" s="79"/>
      <c r="P19" s="40"/>
      <c r="Q19" s="40"/>
      <c r="R19" s="40"/>
      <c r="S19" s="40" t="s">
        <v>190</v>
      </c>
      <c r="T19" s="40" t="s">
        <v>191</v>
      </c>
    </row>
    <row r="20" spans="1:20" ht="15" x14ac:dyDescent="0.2">
      <c r="A20" s="69" t="s">
        <v>2</v>
      </c>
      <c r="B20" s="70"/>
      <c r="C20" s="72" t="s">
        <v>250</v>
      </c>
      <c r="D20" s="72"/>
      <c r="E20" s="72"/>
      <c r="F20" s="72"/>
      <c r="G20" s="72"/>
      <c r="H20" s="72"/>
      <c r="P20" s="40"/>
      <c r="Q20" s="40"/>
      <c r="R20" s="40"/>
      <c r="S20" s="40" t="s">
        <v>192</v>
      </c>
      <c r="T20" s="40" t="s">
        <v>193</v>
      </c>
    </row>
    <row r="21" spans="1:20" ht="27" customHeight="1" x14ac:dyDescent="0.2">
      <c r="A21" s="69" t="s">
        <v>3</v>
      </c>
      <c r="B21" s="70"/>
      <c r="C21" s="81" t="s">
        <v>251</v>
      </c>
      <c r="D21" s="81"/>
      <c r="E21" s="81"/>
      <c r="F21" s="81"/>
      <c r="G21" s="81"/>
      <c r="H21" s="81"/>
      <c r="P21" s="40"/>
      <c r="Q21" s="40"/>
      <c r="R21" s="40"/>
      <c r="S21" s="40" t="s">
        <v>194</v>
      </c>
      <c r="T21" s="40" t="s">
        <v>195</v>
      </c>
    </row>
    <row r="22" spans="1:20" ht="15" customHeight="1" x14ac:dyDescent="0.2">
      <c r="A22" s="69" t="s">
        <v>109</v>
      </c>
      <c r="B22" s="70"/>
      <c r="C22" s="75" t="s">
        <v>52</v>
      </c>
      <c r="D22" s="75"/>
      <c r="E22" s="75"/>
      <c r="F22" s="75"/>
      <c r="G22" s="75"/>
      <c r="H22" s="75"/>
      <c r="P22" s="40"/>
      <c r="Q22" s="40"/>
      <c r="R22" s="40"/>
      <c r="S22" s="40" t="s">
        <v>196</v>
      </c>
      <c r="T22" s="40" t="s">
        <v>197</v>
      </c>
    </row>
    <row r="23" spans="1:20" ht="26.25" customHeight="1" x14ac:dyDescent="0.2">
      <c r="A23" s="69" t="s">
        <v>4</v>
      </c>
      <c r="B23" s="70"/>
      <c r="C23" s="72" t="s">
        <v>252</v>
      </c>
      <c r="D23" s="74"/>
      <c r="E23" s="74"/>
      <c r="F23" s="74"/>
      <c r="G23" s="74"/>
      <c r="H23" s="74"/>
    </row>
    <row r="24" spans="1:20" x14ac:dyDescent="0.2">
      <c r="A24" s="69" t="s">
        <v>5</v>
      </c>
      <c r="B24" s="70"/>
      <c r="C24" s="74" t="s">
        <v>253</v>
      </c>
      <c r="D24" s="74"/>
      <c r="E24" s="74"/>
      <c r="F24" s="74"/>
      <c r="G24" s="74"/>
      <c r="H24" s="74"/>
    </row>
    <row r="25" spans="1:20" ht="27.75" customHeight="1" x14ac:dyDescent="0.2">
      <c r="A25" s="69" t="s">
        <v>87</v>
      </c>
      <c r="B25" s="70"/>
      <c r="C25" s="74" t="s">
        <v>254</v>
      </c>
      <c r="D25" s="74"/>
      <c r="E25" s="74"/>
      <c r="F25" s="74"/>
      <c r="G25" s="74"/>
      <c r="H25" s="74"/>
    </row>
    <row r="26" spans="1:20" ht="45.75" customHeight="1" x14ac:dyDescent="0.2">
      <c r="A26" s="82" t="s">
        <v>88</v>
      </c>
      <c r="B26" s="83"/>
      <c r="C26" s="84" t="s">
        <v>255</v>
      </c>
      <c r="D26" s="84"/>
      <c r="E26" s="84"/>
      <c r="F26" s="84"/>
      <c r="G26" s="84"/>
      <c r="H26" s="84"/>
    </row>
    <row r="27" spans="1:20" ht="38.25" x14ac:dyDescent="0.2">
      <c r="A27" s="69" t="s">
        <v>92</v>
      </c>
      <c r="B27" s="70"/>
      <c r="C27" s="85" t="s">
        <v>328</v>
      </c>
      <c r="D27" s="85"/>
      <c r="E27" s="85"/>
      <c r="F27" s="86" t="s">
        <v>7</v>
      </c>
      <c r="G27" s="84" t="s">
        <v>91</v>
      </c>
      <c r="H27" s="84"/>
    </row>
    <row r="28" spans="1:20" ht="25.5" x14ac:dyDescent="0.2">
      <c r="A28" s="82" t="s">
        <v>8</v>
      </c>
      <c r="B28" s="83"/>
      <c r="C28" s="75" t="s">
        <v>256</v>
      </c>
      <c r="D28" s="75"/>
      <c r="E28" s="75"/>
      <c r="F28" s="86" t="s">
        <v>124</v>
      </c>
      <c r="G28" s="84">
        <f>1840*0.15</f>
        <v>276</v>
      </c>
      <c r="H28" s="84"/>
    </row>
    <row r="29" spans="1:20" ht="28.5" customHeight="1" x14ac:dyDescent="0.2">
      <c r="A29" s="69" t="s">
        <v>206</v>
      </c>
      <c r="B29" s="70"/>
      <c r="C29" s="87" t="s">
        <v>257</v>
      </c>
      <c r="D29" s="88"/>
      <c r="E29" s="89"/>
      <c r="F29" s="89"/>
      <c r="G29" s="89"/>
      <c r="H29" s="90"/>
    </row>
    <row r="30" spans="1:20" ht="27" customHeight="1" x14ac:dyDescent="0.2">
      <c r="A30" s="69" t="s">
        <v>207</v>
      </c>
      <c r="B30" s="70"/>
      <c r="C30" s="87" t="s">
        <v>257</v>
      </c>
      <c r="D30" s="88"/>
      <c r="E30" s="89"/>
      <c r="F30" s="89"/>
      <c r="G30" s="89"/>
      <c r="H30" s="90"/>
    </row>
    <row r="31" spans="1:20" ht="12.75" customHeight="1" x14ac:dyDescent="0.2">
      <c r="A31" s="91" t="s">
        <v>9</v>
      </c>
      <c r="B31" s="92"/>
      <c r="C31" s="93" t="s">
        <v>93</v>
      </c>
      <c r="D31" s="94"/>
      <c r="E31" s="95" t="s">
        <v>12</v>
      </c>
      <c r="F31" s="95" t="s">
        <v>13</v>
      </c>
      <c r="G31" s="95" t="s">
        <v>14</v>
      </c>
      <c r="H31" s="95" t="s">
        <v>15</v>
      </c>
    </row>
    <row r="32" spans="1:20" ht="12.75" customHeight="1" x14ac:dyDescent="0.2">
      <c r="A32" s="96"/>
      <c r="B32" s="97"/>
      <c r="C32" s="93" t="s">
        <v>10</v>
      </c>
      <c r="D32" s="94"/>
      <c r="E32" s="98" t="s">
        <v>231</v>
      </c>
      <c r="F32" s="98" t="s">
        <v>231</v>
      </c>
      <c r="G32" s="98" t="s">
        <v>231</v>
      </c>
      <c r="H32" s="98" t="s">
        <v>231</v>
      </c>
    </row>
    <row r="33" spans="1:11" ht="12.75" customHeight="1" x14ac:dyDescent="0.2">
      <c r="A33" s="96"/>
      <c r="B33" s="97"/>
      <c r="C33" s="93" t="s">
        <v>86</v>
      </c>
      <c r="D33" s="94"/>
      <c r="E33" s="99" t="s">
        <v>261</v>
      </c>
      <c r="F33" s="99" t="s">
        <v>258</v>
      </c>
      <c r="G33" s="99" t="s">
        <v>260</v>
      </c>
      <c r="H33" s="99" t="s">
        <v>258</v>
      </c>
    </row>
    <row r="34" spans="1:11" ht="28.5" customHeight="1" x14ac:dyDescent="0.2">
      <c r="A34" s="100"/>
      <c r="B34" s="101"/>
      <c r="C34" s="102" t="s">
        <v>11</v>
      </c>
      <c r="D34" s="103"/>
      <c r="E34" s="98" t="s">
        <v>259</v>
      </c>
      <c r="F34" s="98" t="s">
        <v>262</v>
      </c>
      <c r="G34" s="98" t="s">
        <v>146</v>
      </c>
      <c r="H34" s="98" t="s">
        <v>263</v>
      </c>
    </row>
    <row r="35" spans="1:11" ht="29.25" customHeight="1" x14ac:dyDescent="0.2">
      <c r="A35" s="69" t="s">
        <v>16</v>
      </c>
      <c r="B35" s="70"/>
      <c r="C35" s="104" t="s">
        <v>242</v>
      </c>
      <c r="D35" s="104"/>
      <c r="E35" s="104"/>
      <c r="F35" s="104"/>
      <c r="G35" s="104"/>
      <c r="H35" s="104"/>
    </row>
    <row r="36" spans="1:11" ht="38.25" customHeight="1" x14ac:dyDescent="0.2">
      <c r="A36" s="69" t="s">
        <v>130</v>
      </c>
      <c r="B36" s="70"/>
      <c r="C36" s="105">
        <v>23915.040000000001</v>
      </c>
      <c r="D36" s="106"/>
      <c r="E36" s="107" t="s">
        <v>131</v>
      </c>
      <c r="F36" s="107"/>
      <c r="G36" s="108">
        <v>20283.27</v>
      </c>
      <c r="H36" s="108"/>
    </row>
    <row r="37" spans="1:11" x14ac:dyDescent="0.2">
      <c r="A37" s="69" t="s">
        <v>17</v>
      </c>
      <c r="B37" s="70"/>
      <c r="C37" s="109" t="s">
        <v>264</v>
      </c>
      <c r="D37" s="109"/>
      <c r="E37" s="109"/>
      <c r="F37" s="109"/>
      <c r="G37" s="109"/>
      <c r="H37" s="109"/>
    </row>
    <row r="38" spans="1:11" ht="133.5" customHeight="1" x14ac:dyDescent="0.2">
      <c r="A38" s="69" t="s">
        <v>123</v>
      </c>
      <c r="B38" s="70"/>
      <c r="C38" s="110" t="s">
        <v>265</v>
      </c>
      <c r="D38" s="110"/>
      <c r="E38" s="111"/>
      <c r="F38" s="111"/>
      <c r="G38" s="111"/>
      <c r="H38" s="111"/>
      <c r="I38" s="41"/>
    </row>
    <row r="39" spans="1:11" x14ac:dyDescent="0.2">
      <c r="A39" s="112" t="s">
        <v>94</v>
      </c>
      <c r="B39" s="112"/>
      <c r="C39" s="112"/>
      <c r="D39" s="112"/>
      <c r="E39" s="112"/>
      <c r="F39" s="112"/>
      <c r="G39" s="112"/>
      <c r="H39" s="112"/>
    </row>
    <row r="40" spans="1:11" ht="12.75" customHeight="1" x14ac:dyDescent="0.2">
      <c r="A40" s="113" t="s">
        <v>19</v>
      </c>
      <c r="B40" s="114"/>
      <c r="C40" s="115" t="s">
        <v>95</v>
      </c>
      <c r="D40" s="115"/>
      <c r="E40" s="115"/>
      <c r="F40" s="115"/>
      <c r="G40" s="108">
        <v>20283.27</v>
      </c>
      <c r="H40" s="108"/>
    </row>
    <row r="41" spans="1:11" x14ac:dyDescent="0.2">
      <c r="A41" s="116"/>
      <c r="B41" s="117"/>
      <c r="C41" s="115" t="s">
        <v>96</v>
      </c>
      <c r="D41" s="115"/>
      <c r="E41" s="115"/>
      <c r="F41" s="115"/>
      <c r="G41" s="118">
        <f>22311.6/G40</f>
        <v>1.1000001479051453</v>
      </c>
      <c r="H41" s="118"/>
    </row>
    <row r="42" spans="1:11" x14ac:dyDescent="0.2">
      <c r="A42" s="116"/>
      <c r="B42" s="117"/>
      <c r="C42" s="115" t="s">
        <v>97</v>
      </c>
      <c r="D42" s="115"/>
      <c r="E42" s="115"/>
      <c r="F42" s="115"/>
      <c r="G42" s="118">
        <f>G45/G40-G41</f>
        <v>3.9476090393708709</v>
      </c>
      <c r="H42" s="118"/>
    </row>
    <row r="43" spans="1:11" x14ac:dyDescent="0.2">
      <c r="A43" s="116"/>
      <c r="B43" s="117"/>
      <c r="C43" s="109" t="s">
        <v>98</v>
      </c>
      <c r="D43" s="109"/>
      <c r="E43" s="109"/>
      <c r="F43" s="109"/>
      <c r="G43" s="118">
        <f>G41+G42</f>
        <v>5.0476091872760165</v>
      </c>
      <c r="H43" s="118"/>
    </row>
    <row r="44" spans="1:11" x14ac:dyDescent="0.2">
      <c r="A44" s="116"/>
      <c r="B44" s="117"/>
      <c r="C44" s="109" t="s">
        <v>129</v>
      </c>
      <c r="D44" s="109"/>
      <c r="E44" s="109"/>
      <c r="F44" s="109"/>
      <c r="G44" s="108">
        <v>102498.39</v>
      </c>
      <c r="H44" s="108"/>
    </row>
    <row r="45" spans="1:11" x14ac:dyDescent="0.2">
      <c r="A45" s="119"/>
      <c r="B45" s="120"/>
      <c r="C45" s="115" t="s">
        <v>99</v>
      </c>
      <c r="D45" s="115"/>
      <c r="E45" s="115"/>
      <c r="F45" s="115"/>
      <c r="G45" s="108">
        <v>102382.02</v>
      </c>
      <c r="H45" s="108"/>
    </row>
    <row r="46" spans="1:11" ht="32.25" customHeight="1" x14ac:dyDescent="0.2">
      <c r="A46" s="69" t="s">
        <v>100</v>
      </c>
      <c r="B46" s="70"/>
      <c r="C46" s="121" t="s">
        <v>268</v>
      </c>
      <c r="D46" s="122"/>
      <c r="E46" s="122"/>
      <c r="F46" s="123"/>
      <c r="G46" s="124" t="s">
        <v>229</v>
      </c>
      <c r="H46" s="125">
        <v>45632</v>
      </c>
    </row>
    <row r="47" spans="1:11" ht="32.25" customHeight="1" x14ac:dyDescent="0.2">
      <c r="A47" s="69" t="s">
        <v>20</v>
      </c>
      <c r="B47" s="70"/>
      <c r="C47" s="104" t="s">
        <v>266</v>
      </c>
      <c r="D47" s="104"/>
      <c r="E47" s="115"/>
      <c r="F47" s="115"/>
      <c r="G47" s="115"/>
      <c r="H47" s="115"/>
      <c r="I47" s="11"/>
      <c r="J47" s="11"/>
      <c r="K47" s="11"/>
    </row>
    <row r="48" spans="1:11" ht="43.5" customHeight="1" x14ac:dyDescent="0.2">
      <c r="A48" s="126" t="s">
        <v>269</v>
      </c>
      <c r="B48" s="127"/>
      <c r="C48" s="121" t="s">
        <v>267</v>
      </c>
      <c r="D48" s="122"/>
      <c r="E48" s="122"/>
      <c r="F48" s="123"/>
      <c r="G48" s="128" t="s">
        <v>229</v>
      </c>
      <c r="H48" s="125">
        <v>45632</v>
      </c>
      <c r="I48" s="11"/>
      <c r="J48" s="11"/>
      <c r="K48" s="11"/>
    </row>
    <row r="49" spans="1:12" x14ac:dyDescent="0.2">
      <c r="A49" s="129" t="s">
        <v>21</v>
      </c>
      <c r="B49" s="130"/>
      <c r="C49" s="131" t="s">
        <v>110</v>
      </c>
      <c r="D49" s="132"/>
      <c r="E49" s="133" t="s">
        <v>231</v>
      </c>
      <c r="F49" s="133"/>
      <c r="G49" s="133"/>
      <c r="H49" s="133"/>
      <c r="I49" s="11"/>
      <c r="J49" s="11"/>
      <c r="K49" s="11"/>
    </row>
    <row r="50" spans="1:12" x14ac:dyDescent="0.2">
      <c r="A50" s="134"/>
      <c r="B50" s="135"/>
      <c r="C50" s="131" t="s">
        <v>111</v>
      </c>
      <c r="D50" s="132"/>
      <c r="E50" s="65" t="s">
        <v>231</v>
      </c>
      <c r="F50" s="67"/>
      <c r="G50" s="136" t="s">
        <v>229</v>
      </c>
      <c r="H50" s="137" t="s">
        <v>231</v>
      </c>
      <c r="J50" s="6" t="s">
        <v>238</v>
      </c>
    </row>
    <row r="51" spans="1:12" x14ac:dyDescent="0.2">
      <c r="A51" s="138"/>
      <c r="B51" s="139"/>
      <c r="C51" s="131" t="s">
        <v>239</v>
      </c>
      <c r="D51" s="140"/>
      <c r="E51" s="76" t="s">
        <v>270</v>
      </c>
      <c r="F51" s="84"/>
      <c r="G51" s="84"/>
      <c r="H51" s="84"/>
      <c r="I51" s="43" t="s">
        <v>237</v>
      </c>
      <c r="J51" s="42"/>
      <c r="K51" s="42"/>
      <c r="L51" s="42"/>
    </row>
    <row r="52" spans="1:12" x14ac:dyDescent="0.2">
      <c r="A52" s="141" t="s">
        <v>230</v>
      </c>
      <c r="B52" s="142"/>
      <c r="C52" s="131"/>
      <c r="D52" s="143"/>
      <c r="E52" s="143"/>
      <c r="F52" s="143"/>
      <c r="G52" s="143"/>
      <c r="H52" s="132"/>
    </row>
    <row r="53" spans="1:12" ht="36" hidden="1" customHeight="1" x14ac:dyDescent="0.2">
      <c r="A53" s="144" t="s">
        <v>232</v>
      </c>
      <c r="B53" s="145"/>
      <c r="C53" s="121"/>
      <c r="D53" s="122"/>
      <c r="E53" s="122"/>
      <c r="F53" s="123"/>
      <c r="G53" s="136" t="s">
        <v>229</v>
      </c>
      <c r="H53" s="146"/>
    </row>
    <row r="54" spans="1:12" ht="20.25" customHeight="1" x14ac:dyDescent="0.2">
      <c r="A54" s="147" t="s">
        <v>233</v>
      </c>
      <c r="B54" s="148"/>
      <c r="C54" s="121" t="s">
        <v>271</v>
      </c>
      <c r="D54" s="122"/>
      <c r="E54" s="122"/>
      <c r="F54" s="123"/>
      <c r="G54" s="136" t="s">
        <v>229</v>
      </c>
      <c r="H54" s="146">
        <v>45328</v>
      </c>
    </row>
    <row r="55" spans="1:12" ht="21.75" customHeight="1" x14ac:dyDescent="0.2">
      <c r="A55" s="149"/>
      <c r="B55" s="150"/>
      <c r="C55" s="121" t="s">
        <v>272</v>
      </c>
      <c r="D55" s="122"/>
      <c r="E55" s="122"/>
      <c r="F55" s="122"/>
      <c r="G55" s="122"/>
      <c r="H55" s="123"/>
    </row>
    <row r="56" spans="1:12" hidden="1" x14ac:dyDescent="0.2">
      <c r="A56" s="151" t="s">
        <v>234</v>
      </c>
      <c r="B56" s="152"/>
      <c r="C56" s="153"/>
      <c r="D56" s="154"/>
      <c r="E56" s="154"/>
      <c r="F56" s="155"/>
      <c r="G56" s="136" t="s">
        <v>229</v>
      </c>
      <c r="H56" s="146"/>
    </row>
    <row r="57" spans="1:12" ht="25.5" hidden="1" customHeight="1" x14ac:dyDescent="0.2">
      <c r="A57" s="156"/>
      <c r="B57" s="157"/>
      <c r="C57" s="158"/>
      <c r="D57" s="159"/>
      <c r="E57" s="159"/>
      <c r="F57" s="160"/>
      <c r="G57" s="136" t="s">
        <v>235</v>
      </c>
      <c r="H57" s="146"/>
    </row>
    <row r="58" spans="1:12" ht="25.5" hidden="1" customHeight="1" x14ac:dyDescent="0.2">
      <c r="A58" s="161"/>
      <c r="B58" s="162"/>
      <c r="C58" s="121" t="s">
        <v>236</v>
      </c>
      <c r="D58" s="122"/>
      <c r="E58" s="122"/>
      <c r="F58" s="123"/>
      <c r="G58" s="136"/>
      <c r="H58" s="146"/>
    </row>
    <row r="59" spans="1:12" x14ac:dyDescent="0.2">
      <c r="A59" s="163" t="s">
        <v>22</v>
      </c>
      <c r="B59" s="163"/>
      <c r="C59" s="163"/>
      <c r="D59" s="163"/>
      <c r="E59" s="163"/>
      <c r="F59" s="163"/>
      <c r="G59" s="163"/>
      <c r="H59" s="163"/>
    </row>
    <row r="60" spans="1:12" ht="25.5" customHeight="1" x14ac:dyDescent="0.2">
      <c r="A60" s="141" t="s">
        <v>23</v>
      </c>
      <c r="B60" s="142"/>
      <c r="C60" s="105" t="s">
        <v>273</v>
      </c>
      <c r="D60" s="68"/>
      <c r="E60" s="141" t="s">
        <v>24</v>
      </c>
      <c r="F60" s="142"/>
      <c r="G60" s="164" t="s">
        <v>274</v>
      </c>
      <c r="H60" s="165"/>
    </row>
    <row r="61" spans="1:12" ht="13.5" thickBot="1" x14ac:dyDescent="0.25">
      <c r="A61" s="166" t="s">
        <v>57</v>
      </c>
      <c r="B61" s="166"/>
      <c r="C61" s="166"/>
      <c r="D61" s="166"/>
      <c r="E61" s="166"/>
      <c r="F61" s="166"/>
      <c r="G61" s="166"/>
      <c r="H61" s="166"/>
    </row>
    <row r="62" spans="1:12" ht="26.25" customHeight="1" x14ac:dyDescent="0.2">
      <c r="A62" s="167" t="s">
        <v>327</v>
      </c>
      <c r="B62" s="168"/>
      <c r="C62" s="168"/>
      <c r="D62" s="169"/>
      <c r="E62" s="170" t="s">
        <v>58</v>
      </c>
      <c r="F62" s="170" t="s">
        <v>59</v>
      </c>
      <c r="G62" s="170" t="s">
        <v>60</v>
      </c>
      <c r="H62" s="171" t="s">
        <v>46</v>
      </c>
      <c r="I62" s="30" t="str">
        <f ca="1">(IF(G66&gt;99%,"All work completed. Please provide OC.",IF(G66&gt;89.8%,"Plinth, RCC, Brick, Plaster, Flooring, Painting work Completed. Finishing work is in process.",IF(G66&lt;94%,(IF(E66=0,"Work not yet Started.",IF(F66=25%,"Piling work in process",IF(F66=50%,"Excavation work in process",IF(F66=100%,"Excavation work Completed. ","0")))&amp;(IF(E67=0%,"",IF(E67=J68,"Footing work is process",IF(E67=J69,"Footing work Completed",IF(E67=J70,"1st Basement Completed",IF(E67=J71,"1st &amp; 2nd Basement Completed",IF(E67=J72,"1st to 3rd Basement Completed",IF(E67=J73,"1st to 4th Basement Completed",IF(E67=J74,"Plinth work is process",IF(E67=J75,"Plinth work completed","0")))))))))))&amp;(IF(E68=(F63+G63+H63),", RCC Slab",IF(E68&gt;0,", RCC upto "&amp;E68&amp;" Slab",""))&amp;(IF(E69=H63,", Brickwork",IF(E69&gt;0,", Brickwork upto "&amp;E69&amp;" Floor",""))&amp;(IF(E70=H63,", Internal Plaster",IF(E70&gt;0,", Internal Plaster upto "&amp;E70&amp;" Floor",""))&amp;(IF(E71=H63,", External Plaster",IF(E71&gt;0,", External Plaster upto "&amp;E71&amp;" Floor",""))&amp;(IF(E72=H63,", Flooring",IF(E72&gt;0,", Flooring upto "&amp;E72&amp;" Floor",""))&amp;(IF(E73=H63,", Painting",IF(E73&gt;0,", Painting upto "&amp;E73&amp;" Floor",""))&amp;(IF(E74&gt;0,", Finishing upto "&amp;E74&amp;" Floor","")&amp;(IF(E68&gt;0.5," Completed",""))))))))))))))</f>
        <v>Excavation work Completed. Plinth work completed</v>
      </c>
      <c r="J62" s="31"/>
    </row>
    <row r="63" spans="1:12" x14ac:dyDescent="0.2">
      <c r="A63" s="172"/>
      <c r="B63" s="173"/>
      <c r="C63" s="173"/>
      <c r="D63" s="174"/>
      <c r="E63" s="175">
        <v>0</v>
      </c>
      <c r="F63" s="175">
        <v>1</v>
      </c>
      <c r="G63" s="175">
        <v>0</v>
      </c>
      <c r="H63" s="176">
        <f ca="1">--TRIM(RIGHT(SUBSTITUTE(LEFT(A62,_xlfn.AGGREGATE(16,6,FIND({0,1,2,3,4,5,6,7,8,9},A62,ROW(INDIRECT("1:"&amp;LEN(A62)))),1))," ",REPT(" ",LEN(A62))),LEN(A62)))</f>
        <v>34</v>
      </c>
      <c r="I63" s="32"/>
      <c r="J63" s="33"/>
    </row>
    <row r="64" spans="1:12" ht="15" customHeight="1" x14ac:dyDescent="0.2">
      <c r="A64" s="177" t="s">
        <v>137</v>
      </c>
      <c r="B64" s="178"/>
      <c r="C64" s="179" t="str">
        <f ca="1">I62</f>
        <v>Excavation work Completed. Plinth work completed</v>
      </c>
      <c r="D64" s="179"/>
      <c r="E64" s="179"/>
      <c r="F64" s="179"/>
      <c r="G64" s="179"/>
      <c r="H64" s="180"/>
      <c r="I64" s="32" t="s">
        <v>138</v>
      </c>
      <c r="J64" s="33"/>
    </row>
    <row r="65" spans="1:10" ht="15" customHeight="1" x14ac:dyDescent="0.2">
      <c r="A65" s="181" t="s">
        <v>61</v>
      </c>
      <c r="B65" s="182"/>
      <c r="C65" s="183" t="s">
        <v>139</v>
      </c>
      <c r="D65" s="183"/>
      <c r="E65" s="184" t="s">
        <v>62</v>
      </c>
      <c r="F65" s="184" t="s">
        <v>63</v>
      </c>
      <c r="G65" s="185" t="s">
        <v>56</v>
      </c>
      <c r="H65" s="186"/>
      <c r="I65" s="1" t="s">
        <v>64</v>
      </c>
      <c r="J65" s="34">
        <f ca="1">H63*25%</f>
        <v>8.5</v>
      </c>
    </row>
    <row r="66" spans="1:10" ht="15" customHeight="1" x14ac:dyDescent="0.2">
      <c r="A66" s="181" t="s">
        <v>65</v>
      </c>
      <c r="B66" s="182"/>
      <c r="C66" s="187">
        <v>0</v>
      </c>
      <c r="D66" s="187"/>
      <c r="E66" s="188">
        <f ca="1">J67</f>
        <v>34</v>
      </c>
      <c r="F66" s="189">
        <f ca="1">((100/H63)*E66)/100</f>
        <v>1</v>
      </c>
      <c r="G66" s="190">
        <f ca="1">(((E67/H63*10)+(40/(F63+G63+H63)*E68)+(15/(H63)*E69)+(5/(H63)*E70)+(5/H63*E71)+(10/H63*E72)+(5/H63*E73)+(5/H63*E74)+(5/H63*E75))/100)</f>
        <v>0.1</v>
      </c>
      <c r="H66" s="191"/>
      <c r="I66" s="1" t="s">
        <v>66</v>
      </c>
      <c r="J66" s="35">
        <f ca="1">H63*50%</f>
        <v>17</v>
      </c>
    </row>
    <row r="67" spans="1:10" ht="15" customHeight="1" x14ac:dyDescent="0.2">
      <c r="A67" s="181" t="s">
        <v>67</v>
      </c>
      <c r="B67" s="182"/>
      <c r="C67" s="187">
        <v>0.1</v>
      </c>
      <c r="D67" s="187"/>
      <c r="E67" s="192">
        <f ca="1">J75</f>
        <v>34</v>
      </c>
      <c r="F67" s="189">
        <f ca="1">((100/H63)*E67)/100</f>
        <v>1</v>
      </c>
      <c r="G67" s="190"/>
      <c r="H67" s="191"/>
      <c r="I67" s="1" t="s">
        <v>68</v>
      </c>
      <c r="J67" s="35">
        <f ca="1">H63</f>
        <v>34</v>
      </c>
    </row>
    <row r="68" spans="1:10" ht="15" customHeight="1" x14ac:dyDescent="0.2">
      <c r="A68" s="181" t="s">
        <v>69</v>
      </c>
      <c r="B68" s="182"/>
      <c r="C68" s="187">
        <v>0.4</v>
      </c>
      <c r="D68" s="187"/>
      <c r="E68" s="192">
        <v>0</v>
      </c>
      <c r="F68" s="189">
        <f ca="1">((100/(F63+G63+H63))*E68)/100</f>
        <v>0</v>
      </c>
      <c r="G68" s="190"/>
      <c r="H68" s="191"/>
      <c r="I68" s="1" t="s">
        <v>70</v>
      </c>
      <c r="J68" s="36">
        <f ca="1">(IF(E63&gt;1,(H63/(E63+2)),H63/4))</f>
        <v>8.5</v>
      </c>
    </row>
    <row r="69" spans="1:10" ht="15" customHeight="1" x14ac:dyDescent="0.2">
      <c r="A69" s="181" t="s">
        <v>71</v>
      </c>
      <c r="B69" s="182"/>
      <c r="C69" s="187">
        <v>0.15</v>
      </c>
      <c r="D69" s="187"/>
      <c r="E69" s="188">
        <v>0</v>
      </c>
      <c r="F69" s="189">
        <f ca="1">((100/H63)*E69)/100</f>
        <v>0</v>
      </c>
      <c r="G69" s="190"/>
      <c r="H69" s="191"/>
      <c r="I69" s="1" t="s">
        <v>72</v>
      </c>
      <c r="J69" s="36">
        <f ca="1">(IF(E63&gt;1,(H63/(E63+2)+J68),H63/4+J68))</f>
        <v>17</v>
      </c>
    </row>
    <row r="70" spans="1:10" ht="15" customHeight="1" x14ac:dyDescent="0.2">
      <c r="A70" s="181" t="s">
        <v>73</v>
      </c>
      <c r="B70" s="182"/>
      <c r="C70" s="187">
        <v>0.05</v>
      </c>
      <c r="D70" s="187"/>
      <c r="E70" s="188">
        <v>0</v>
      </c>
      <c r="F70" s="189">
        <f ca="1">((100/H63)*E70)/100</f>
        <v>0</v>
      </c>
      <c r="G70" s="190"/>
      <c r="H70" s="191"/>
      <c r="I70" s="1" t="s">
        <v>74</v>
      </c>
      <c r="J70" s="36">
        <f>(IF(E63&gt;1,(H63/(E63+2)+J69),0))</f>
        <v>0</v>
      </c>
    </row>
    <row r="71" spans="1:10" ht="15" customHeight="1" x14ac:dyDescent="0.2">
      <c r="A71" s="181" t="s">
        <v>75</v>
      </c>
      <c r="B71" s="182"/>
      <c r="C71" s="187">
        <v>0.05</v>
      </c>
      <c r="D71" s="187"/>
      <c r="E71" s="188">
        <v>0</v>
      </c>
      <c r="F71" s="189">
        <f ca="1">((100/(H63))*E71)/100</f>
        <v>0</v>
      </c>
      <c r="G71" s="190"/>
      <c r="H71" s="191"/>
      <c r="I71" s="1" t="s">
        <v>76</v>
      </c>
      <c r="J71" s="36">
        <f>(IF(E63&gt;2,(H63/(E63+2)+J70),0))</f>
        <v>0</v>
      </c>
    </row>
    <row r="72" spans="1:10" ht="15" customHeight="1" x14ac:dyDescent="0.2">
      <c r="A72" s="181" t="s">
        <v>77</v>
      </c>
      <c r="B72" s="182"/>
      <c r="C72" s="187">
        <v>0.1</v>
      </c>
      <c r="D72" s="187"/>
      <c r="E72" s="188">
        <v>0</v>
      </c>
      <c r="F72" s="189">
        <f ca="1">((100/H63)*E72)/100</f>
        <v>0</v>
      </c>
      <c r="G72" s="190"/>
      <c r="H72" s="191"/>
      <c r="I72" s="1" t="s">
        <v>78</v>
      </c>
      <c r="J72" s="37">
        <f>(IF(E63&gt;3,(H63/(E63+2)+J71),0))</f>
        <v>0</v>
      </c>
    </row>
    <row r="73" spans="1:10" ht="15.75" customHeight="1" x14ac:dyDescent="0.2">
      <c r="A73" s="181" t="s">
        <v>79</v>
      </c>
      <c r="B73" s="182"/>
      <c r="C73" s="187">
        <v>0.05</v>
      </c>
      <c r="D73" s="187"/>
      <c r="E73" s="188">
        <v>0</v>
      </c>
      <c r="F73" s="189">
        <f ca="1">((100/H63)*E73)/100</f>
        <v>0</v>
      </c>
      <c r="G73" s="190"/>
      <c r="H73" s="191"/>
      <c r="I73" s="1" t="s">
        <v>80</v>
      </c>
      <c r="J73" s="36">
        <f>(IF(E63&gt;4,(H63/(E63+2)+J72),0))</f>
        <v>0</v>
      </c>
    </row>
    <row r="74" spans="1:10" x14ac:dyDescent="0.2">
      <c r="A74" s="181" t="s">
        <v>81</v>
      </c>
      <c r="B74" s="182"/>
      <c r="C74" s="187">
        <v>0.05</v>
      </c>
      <c r="D74" s="187"/>
      <c r="E74" s="188">
        <v>0</v>
      </c>
      <c r="F74" s="189">
        <f ca="1">((100/(H63))*E74)/100</f>
        <v>0</v>
      </c>
      <c r="G74" s="190"/>
      <c r="H74" s="191"/>
      <c r="I74" s="1" t="s">
        <v>82</v>
      </c>
      <c r="J74" s="36">
        <f ca="1">(IF(E63=1,(H63/(E63+3)+J69),IF(E63=0,(H63/4+J69),IF(E63&gt;1,0))))</f>
        <v>25.5</v>
      </c>
    </row>
    <row r="75" spans="1:10" ht="13.5" thickBot="1" x14ac:dyDescent="0.25">
      <c r="A75" s="193" t="s">
        <v>83</v>
      </c>
      <c r="B75" s="194"/>
      <c r="C75" s="195">
        <v>0.05</v>
      </c>
      <c r="D75" s="195"/>
      <c r="E75" s="196">
        <v>0</v>
      </c>
      <c r="F75" s="197">
        <f ca="1">((100/(H63))*E75)/100</f>
        <v>0</v>
      </c>
      <c r="G75" s="198"/>
      <c r="H75" s="199"/>
      <c r="I75" s="38" t="s">
        <v>84</v>
      </c>
      <c r="J75" s="39">
        <f ca="1">(IF(E63&gt;1.5,(H63/(E63+2)+J69+MAX(0,J70-J69)+MAX(0,J71-J70)+MAX(0,J72-J71)+MAX(0,J73-J72)+MAX(0,J74-J73)),IF(E63=1,(H63/(E63+3)+J74),IF(E63=0,H63/4+J74))))</f>
        <v>34</v>
      </c>
    </row>
    <row r="76" spans="1:10" ht="13.5" thickBot="1" x14ac:dyDescent="0.25">
      <c r="A76" s="166" t="s">
        <v>57</v>
      </c>
      <c r="B76" s="166"/>
      <c r="C76" s="166"/>
      <c r="D76" s="166"/>
      <c r="E76" s="166"/>
      <c r="F76" s="166"/>
      <c r="G76" s="166"/>
      <c r="H76" s="166"/>
    </row>
    <row r="77" spans="1:10" ht="26.25" customHeight="1" x14ac:dyDescent="0.2">
      <c r="A77" s="167" t="s">
        <v>329</v>
      </c>
      <c r="B77" s="168"/>
      <c r="C77" s="168"/>
      <c r="D77" s="169"/>
      <c r="E77" s="170" t="s">
        <v>58</v>
      </c>
      <c r="F77" s="170" t="s">
        <v>59</v>
      </c>
      <c r="G77" s="170" t="s">
        <v>60</v>
      </c>
      <c r="H77" s="171" t="s">
        <v>46</v>
      </c>
      <c r="I77" s="30" t="str">
        <f ca="1">(IF(G81&gt;99%,"All work completed. Please provide OC.",IF(G81&gt;89.8%,"Plinth, RCC, Brick, Plaster, Flooring, Painting work Completed. Finishing work is in process.",IF(G81&lt;94%,(IF(E81=0,"Work not yet Started.",IF(F81=25%,"Piling work in process",IF(F81=50%,"Excavation work in process",IF(F81=100%,"Excavation work Completed. ","0")))&amp;(IF(E82=0%,"",IF(E82=J83,"Footing work is process",IF(E82=J84,"Footing work Completed",IF(E82=J85,"1st Basement Completed",IF(E82=J86,"1st &amp; 2nd Basement Completed",IF(E82=J87,"1st to 3rd Basement Completed",IF(E82=J88,"1st to 4th Basement Completed",IF(E82=J89,"Plinth work is process",IF(E82=J90,"Plinth work completed","0")))))))))))&amp;(IF(E83=(F78+G78+H78),", RCC Slab",IF(E83&gt;0,", RCC upto "&amp;E83&amp;" Slab",""))&amp;(IF(E84=H78,", Brickwork",IF(E84&gt;0,", Brickwork upto "&amp;E84&amp;" Floor",""))&amp;(IF(E85=H78,", Internal Plaster",IF(E85&gt;0,", Internal Plaster upto "&amp;E85&amp;" Floor",""))&amp;(IF(E86=H78,", External Plaster",IF(E86&gt;0,", External Plaster upto "&amp;E86&amp;" Floor",""))&amp;(IF(E87=H78,", Flooring",IF(E87&gt;0,", Flooring upto "&amp;E87&amp;" Floor",""))&amp;(IF(E88=H78,", Painting",IF(E88&gt;0,", Painting upto "&amp;E88&amp;" Floor",""))&amp;(IF(E89&gt;0,", Finishing upto "&amp;E89&amp;" Floor","")&amp;(IF(E83&gt;0.5," Completed",""))))))))))))))</f>
        <v>Excavation work Completed. Plinth work completed, RCC upto 3 Slab Completed</v>
      </c>
      <c r="J77" s="31"/>
    </row>
    <row r="78" spans="1:10" x14ac:dyDescent="0.2">
      <c r="A78" s="172"/>
      <c r="B78" s="173"/>
      <c r="C78" s="173"/>
      <c r="D78" s="174"/>
      <c r="E78" s="175">
        <v>0</v>
      </c>
      <c r="F78" s="175">
        <v>1</v>
      </c>
      <c r="G78" s="175">
        <v>0</v>
      </c>
      <c r="H78" s="176">
        <f ca="1">--TRIM(RIGHT(SUBSTITUTE(LEFT(A77,_xlfn.AGGREGATE(16,6,FIND({0,1,2,3,4,5,6,7,8,9},A77,ROW(INDIRECT("1:"&amp;LEN(A77)))),1))," ",REPT(" ",LEN(A77))),LEN(A77)))</f>
        <v>36</v>
      </c>
      <c r="I78" s="32"/>
      <c r="J78" s="33"/>
    </row>
    <row r="79" spans="1:10" ht="15" customHeight="1" x14ac:dyDescent="0.2">
      <c r="A79" s="177" t="s">
        <v>137</v>
      </c>
      <c r="B79" s="178"/>
      <c r="C79" s="179" t="str">
        <f ca="1">I77</f>
        <v>Excavation work Completed. Plinth work completed, RCC upto 3 Slab Completed</v>
      </c>
      <c r="D79" s="179"/>
      <c r="E79" s="179"/>
      <c r="F79" s="179"/>
      <c r="G79" s="179"/>
      <c r="H79" s="180"/>
      <c r="I79" s="32" t="s">
        <v>138</v>
      </c>
      <c r="J79" s="33"/>
    </row>
    <row r="80" spans="1:10" ht="15" customHeight="1" x14ac:dyDescent="0.2">
      <c r="A80" s="181" t="s">
        <v>61</v>
      </c>
      <c r="B80" s="182"/>
      <c r="C80" s="183" t="s">
        <v>139</v>
      </c>
      <c r="D80" s="183"/>
      <c r="E80" s="184" t="s">
        <v>62</v>
      </c>
      <c r="F80" s="184" t="s">
        <v>63</v>
      </c>
      <c r="G80" s="185" t="s">
        <v>56</v>
      </c>
      <c r="H80" s="186"/>
      <c r="I80" s="1" t="s">
        <v>64</v>
      </c>
      <c r="J80" s="34">
        <f ca="1">H78*25%</f>
        <v>9</v>
      </c>
    </row>
    <row r="81" spans="1:10" ht="15" customHeight="1" x14ac:dyDescent="0.2">
      <c r="A81" s="181" t="s">
        <v>65</v>
      </c>
      <c r="B81" s="182"/>
      <c r="C81" s="187">
        <v>0</v>
      </c>
      <c r="D81" s="187"/>
      <c r="E81" s="188">
        <f ca="1">J82</f>
        <v>36</v>
      </c>
      <c r="F81" s="189">
        <f ca="1">((100/H78)*E81)/100</f>
        <v>1</v>
      </c>
      <c r="G81" s="190">
        <f ca="1">(((E82/H78*10)+(40/(F78+G78+H78)*E83)+(15/(H78)*E84)+(5/(H78)*E85)+(5/H78*E86)+(10/H78*E87)+(5/H78*E88)+(5/H78*E89)+(5/H78*E90))/100)</f>
        <v>0.13243243243243244</v>
      </c>
      <c r="H81" s="191"/>
      <c r="I81" s="1" t="s">
        <v>66</v>
      </c>
      <c r="J81" s="35">
        <f ca="1">H78*50%</f>
        <v>18</v>
      </c>
    </row>
    <row r="82" spans="1:10" ht="15" customHeight="1" x14ac:dyDescent="0.2">
      <c r="A82" s="181" t="s">
        <v>67</v>
      </c>
      <c r="B82" s="182"/>
      <c r="C82" s="187">
        <v>0.1</v>
      </c>
      <c r="D82" s="187"/>
      <c r="E82" s="192">
        <f ca="1">J90</f>
        <v>36</v>
      </c>
      <c r="F82" s="189">
        <f ca="1">((100/H78)*E82)/100</f>
        <v>1</v>
      </c>
      <c r="G82" s="190"/>
      <c r="H82" s="191"/>
      <c r="I82" s="1" t="s">
        <v>68</v>
      </c>
      <c r="J82" s="35">
        <f ca="1">H78</f>
        <v>36</v>
      </c>
    </row>
    <row r="83" spans="1:10" ht="15" customHeight="1" x14ac:dyDescent="0.2">
      <c r="A83" s="181" t="s">
        <v>69</v>
      </c>
      <c r="B83" s="182"/>
      <c r="C83" s="187">
        <v>0.4</v>
      </c>
      <c r="D83" s="187"/>
      <c r="E83" s="192">
        <v>3</v>
      </c>
      <c r="F83" s="189">
        <f ca="1">((100/(F78+G78+H78))*E83)/100</f>
        <v>8.1081081081081086E-2</v>
      </c>
      <c r="G83" s="190"/>
      <c r="H83" s="191"/>
      <c r="I83" s="1" t="s">
        <v>70</v>
      </c>
      <c r="J83" s="36">
        <f ca="1">(IF(E78&gt;1,(H78/(E78+2)),H78/4))</f>
        <v>9</v>
      </c>
    </row>
    <row r="84" spans="1:10" ht="15" customHeight="1" x14ac:dyDescent="0.2">
      <c r="A84" s="181" t="s">
        <v>71</v>
      </c>
      <c r="B84" s="182"/>
      <c r="C84" s="187">
        <v>0.15</v>
      </c>
      <c r="D84" s="187"/>
      <c r="E84" s="188">
        <v>0</v>
      </c>
      <c r="F84" s="189">
        <f ca="1">((100/H78)*E84)/100</f>
        <v>0</v>
      </c>
      <c r="G84" s="190"/>
      <c r="H84" s="191"/>
      <c r="I84" s="1" t="s">
        <v>72</v>
      </c>
      <c r="J84" s="36">
        <f ca="1">(IF(E78&gt;1,(H78/(E78+2)+J83),H78/4+J83))</f>
        <v>18</v>
      </c>
    </row>
    <row r="85" spans="1:10" ht="15" customHeight="1" x14ac:dyDescent="0.2">
      <c r="A85" s="181" t="s">
        <v>73</v>
      </c>
      <c r="B85" s="182"/>
      <c r="C85" s="187">
        <v>0.05</v>
      </c>
      <c r="D85" s="187"/>
      <c r="E85" s="188">
        <v>0</v>
      </c>
      <c r="F85" s="189">
        <f ca="1">((100/H78)*E85)/100</f>
        <v>0</v>
      </c>
      <c r="G85" s="190"/>
      <c r="H85" s="191"/>
      <c r="I85" s="1" t="s">
        <v>74</v>
      </c>
      <c r="J85" s="36">
        <f>(IF(E78&gt;1,(H78/(E78+2)+J84),0))</f>
        <v>0</v>
      </c>
    </row>
    <row r="86" spans="1:10" ht="15" customHeight="1" x14ac:dyDescent="0.2">
      <c r="A86" s="181" t="s">
        <v>75</v>
      </c>
      <c r="B86" s="182"/>
      <c r="C86" s="187">
        <v>0.05</v>
      </c>
      <c r="D86" s="187"/>
      <c r="E86" s="188">
        <v>0</v>
      </c>
      <c r="F86" s="189">
        <f ca="1">((100/(H78))*E86)/100</f>
        <v>0</v>
      </c>
      <c r="G86" s="190"/>
      <c r="H86" s="191"/>
      <c r="I86" s="1" t="s">
        <v>76</v>
      </c>
      <c r="J86" s="36">
        <f>(IF(E78&gt;2,(H78/(E78+2)+J85),0))</f>
        <v>0</v>
      </c>
    </row>
    <row r="87" spans="1:10" ht="15" customHeight="1" x14ac:dyDescent="0.2">
      <c r="A87" s="181" t="s">
        <v>77</v>
      </c>
      <c r="B87" s="182"/>
      <c r="C87" s="187">
        <v>0.1</v>
      </c>
      <c r="D87" s="187"/>
      <c r="E87" s="188">
        <v>0</v>
      </c>
      <c r="F87" s="189">
        <f ca="1">((100/H78)*E87)/100</f>
        <v>0</v>
      </c>
      <c r="G87" s="190"/>
      <c r="H87" s="191"/>
      <c r="I87" s="1" t="s">
        <v>78</v>
      </c>
      <c r="J87" s="37">
        <f>(IF(E78&gt;3,(H78/(E78+2)+J86),0))</f>
        <v>0</v>
      </c>
    </row>
    <row r="88" spans="1:10" ht="15.75" customHeight="1" x14ac:dyDescent="0.2">
      <c r="A88" s="181" t="s">
        <v>79</v>
      </c>
      <c r="B88" s="182"/>
      <c r="C88" s="187">
        <v>0.05</v>
      </c>
      <c r="D88" s="187"/>
      <c r="E88" s="188">
        <v>0</v>
      </c>
      <c r="F88" s="189">
        <f ca="1">((100/H78)*E88)/100</f>
        <v>0</v>
      </c>
      <c r="G88" s="190"/>
      <c r="H88" s="191"/>
      <c r="I88" s="1" t="s">
        <v>80</v>
      </c>
      <c r="J88" s="36">
        <f>(IF(E78&gt;4,(H78/(E78+2)+J87),0))</f>
        <v>0</v>
      </c>
    </row>
    <row r="89" spans="1:10" x14ac:dyDescent="0.2">
      <c r="A89" s="181" t="s">
        <v>81</v>
      </c>
      <c r="B89" s="182"/>
      <c r="C89" s="187">
        <v>0.05</v>
      </c>
      <c r="D89" s="187"/>
      <c r="E89" s="188">
        <v>0</v>
      </c>
      <c r="F89" s="189">
        <f ca="1">((100/(H78))*E89)/100</f>
        <v>0</v>
      </c>
      <c r="G89" s="190"/>
      <c r="H89" s="191"/>
      <c r="I89" s="1" t="s">
        <v>82</v>
      </c>
      <c r="J89" s="36">
        <f ca="1">(IF(E78=1,(H78/(E78+3)+J84),IF(E78=0,(H78/4+J84),IF(E78&gt;1,0))))</f>
        <v>27</v>
      </c>
    </row>
    <row r="90" spans="1:10" ht="13.5" thickBot="1" x14ac:dyDescent="0.25">
      <c r="A90" s="193" t="s">
        <v>83</v>
      </c>
      <c r="B90" s="194"/>
      <c r="C90" s="195">
        <v>0.05</v>
      </c>
      <c r="D90" s="195"/>
      <c r="E90" s="196">
        <v>0</v>
      </c>
      <c r="F90" s="197">
        <f ca="1">((100/(H78))*E90)/100</f>
        <v>0</v>
      </c>
      <c r="G90" s="198"/>
      <c r="H90" s="199"/>
      <c r="I90" s="38" t="s">
        <v>84</v>
      </c>
      <c r="J90" s="39">
        <f ca="1">(IF(E78&gt;1.5,(H78/(E78+2)+J84+MAX(0,J85-J84)+MAX(0,J86-J85)+MAX(0,J87-J86)+MAX(0,J88-J87)+MAX(0,J89-J88)),IF(E78=1,(H78/(E78+3)+J89),IF(E78=0,H78/4+J89))))</f>
        <v>36</v>
      </c>
    </row>
    <row r="91" spans="1:10" x14ac:dyDescent="0.2">
      <c r="A91" s="119" t="s">
        <v>25</v>
      </c>
      <c r="B91" s="120"/>
      <c r="C91" s="200" t="s">
        <v>113</v>
      </c>
      <c r="D91" s="200"/>
      <c r="E91" s="200"/>
      <c r="F91" s="200"/>
      <c r="G91" s="200"/>
      <c r="H91" s="200"/>
    </row>
    <row r="92" spans="1:10" x14ac:dyDescent="0.2">
      <c r="A92" s="163" t="s">
        <v>26</v>
      </c>
      <c r="B92" s="163"/>
      <c r="C92" s="163"/>
      <c r="D92" s="163"/>
      <c r="E92" s="163"/>
      <c r="F92" s="163"/>
      <c r="G92" s="163"/>
      <c r="H92" s="163"/>
    </row>
    <row r="93" spans="1:10" x14ac:dyDescent="0.2">
      <c r="A93" s="201" t="s">
        <v>27</v>
      </c>
      <c r="B93" s="202"/>
      <c r="C93" s="203" t="s">
        <v>50</v>
      </c>
      <c r="D93" s="204"/>
      <c r="E93" s="205" t="s">
        <v>28</v>
      </c>
      <c r="F93" s="205"/>
      <c r="G93" s="98" t="s">
        <v>18</v>
      </c>
      <c r="H93" s="206" t="s">
        <v>51</v>
      </c>
    </row>
    <row r="94" spans="1:10" x14ac:dyDescent="0.2">
      <c r="A94" s="201" t="s">
        <v>29</v>
      </c>
      <c r="B94" s="202"/>
      <c r="C94" s="203" t="s">
        <v>49</v>
      </c>
      <c r="D94" s="204"/>
      <c r="E94" s="205" t="s">
        <v>30</v>
      </c>
      <c r="F94" s="205"/>
      <c r="G94" s="98" t="s">
        <v>18</v>
      </c>
      <c r="H94" s="206" t="s">
        <v>52</v>
      </c>
    </row>
    <row r="95" spans="1:10" x14ac:dyDescent="0.2">
      <c r="A95" s="201" t="s">
        <v>31</v>
      </c>
      <c r="B95" s="202"/>
      <c r="C95" s="203" t="s">
        <v>140</v>
      </c>
      <c r="D95" s="204"/>
      <c r="E95" s="205" t="s">
        <v>32</v>
      </c>
      <c r="F95" s="205"/>
      <c r="G95" s="98" t="s">
        <v>18</v>
      </c>
      <c r="H95" s="206" t="s">
        <v>51</v>
      </c>
    </row>
    <row r="96" spans="1:10" x14ac:dyDescent="0.2">
      <c r="A96" s="201" t="s">
        <v>33</v>
      </c>
      <c r="B96" s="202"/>
      <c r="C96" s="203" t="s">
        <v>121</v>
      </c>
      <c r="D96" s="204"/>
      <c r="E96" s="205" t="s">
        <v>34</v>
      </c>
      <c r="F96" s="205"/>
      <c r="G96" s="98" t="s">
        <v>18</v>
      </c>
      <c r="H96" s="206" t="s">
        <v>51</v>
      </c>
    </row>
    <row r="97" spans="1:8" x14ac:dyDescent="0.2">
      <c r="A97" s="201" t="s">
        <v>35</v>
      </c>
      <c r="B97" s="202"/>
      <c r="C97" s="203" t="s">
        <v>128</v>
      </c>
      <c r="D97" s="204"/>
      <c r="E97" s="205" t="s">
        <v>36</v>
      </c>
      <c r="F97" s="205"/>
      <c r="G97" s="98" t="s">
        <v>18</v>
      </c>
      <c r="H97" s="206" t="s">
        <v>52</v>
      </c>
    </row>
    <row r="98" spans="1:8" ht="38.25" customHeight="1" x14ac:dyDescent="0.2">
      <c r="A98" s="201" t="s">
        <v>37</v>
      </c>
      <c r="B98" s="202"/>
      <c r="C98" s="203" t="s">
        <v>141</v>
      </c>
      <c r="D98" s="204"/>
      <c r="E98" s="205" t="s">
        <v>38</v>
      </c>
      <c r="F98" s="205"/>
      <c r="G98" s="98" t="s">
        <v>18</v>
      </c>
      <c r="H98" s="206" t="s">
        <v>52</v>
      </c>
    </row>
    <row r="99" spans="1:8" x14ac:dyDescent="0.2">
      <c r="A99" s="201" t="s">
        <v>39</v>
      </c>
      <c r="B99" s="202"/>
      <c r="C99" s="203" t="s">
        <v>122</v>
      </c>
      <c r="D99" s="204"/>
      <c r="E99" s="205" t="s">
        <v>40</v>
      </c>
      <c r="F99" s="205"/>
      <c r="G99" s="98" t="s">
        <v>18</v>
      </c>
      <c r="H99" s="206" t="s">
        <v>52</v>
      </c>
    </row>
    <row r="100" spans="1:8" x14ac:dyDescent="0.2">
      <c r="A100" s="102" t="s">
        <v>41</v>
      </c>
      <c r="B100" s="103"/>
      <c r="C100" s="203" t="s">
        <v>127</v>
      </c>
      <c r="D100" s="204"/>
      <c r="E100" s="163" t="s">
        <v>42</v>
      </c>
      <c r="F100" s="163"/>
      <c r="G100" s="207" t="s">
        <v>52</v>
      </c>
      <c r="H100" s="207"/>
    </row>
    <row r="101" spans="1:8" ht="25.5" customHeight="1" x14ac:dyDescent="0.2">
      <c r="A101" s="102" t="s">
        <v>43</v>
      </c>
      <c r="B101" s="103"/>
      <c r="C101" s="102" t="s">
        <v>54</v>
      </c>
      <c r="D101" s="103"/>
      <c r="E101" s="163" t="s">
        <v>44</v>
      </c>
      <c r="F101" s="163"/>
      <c r="G101" s="205" t="s">
        <v>53</v>
      </c>
      <c r="H101" s="205"/>
    </row>
    <row r="102" spans="1:8" x14ac:dyDescent="0.2">
      <c r="A102" s="203" t="s">
        <v>198</v>
      </c>
      <c r="B102" s="208"/>
      <c r="C102" s="208"/>
      <c r="D102" s="208"/>
      <c r="E102" s="208"/>
      <c r="F102" s="208"/>
      <c r="G102" s="208"/>
      <c r="H102" s="204"/>
    </row>
    <row r="103" spans="1:8" x14ac:dyDescent="0.2">
      <c r="A103" s="163" t="s">
        <v>199</v>
      </c>
      <c r="B103" s="163"/>
      <c r="C103" s="102" t="s">
        <v>200</v>
      </c>
      <c r="D103" s="103"/>
      <c r="E103" s="163" t="s">
        <v>201</v>
      </c>
      <c r="F103" s="163"/>
      <c r="G103" s="163" t="s">
        <v>202</v>
      </c>
      <c r="H103" s="163"/>
    </row>
    <row r="104" spans="1:8" x14ac:dyDescent="0.2">
      <c r="A104" s="205" t="s">
        <v>275</v>
      </c>
      <c r="B104" s="205"/>
      <c r="C104" s="209">
        <f>COUNT(D118:D138)</f>
        <v>21</v>
      </c>
      <c r="D104" s="132"/>
      <c r="E104" s="209">
        <f t="shared" ref="E104:H104" si="0">SUM(F118:F138)</f>
        <v>5467.8644279999999</v>
      </c>
      <c r="F104" s="132"/>
      <c r="G104" s="209">
        <f t="shared" ref="G104:H104" si="1">SUM(H118:H138)</f>
        <v>8475.189863399999</v>
      </c>
      <c r="H104" s="132"/>
    </row>
    <row r="105" spans="1:8" x14ac:dyDescent="0.2">
      <c r="A105" s="163" t="s">
        <v>203</v>
      </c>
      <c r="B105" s="163"/>
      <c r="C105" s="210">
        <f>SUM(C104)</f>
        <v>21</v>
      </c>
      <c r="D105" s="211"/>
      <c r="E105" s="212">
        <f>SUM(E104)</f>
        <v>5467.8644279999999</v>
      </c>
      <c r="F105" s="163"/>
      <c r="G105" s="212">
        <f>SUM(G104)</f>
        <v>8475.189863399999</v>
      </c>
      <c r="H105" s="163"/>
    </row>
    <row r="106" spans="1:8" x14ac:dyDescent="0.2">
      <c r="A106" s="163" t="s">
        <v>204</v>
      </c>
      <c r="B106" s="163"/>
      <c r="C106" s="163"/>
      <c r="D106" s="163"/>
      <c r="E106" s="163"/>
      <c r="F106" s="163"/>
      <c r="G106" s="163"/>
      <c r="H106" s="163"/>
    </row>
    <row r="107" spans="1:8" x14ac:dyDescent="0.2">
      <c r="A107" s="163" t="s">
        <v>199</v>
      </c>
      <c r="B107" s="163"/>
      <c r="C107" s="102" t="s">
        <v>200</v>
      </c>
      <c r="D107" s="103"/>
      <c r="E107" s="163" t="s">
        <v>201</v>
      </c>
      <c r="F107" s="163"/>
      <c r="G107" s="163" t="s">
        <v>202</v>
      </c>
      <c r="H107" s="163"/>
    </row>
    <row r="108" spans="1:8" x14ac:dyDescent="0.2">
      <c r="A108" s="205" t="s">
        <v>275</v>
      </c>
      <c r="B108" s="205"/>
      <c r="C108" s="209">
        <f>COUNT(D144:D148,D150:D158,D160:D167)+COUNT(D170:D185,D188:D190,D194)+COUNT(D196:D220)*26+COUNT(D223:D233,D235:D241,D243:D246)*6</f>
        <v>824</v>
      </c>
      <c r="D108" s="213"/>
      <c r="E108" s="209">
        <f t="shared" ref="E108:H108" si="2">SUM(F144:F148,F150:F158,F160:F167)+SUM(F170:F185,F188:F190,F194)+SUM(F196:F220)*26+SUM(F223:F233,F235:F241,F243:F246)*6</f>
        <v>354871.85759999999</v>
      </c>
      <c r="F108" s="213"/>
      <c r="G108" s="209">
        <f t="shared" ref="G108:H108" si="3">SUM(H144:H148,H150:H158,H160:H167)+SUM(H170:H185,H188:H190,H194)+SUM(H196:H220)*26+SUM(H223:H233,H235:H241,H243:H246)*6</f>
        <v>532788.22856999992</v>
      </c>
      <c r="H108" s="213"/>
    </row>
    <row r="109" spans="1:8" x14ac:dyDescent="0.2">
      <c r="A109" s="205" t="s">
        <v>312</v>
      </c>
      <c r="B109" s="205"/>
      <c r="C109" s="209">
        <f>COUNT(D250:D254,D258:D277)+COUNT(D280:D282,D287:D306)+COUNT(D310:D338)*28+COUNT(D340:D341,D343:D350,D352:D359,D361:D368)*6</f>
        <v>1016</v>
      </c>
      <c r="D109" s="213"/>
      <c r="E109" s="209">
        <f>SUM(F250:F254,F258:F277)+SUM(F280:F282,F287:F306)+SUM(F310:F338)*28+SUM(F340:F341,F343:F350,F352:F359,F361:F368)*6</f>
        <v>384888.13272000005</v>
      </c>
      <c r="F109" s="213"/>
      <c r="G109" s="209">
        <f>SUM(H250:H254,H258:H277)+SUM(H280:H282,H287:H306)+SUM(H310:H338)*28+SUM(H340:H341,H343:H350,H352:H359,H361:H368)*6</f>
        <v>577332.19907999958</v>
      </c>
      <c r="H109" s="213"/>
    </row>
    <row r="110" spans="1:8" ht="15.75" customHeight="1" x14ac:dyDescent="0.2">
      <c r="A110" s="163" t="s">
        <v>203</v>
      </c>
      <c r="B110" s="163"/>
      <c r="C110" s="210">
        <f>SUM(C108:C109)</f>
        <v>1840</v>
      </c>
      <c r="D110" s="211"/>
      <c r="E110" s="212">
        <f>SUM(E108:E109)</f>
        <v>739759.9903200001</v>
      </c>
      <c r="F110" s="163"/>
      <c r="G110" s="212">
        <f>SUM(G108:G109)</f>
        <v>1110120.4276499995</v>
      </c>
      <c r="H110" s="163"/>
    </row>
    <row r="111" spans="1:8" x14ac:dyDescent="0.2">
      <c r="A111" s="163" t="s">
        <v>205</v>
      </c>
      <c r="B111" s="163"/>
      <c r="C111" s="210">
        <f>C105+C110</f>
        <v>1861</v>
      </c>
      <c r="D111" s="211"/>
      <c r="E111" s="212">
        <f>E105+E110</f>
        <v>745227.85474800004</v>
      </c>
      <c r="F111" s="212"/>
      <c r="G111" s="212">
        <f>G105+G110</f>
        <v>1118595.6175133996</v>
      </c>
      <c r="H111" s="212"/>
    </row>
    <row r="112" spans="1:8" x14ac:dyDescent="0.2">
      <c r="A112" s="163" t="s">
        <v>45</v>
      </c>
      <c r="B112" s="163"/>
      <c r="C112" s="163"/>
      <c r="D112" s="163"/>
      <c r="E112" s="163"/>
      <c r="F112" s="163"/>
      <c r="G112" s="163"/>
      <c r="H112" s="163"/>
    </row>
    <row r="113" spans="1:8" x14ac:dyDescent="0.2">
      <c r="A113" s="163" t="s">
        <v>217</v>
      </c>
      <c r="B113" s="163"/>
      <c r="C113" s="163"/>
      <c r="D113" s="163"/>
      <c r="E113" s="163"/>
      <c r="F113" s="163"/>
      <c r="G113" s="163"/>
      <c r="H113" s="163"/>
    </row>
    <row r="114" spans="1:8" ht="38.25" x14ac:dyDescent="0.2">
      <c r="A114" s="214" t="s">
        <v>218</v>
      </c>
      <c r="B114" s="215" t="s">
        <v>219</v>
      </c>
      <c r="C114" s="215" t="s">
        <v>322</v>
      </c>
      <c r="D114" s="215" t="s">
        <v>211</v>
      </c>
      <c r="E114" s="215" t="s">
        <v>215</v>
      </c>
      <c r="F114" s="214" t="s">
        <v>213</v>
      </c>
      <c r="G114" s="216" t="s">
        <v>214</v>
      </c>
      <c r="H114" s="216" t="s">
        <v>142</v>
      </c>
    </row>
    <row r="115" spans="1:8" x14ac:dyDescent="0.2">
      <c r="A115" s="217"/>
      <c r="B115" s="218"/>
      <c r="C115" s="218"/>
      <c r="D115" s="218"/>
      <c r="E115" s="218"/>
      <c r="F115" s="217"/>
      <c r="G115" s="219"/>
      <c r="H115" s="220">
        <v>0.55000000000000004</v>
      </c>
    </row>
    <row r="116" spans="1:8" x14ac:dyDescent="0.2">
      <c r="A116" s="163" t="s">
        <v>275</v>
      </c>
      <c r="B116" s="163"/>
      <c r="C116" s="163"/>
      <c r="D116" s="163"/>
      <c r="E116" s="163"/>
      <c r="F116" s="163"/>
      <c r="G116" s="163"/>
      <c r="H116" s="163"/>
    </row>
    <row r="117" spans="1:8" x14ac:dyDescent="0.2">
      <c r="A117" s="163" t="s">
        <v>208</v>
      </c>
      <c r="B117" s="163"/>
      <c r="C117" s="163"/>
      <c r="D117" s="163"/>
      <c r="E117" s="163"/>
      <c r="F117" s="163"/>
      <c r="G117" s="163"/>
      <c r="H117" s="163"/>
    </row>
    <row r="118" spans="1:8" x14ac:dyDescent="0.2">
      <c r="A118" s="221">
        <v>1</v>
      </c>
      <c r="B118" s="140"/>
      <c r="C118" s="99" t="s">
        <v>216</v>
      </c>
      <c r="D118" s="222">
        <f>(1.65*2.7)*10.764</f>
        <v>47.953620000000001</v>
      </c>
      <c r="E118" s="222">
        <v>0</v>
      </c>
      <c r="F118" s="222">
        <f>D118+(IF(E118&lt;201,E118,IF(E118&lt;301,E118/2,E118/3)))</f>
        <v>47.953620000000001</v>
      </c>
      <c r="G118" s="222">
        <v>0</v>
      </c>
      <c r="H118" s="222">
        <f t="shared" ref="H118:H129" si="4">F118*(($H$115)+1)+(IF(G118&lt;101,G118,IF(G118&lt;201,G118/2,IF(G118&lt;=301,G118/3,G118/4))))</f>
        <v>74.328111000000007</v>
      </c>
    </row>
    <row r="119" spans="1:8" x14ac:dyDescent="0.2">
      <c r="A119" s="221">
        <f>A118+1</f>
        <v>2</v>
      </c>
      <c r="B119" s="140"/>
      <c r="C119" s="99" t="s">
        <v>216</v>
      </c>
      <c r="D119" s="222">
        <f>(2.75*6.1+1.8*3.1)*10.764</f>
        <v>240.62921999999995</v>
      </c>
      <c r="E119" s="222">
        <f>(4.1*2.45)*10.764</f>
        <v>108.12437999999999</v>
      </c>
      <c r="F119" s="222">
        <f t="shared" ref="F119:F129" si="5">D119+(IF(E119&lt;201,E119,IF(E119&lt;301,E119/2,E119/3)))</f>
        <v>348.75359999999995</v>
      </c>
      <c r="G119" s="222">
        <v>0</v>
      </c>
      <c r="H119" s="222">
        <f t="shared" si="4"/>
        <v>540.5680799999999</v>
      </c>
    </row>
    <row r="120" spans="1:8" x14ac:dyDescent="0.2">
      <c r="A120" s="221">
        <f t="shared" ref="A120:A138" si="6">A119+1</f>
        <v>3</v>
      </c>
      <c r="B120" s="140"/>
      <c r="C120" s="99" t="s">
        <v>216</v>
      </c>
      <c r="D120" s="222">
        <f>(2.1*2.9+4.25*3.15+1*1.2+2.5*1.45)*10.764</f>
        <v>261.59210999999999</v>
      </c>
      <c r="E120" s="222">
        <f>(4.25*1.8+2.5*1.45+1*1.2)*10.764</f>
        <v>134.28089999999997</v>
      </c>
      <c r="F120" s="222">
        <f t="shared" si="5"/>
        <v>395.87300999999997</v>
      </c>
      <c r="G120" s="222">
        <v>0</v>
      </c>
      <c r="H120" s="222">
        <f t="shared" si="4"/>
        <v>613.60316549999993</v>
      </c>
    </row>
    <row r="121" spans="1:8" x14ac:dyDescent="0.2">
      <c r="A121" s="221">
        <f t="shared" si="6"/>
        <v>4</v>
      </c>
      <c r="B121" s="140"/>
      <c r="C121" s="99" t="s">
        <v>216</v>
      </c>
      <c r="D121" s="222">
        <f>(4.2*2.75)*10.764</f>
        <v>124.3242</v>
      </c>
      <c r="E121" s="222">
        <v>0</v>
      </c>
      <c r="F121" s="222">
        <f t="shared" si="5"/>
        <v>124.3242</v>
      </c>
      <c r="G121" s="222">
        <v>0</v>
      </c>
      <c r="H121" s="222">
        <f t="shared" si="4"/>
        <v>192.70251000000002</v>
      </c>
    </row>
    <row r="122" spans="1:8" x14ac:dyDescent="0.2">
      <c r="A122" s="221">
        <f t="shared" si="6"/>
        <v>5</v>
      </c>
      <c r="B122" s="140"/>
      <c r="C122" s="99" t="s">
        <v>216</v>
      </c>
      <c r="D122" s="222">
        <f>(2.1*2.9+4.25*3.15+1*1.2+2.5*1.45)*10.764</f>
        <v>261.59210999999999</v>
      </c>
      <c r="E122" s="222">
        <f>(4.25*1.8+2.5*1.45+1*1.2)*10.764</f>
        <v>134.28089999999997</v>
      </c>
      <c r="F122" s="222">
        <f t="shared" si="5"/>
        <v>395.87300999999997</v>
      </c>
      <c r="G122" s="222">
        <v>0</v>
      </c>
      <c r="H122" s="222">
        <f t="shared" si="4"/>
        <v>613.60316549999993</v>
      </c>
    </row>
    <row r="123" spans="1:8" x14ac:dyDescent="0.2">
      <c r="A123" s="221">
        <f t="shared" si="6"/>
        <v>6</v>
      </c>
      <c r="B123" s="140"/>
      <c r="C123" s="99" t="s">
        <v>216</v>
      </c>
      <c r="D123" s="222">
        <f>(2.75*5.6+1.8*3.1)*10.764</f>
        <v>225.82871999999995</v>
      </c>
      <c r="E123" s="222">
        <f>(4.1*2.4)*10.764</f>
        <v>105.91775999999997</v>
      </c>
      <c r="F123" s="222">
        <f t="shared" si="5"/>
        <v>331.74647999999991</v>
      </c>
      <c r="G123" s="222">
        <v>0</v>
      </c>
      <c r="H123" s="222">
        <f t="shared" si="4"/>
        <v>514.20704399999988</v>
      </c>
    </row>
    <row r="124" spans="1:8" x14ac:dyDescent="0.2">
      <c r="A124" s="221">
        <f t="shared" si="6"/>
        <v>7</v>
      </c>
      <c r="B124" s="140"/>
      <c r="C124" s="99" t="s">
        <v>216</v>
      </c>
      <c r="D124" s="222">
        <f>(3.4*2.7)*10.764</f>
        <v>98.813519999999997</v>
      </c>
      <c r="E124" s="222">
        <v>0</v>
      </c>
      <c r="F124" s="222">
        <f t="shared" si="5"/>
        <v>98.813519999999997</v>
      </c>
      <c r="G124" s="222">
        <v>0</v>
      </c>
      <c r="H124" s="222">
        <f t="shared" si="4"/>
        <v>153.160956</v>
      </c>
    </row>
    <row r="125" spans="1:8" x14ac:dyDescent="0.2">
      <c r="A125" s="221">
        <f t="shared" si="6"/>
        <v>8</v>
      </c>
      <c r="B125" s="140"/>
      <c r="C125" s="99" t="s">
        <v>216</v>
      </c>
      <c r="D125" s="222">
        <f>(2.75*5.6+1.8*3.1)*10.764</f>
        <v>225.82871999999995</v>
      </c>
      <c r="E125" s="222">
        <f>(4.1*2.4)*10.764</f>
        <v>105.91775999999997</v>
      </c>
      <c r="F125" s="222">
        <f t="shared" si="5"/>
        <v>331.74647999999991</v>
      </c>
      <c r="G125" s="222">
        <v>0</v>
      </c>
      <c r="H125" s="222">
        <f t="shared" si="4"/>
        <v>514.20704399999988</v>
      </c>
    </row>
    <row r="126" spans="1:8" x14ac:dyDescent="0.2">
      <c r="A126" s="221">
        <f t="shared" si="6"/>
        <v>9</v>
      </c>
      <c r="B126" s="140"/>
      <c r="C126" s="99" t="s">
        <v>216</v>
      </c>
      <c r="D126" s="222">
        <f>(2.1*2.9+4.25*3.15+1*1.2+2.5*1.45)*10.764</f>
        <v>261.59210999999999</v>
      </c>
      <c r="E126" s="222">
        <f>(4.25*1.8+2.5*1.45+1*1.2)*10.764</f>
        <v>134.28089999999997</v>
      </c>
      <c r="F126" s="222">
        <f t="shared" si="5"/>
        <v>395.87300999999997</v>
      </c>
      <c r="G126" s="222">
        <v>0</v>
      </c>
      <c r="H126" s="222">
        <f t="shared" si="4"/>
        <v>613.60316549999993</v>
      </c>
    </row>
    <row r="127" spans="1:8" x14ac:dyDescent="0.2">
      <c r="A127" s="221">
        <f t="shared" si="6"/>
        <v>10</v>
      </c>
      <c r="B127" s="140"/>
      <c r="C127" s="99" t="s">
        <v>216</v>
      </c>
      <c r="D127" s="222">
        <f>(1.95*2.75)*10.764</f>
        <v>57.721949999999993</v>
      </c>
      <c r="E127" s="222">
        <v>0</v>
      </c>
      <c r="F127" s="222">
        <f t="shared" si="5"/>
        <v>57.721949999999993</v>
      </c>
      <c r="G127" s="222">
        <v>0</v>
      </c>
      <c r="H127" s="222">
        <f t="shared" si="4"/>
        <v>89.469022499999994</v>
      </c>
    </row>
    <row r="128" spans="1:8" x14ac:dyDescent="0.2">
      <c r="A128" s="221">
        <f t="shared" si="6"/>
        <v>11</v>
      </c>
      <c r="B128" s="140"/>
      <c r="C128" s="99" t="s">
        <v>216</v>
      </c>
      <c r="D128" s="222">
        <f>(1.9*3.35)*10.764</f>
        <v>68.512860000000003</v>
      </c>
      <c r="E128" s="222">
        <v>0</v>
      </c>
      <c r="F128" s="222">
        <f t="shared" si="5"/>
        <v>68.512860000000003</v>
      </c>
      <c r="G128" s="222">
        <v>0</v>
      </c>
      <c r="H128" s="222">
        <f t="shared" si="4"/>
        <v>106.19493300000001</v>
      </c>
    </row>
    <row r="129" spans="1:8" x14ac:dyDescent="0.2">
      <c r="A129" s="221">
        <f t="shared" si="6"/>
        <v>12</v>
      </c>
      <c r="B129" s="140"/>
      <c r="C129" s="99" t="s">
        <v>216</v>
      </c>
      <c r="D129" s="222">
        <f>(1.95*3.5+3.98*2.75+2.15*1.25+1*1.2)*10.764</f>
        <v>233.12132999999997</v>
      </c>
      <c r="E129" s="222">
        <f>(3.98*1.8+2.15*1.25+1*1.2)*10.764</f>
        <v>118.95834599999998</v>
      </c>
      <c r="F129" s="222">
        <f t="shared" si="5"/>
        <v>352.07967599999995</v>
      </c>
      <c r="G129" s="222">
        <v>0</v>
      </c>
      <c r="H129" s="222">
        <f t="shared" si="4"/>
        <v>545.7234977999999</v>
      </c>
    </row>
    <row r="130" spans="1:8" x14ac:dyDescent="0.2">
      <c r="A130" s="221">
        <f>A129+1</f>
        <v>13</v>
      </c>
      <c r="B130" s="140"/>
      <c r="C130" s="99" t="s">
        <v>216</v>
      </c>
      <c r="D130" s="222">
        <f>(2.73*5.1+1.6*1.2+1*1.2)*10.764</f>
        <v>183.45085199999997</v>
      </c>
      <c r="E130" s="222">
        <f>(2.73*2+1.4*1.2+1*1.1)*10.764</f>
        <v>88.695359999999994</v>
      </c>
      <c r="F130" s="222">
        <f t="shared" ref="F130:F138" si="7">D130+(IF(E130&lt;201,E130,IF(E130&lt;301,E130/2,E130/3)))</f>
        <v>272.14621199999999</v>
      </c>
      <c r="G130" s="222">
        <v>0</v>
      </c>
      <c r="H130" s="222">
        <f t="shared" ref="H130:H138" si="8">F130*(($H$115)+1)+(IF(G130&lt;101,G130,IF(G130&lt;201,G130/2,IF(G130&lt;=301,G130/3,G130/4))))</f>
        <v>421.82662859999999</v>
      </c>
    </row>
    <row r="131" spans="1:8" x14ac:dyDescent="0.2">
      <c r="A131" s="221">
        <f t="shared" si="6"/>
        <v>14</v>
      </c>
      <c r="B131" s="140"/>
      <c r="C131" s="99" t="s">
        <v>216</v>
      </c>
      <c r="D131" s="222">
        <f>(2.73*5.1+1.6*1.2+1*1.2)*10.764</f>
        <v>183.45085199999997</v>
      </c>
      <c r="E131" s="222">
        <f>(2.73*2+1.4*1.2+1*1.1)*10.764</f>
        <v>88.695359999999994</v>
      </c>
      <c r="F131" s="222">
        <f t="shared" si="7"/>
        <v>272.14621199999999</v>
      </c>
      <c r="G131" s="222">
        <v>0</v>
      </c>
      <c r="H131" s="222">
        <f t="shared" si="8"/>
        <v>421.82662859999999</v>
      </c>
    </row>
    <row r="132" spans="1:8" x14ac:dyDescent="0.2">
      <c r="A132" s="221">
        <f t="shared" si="6"/>
        <v>15</v>
      </c>
      <c r="B132" s="140"/>
      <c r="C132" s="99" t="s">
        <v>216</v>
      </c>
      <c r="D132" s="222">
        <f>(2*3.45+4.05*2.6+2.15*1.25+1*1.2)*10.764</f>
        <v>229.46156999999997</v>
      </c>
      <c r="E132" s="222">
        <f>(4.05*2.6+2.15*1.25+1*1.2)*10.764</f>
        <v>155.18996999999999</v>
      </c>
      <c r="F132" s="222">
        <f t="shared" si="7"/>
        <v>384.65153999999995</v>
      </c>
      <c r="G132" s="222">
        <v>0</v>
      </c>
      <c r="H132" s="222">
        <f t="shared" si="8"/>
        <v>596.20988699999998</v>
      </c>
    </row>
    <row r="133" spans="1:8" x14ac:dyDescent="0.2">
      <c r="A133" s="221">
        <f t="shared" si="6"/>
        <v>16</v>
      </c>
      <c r="B133" s="140"/>
      <c r="C133" s="99" t="s">
        <v>216</v>
      </c>
      <c r="D133" s="222">
        <f>(4.1*3.3)*10.764</f>
        <v>145.63691999999998</v>
      </c>
      <c r="E133" s="222">
        <v>0</v>
      </c>
      <c r="F133" s="222">
        <f t="shared" si="7"/>
        <v>145.63691999999998</v>
      </c>
      <c r="G133" s="222">
        <v>0</v>
      </c>
      <c r="H133" s="222">
        <f t="shared" si="8"/>
        <v>225.73722599999996</v>
      </c>
    </row>
    <row r="134" spans="1:8" x14ac:dyDescent="0.2">
      <c r="A134" s="221">
        <f t="shared" si="6"/>
        <v>17</v>
      </c>
      <c r="B134" s="140"/>
      <c r="C134" s="99" t="s">
        <v>216</v>
      </c>
      <c r="D134" s="222">
        <f>(2*3.45+4.05*2.6+2.15*1.25+1*1.2)*10.764</f>
        <v>229.46156999999997</v>
      </c>
      <c r="E134" s="222">
        <f>(4.05*2.6+2.15*1.25+1*1.2)*10.764</f>
        <v>155.18996999999999</v>
      </c>
      <c r="F134" s="222">
        <f t="shared" si="7"/>
        <v>384.65153999999995</v>
      </c>
      <c r="G134" s="222">
        <v>0</v>
      </c>
      <c r="H134" s="222">
        <f t="shared" si="8"/>
        <v>596.20988699999998</v>
      </c>
    </row>
    <row r="135" spans="1:8" x14ac:dyDescent="0.2">
      <c r="A135" s="221">
        <f t="shared" si="6"/>
        <v>18</v>
      </c>
      <c r="B135" s="140"/>
      <c r="C135" s="99" t="s">
        <v>216</v>
      </c>
      <c r="D135" s="222">
        <f>(2.73*5.1+1.4*1.2+1*1.1)*10.764</f>
        <v>179.79109199999999</v>
      </c>
      <c r="E135" s="222">
        <f>(2.73*1.9+1.4*1.2+1*1.1)*10.764</f>
        <v>85.756787999999986</v>
      </c>
      <c r="F135" s="222">
        <f t="shared" si="7"/>
        <v>265.54787999999996</v>
      </c>
      <c r="G135" s="222">
        <v>0</v>
      </c>
      <c r="H135" s="222">
        <f t="shared" si="8"/>
        <v>411.59921399999996</v>
      </c>
    </row>
    <row r="136" spans="1:8" x14ac:dyDescent="0.2">
      <c r="A136" s="221">
        <f t="shared" si="6"/>
        <v>19</v>
      </c>
      <c r="B136" s="140"/>
      <c r="C136" s="99" t="s">
        <v>216</v>
      </c>
      <c r="D136" s="222">
        <f>(2.73*5.1+1.4*1.2+1*1.1)*10.764</f>
        <v>179.79109199999999</v>
      </c>
      <c r="E136" s="222">
        <f>(2.73*1.9+1.4*1.2+1*1.1)*10.764</f>
        <v>85.756787999999986</v>
      </c>
      <c r="F136" s="222">
        <f t="shared" si="7"/>
        <v>265.54787999999996</v>
      </c>
      <c r="G136" s="222">
        <v>0</v>
      </c>
      <c r="H136" s="222">
        <f t="shared" si="8"/>
        <v>411.59921399999996</v>
      </c>
    </row>
    <row r="137" spans="1:8" x14ac:dyDescent="0.2">
      <c r="A137" s="221">
        <f t="shared" si="6"/>
        <v>20</v>
      </c>
      <c r="B137" s="140"/>
      <c r="C137" s="99" t="s">
        <v>216</v>
      </c>
      <c r="D137" s="222">
        <f>(2*3.45+4.05*2.75+2.15*1.25+1*1.2)*10.764</f>
        <v>236.00069999999999</v>
      </c>
      <c r="E137" s="222">
        <f>(4.05*2.75+2.15*1.25+1*1.2)*10.764</f>
        <v>161.72909999999999</v>
      </c>
      <c r="F137" s="222">
        <f t="shared" si="7"/>
        <v>397.72979999999995</v>
      </c>
      <c r="G137" s="222">
        <v>0</v>
      </c>
      <c r="H137" s="222">
        <f t="shared" si="8"/>
        <v>616.48118999999997</v>
      </c>
    </row>
    <row r="138" spans="1:8" x14ac:dyDescent="0.2">
      <c r="A138" s="221">
        <f t="shared" si="6"/>
        <v>21</v>
      </c>
      <c r="B138" s="140"/>
      <c r="C138" s="99" t="s">
        <v>216</v>
      </c>
      <c r="D138" s="222">
        <f>(3.62*3.35)*10.764</f>
        <v>130.53502800000001</v>
      </c>
      <c r="E138" s="222">
        <v>0</v>
      </c>
      <c r="F138" s="222">
        <f t="shared" si="7"/>
        <v>130.53502800000001</v>
      </c>
      <c r="G138" s="222">
        <v>0</v>
      </c>
      <c r="H138" s="222">
        <f t="shared" si="8"/>
        <v>202.32929340000001</v>
      </c>
    </row>
    <row r="139" spans="1:8" x14ac:dyDescent="0.2">
      <c r="A139" s="221"/>
      <c r="B139" s="223"/>
      <c r="C139" s="223"/>
      <c r="D139" s="223"/>
      <c r="E139" s="223"/>
      <c r="F139" s="223"/>
      <c r="G139" s="223"/>
      <c r="H139" s="140"/>
    </row>
    <row r="140" spans="1:8" ht="38.25" x14ac:dyDescent="0.2">
      <c r="A140" s="214" t="s">
        <v>209</v>
      </c>
      <c r="B140" s="215" t="s">
        <v>210</v>
      </c>
      <c r="C140" s="215" t="s">
        <v>322</v>
      </c>
      <c r="D140" s="215" t="s">
        <v>211</v>
      </c>
      <c r="E140" s="215" t="s">
        <v>212</v>
      </c>
      <c r="F140" s="214" t="s">
        <v>213</v>
      </c>
      <c r="G140" s="224" t="s">
        <v>214</v>
      </c>
      <c r="H140" s="216" t="s">
        <v>142</v>
      </c>
    </row>
    <row r="141" spans="1:8" x14ac:dyDescent="0.2">
      <c r="A141" s="217"/>
      <c r="B141" s="218"/>
      <c r="C141" s="218"/>
      <c r="D141" s="218"/>
      <c r="E141" s="218"/>
      <c r="F141" s="217"/>
      <c r="G141" s="225"/>
      <c r="H141" s="220">
        <v>0.5</v>
      </c>
    </row>
    <row r="142" spans="1:8" x14ac:dyDescent="0.2">
      <c r="A142" s="163" t="s">
        <v>275</v>
      </c>
      <c r="B142" s="163"/>
      <c r="C142" s="163"/>
      <c r="D142" s="163"/>
      <c r="E142" s="163"/>
      <c r="F142" s="163"/>
      <c r="G142" s="163"/>
      <c r="H142" s="226"/>
    </row>
    <row r="143" spans="1:8" x14ac:dyDescent="0.2">
      <c r="A143" s="163" t="s">
        <v>276</v>
      </c>
      <c r="B143" s="163"/>
      <c r="C143" s="163"/>
      <c r="D143" s="163"/>
      <c r="E143" s="163"/>
      <c r="F143" s="163"/>
      <c r="G143" s="163"/>
      <c r="H143" s="163"/>
    </row>
    <row r="144" spans="1:8" x14ac:dyDescent="0.2">
      <c r="A144" s="227" t="s">
        <v>280</v>
      </c>
      <c r="B144" s="228"/>
      <c r="C144" s="222" t="s">
        <v>277</v>
      </c>
      <c r="D144" s="222">
        <f>(46.62)*10.764</f>
        <v>501.81767999999994</v>
      </c>
      <c r="E144" s="222">
        <v>0</v>
      </c>
      <c r="F144" s="222">
        <f>D144+E144</f>
        <v>501.81767999999994</v>
      </c>
      <c r="G144" s="222">
        <f>(1.8*2.8+1.9*2.8)*10.764</f>
        <v>111.51503999999998</v>
      </c>
      <c r="H144" s="222">
        <f>F144*(($H$141)+1)+(IF(G144&lt;101,G144,IF(G144&lt;201,G144/2,IF(G144&lt;=301,G144/3,G144/4))))</f>
        <v>808.48403999999994</v>
      </c>
    </row>
    <row r="145" spans="1:10" x14ac:dyDescent="0.2">
      <c r="A145" s="227" t="s">
        <v>281</v>
      </c>
      <c r="B145" s="228"/>
      <c r="C145" s="222" t="s">
        <v>277</v>
      </c>
      <c r="D145" s="222">
        <f>(46.62)*10.764</f>
        <v>501.81767999999994</v>
      </c>
      <c r="E145" s="222">
        <v>0</v>
      </c>
      <c r="F145" s="222">
        <f t="shared" ref="F145:F155" si="9">D145+E145</f>
        <v>501.81767999999994</v>
      </c>
      <c r="G145" s="222">
        <f>(1.9*2.8+1.6*2.8)*10.764</f>
        <v>105.48719999999999</v>
      </c>
      <c r="H145" s="222">
        <f t="shared" ref="H145:H155" si="10">F145*(($H$141)+1)+(IF(G145&lt;101,G145,IF(G145&lt;201,G145/2,IF(G145&lt;=301,G145/3,G145/4))))</f>
        <v>805.47011999999995</v>
      </c>
    </row>
    <row r="146" spans="1:10" x14ac:dyDescent="0.2">
      <c r="A146" s="227" t="s">
        <v>282</v>
      </c>
      <c r="B146" s="228"/>
      <c r="C146" s="222" t="s">
        <v>277</v>
      </c>
      <c r="D146" s="222">
        <f>(46.62)*10.764</f>
        <v>501.81767999999994</v>
      </c>
      <c r="E146" s="222">
        <v>0</v>
      </c>
      <c r="F146" s="222">
        <f t="shared" si="9"/>
        <v>501.81767999999994</v>
      </c>
      <c r="G146" s="222">
        <f>(1.6*2.8+1.95*2.8)*10.764</f>
        <v>106.99415999999999</v>
      </c>
      <c r="H146" s="222">
        <f t="shared" si="10"/>
        <v>806.22359999999992</v>
      </c>
    </row>
    <row r="147" spans="1:10" x14ac:dyDescent="0.2">
      <c r="A147" s="227" t="s">
        <v>283</v>
      </c>
      <c r="B147" s="228"/>
      <c r="C147" s="222" t="s">
        <v>55</v>
      </c>
      <c r="D147" s="222">
        <f>(29.86)*10.764</f>
        <v>321.41303999999997</v>
      </c>
      <c r="E147" s="222">
        <v>0</v>
      </c>
      <c r="F147" s="222">
        <f t="shared" si="9"/>
        <v>321.41303999999997</v>
      </c>
      <c r="G147" s="222">
        <f>(1.9*3.35+4.9*1.1+4.4*0.75)*10.764</f>
        <v>162.05202</v>
      </c>
      <c r="H147" s="222">
        <f t="shared" si="10"/>
        <v>563.14557000000002</v>
      </c>
    </row>
    <row r="148" spans="1:10" x14ac:dyDescent="0.2">
      <c r="A148" s="227" t="s">
        <v>284</v>
      </c>
      <c r="B148" s="228"/>
      <c r="C148" s="222" t="s">
        <v>55</v>
      </c>
      <c r="D148" s="222">
        <f>(29.86)*10.764</f>
        <v>321.41303999999997</v>
      </c>
      <c r="E148" s="222">
        <v>0</v>
      </c>
      <c r="F148" s="222">
        <f t="shared" si="9"/>
        <v>321.41303999999997</v>
      </c>
      <c r="G148" s="222">
        <v>0</v>
      </c>
      <c r="H148" s="222">
        <f t="shared" si="10"/>
        <v>482.11955999999998</v>
      </c>
    </row>
    <row r="149" spans="1:10" x14ac:dyDescent="0.2">
      <c r="A149" s="227" t="s">
        <v>285</v>
      </c>
      <c r="B149" s="228"/>
      <c r="C149" s="222" t="s">
        <v>278</v>
      </c>
      <c r="D149" s="227" t="s">
        <v>279</v>
      </c>
      <c r="E149" s="229"/>
      <c r="F149" s="229"/>
      <c r="G149" s="229"/>
      <c r="H149" s="228"/>
    </row>
    <row r="150" spans="1:10" x14ac:dyDescent="0.2">
      <c r="A150" s="227" t="s">
        <v>286</v>
      </c>
      <c r="B150" s="228"/>
      <c r="C150" s="222" t="s">
        <v>277</v>
      </c>
      <c r="D150" s="222">
        <f>(46.62)*10.764</f>
        <v>501.81767999999994</v>
      </c>
      <c r="E150" s="99">
        <v>0</v>
      </c>
      <c r="F150" s="222">
        <f t="shared" si="9"/>
        <v>501.81767999999994</v>
      </c>
      <c r="G150" s="222">
        <v>0</v>
      </c>
      <c r="H150" s="222">
        <f t="shared" si="10"/>
        <v>752.72651999999994</v>
      </c>
    </row>
    <row r="151" spans="1:10" x14ac:dyDescent="0.2">
      <c r="A151" s="227" t="s">
        <v>287</v>
      </c>
      <c r="B151" s="228"/>
      <c r="C151" s="222" t="s">
        <v>277</v>
      </c>
      <c r="D151" s="222">
        <f>(46.62)*10.764</f>
        <v>501.81767999999994</v>
      </c>
      <c r="E151" s="99">
        <v>0</v>
      </c>
      <c r="F151" s="222">
        <f t="shared" si="9"/>
        <v>501.81767999999994</v>
      </c>
      <c r="G151" s="222">
        <v>0</v>
      </c>
      <c r="H151" s="222">
        <f t="shared" si="10"/>
        <v>752.72651999999994</v>
      </c>
      <c r="J151" s="6">
        <f>6400000/H151</f>
        <v>8502.4239613611608</v>
      </c>
    </row>
    <row r="152" spans="1:10" x14ac:dyDescent="0.2">
      <c r="A152" s="227" t="s">
        <v>288</v>
      </c>
      <c r="B152" s="228"/>
      <c r="C152" s="222" t="s">
        <v>277</v>
      </c>
      <c r="D152" s="222">
        <f>(46.62)*10.764</f>
        <v>501.81767999999994</v>
      </c>
      <c r="E152" s="99">
        <v>0</v>
      </c>
      <c r="F152" s="222">
        <f t="shared" si="9"/>
        <v>501.81767999999994</v>
      </c>
      <c r="G152" s="222">
        <v>0</v>
      </c>
      <c r="H152" s="222">
        <f t="shared" si="10"/>
        <v>752.72651999999994</v>
      </c>
    </row>
    <row r="153" spans="1:10" x14ac:dyDescent="0.2">
      <c r="A153" s="227" t="s">
        <v>289</v>
      </c>
      <c r="B153" s="228"/>
      <c r="C153" s="222" t="s">
        <v>55</v>
      </c>
      <c r="D153" s="222">
        <f t="shared" ref="D153:D158" si="11">(29.86)*10.764</f>
        <v>321.41303999999997</v>
      </c>
      <c r="E153" s="99">
        <v>0</v>
      </c>
      <c r="F153" s="222">
        <f t="shared" si="9"/>
        <v>321.41303999999997</v>
      </c>
      <c r="G153" s="222">
        <f>(1.9*3.35+4.9*1.1+4.4*0.75)*10.764</f>
        <v>162.05202</v>
      </c>
      <c r="H153" s="222">
        <f t="shared" si="10"/>
        <v>563.14557000000002</v>
      </c>
    </row>
    <row r="154" spans="1:10" x14ac:dyDescent="0.2">
      <c r="A154" s="227" t="s">
        <v>290</v>
      </c>
      <c r="B154" s="228"/>
      <c r="C154" s="222" t="s">
        <v>55</v>
      </c>
      <c r="D154" s="222">
        <f t="shared" si="11"/>
        <v>321.41303999999997</v>
      </c>
      <c r="E154" s="99">
        <v>0</v>
      </c>
      <c r="F154" s="222">
        <f t="shared" si="9"/>
        <v>321.41303999999997</v>
      </c>
      <c r="G154" s="222">
        <f>(1.9*3.35+4.9*1.1+4.4*0.75)*10.764</f>
        <v>162.05202</v>
      </c>
      <c r="H154" s="222">
        <f t="shared" si="10"/>
        <v>563.14557000000002</v>
      </c>
    </row>
    <row r="155" spans="1:10" x14ac:dyDescent="0.2">
      <c r="A155" s="227" t="s">
        <v>291</v>
      </c>
      <c r="B155" s="228"/>
      <c r="C155" s="222" t="s">
        <v>55</v>
      </c>
      <c r="D155" s="222">
        <f t="shared" si="11"/>
        <v>321.41303999999997</v>
      </c>
      <c r="E155" s="99">
        <v>0</v>
      </c>
      <c r="F155" s="222">
        <f t="shared" si="9"/>
        <v>321.41303999999997</v>
      </c>
      <c r="G155" s="222">
        <f>(1.9*3.35+4.9*1.1+4.4*0.75+1.7*3.5)*10.764</f>
        <v>226.09782000000001</v>
      </c>
      <c r="H155" s="222">
        <f t="shared" si="10"/>
        <v>557.4855</v>
      </c>
    </row>
    <row r="156" spans="1:10" x14ac:dyDescent="0.2">
      <c r="A156" s="227" t="s">
        <v>292</v>
      </c>
      <c r="B156" s="228"/>
      <c r="C156" s="222" t="s">
        <v>55</v>
      </c>
      <c r="D156" s="222">
        <f t="shared" si="11"/>
        <v>321.41303999999997</v>
      </c>
      <c r="E156" s="99">
        <v>0</v>
      </c>
      <c r="F156" s="222">
        <f t="shared" ref="F156:F166" si="12">D156+E156</f>
        <v>321.41303999999997</v>
      </c>
      <c r="G156" s="222">
        <v>0</v>
      </c>
      <c r="H156" s="222">
        <f t="shared" ref="H156:H166" si="13">F156*(($H$141)+1)+(IF(G156&lt;101,G156,IF(G156&lt;201,G156/2,IF(G156&lt;=301,G156/3,G156/4))))</f>
        <v>482.11955999999998</v>
      </c>
    </row>
    <row r="157" spans="1:10" x14ac:dyDescent="0.2">
      <c r="A157" s="227" t="s">
        <v>293</v>
      </c>
      <c r="B157" s="228"/>
      <c r="C157" s="222" t="s">
        <v>55</v>
      </c>
      <c r="D157" s="222">
        <f t="shared" si="11"/>
        <v>321.41303999999997</v>
      </c>
      <c r="E157" s="99">
        <v>0</v>
      </c>
      <c r="F157" s="222">
        <f t="shared" si="12"/>
        <v>321.41303999999997</v>
      </c>
      <c r="G157" s="222">
        <v>0</v>
      </c>
      <c r="H157" s="222">
        <f t="shared" si="13"/>
        <v>482.11955999999998</v>
      </c>
    </row>
    <row r="158" spans="1:10" x14ac:dyDescent="0.2">
      <c r="A158" s="227" t="s">
        <v>294</v>
      </c>
      <c r="B158" s="228"/>
      <c r="C158" s="222" t="s">
        <v>55</v>
      </c>
      <c r="D158" s="222">
        <f t="shared" si="11"/>
        <v>321.41303999999997</v>
      </c>
      <c r="E158" s="99">
        <v>0</v>
      </c>
      <c r="F158" s="222">
        <f t="shared" si="12"/>
        <v>321.41303999999997</v>
      </c>
      <c r="G158" s="222">
        <v>0</v>
      </c>
      <c r="H158" s="222">
        <f t="shared" si="13"/>
        <v>482.11955999999998</v>
      </c>
    </row>
    <row r="159" spans="1:10" x14ac:dyDescent="0.2">
      <c r="A159" s="227" t="s">
        <v>295</v>
      </c>
      <c r="B159" s="228"/>
      <c r="C159" s="222" t="s">
        <v>278</v>
      </c>
      <c r="D159" s="227" t="s">
        <v>279</v>
      </c>
      <c r="E159" s="229"/>
      <c r="F159" s="229"/>
      <c r="G159" s="229"/>
      <c r="H159" s="228"/>
    </row>
    <row r="160" spans="1:10" x14ac:dyDescent="0.2">
      <c r="A160" s="227" t="s">
        <v>296</v>
      </c>
      <c r="B160" s="228"/>
      <c r="C160" s="222" t="s">
        <v>55</v>
      </c>
      <c r="D160" s="222">
        <f>(29.86)*10.764</f>
        <v>321.41303999999997</v>
      </c>
      <c r="E160" s="99">
        <v>0</v>
      </c>
      <c r="F160" s="222">
        <f t="shared" si="12"/>
        <v>321.41303999999997</v>
      </c>
      <c r="G160" s="222">
        <v>0</v>
      </c>
      <c r="H160" s="222">
        <f t="shared" si="13"/>
        <v>482.11955999999998</v>
      </c>
    </row>
    <row r="161" spans="1:10" x14ac:dyDescent="0.2">
      <c r="A161" s="227" t="s">
        <v>297</v>
      </c>
      <c r="B161" s="228"/>
      <c r="C161" s="222" t="s">
        <v>55</v>
      </c>
      <c r="D161" s="222">
        <f>(29.86)*10.764</f>
        <v>321.41303999999997</v>
      </c>
      <c r="E161" s="99">
        <v>0</v>
      </c>
      <c r="F161" s="222">
        <f t="shared" si="12"/>
        <v>321.41303999999997</v>
      </c>
      <c r="G161" s="222">
        <v>0</v>
      </c>
      <c r="H161" s="222">
        <f t="shared" si="13"/>
        <v>482.11955999999998</v>
      </c>
    </row>
    <row r="162" spans="1:10" x14ac:dyDescent="0.2">
      <c r="A162" s="227" t="s">
        <v>298</v>
      </c>
      <c r="B162" s="228"/>
      <c r="C162" s="222" t="s">
        <v>277</v>
      </c>
      <c r="D162" s="222">
        <f t="shared" ref="D162:D167" si="14">(49.6)*10.764</f>
        <v>533.89440000000002</v>
      </c>
      <c r="E162" s="99">
        <v>0</v>
      </c>
      <c r="F162" s="222">
        <f t="shared" si="12"/>
        <v>533.89440000000002</v>
      </c>
      <c r="G162" s="222">
        <v>0</v>
      </c>
      <c r="H162" s="222">
        <f t="shared" si="13"/>
        <v>800.84159999999997</v>
      </c>
      <c r="J162" s="6">
        <f>6900000/H162</f>
        <v>8615.9360352908734</v>
      </c>
    </row>
    <row r="163" spans="1:10" x14ac:dyDescent="0.2">
      <c r="A163" s="227" t="s">
        <v>299</v>
      </c>
      <c r="B163" s="228"/>
      <c r="C163" s="222" t="s">
        <v>277</v>
      </c>
      <c r="D163" s="222">
        <f t="shared" si="14"/>
        <v>533.89440000000002</v>
      </c>
      <c r="E163" s="99">
        <v>0</v>
      </c>
      <c r="F163" s="222">
        <f t="shared" si="12"/>
        <v>533.89440000000002</v>
      </c>
      <c r="G163" s="222">
        <v>0</v>
      </c>
      <c r="H163" s="222">
        <f t="shared" si="13"/>
        <v>800.84159999999997</v>
      </c>
    </row>
    <row r="164" spans="1:10" x14ac:dyDescent="0.2">
      <c r="A164" s="227" t="s">
        <v>300</v>
      </c>
      <c r="B164" s="228"/>
      <c r="C164" s="222" t="s">
        <v>277</v>
      </c>
      <c r="D164" s="222">
        <f t="shared" si="14"/>
        <v>533.89440000000002</v>
      </c>
      <c r="E164" s="99">
        <v>0</v>
      </c>
      <c r="F164" s="222">
        <f t="shared" si="12"/>
        <v>533.89440000000002</v>
      </c>
      <c r="G164" s="222">
        <v>0</v>
      </c>
      <c r="H164" s="222">
        <f t="shared" si="13"/>
        <v>800.84159999999997</v>
      </c>
    </row>
    <row r="165" spans="1:10" x14ac:dyDescent="0.2">
      <c r="A165" s="227" t="s">
        <v>301</v>
      </c>
      <c r="B165" s="228"/>
      <c r="C165" s="222" t="s">
        <v>277</v>
      </c>
      <c r="D165" s="222">
        <f t="shared" si="14"/>
        <v>533.89440000000002</v>
      </c>
      <c r="E165" s="99">
        <v>0</v>
      </c>
      <c r="F165" s="222">
        <f t="shared" si="12"/>
        <v>533.89440000000002</v>
      </c>
      <c r="G165" s="222">
        <v>0</v>
      </c>
      <c r="H165" s="222">
        <f t="shared" si="13"/>
        <v>800.84159999999997</v>
      </c>
    </row>
    <row r="166" spans="1:10" x14ac:dyDescent="0.2">
      <c r="A166" s="227" t="s">
        <v>302</v>
      </c>
      <c r="B166" s="228"/>
      <c r="C166" s="222" t="s">
        <v>277</v>
      </c>
      <c r="D166" s="222">
        <f t="shared" si="14"/>
        <v>533.89440000000002</v>
      </c>
      <c r="E166" s="99">
        <v>0</v>
      </c>
      <c r="F166" s="222">
        <f t="shared" si="12"/>
        <v>533.89440000000002</v>
      </c>
      <c r="G166" s="222">
        <v>0</v>
      </c>
      <c r="H166" s="222">
        <f t="shared" si="13"/>
        <v>800.84159999999997</v>
      </c>
    </row>
    <row r="167" spans="1:10" x14ac:dyDescent="0.2">
      <c r="A167" s="227" t="s">
        <v>303</v>
      </c>
      <c r="B167" s="228"/>
      <c r="C167" s="222" t="s">
        <v>277</v>
      </c>
      <c r="D167" s="222">
        <f t="shared" si="14"/>
        <v>533.89440000000002</v>
      </c>
      <c r="E167" s="99">
        <v>0</v>
      </c>
      <c r="F167" s="222">
        <f t="shared" ref="F167" si="15">D167+E167</f>
        <v>533.89440000000002</v>
      </c>
      <c r="G167" s="222">
        <v>0</v>
      </c>
      <c r="H167" s="222">
        <f t="shared" ref="H167" si="16">F167*(($H$141)+1)+(IF(G167&lt;101,G167,IF(G167&lt;201,G167/2,IF(G167&lt;=301,G167/3,G167/4))))</f>
        <v>800.84159999999997</v>
      </c>
    </row>
    <row r="168" spans="1:10" x14ac:dyDescent="0.2">
      <c r="A168" s="227" t="s">
        <v>304</v>
      </c>
      <c r="B168" s="228"/>
      <c r="C168" s="99" t="s">
        <v>278</v>
      </c>
      <c r="D168" s="227" t="s">
        <v>279</v>
      </c>
      <c r="E168" s="229"/>
      <c r="F168" s="229"/>
      <c r="G168" s="229"/>
      <c r="H168" s="228"/>
    </row>
    <row r="169" spans="1:10" x14ac:dyDescent="0.2">
      <c r="A169" s="163" t="s">
        <v>305</v>
      </c>
      <c r="B169" s="163"/>
      <c r="C169" s="163"/>
      <c r="D169" s="163"/>
      <c r="E169" s="163"/>
      <c r="F169" s="163"/>
      <c r="G169" s="163"/>
      <c r="H169" s="163"/>
    </row>
    <row r="170" spans="1:10" x14ac:dyDescent="0.2">
      <c r="A170" s="227" t="s">
        <v>280</v>
      </c>
      <c r="B170" s="228"/>
      <c r="C170" s="222" t="s">
        <v>277</v>
      </c>
      <c r="D170" s="222">
        <f>(46.62)*10.764</f>
        <v>501.81767999999994</v>
      </c>
      <c r="E170" s="99">
        <v>0</v>
      </c>
      <c r="F170" s="222">
        <f>D170+E170</f>
        <v>501.81767999999994</v>
      </c>
      <c r="G170" s="222">
        <v>0</v>
      </c>
      <c r="H170" s="222">
        <f>F170*(($H$141)+1)+(IF(G170&lt;101,G170,IF(G170&lt;201,G170/2,IF(G170&lt;=301,G170/3,G170/4))))</f>
        <v>752.72651999999994</v>
      </c>
    </row>
    <row r="171" spans="1:10" x14ac:dyDescent="0.2">
      <c r="A171" s="227" t="s">
        <v>281</v>
      </c>
      <c r="B171" s="228"/>
      <c r="C171" s="222" t="s">
        <v>277</v>
      </c>
      <c r="D171" s="222">
        <f>(46.62)*10.764</f>
        <v>501.81767999999994</v>
      </c>
      <c r="E171" s="99">
        <v>0</v>
      </c>
      <c r="F171" s="222">
        <f t="shared" ref="F171:F174" si="17">D171+E171</f>
        <v>501.81767999999994</v>
      </c>
      <c r="G171" s="222">
        <v>0</v>
      </c>
      <c r="H171" s="222">
        <f t="shared" ref="H171:H174" si="18">F171*(($H$141)+1)+(IF(G171&lt;101,G171,IF(G171&lt;201,G171/2,IF(G171&lt;=301,G171/3,G171/4))))</f>
        <v>752.72651999999994</v>
      </c>
    </row>
    <row r="172" spans="1:10" x14ac:dyDescent="0.2">
      <c r="A172" s="227" t="s">
        <v>282</v>
      </c>
      <c r="B172" s="228"/>
      <c r="C172" s="222" t="s">
        <v>277</v>
      </c>
      <c r="D172" s="222">
        <f>(46.62)*10.764</f>
        <v>501.81767999999994</v>
      </c>
      <c r="E172" s="99">
        <v>0</v>
      </c>
      <c r="F172" s="222">
        <f t="shared" si="17"/>
        <v>501.81767999999994</v>
      </c>
      <c r="G172" s="222">
        <v>0</v>
      </c>
      <c r="H172" s="222">
        <f t="shared" si="18"/>
        <v>752.72651999999994</v>
      </c>
    </row>
    <row r="173" spans="1:10" x14ac:dyDescent="0.2">
      <c r="A173" s="227" t="s">
        <v>283</v>
      </c>
      <c r="B173" s="228"/>
      <c r="C173" s="222" t="s">
        <v>55</v>
      </c>
      <c r="D173" s="222">
        <f>(29.86)*10.764</f>
        <v>321.41303999999997</v>
      </c>
      <c r="E173" s="99">
        <v>0</v>
      </c>
      <c r="F173" s="222">
        <f t="shared" si="17"/>
        <v>321.41303999999997</v>
      </c>
      <c r="G173" s="222">
        <v>0</v>
      </c>
      <c r="H173" s="222">
        <f t="shared" si="18"/>
        <v>482.11955999999998</v>
      </c>
      <c r="J173" s="6">
        <f>4400000/H173</f>
        <v>9126.3669119751121</v>
      </c>
    </row>
    <row r="174" spans="1:10" x14ac:dyDescent="0.2">
      <c r="A174" s="227" t="s">
        <v>284</v>
      </c>
      <c r="B174" s="228"/>
      <c r="C174" s="222" t="s">
        <v>55</v>
      </c>
      <c r="D174" s="222">
        <f>(29.86)*10.764</f>
        <v>321.41303999999997</v>
      </c>
      <c r="E174" s="99">
        <v>0</v>
      </c>
      <c r="F174" s="222">
        <f t="shared" si="17"/>
        <v>321.41303999999997</v>
      </c>
      <c r="G174" s="222">
        <v>0</v>
      </c>
      <c r="H174" s="222">
        <f t="shared" si="18"/>
        <v>482.11955999999998</v>
      </c>
    </row>
    <row r="175" spans="1:10" x14ac:dyDescent="0.2">
      <c r="A175" s="227" t="s">
        <v>285</v>
      </c>
      <c r="B175" s="228"/>
      <c r="C175" s="222" t="s">
        <v>277</v>
      </c>
      <c r="D175" s="222">
        <f>(46.62)*10.764</f>
        <v>501.81767999999994</v>
      </c>
      <c r="E175" s="99">
        <v>0</v>
      </c>
      <c r="F175" s="222">
        <f t="shared" ref="F175" si="19">D175+E175</f>
        <v>501.81767999999994</v>
      </c>
      <c r="G175" s="222">
        <v>0</v>
      </c>
      <c r="H175" s="222">
        <f t="shared" ref="H175" si="20">F175*(($H$141)+1)+(IF(G175&lt;101,G175,IF(G175&lt;201,G175/2,IF(G175&lt;=301,G175/3,G175/4))))</f>
        <v>752.72651999999994</v>
      </c>
    </row>
    <row r="176" spans="1:10" x14ac:dyDescent="0.2">
      <c r="A176" s="227" t="s">
        <v>286</v>
      </c>
      <c r="B176" s="228"/>
      <c r="C176" s="222" t="s">
        <v>277</v>
      </c>
      <c r="D176" s="222">
        <f>(46.62)*10.764</f>
        <v>501.81767999999994</v>
      </c>
      <c r="E176" s="99">
        <v>0</v>
      </c>
      <c r="F176" s="222">
        <f t="shared" ref="F176:F184" si="21">D176+E176</f>
        <v>501.81767999999994</v>
      </c>
      <c r="G176" s="222">
        <v>0</v>
      </c>
      <c r="H176" s="222">
        <f t="shared" ref="H176:H184" si="22">F176*(($H$141)+1)+(IF(G176&lt;101,G176,IF(G176&lt;201,G176/2,IF(G176&lt;=301,G176/3,G176/4))))</f>
        <v>752.72651999999994</v>
      </c>
    </row>
    <row r="177" spans="1:8" x14ac:dyDescent="0.2">
      <c r="A177" s="227" t="s">
        <v>287</v>
      </c>
      <c r="B177" s="228"/>
      <c r="C177" s="222" t="s">
        <v>55</v>
      </c>
      <c r="D177" s="222">
        <f>(38.1)*10.764</f>
        <v>410.10840000000002</v>
      </c>
      <c r="E177" s="99">
        <v>0</v>
      </c>
      <c r="F177" s="222">
        <f t="shared" si="21"/>
        <v>410.10840000000002</v>
      </c>
      <c r="G177" s="222">
        <v>0</v>
      </c>
      <c r="H177" s="222">
        <f t="shared" si="22"/>
        <v>615.1626</v>
      </c>
    </row>
    <row r="178" spans="1:8" x14ac:dyDescent="0.2">
      <c r="A178" s="227" t="s">
        <v>288</v>
      </c>
      <c r="B178" s="228"/>
      <c r="C178" s="222" t="s">
        <v>277</v>
      </c>
      <c r="D178" s="222">
        <f>(46.62)*10.764</f>
        <v>501.81767999999994</v>
      </c>
      <c r="E178" s="99">
        <v>0</v>
      </c>
      <c r="F178" s="222">
        <f t="shared" si="21"/>
        <v>501.81767999999994</v>
      </c>
      <c r="G178" s="222">
        <v>0</v>
      </c>
      <c r="H178" s="222">
        <f t="shared" si="22"/>
        <v>752.72651999999994</v>
      </c>
    </row>
    <row r="179" spans="1:8" x14ac:dyDescent="0.2">
      <c r="A179" s="227" t="s">
        <v>289</v>
      </c>
      <c r="B179" s="228"/>
      <c r="C179" s="222" t="s">
        <v>55</v>
      </c>
      <c r="D179" s="222">
        <f t="shared" ref="D179:D185" si="23">(29.86)*10.764</f>
        <v>321.41303999999997</v>
      </c>
      <c r="E179" s="99">
        <v>0</v>
      </c>
      <c r="F179" s="222">
        <f t="shared" si="21"/>
        <v>321.41303999999997</v>
      </c>
      <c r="G179" s="222">
        <v>0</v>
      </c>
      <c r="H179" s="222">
        <f t="shared" si="22"/>
        <v>482.11955999999998</v>
      </c>
    </row>
    <row r="180" spans="1:8" x14ac:dyDescent="0.2">
      <c r="A180" s="227" t="s">
        <v>290</v>
      </c>
      <c r="B180" s="228"/>
      <c r="C180" s="222" t="s">
        <v>55</v>
      </c>
      <c r="D180" s="222">
        <f t="shared" si="23"/>
        <v>321.41303999999997</v>
      </c>
      <c r="E180" s="99">
        <v>0</v>
      </c>
      <c r="F180" s="222">
        <f t="shared" si="21"/>
        <v>321.41303999999997</v>
      </c>
      <c r="G180" s="222">
        <v>0</v>
      </c>
      <c r="H180" s="222">
        <f t="shared" si="22"/>
        <v>482.11955999999998</v>
      </c>
    </row>
    <row r="181" spans="1:8" x14ac:dyDescent="0.2">
      <c r="A181" s="227" t="s">
        <v>291</v>
      </c>
      <c r="B181" s="228"/>
      <c r="C181" s="222" t="s">
        <v>55</v>
      </c>
      <c r="D181" s="222">
        <f t="shared" si="23"/>
        <v>321.41303999999997</v>
      </c>
      <c r="E181" s="99">
        <v>0</v>
      </c>
      <c r="F181" s="222">
        <f t="shared" si="21"/>
        <v>321.41303999999997</v>
      </c>
      <c r="G181" s="222">
        <v>0</v>
      </c>
      <c r="H181" s="222">
        <f t="shared" si="22"/>
        <v>482.11955999999998</v>
      </c>
    </row>
    <row r="182" spans="1:8" x14ac:dyDescent="0.2">
      <c r="A182" s="227" t="s">
        <v>292</v>
      </c>
      <c r="B182" s="228"/>
      <c r="C182" s="222" t="s">
        <v>55</v>
      </c>
      <c r="D182" s="222">
        <f t="shared" si="23"/>
        <v>321.41303999999997</v>
      </c>
      <c r="E182" s="99">
        <v>0</v>
      </c>
      <c r="F182" s="222">
        <f t="shared" si="21"/>
        <v>321.41303999999997</v>
      </c>
      <c r="G182" s="222">
        <v>0</v>
      </c>
      <c r="H182" s="222">
        <f t="shared" si="22"/>
        <v>482.11955999999998</v>
      </c>
    </row>
    <row r="183" spans="1:8" x14ac:dyDescent="0.2">
      <c r="A183" s="227" t="s">
        <v>293</v>
      </c>
      <c r="B183" s="228"/>
      <c r="C183" s="222" t="s">
        <v>55</v>
      </c>
      <c r="D183" s="222">
        <f t="shared" si="23"/>
        <v>321.41303999999997</v>
      </c>
      <c r="E183" s="99">
        <v>0</v>
      </c>
      <c r="F183" s="222">
        <f t="shared" si="21"/>
        <v>321.41303999999997</v>
      </c>
      <c r="G183" s="222">
        <v>0</v>
      </c>
      <c r="H183" s="222">
        <f t="shared" si="22"/>
        <v>482.11955999999998</v>
      </c>
    </row>
    <row r="184" spans="1:8" x14ac:dyDescent="0.2">
      <c r="A184" s="227" t="s">
        <v>294</v>
      </c>
      <c r="B184" s="228"/>
      <c r="C184" s="222" t="s">
        <v>55</v>
      </c>
      <c r="D184" s="222">
        <f t="shared" si="23"/>
        <v>321.41303999999997</v>
      </c>
      <c r="E184" s="99">
        <v>0</v>
      </c>
      <c r="F184" s="222">
        <f t="shared" si="21"/>
        <v>321.41303999999997</v>
      </c>
      <c r="G184" s="222">
        <v>0</v>
      </c>
      <c r="H184" s="222">
        <f t="shared" si="22"/>
        <v>482.11955999999998</v>
      </c>
    </row>
    <row r="185" spans="1:8" x14ac:dyDescent="0.2">
      <c r="A185" s="227" t="s">
        <v>295</v>
      </c>
      <c r="B185" s="228"/>
      <c r="C185" s="222" t="s">
        <v>55</v>
      </c>
      <c r="D185" s="222">
        <f t="shared" si="23"/>
        <v>321.41303999999997</v>
      </c>
      <c r="E185" s="99">
        <v>0</v>
      </c>
      <c r="F185" s="222">
        <f t="shared" ref="F185" si="24">D185+E185</f>
        <v>321.41303999999997</v>
      </c>
      <c r="G185" s="222">
        <v>0</v>
      </c>
      <c r="H185" s="222">
        <f t="shared" ref="H185" si="25">F185*(($H$141)+1)+(IF(G185&lt;101,G185,IF(G185&lt;201,G185/2,IF(G185&lt;=301,G185/3,G185/4))))</f>
        <v>482.11955999999998</v>
      </c>
    </row>
    <row r="186" spans="1:8" x14ac:dyDescent="0.2">
      <c r="A186" s="227" t="s">
        <v>296</v>
      </c>
      <c r="B186" s="228"/>
      <c r="C186" s="222" t="s">
        <v>278</v>
      </c>
      <c r="D186" s="230" t="s">
        <v>306</v>
      </c>
      <c r="E186" s="231"/>
      <c r="F186" s="231"/>
      <c r="G186" s="231"/>
      <c r="H186" s="232"/>
    </row>
    <row r="187" spans="1:8" x14ac:dyDescent="0.2">
      <c r="A187" s="227" t="s">
        <v>297</v>
      </c>
      <c r="B187" s="228"/>
      <c r="C187" s="222" t="s">
        <v>278</v>
      </c>
      <c r="D187" s="233"/>
      <c r="E187" s="234"/>
      <c r="F187" s="234"/>
      <c r="G187" s="234"/>
      <c r="H187" s="235"/>
    </row>
    <row r="188" spans="1:8" x14ac:dyDescent="0.2">
      <c r="A188" s="227" t="s">
        <v>298</v>
      </c>
      <c r="B188" s="228"/>
      <c r="C188" s="222" t="s">
        <v>277</v>
      </c>
      <c r="D188" s="222">
        <f t="shared" ref="D188:D194" si="26">(49.6)*10.764</f>
        <v>533.89440000000002</v>
      </c>
      <c r="E188" s="99">
        <v>0</v>
      </c>
      <c r="F188" s="222">
        <f t="shared" ref="F188:F190" si="27">D188+E188</f>
        <v>533.89440000000002</v>
      </c>
      <c r="G188" s="222">
        <v>0</v>
      </c>
      <c r="H188" s="222">
        <f t="shared" ref="H188:H190" si="28">F188*(($H$141)+1)+(IF(G188&lt;101,G188,IF(G188&lt;201,G188/2,IF(G188&lt;=301,G188/3,G188/4))))</f>
        <v>800.84159999999997</v>
      </c>
    </row>
    <row r="189" spans="1:8" x14ac:dyDescent="0.2">
      <c r="A189" s="227" t="s">
        <v>299</v>
      </c>
      <c r="B189" s="228"/>
      <c r="C189" s="222" t="s">
        <v>277</v>
      </c>
      <c r="D189" s="222">
        <f t="shared" si="26"/>
        <v>533.89440000000002</v>
      </c>
      <c r="E189" s="99">
        <v>0</v>
      </c>
      <c r="F189" s="222">
        <f t="shared" si="27"/>
        <v>533.89440000000002</v>
      </c>
      <c r="G189" s="222">
        <v>0</v>
      </c>
      <c r="H189" s="222">
        <f t="shared" si="28"/>
        <v>800.84159999999997</v>
      </c>
    </row>
    <row r="190" spans="1:8" x14ac:dyDescent="0.2">
      <c r="A190" s="227" t="s">
        <v>300</v>
      </c>
      <c r="B190" s="228"/>
      <c r="C190" s="222" t="s">
        <v>277</v>
      </c>
      <c r="D190" s="222">
        <f t="shared" si="26"/>
        <v>533.89440000000002</v>
      </c>
      <c r="E190" s="99">
        <v>0</v>
      </c>
      <c r="F190" s="222">
        <f t="shared" si="27"/>
        <v>533.89440000000002</v>
      </c>
      <c r="G190" s="222">
        <v>0</v>
      </c>
      <c r="H190" s="222">
        <f t="shared" si="28"/>
        <v>800.84159999999997</v>
      </c>
    </row>
    <row r="191" spans="1:8" x14ac:dyDescent="0.2">
      <c r="A191" s="227" t="s">
        <v>301</v>
      </c>
      <c r="B191" s="228"/>
      <c r="C191" s="222" t="s">
        <v>278</v>
      </c>
      <c r="D191" s="227" t="s">
        <v>307</v>
      </c>
      <c r="E191" s="229"/>
      <c r="F191" s="229"/>
      <c r="G191" s="229"/>
      <c r="H191" s="228"/>
    </row>
    <row r="192" spans="1:8" x14ac:dyDescent="0.2">
      <c r="A192" s="227" t="s">
        <v>302</v>
      </c>
      <c r="B192" s="228"/>
      <c r="C192" s="222" t="s">
        <v>278</v>
      </c>
      <c r="D192" s="230" t="s">
        <v>308</v>
      </c>
      <c r="E192" s="231"/>
      <c r="F192" s="231"/>
      <c r="G192" s="231"/>
      <c r="H192" s="232"/>
    </row>
    <row r="193" spans="1:10" x14ac:dyDescent="0.2">
      <c r="A193" s="227" t="s">
        <v>303</v>
      </c>
      <c r="B193" s="228"/>
      <c r="C193" s="222" t="s">
        <v>278</v>
      </c>
      <c r="D193" s="233"/>
      <c r="E193" s="234"/>
      <c r="F193" s="234"/>
      <c r="G193" s="234"/>
      <c r="H193" s="235"/>
    </row>
    <row r="194" spans="1:10" x14ac:dyDescent="0.2">
      <c r="A194" s="227" t="s">
        <v>304</v>
      </c>
      <c r="B194" s="228"/>
      <c r="C194" s="222" t="s">
        <v>277</v>
      </c>
      <c r="D194" s="222">
        <f t="shared" si="26"/>
        <v>533.89440000000002</v>
      </c>
      <c r="E194" s="99">
        <v>0</v>
      </c>
      <c r="F194" s="222">
        <f t="shared" ref="F194" si="29">D194+E194</f>
        <v>533.89440000000002</v>
      </c>
      <c r="G194" s="222">
        <v>0</v>
      </c>
      <c r="H194" s="222">
        <f t="shared" ref="H194" si="30">F194*(($H$141)+1)+(IF(G194&lt;101,G194,IF(G194&lt;201,G194/2,IF(G194&lt;=301,G194/3,G194/4))))</f>
        <v>800.84159999999997</v>
      </c>
      <c r="J194" s="6">
        <f>8399000/H194</f>
        <v>10487.716921798268</v>
      </c>
    </row>
    <row r="195" spans="1:10" x14ac:dyDescent="0.2">
      <c r="A195" s="163" t="s">
        <v>309</v>
      </c>
      <c r="B195" s="163"/>
      <c r="C195" s="163"/>
      <c r="D195" s="163"/>
      <c r="E195" s="163"/>
      <c r="F195" s="163"/>
      <c r="G195" s="163"/>
      <c r="H195" s="163"/>
    </row>
    <row r="196" spans="1:10" x14ac:dyDescent="0.2">
      <c r="A196" s="227" t="s">
        <v>280</v>
      </c>
      <c r="B196" s="228"/>
      <c r="C196" s="99" t="s">
        <v>277</v>
      </c>
      <c r="D196" s="222">
        <f>(46.62)*10.764</f>
        <v>501.81767999999994</v>
      </c>
      <c r="E196" s="99">
        <v>0</v>
      </c>
      <c r="F196" s="222">
        <f>D196+E196</f>
        <v>501.81767999999994</v>
      </c>
      <c r="G196" s="222">
        <v>0</v>
      </c>
      <c r="H196" s="222">
        <f>F196*(($H$141)+1)+(IF(G196&lt;101,G196,IF(G196&lt;201,G196/2,IF(G196&lt;=301,G196/3,G196/4))))</f>
        <v>752.72651999999994</v>
      </c>
    </row>
    <row r="197" spans="1:10" x14ac:dyDescent="0.2">
      <c r="A197" s="227" t="s">
        <v>281</v>
      </c>
      <c r="B197" s="228"/>
      <c r="C197" s="99" t="s">
        <v>277</v>
      </c>
      <c r="D197" s="222">
        <f>(46.62)*10.764</f>
        <v>501.81767999999994</v>
      </c>
      <c r="E197" s="99">
        <v>0</v>
      </c>
      <c r="F197" s="222">
        <f t="shared" ref="F197:F211" si="31">D197+E197</f>
        <v>501.81767999999994</v>
      </c>
      <c r="G197" s="222">
        <v>0</v>
      </c>
      <c r="H197" s="222">
        <f t="shared" ref="H197:H211" si="32">F197*(($H$141)+1)+(IF(G197&lt;101,G197,IF(G197&lt;201,G197/2,IF(G197&lt;=301,G197/3,G197/4))))</f>
        <v>752.72651999999994</v>
      </c>
      <c r="J197" s="6">
        <f>7881000/H197</f>
        <v>10469.93800616989</v>
      </c>
    </row>
    <row r="198" spans="1:10" x14ac:dyDescent="0.2">
      <c r="A198" s="227" t="s">
        <v>282</v>
      </c>
      <c r="B198" s="228"/>
      <c r="C198" s="99" t="s">
        <v>277</v>
      </c>
      <c r="D198" s="222">
        <f>(46.62)*10.764</f>
        <v>501.81767999999994</v>
      </c>
      <c r="E198" s="99">
        <v>0</v>
      </c>
      <c r="F198" s="222">
        <f t="shared" si="31"/>
        <v>501.81767999999994</v>
      </c>
      <c r="G198" s="222">
        <v>0</v>
      </c>
      <c r="H198" s="222">
        <f t="shared" si="32"/>
        <v>752.72651999999994</v>
      </c>
    </row>
    <row r="199" spans="1:10" x14ac:dyDescent="0.2">
      <c r="A199" s="227" t="s">
        <v>283</v>
      </c>
      <c r="B199" s="228"/>
      <c r="C199" s="99" t="s">
        <v>55</v>
      </c>
      <c r="D199" s="222">
        <f>(29.86)*10.764</f>
        <v>321.41303999999997</v>
      </c>
      <c r="E199" s="99">
        <v>0</v>
      </c>
      <c r="F199" s="222">
        <f t="shared" si="31"/>
        <v>321.41303999999997</v>
      </c>
      <c r="G199" s="222">
        <v>0</v>
      </c>
      <c r="H199" s="222">
        <f t="shared" si="32"/>
        <v>482.11955999999998</v>
      </c>
      <c r="J199" s="6">
        <f>5042000/H199</f>
        <v>10457.986811404209</v>
      </c>
    </row>
    <row r="200" spans="1:10" x14ac:dyDescent="0.2">
      <c r="A200" s="227" t="s">
        <v>284</v>
      </c>
      <c r="B200" s="228"/>
      <c r="C200" s="99" t="s">
        <v>55</v>
      </c>
      <c r="D200" s="222">
        <f>(29.86)*10.764</f>
        <v>321.41303999999997</v>
      </c>
      <c r="E200" s="99">
        <v>0</v>
      </c>
      <c r="F200" s="222">
        <f t="shared" si="31"/>
        <v>321.41303999999997</v>
      </c>
      <c r="G200" s="222">
        <v>0</v>
      </c>
      <c r="H200" s="222">
        <f t="shared" si="32"/>
        <v>482.11955999999998</v>
      </c>
    </row>
    <row r="201" spans="1:10" x14ac:dyDescent="0.2">
      <c r="A201" s="227" t="s">
        <v>285</v>
      </c>
      <c r="B201" s="228"/>
      <c r="C201" s="99" t="s">
        <v>277</v>
      </c>
      <c r="D201" s="222">
        <f>(46.62)*10.764</f>
        <v>501.81767999999994</v>
      </c>
      <c r="E201" s="99">
        <v>0</v>
      </c>
      <c r="F201" s="222">
        <f t="shared" si="31"/>
        <v>501.81767999999994</v>
      </c>
      <c r="G201" s="222">
        <v>0</v>
      </c>
      <c r="H201" s="222">
        <f t="shared" si="32"/>
        <v>752.72651999999994</v>
      </c>
    </row>
    <row r="202" spans="1:10" x14ac:dyDescent="0.2">
      <c r="A202" s="227" t="s">
        <v>286</v>
      </c>
      <c r="B202" s="228"/>
      <c r="C202" s="99" t="s">
        <v>277</v>
      </c>
      <c r="D202" s="222">
        <f>(46.62)*10.764</f>
        <v>501.81767999999994</v>
      </c>
      <c r="E202" s="99">
        <v>0</v>
      </c>
      <c r="F202" s="222">
        <f t="shared" si="31"/>
        <v>501.81767999999994</v>
      </c>
      <c r="G202" s="222">
        <v>0</v>
      </c>
      <c r="H202" s="222">
        <f t="shared" si="32"/>
        <v>752.72651999999994</v>
      </c>
    </row>
    <row r="203" spans="1:10" x14ac:dyDescent="0.2">
      <c r="A203" s="227" t="s">
        <v>287</v>
      </c>
      <c r="B203" s="228"/>
      <c r="C203" s="99" t="s">
        <v>277</v>
      </c>
      <c r="D203" s="222">
        <f>(46.62)*10.764</f>
        <v>501.81767999999994</v>
      </c>
      <c r="E203" s="99">
        <v>0</v>
      </c>
      <c r="F203" s="222">
        <f t="shared" si="31"/>
        <v>501.81767999999994</v>
      </c>
      <c r="G203" s="222">
        <v>0</v>
      </c>
      <c r="H203" s="222">
        <f t="shared" si="32"/>
        <v>752.72651999999994</v>
      </c>
    </row>
    <row r="204" spans="1:10" x14ac:dyDescent="0.2">
      <c r="A204" s="227" t="s">
        <v>288</v>
      </c>
      <c r="B204" s="228"/>
      <c r="C204" s="99" t="s">
        <v>277</v>
      </c>
      <c r="D204" s="222">
        <f>(46.62)*10.764</f>
        <v>501.81767999999994</v>
      </c>
      <c r="E204" s="99">
        <v>0</v>
      </c>
      <c r="F204" s="222">
        <f t="shared" si="31"/>
        <v>501.81767999999994</v>
      </c>
      <c r="G204" s="222">
        <v>0</v>
      </c>
      <c r="H204" s="222">
        <f t="shared" si="32"/>
        <v>752.72651999999994</v>
      </c>
    </row>
    <row r="205" spans="1:10" x14ac:dyDescent="0.2">
      <c r="A205" s="227" t="s">
        <v>289</v>
      </c>
      <c r="B205" s="228"/>
      <c r="C205" s="99" t="s">
        <v>55</v>
      </c>
      <c r="D205" s="222">
        <f t="shared" ref="D205:D213" si="33">(29.86)*10.764</f>
        <v>321.41303999999997</v>
      </c>
      <c r="E205" s="99">
        <v>0</v>
      </c>
      <c r="F205" s="222">
        <f t="shared" si="31"/>
        <v>321.41303999999997</v>
      </c>
      <c r="G205" s="222">
        <v>0</v>
      </c>
      <c r="H205" s="222">
        <f t="shared" si="32"/>
        <v>482.11955999999998</v>
      </c>
    </row>
    <row r="206" spans="1:10" x14ac:dyDescent="0.2">
      <c r="A206" s="227" t="s">
        <v>290</v>
      </c>
      <c r="B206" s="228"/>
      <c r="C206" s="99" t="s">
        <v>55</v>
      </c>
      <c r="D206" s="222">
        <f t="shared" si="33"/>
        <v>321.41303999999997</v>
      </c>
      <c r="E206" s="99">
        <v>0</v>
      </c>
      <c r="F206" s="222">
        <f t="shared" si="31"/>
        <v>321.41303999999997</v>
      </c>
      <c r="G206" s="222">
        <v>0</v>
      </c>
      <c r="H206" s="222">
        <f t="shared" si="32"/>
        <v>482.11955999999998</v>
      </c>
    </row>
    <row r="207" spans="1:10" x14ac:dyDescent="0.2">
      <c r="A207" s="227" t="s">
        <v>291</v>
      </c>
      <c r="B207" s="228"/>
      <c r="C207" s="99" t="s">
        <v>55</v>
      </c>
      <c r="D207" s="222">
        <f t="shared" si="33"/>
        <v>321.41303999999997</v>
      </c>
      <c r="E207" s="99">
        <v>0</v>
      </c>
      <c r="F207" s="222">
        <f t="shared" si="31"/>
        <v>321.41303999999997</v>
      </c>
      <c r="G207" s="222">
        <v>0</v>
      </c>
      <c r="H207" s="222">
        <f t="shared" si="32"/>
        <v>482.11955999999998</v>
      </c>
    </row>
    <row r="208" spans="1:10" x14ac:dyDescent="0.2">
      <c r="A208" s="227" t="s">
        <v>292</v>
      </c>
      <c r="B208" s="228"/>
      <c r="C208" s="99" t="s">
        <v>55</v>
      </c>
      <c r="D208" s="222">
        <f t="shared" si="33"/>
        <v>321.41303999999997</v>
      </c>
      <c r="E208" s="99">
        <v>0</v>
      </c>
      <c r="F208" s="222">
        <f t="shared" si="31"/>
        <v>321.41303999999997</v>
      </c>
      <c r="G208" s="222">
        <v>0</v>
      </c>
      <c r="H208" s="222">
        <f t="shared" si="32"/>
        <v>482.11955999999998</v>
      </c>
    </row>
    <row r="209" spans="1:8" x14ac:dyDescent="0.2">
      <c r="A209" s="227" t="s">
        <v>293</v>
      </c>
      <c r="B209" s="228"/>
      <c r="C209" s="99" t="s">
        <v>55</v>
      </c>
      <c r="D209" s="222">
        <f t="shared" si="33"/>
        <v>321.41303999999997</v>
      </c>
      <c r="E209" s="99">
        <v>0</v>
      </c>
      <c r="F209" s="222">
        <f t="shared" si="31"/>
        <v>321.41303999999997</v>
      </c>
      <c r="G209" s="222">
        <v>0</v>
      </c>
      <c r="H209" s="222">
        <f t="shared" si="32"/>
        <v>482.11955999999998</v>
      </c>
    </row>
    <row r="210" spans="1:8" x14ac:dyDescent="0.2">
      <c r="A210" s="227" t="s">
        <v>294</v>
      </c>
      <c r="B210" s="228"/>
      <c r="C210" s="99" t="s">
        <v>55</v>
      </c>
      <c r="D210" s="222">
        <f t="shared" si="33"/>
        <v>321.41303999999997</v>
      </c>
      <c r="E210" s="99">
        <v>0</v>
      </c>
      <c r="F210" s="222">
        <f t="shared" si="31"/>
        <v>321.41303999999997</v>
      </c>
      <c r="G210" s="222">
        <v>0</v>
      </c>
      <c r="H210" s="222">
        <f t="shared" si="32"/>
        <v>482.11955999999998</v>
      </c>
    </row>
    <row r="211" spans="1:8" x14ac:dyDescent="0.2">
      <c r="A211" s="227" t="s">
        <v>295</v>
      </c>
      <c r="B211" s="228"/>
      <c r="C211" s="99" t="s">
        <v>55</v>
      </c>
      <c r="D211" s="222">
        <f t="shared" si="33"/>
        <v>321.41303999999997</v>
      </c>
      <c r="E211" s="99">
        <v>0</v>
      </c>
      <c r="F211" s="222">
        <f t="shared" si="31"/>
        <v>321.41303999999997</v>
      </c>
      <c r="G211" s="222">
        <v>0</v>
      </c>
      <c r="H211" s="222">
        <f t="shared" si="32"/>
        <v>482.11955999999998</v>
      </c>
    </row>
    <row r="212" spans="1:8" x14ac:dyDescent="0.2">
      <c r="A212" s="227" t="s">
        <v>296</v>
      </c>
      <c r="B212" s="228"/>
      <c r="C212" s="99" t="s">
        <v>55</v>
      </c>
      <c r="D212" s="222">
        <f t="shared" si="33"/>
        <v>321.41303999999997</v>
      </c>
      <c r="E212" s="99">
        <v>0</v>
      </c>
      <c r="F212" s="222">
        <f t="shared" ref="F212:F213" si="34">D212+E212</f>
        <v>321.41303999999997</v>
      </c>
      <c r="G212" s="222">
        <v>0</v>
      </c>
      <c r="H212" s="222">
        <f t="shared" ref="H212:H213" si="35">F212*(($H$141)+1)+(IF(G212&lt;101,G212,IF(G212&lt;201,G212/2,IF(G212&lt;=301,G212/3,G212/4))))</f>
        <v>482.11955999999998</v>
      </c>
    </row>
    <row r="213" spans="1:8" x14ac:dyDescent="0.2">
      <c r="A213" s="227" t="s">
        <v>297</v>
      </c>
      <c r="B213" s="228"/>
      <c r="C213" s="99" t="s">
        <v>55</v>
      </c>
      <c r="D213" s="222">
        <f t="shared" si="33"/>
        <v>321.41303999999997</v>
      </c>
      <c r="E213" s="99">
        <v>0</v>
      </c>
      <c r="F213" s="222">
        <f t="shared" si="34"/>
        <v>321.41303999999997</v>
      </c>
      <c r="G213" s="222">
        <v>0</v>
      </c>
      <c r="H213" s="222">
        <f t="shared" si="35"/>
        <v>482.11955999999998</v>
      </c>
    </row>
    <row r="214" spans="1:8" x14ac:dyDescent="0.2">
      <c r="A214" s="227" t="s">
        <v>298</v>
      </c>
      <c r="B214" s="228"/>
      <c r="C214" s="99" t="s">
        <v>277</v>
      </c>
      <c r="D214" s="222">
        <f t="shared" ref="D214:D220" si="36">(49.6)*10.764</f>
        <v>533.89440000000002</v>
      </c>
      <c r="E214" s="99">
        <v>0</v>
      </c>
      <c r="F214" s="222">
        <f t="shared" ref="F214:F216" si="37">D214+E214</f>
        <v>533.89440000000002</v>
      </c>
      <c r="G214" s="222">
        <v>0</v>
      </c>
      <c r="H214" s="222">
        <f t="shared" ref="H214:H216" si="38">F214*(($H$141)+1)+(IF(G214&lt;101,G214,IF(G214&lt;201,G214/2,IF(G214&lt;=301,G214/3,G214/4))))</f>
        <v>800.84159999999997</v>
      </c>
    </row>
    <row r="215" spans="1:8" x14ac:dyDescent="0.2">
      <c r="A215" s="227" t="s">
        <v>299</v>
      </c>
      <c r="B215" s="228"/>
      <c r="C215" s="99" t="s">
        <v>277</v>
      </c>
      <c r="D215" s="222">
        <f t="shared" si="36"/>
        <v>533.89440000000002</v>
      </c>
      <c r="E215" s="99">
        <v>0</v>
      </c>
      <c r="F215" s="222">
        <f t="shared" si="37"/>
        <v>533.89440000000002</v>
      </c>
      <c r="G215" s="222">
        <v>0</v>
      </c>
      <c r="H215" s="222">
        <f t="shared" si="38"/>
        <v>800.84159999999997</v>
      </c>
    </row>
    <row r="216" spans="1:8" x14ac:dyDescent="0.2">
      <c r="A216" s="227" t="s">
        <v>300</v>
      </c>
      <c r="B216" s="228"/>
      <c r="C216" s="99" t="s">
        <v>277</v>
      </c>
      <c r="D216" s="222">
        <f t="shared" si="36"/>
        <v>533.89440000000002</v>
      </c>
      <c r="E216" s="99">
        <v>0</v>
      </c>
      <c r="F216" s="222">
        <f t="shared" si="37"/>
        <v>533.89440000000002</v>
      </c>
      <c r="G216" s="222">
        <v>0</v>
      </c>
      <c r="H216" s="222">
        <f t="shared" si="38"/>
        <v>800.84159999999997</v>
      </c>
    </row>
    <row r="217" spans="1:8" x14ac:dyDescent="0.2">
      <c r="A217" s="227" t="s">
        <v>301</v>
      </c>
      <c r="B217" s="228"/>
      <c r="C217" s="99" t="s">
        <v>277</v>
      </c>
      <c r="D217" s="222">
        <f t="shared" si="36"/>
        <v>533.89440000000002</v>
      </c>
      <c r="E217" s="99">
        <v>0</v>
      </c>
      <c r="F217" s="222">
        <f t="shared" ref="F217:F219" si="39">D217+E217</f>
        <v>533.89440000000002</v>
      </c>
      <c r="G217" s="222">
        <v>0</v>
      </c>
      <c r="H217" s="222">
        <f t="shared" ref="H217:H219" si="40">F217*(($H$141)+1)+(IF(G217&lt;101,G217,IF(G217&lt;201,G217/2,IF(G217&lt;=301,G217/3,G217/4))))</f>
        <v>800.84159999999997</v>
      </c>
    </row>
    <row r="218" spans="1:8" x14ac:dyDescent="0.2">
      <c r="A218" s="227" t="s">
        <v>302</v>
      </c>
      <c r="B218" s="228"/>
      <c r="C218" s="99" t="s">
        <v>277</v>
      </c>
      <c r="D218" s="222">
        <f t="shared" si="36"/>
        <v>533.89440000000002</v>
      </c>
      <c r="E218" s="99">
        <v>0</v>
      </c>
      <c r="F218" s="222">
        <f t="shared" si="39"/>
        <v>533.89440000000002</v>
      </c>
      <c r="G218" s="222">
        <v>0</v>
      </c>
      <c r="H218" s="222">
        <f t="shared" si="40"/>
        <v>800.84159999999997</v>
      </c>
    </row>
    <row r="219" spans="1:8" x14ac:dyDescent="0.2">
      <c r="A219" s="227" t="s">
        <v>303</v>
      </c>
      <c r="B219" s="228"/>
      <c r="C219" s="99" t="s">
        <v>277</v>
      </c>
      <c r="D219" s="222">
        <f t="shared" si="36"/>
        <v>533.89440000000002</v>
      </c>
      <c r="E219" s="99">
        <v>0</v>
      </c>
      <c r="F219" s="222">
        <f t="shared" si="39"/>
        <v>533.89440000000002</v>
      </c>
      <c r="G219" s="222">
        <v>0</v>
      </c>
      <c r="H219" s="222">
        <f t="shared" si="40"/>
        <v>800.84159999999997</v>
      </c>
    </row>
    <row r="220" spans="1:8" x14ac:dyDescent="0.2">
      <c r="A220" s="227" t="s">
        <v>304</v>
      </c>
      <c r="B220" s="228"/>
      <c r="C220" s="99" t="s">
        <v>277</v>
      </c>
      <c r="D220" s="222">
        <f t="shared" si="36"/>
        <v>533.89440000000002</v>
      </c>
      <c r="E220" s="99">
        <v>0</v>
      </c>
      <c r="F220" s="222">
        <f t="shared" ref="F220" si="41">D220+E220</f>
        <v>533.89440000000002</v>
      </c>
      <c r="G220" s="222">
        <v>0</v>
      </c>
      <c r="H220" s="222">
        <f t="shared" ref="H220" si="42">F220*(($H$141)+1)+(IF(G220&lt;101,G220,IF(G220&lt;201,G220/2,IF(G220&lt;=301,G220/3,G220/4))))</f>
        <v>800.84159999999997</v>
      </c>
    </row>
    <row r="221" spans="1:8" x14ac:dyDescent="0.2">
      <c r="A221" s="163" t="s">
        <v>310</v>
      </c>
      <c r="B221" s="163"/>
      <c r="C221" s="163"/>
      <c r="D221" s="163"/>
      <c r="E221" s="163"/>
      <c r="F221" s="163"/>
      <c r="G221" s="163"/>
      <c r="H221" s="163"/>
    </row>
    <row r="222" spans="1:8" x14ac:dyDescent="0.2">
      <c r="A222" s="227" t="s">
        <v>280</v>
      </c>
      <c r="B222" s="228"/>
      <c r="C222" s="99" t="s">
        <v>278</v>
      </c>
      <c r="D222" s="227" t="s">
        <v>311</v>
      </c>
      <c r="E222" s="229"/>
      <c r="F222" s="229"/>
      <c r="G222" s="229"/>
      <c r="H222" s="228"/>
    </row>
    <row r="223" spans="1:8" x14ac:dyDescent="0.2">
      <c r="A223" s="227" t="s">
        <v>281</v>
      </c>
      <c r="B223" s="228"/>
      <c r="C223" s="99" t="s">
        <v>277</v>
      </c>
      <c r="D223" s="222">
        <f>(46.62)*10.764</f>
        <v>501.81767999999994</v>
      </c>
      <c r="E223" s="99">
        <v>0</v>
      </c>
      <c r="F223" s="222">
        <f t="shared" ref="F223:F246" si="43">D223+E223</f>
        <v>501.81767999999994</v>
      </c>
      <c r="G223" s="222">
        <v>0</v>
      </c>
      <c r="H223" s="222">
        <f t="shared" ref="H223:H246" si="44">F223*(($H$141)+1)+(IF(G223&lt;101,G223,IF(G223&lt;201,G223/2,IF(G223&lt;=301,G223/3,G223/4))))</f>
        <v>752.72651999999994</v>
      </c>
    </row>
    <row r="224" spans="1:8" x14ac:dyDescent="0.2">
      <c r="A224" s="227" t="s">
        <v>282</v>
      </c>
      <c r="B224" s="228"/>
      <c r="C224" s="99" t="s">
        <v>277</v>
      </c>
      <c r="D224" s="222">
        <f>(46.62)*10.764</f>
        <v>501.81767999999994</v>
      </c>
      <c r="E224" s="99">
        <v>0</v>
      </c>
      <c r="F224" s="222">
        <f t="shared" si="43"/>
        <v>501.81767999999994</v>
      </c>
      <c r="G224" s="222">
        <v>0</v>
      </c>
      <c r="H224" s="222">
        <f t="shared" si="44"/>
        <v>752.72651999999994</v>
      </c>
    </row>
    <row r="225" spans="1:8" x14ac:dyDescent="0.2">
      <c r="A225" s="227" t="s">
        <v>283</v>
      </c>
      <c r="B225" s="228"/>
      <c r="C225" s="99" t="s">
        <v>55</v>
      </c>
      <c r="D225" s="222">
        <f>(29.86)*10.764</f>
        <v>321.41303999999997</v>
      </c>
      <c r="E225" s="99">
        <v>0</v>
      </c>
      <c r="F225" s="222">
        <f t="shared" si="43"/>
        <v>321.41303999999997</v>
      </c>
      <c r="G225" s="222">
        <v>0</v>
      </c>
      <c r="H225" s="222">
        <f t="shared" si="44"/>
        <v>482.11955999999998</v>
      </c>
    </row>
    <row r="226" spans="1:8" x14ac:dyDescent="0.2">
      <c r="A226" s="227" t="s">
        <v>284</v>
      </c>
      <c r="B226" s="228"/>
      <c r="C226" s="99" t="s">
        <v>55</v>
      </c>
      <c r="D226" s="222">
        <f>(29.86)*10.764</f>
        <v>321.41303999999997</v>
      </c>
      <c r="E226" s="99">
        <v>0</v>
      </c>
      <c r="F226" s="222">
        <f t="shared" si="43"/>
        <v>321.41303999999997</v>
      </c>
      <c r="G226" s="222">
        <v>0</v>
      </c>
      <c r="H226" s="222">
        <f t="shared" si="44"/>
        <v>482.11955999999998</v>
      </c>
    </row>
    <row r="227" spans="1:8" x14ac:dyDescent="0.2">
      <c r="A227" s="227" t="s">
        <v>285</v>
      </c>
      <c r="B227" s="228"/>
      <c r="C227" s="99" t="s">
        <v>277</v>
      </c>
      <c r="D227" s="222">
        <f>(46.62)*10.764</f>
        <v>501.81767999999994</v>
      </c>
      <c r="E227" s="99">
        <v>0</v>
      </c>
      <c r="F227" s="222">
        <f t="shared" si="43"/>
        <v>501.81767999999994</v>
      </c>
      <c r="G227" s="222">
        <v>0</v>
      </c>
      <c r="H227" s="222">
        <f t="shared" si="44"/>
        <v>752.72651999999994</v>
      </c>
    </row>
    <row r="228" spans="1:8" x14ac:dyDescent="0.2">
      <c r="A228" s="227" t="s">
        <v>286</v>
      </c>
      <c r="B228" s="228"/>
      <c r="C228" s="99" t="s">
        <v>277</v>
      </c>
      <c r="D228" s="222">
        <f>(46.62)*10.764</f>
        <v>501.81767999999994</v>
      </c>
      <c r="E228" s="99">
        <v>0</v>
      </c>
      <c r="F228" s="222">
        <f t="shared" si="43"/>
        <v>501.81767999999994</v>
      </c>
      <c r="G228" s="222">
        <v>0</v>
      </c>
      <c r="H228" s="222">
        <f t="shared" si="44"/>
        <v>752.72651999999994</v>
      </c>
    </row>
    <row r="229" spans="1:8" x14ac:dyDescent="0.2">
      <c r="A229" s="227" t="s">
        <v>287</v>
      </c>
      <c r="B229" s="228"/>
      <c r="C229" s="99" t="s">
        <v>277</v>
      </c>
      <c r="D229" s="222">
        <f>(46.62)*10.764</f>
        <v>501.81767999999994</v>
      </c>
      <c r="E229" s="99">
        <v>0</v>
      </c>
      <c r="F229" s="222">
        <f t="shared" si="43"/>
        <v>501.81767999999994</v>
      </c>
      <c r="G229" s="222">
        <v>0</v>
      </c>
      <c r="H229" s="222">
        <f t="shared" si="44"/>
        <v>752.72651999999994</v>
      </c>
    </row>
    <row r="230" spans="1:8" x14ac:dyDescent="0.2">
      <c r="A230" s="227" t="s">
        <v>288</v>
      </c>
      <c r="B230" s="228"/>
      <c r="C230" s="99" t="s">
        <v>277</v>
      </c>
      <c r="D230" s="222">
        <f>(46.62)*10.764</f>
        <v>501.81767999999994</v>
      </c>
      <c r="E230" s="99">
        <v>0</v>
      </c>
      <c r="F230" s="222">
        <f t="shared" si="43"/>
        <v>501.81767999999994</v>
      </c>
      <c r="G230" s="222">
        <v>0</v>
      </c>
      <c r="H230" s="222">
        <f t="shared" si="44"/>
        <v>752.72651999999994</v>
      </c>
    </row>
    <row r="231" spans="1:8" x14ac:dyDescent="0.2">
      <c r="A231" s="227" t="s">
        <v>289</v>
      </c>
      <c r="B231" s="228"/>
      <c r="C231" s="99" t="s">
        <v>55</v>
      </c>
      <c r="D231" s="222">
        <f t="shared" ref="D231:D239" si="45">(29.86)*10.764</f>
        <v>321.41303999999997</v>
      </c>
      <c r="E231" s="99">
        <v>0</v>
      </c>
      <c r="F231" s="222">
        <f t="shared" si="43"/>
        <v>321.41303999999997</v>
      </c>
      <c r="G231" s="222">
        <v>0</v>
      </c>
      <c r="H231" s="222">
        <f t="shared" si="44"/>
        <v>482.11955999999998</v>
      </c>
    </row>
    <row r="232" spans="1:8" x14ac:dyDescent="0.2">
      <c r="A232" s="227" t="s">
        <v>290</v>
      </c>
      <c r="B232" s="228"/>
      <c r="C232" s="99" t="s">
        <v>55</v>
      </c>
      <c r="D232" s="222">
        <f t="shared" si="45"/>
        <v>321.41303999999997</v>
      </c>
      <c r="E232" s="99">
        <v>0</v>
      </c>
      <c r="F232" s="222">
        <f t="shared" si="43"/>
        <v>321.41303999999997</v>
      </c>
      <c r="G232" s="222">
        <v>0</v>
      </c>
      <c r="H232" s="222">
        <f t="shared" si="44"/>
        <v>482.11955999999998</v>
      </c>
    </row>
    <row r="233" spans="1:8" x14ac:dyDescent="0.2">
      <c r="A233" s="227" t="s">
        <v>291</v>
      </c>
      <c r="B233" s="228"/>
      <c r="C233" s="99" t="s">
        <v>55</v>
      </c>
      <c r="D233" s="222">
        <f t="shared" si="45"/>
        <v>321.41303999999997</v>
      </c>
      <c r="E233" s="99">
        <v>0</v>
      </c>
      <c r="F233" s="222">
        <f t="shared" si="43"/>
        <v>321.41303999999997</v>
      </c>
      <c r="G233" s="222">
        <v>0</v>
      </c>
      <c r="H233" s="222">
        <f t="shared" si="44"/>
        <v>482.11955999999998</v>
      </c>
    </row>
    <row r="234" spans="1:8" x14ac:dyDescent="0.2">
      <c r="A234" s="227" t="s">
        <v>292</v>
      </c>
      <c r="B234" s="228"/>
      <c r="C234" s="99" t="s">
        <v>278</v>
      </c>
      <c r="D234" s="227" t="s">
        <v>311</v>
      </c>
      <c r="E234" s="229"/>
      <c r="F234" s="229"/>
      <c r="G234" s="229"/>
      <c r="H234" s="228"/>
    </row>
    <row r="235" spans="1:8" x14ac:dyDescent="0.2">
      <c r="A235" s="227" t="s">
        <v>293</v>
      </c>
      <c r="B235" s="228"/>
      <c r="C235" s="99" t="s">
        <v>55</v>
      </c>
      <c r="D235" s="222">
        <f t="shared" si="45"/>
        <v>321.41303999999997</v>
      </c>
      <c r="E235" s="99">
        <v>0</v>
      </c>
      <c r="F235" s="222">
        <f t="shared" si="43"/>
        <v>321.41303999999997</v>
      </c>
      <c r="G235" s="222">
        <v>0</v>
      </c>
      <c r="H235" s="222">
        <f t="shared" si="44"/>
        <v>482.11955999999998</v>
      </c>
    </row>
    <row r="236" spans="1:8" x14ac:dyDescent="0.2">
      <c r="A236" s="227" t="s">
        <v>294</v>
      </c>
      <c r="B236" s="228"/>
      <c r="C236" s="99" t="s">
        <v>55</v>
      </c>
      <c r="D236" s="222">
        <f t="shared" si="45"/>
        <v>321.41303999999997</v>
      </c>
      <c r="E236" s="99">
        <v>0</v>
      </c>
      <c r="F236" s="222">
        <f t="shared" si="43"/>
        <v>321.41303999999997</v>
      </c>
      <c r="G236" s="222">
        <v>0</v>
      </c>
      <c r="H236" s="222">
        <f t="shared" si="44"/>
        <v>482.11955999999998</v>
      </c>
    </row>
    <row r="237" spans="1:8" x14ac:dyDescent="0.2">
      <c r="A237" s="227" t="s">
        <v>295</v>
      </c>
      <c r="B237" s="228"/>
      <c r="C237" s="99" t="s">
        <v>55</v>
      </c>
      <c r="D237" s="222">
        <f t="shared" si="45"/>
        <v>321.41303999999997</v>
      </c>
      <c r="E237" s="99">
        <v>0</v>
      </c>
      <c r="F237" s="222">
        <f t="shared" si="43"/>
        <v>321.41303999999997</v>
      </c>
      <c r="G237" s="222">
        <v>0</v>
      </c>
      <c r="H237" s="222">
        <f t="shared" si="44"/>
        <v>482.11955999999998</v>
      </c>
    </row>
    <row r="238" spans="1:8" x14ac:dyDescent="0.2">
      <c r="A238" s="227" t="s">
        <v>296</v>
      </c>
      <c r="B238" s="228"/>
      <c r="C238" s="99" t="s">
        <v>55</v>
      </c>
      <c r="D238" s="222">
        <f t="shared" si="45"/>
        <v>321.41303999999997</v>
      </c>
      <c r="E238" s="99">
        <v>0</v>
      </c>
      <c r="F238" s="222">
        <f t="shared" si="43"/>
        <v>321.41303999999997</v>
      </c>
      <c r="G238" s="222">
        <v>0</v>
      </c>
      <c r="H238" s="222">
        <f t="shared" si="44"/>
        <v>482.11955999999998</v>
      </c>
    </row>
    <row r="239" spans="1:8" x14ac:dyDescent="0.2">
      <c r="A239" s="227" t="s">
        <v>297</v>
      </c>
      <c r="B239" s="228"/>
      <c r="C239" s="99" t="s">
        <v>55</v>
      </c>
      <c r="D239" s="222">
        <f t="shared" si="45"/>
        <v>321.41303999999997</v>
      </c>
      <c r="E239" s="99">
        <v>0</v>
      </c>
      <c r="F239" s="222">
        <f t="shared" si="43"/>
        <v>321.41303999999997</v>
      </c>
      <c r="G239" s="222">
        <v>0</v>
      </c>
      <c r="H239" s="222">
        <f t="shared" si="44"/>
        <v>482.11955999999998</v>
      </c>
    </row>
    <row r="240" spans="1:8" x14ac:dyDescent="0.2">
      <c r="A240" s="227" t="s">
        <v>298</v>
      </c>
      <c r="B240" s="228"/>
      <c r="C240" s="99" t="s">
        <v>277</v>
      </c>
      <c r="D240" s="222">
        <f t="shared" ref="D240:D246" si="46">(49.6)*10.764</f>
        <v>533.89440000000002</v>
      </c>
      <c r="E240" s="99">
        <v>0</v>
      </c>
      <c r="F240" s="222">
        <f t="shared" si="43"/>
        <v>533.89440000000002</v>
      </c>
      <c r="G240" s="222">
        <v>0</v>
      </c>
      <c r="H240" s="222">
        <f t="shared" si="44"/>
        <v>800.84159999999997</v>
      </c>
    </row>
    <row r="241" spans="1:8" x14ac:dyDescent="0.2">
      <c r="A241" s="227" t="s">
        <v>299</v>
      </c>
      <c r="B241" s="228"/>
      <c r="C241" s="99" t="s">
        <v>277</v>
      </c>
      <c r="D241" s="222">
        <f t="shared" si="46"/>
        <v>533.89440000000002</v>
      </c>
      <c r="E241" s="99">
        <v>0</v>
      </c>
      <c r="F241" s="222">
        <f t="shared" si="43"/>
        <v>533.89440000000002</v>
      </c>
      <c r="G241" s="222">
        <v>0</v>
      </c>
      <c r="H241" s="222">
        <f t="shared" si="44"/>
        <v>800.84159999999997</v>
      </c>
    </row>
    <row r="242" spans="1:8" x14ac:dyDescent="0.2">
      <c r="A242" s="227" t="s">
        <v>300</v>
      </c>
      <c r="B242" s="228"/>
      <c r="C242" s="99" t="s">
        <v>278</v>
      </c>
      <c r="D242" s="227" t="s">
        <v>311</v>
      </c>
      <c r="E242" s="229"/>
      <c r="F242" s="229"/>
      <c r="G242" s="229"/>
      <c r="H242" s="228"/>
    </row>
    <row r="243" spans="1:8" x14ac:dyDescent="0.2">
      <c r="A243" s="227" t="s">
        <v>301</v>
      </c>
      <c r="B243" s="228"/>
      <c r="C243" s="99" t="s">
        <v>277</v>
      </c>
      <c r="D243" s="222">
        <f t="shared" si="46"/>
        <v>533.89440000000002</v>
      </c>
      <c r="E243" s="99">
        <v>0</v>
      </c>
      <c r="F243" s="222">
        <f t="shared" si="43"/>
        <v>533.89440000000002</v>
      </c>
      <c r="G243" s="222">
        <v>0</v>
      </c>
      <c r="H243" s="222">
        <f t="shared" si="44"/>
        <v>800.84159999999997</v>
      </c>
    </row>
    <row r="244" spans="1:8" x14ac:dyDescent="0.2">
      <c r="A244" s="227" t="s">
        <v>302</v>
      </c>
      <c r="B244" s="228"/>
      <c r="C244" s="99" t="s">
        <v>277</v>
      </c>
      <c r="D244" s="222">
        <f t="shared" si="46"/>
        <v>533.89440000000002</v>
      </c>
      <c r="E244" s="99">
        <v>0</v>
      </c>
      <c r="F244" s="222">
        <f t="shared" si="43"/>
        <v>533.89440000000002</v>
      </c>
      <c r="G244" s="222">
        <v>0</v>
      </c>
      <c r="H244" s="222">
        <f t="shared" si="44"/>
        <v>800.84159999999997</v>
      </c>
    </row>
    <row r="245" spans="1:8" x14ac:dyDescent="0.2">
      <c r="A245" s="227" t="s">
        <v>303</v>
      </c>
      <c r="B245" s="228"/>
      <c r="C245" s="99" t="s">
        <v>277</v>
      </c>
      <c r="D245" s="222">
        <f t="shared" si="46"/>
        <v>533.89440000000002</v>
      </c>
      <c r="E245" s="99">
        <v>0</v>
      </c>
      <c r="F245" s="222">
        <f t="shared" si="43"/>
        <v>533.89440000000002</v>
      </c>
      <c r="G245" s="222">
        <v>0</v>
      </c>
      <c r="H245" s="222">
        <f t="shared" si="44"/>
        <v>800.84159999999997</v>
      </c>
    </row>
    <row r="246" spans="1:8" x14ac:dyDescent="0.2">
      <c r="A246" s="227" t="s">
        <v>304</v>
      </c>
      <c r="B246" s="228"/>
      <c r="C246" s="99" t="s">
        <v>277</v>
      </c>
      <c r="D246" s="222">
        <f t="shared" si="46"/>
        <v>533.89440000000002</v>
      </c>
      <c r="E246" s="99">
        <v>0</v>
      </c>
      <c r="F246" s="222">
        <f t="shared" si="43"/>
        <v>533.89440000000002</v>
      </c>
      <c r="G246" s="222">
        <v>0</v>
      </c>
      <c r="H246" s="222">
        <f t="shared" si="44"/>
        <v>800.84159999999997</v>
      </c>
    </row>
    <row r="247" spans="1:8" x14ac:dyDescent="0.2">
      <c r="A247" s="163" t="s">
        <v>312</v>
      </c>
      <c r="B247" s="163"/>
      <c r="C247" s="163"/>
      <c r="D247" s="163"/>
      <c r="E247" s="163"/>
      <c r="F247" s="163"/>
      <c r="G247" s="163"/>
      <c r="H247" s="163"/>
    </row>
    <row r="248" spans="1:8" x14ac:dyDescent="0.2">
      <c r="A248" s="163" t="s">
        <v>319</v>
      </c>
      <c r="B248" s="163"/>
      <c r="C248" s="163"/>
      <c r="D248" s="163"/>
      <c r="E248" s="163"/>
      <c r="F248" s="163"/>
      <c r="G248" s="163"/>
      <c r="H248" s="163"/>
    </row>
    <row r="249" spans="1:8" x14ac:dyDescent="0.2">
      <c r="A249" s="163" t="s">
        <v>313</v>
      </c>
      <c r="B249" s="163"/>
      <c r="C249" s="163"/>
      <c r="D249" s="163"/>
      <c r="E249" s="163"/>
      <c r="F249" s="163"/>
      <c r="G249" s="163"/>
      <c r="H249" s="163"/>
    </row>
    <row r="250" spans="1:8" x14ac:dyDescent="0.2">
      <c r="A250" s="221" t="s">
        <v>280</v>
      </c>
      <c r="B250" s="140"/>
      <c r="C250" s="222" t="s">
        <v>55</v>
      </c>
      <c r="D250" s="222">
        <f>(29.86)*10.764</f>
        <v>321.41303999999997</v>
      </c>
      <c r="E250" s="99">
        <v>0</v>
      </c>
      <c r="F250" s="222">
        <f>D250+E250</f>
        <v>321.41303999999997</v>
      </c>
      <c r="G250" s="222">
        <v>0</v>
      </c>
      <c r="H250" s="222">
        <f>F250*(($H$141)+1)+(IF(G250&lt;101,G250,IF(G250&lt;201,G250/2,IF(G250&lt;=301,G250/3,G250/4))))</f>
        <v>482.11955999999998</v>
      </c>
    </row>
    <row r="251" spans="1:8" x14ac:dyDescent="0.2">
      <c r="A251" s="221" t="s">
        <v>281</v>
      </c>
      <c r="B251" s="140"/>
      <c r="C251" s="222" t="s">
        <v>277</v>
      </c>
      <c r="D251" s="222">
        <f>(42.93)*10.764</f>
        <v>462.09851999999995</v>
      </c>
      <c r="E251" s="99">
        <v>0</v>
      </c>
      <c r="F251" s="222">
        <f t="shared" ref="F251:F261" si="47">D251+E251</f>
        <v>462.09851999999995</v>
      </c>
      <c r="G251" s="222">
        <v>0</v>
      </c>
      <c r="H251" s="222">
        <f t="shared" ref="H251:H261" si="48">F251*(($H$141)+1)+(IF(G251&lt;101,G251,IF(G251&lt;201,G251/2,IF(G251&lt;=301,G251/3,G251/4))))</f>
        <v>693.1477799999999</v>
      </c>
    </row>
    <row r="252" spans="1:8" x14ac:dyDescent="0.2">
      <c r="A252" s="221" t="s">
        <v>282</v>
      </c>
      <c r="B252" s="140"/>
      <c r="C252" s="222" t="s">
        <v>277</v>
      </c>
      <c r="D252" s="222">
        <f>(42.93)*10.764</f>
        <v>462.09851999999995</v>
      </c>
      <c r="E252" s="99">
        <v>0</v>
      </c>
      <c r="F252" s="222">
        <f t="shared" si="47"/>
        <v>462.09851999999995</v>
      </c>
      <c r="G252" s="222">
        <v>0</v>
      </c>
      <c r="H252" s="222">
        <f t="shared" si="48"/>
        <v>693.1477799999999</v>
      </c>
    </row>
    <row r="253" spans="1:8" x14ac:dyDescent="0.2">
      <c r="A253" s="221" t="s">
        <v>283</v>
      </c>
      <c r="B253" s="140"/>
      <c r="C253" s="222" t="s">
        <v>277</v>
      </c>
      <c r="D253" s="222">
        <f>(42.93)*10.764</f>
        <v>462.09851999999995</v>
      </c>
      <c r="E253" s="99">
        <v>0</v>
      </c>
      <c r="F253" s="222">
        <f t="shared" si="47"/>
        <v>462.09851999999995</v>
      </c>
      <c r="G253" s="222">
        <v>0</v>
      </c>
      <c r="H253" s="222">
        <f t="shared" si="48"/>
        <v>693.1477799999999</v>
      </c>
    </row>
    <row r="254" spans="1:8" x14ac:dyDescent="0.2">
      <c r="A254" s="221" t="s">
        <v>284</v>
      </c>
      <c r="B254" s="140"/>
      <c r="C254" s="222" t="s">
        <v>277</v>
      </c>
      <c r="D254" s="222">
        <f>(42.93)*10.764</f>
        <v>462.09851999999995</v>
      </c>
      <c r="E254" s="99">
        <v>0</v>
      </c>
      <c r="F254" s="222">
        <f t="shared" si="47"/>
        <v>462.09851999999995</v>
      </c>
      <c r="G254" s="222">
        <v>0</v>
      </c>
      <c r="H254" s="222">
        <f t="shared" si="48"/>
        <v>693.1477799999999</v>
      </c>
    </row>
    <row r="255" spans="1:8" x14ac:dyDescent="0.2">
      <c r="A255" s="221" t="s">
        <v>285</v>
      </c>
      <c r="B255" s="140"/>
      <c r="C255" s="222" t="s">
        <v>278</v>
      </c>
      <c r="D255" s="230" t="s">
        <v>318</v>
      </c>
      <c r="E255" s="231"/>
      <c r="F255" s="231"/>
      <c r="G255" s="231"/>
      <c r="H255" s="232"/>
    </row>
    <row r="256" spans="1:8" x14ac:dyDescent="0.2">
      <c r="A256" s="221" t="s">
        <v>286</v>
      </c>
      <c r="B256" s="140"/>
      <c r="C256" s="222" t="s">
        <v>278</v>
      </c>
      <c r="D256" s="236"/>
      <c r="E256" s="237"/>
      <c r="F256" s="237"/>
      <c r="G256" s="237"/>
      <c r="H256" s="238"/>
    </row>
    <row r="257" spans="1:8" x14ac:dyDescent="0.2">
      <c r="A257" s="221" t="s">
        <v>287</v>
      </c>
      <c r="B257" s="140"/>
      <c r="C257" s="222" t="s">
        <v>278</v>
      </c>
      <c r="D257" s="233"/>
      <c r="E257" s="234"/>
      <c r="F257" s="234"/>
      <c r="G257" s="234"/>
      <c r="H257" s="235"/>
    </row>
    <row r="258" spans="1:8" x14ac:dyDescent="0.2">
      <c r="A258" s="221" t="s">
        <v>288</v>
      </c>
      <c r="B258" s="140"/>
      <c r="C258" s="222" t="s">
        <v>55</v>
      </c>
      <c r="D258" s="222">
        <f>(29.86)*10.764</f>
        <v>321.41303999999997</v>
      </c>
      <c r="E258" s="99">
        <v>0</v>
      </c>
      <c r="F258" s="222">
        <f t="shared" si="47"/>
        <v>321.41303999999997</v>
      </c>
      <c r="G258" s="222">
        <v>0</v>
      </c>
      <c r="H258" s="222">
        <f t="shared" si="48"/>
        <v>482.11955999999998</v>
      </c>
    </row>
    <row r="259" spans="1:8" x14ac:dyDescent="0.2">
      <c r="A259" s="221" t="s">
        <v>289</v>
      </c>
      <c r="B259" s="140"/>
      <c r="C259" s="222" t="s">
        <v>55</v>
      </c>
      <c r="D259" s="222">
        <f>(29.86)*10.764</f>
        <v>321.41303999999997</v>
      </c>
      <c r="E259" s="99">
        <v>0</v>
      </c>
      <c r="F259" s="222">
        <f t="shared" si="47"/>
        <v>321.41303999999997</v>
      </c>
      <c r="G259" s="222">
        <v>0</v>
      </c>
      <c r="H259" s="222">
        <f t="shared" si="48"/>
        <v>482.11955999999998</v>
      </c>
    </row>
    <row r="260" spans="1:8" x14ac:dyDescent="0.2">
      <c r="A260" s="221" t="s">
        <v>290</v>
      </c>
      <c r="B260" s="140"/>
      <c r="C260" s="222" t="s">
        <v>55</v>
      </c>
      <c r="D260" s="222">
        <f>(29.86)*10.764</f>
        <v>321.41303999999997</v>
      </c>
      <c r="E260" s="99">
        <v>0</v>
      </c>
      <c r="F260" s="222">
        <f t="shared" si="47"/>
        <v>321.41303999999997</v>
      </c>
      <c r="G260" s="222">
        <v>0</v>
      </c>
      <c r="H260" s="222">
        <f t="shared" si="48"/>
        <v>482.11955999999998</v>
      </c>
    </row>
    <row r="261" spans="1:8" x14ac:dyDescent="0.2">
      <c r="A261" s="221" t="s">
        <v>291</v>
      </c>
      <c r="B261" s="140"/>
      <c r="C261" s="222" t="s">
        <v>55</v>
      </c>
      <c r="D261" s="222">
        <f t="shared" ref="D261:D268" si="49">(29.86)*10.764</f>
        <v>321.41303999999997</v>
      </c>
      <c r="E261" s="99">
        <v>0</v>
      </c>
      <c r="F261" s="222">
        <f t="shared" si="47"/>
        <v>321.41303999999997</v>
      </c>
      <c r="G261" s="222">
        <v>0</v>
      </c>
      <c r="H261" s="222">
        <f t="shared" si="48"/>
        <v>482.11955999999998</v>
      </c>
    </row>
    <row r="262" spans="1:8" x14ac:dyDescent="0.2">
      <c r="A262" s="221" t="s">
        <v>292</v>
      </c>
      <c r="B262" s="140"/>
      <c r="C262" s="222" t="s">
        <v>55</v>
      </c>
      <c r="D262" s="222">
        <f t="shared" si="49"/>
        <v>321.41303999999997</v>
      </c>
      <c r="E262" s="99">
        <v>0</v>
      </c>
      <c r="F262" s="222">
        <f t="shared" ref="F262:F272" si="50">D262+E262</f>
        <v>321.41303999999997</v>
      </c>
      <c r="G262" s="222">
        <v>0</v>
      </c>
      <c r="H262" s="222">
        <f t="shared" ref="H262:H272" si="51">F262*(($H$141)+1)+(IF(G262&lt;101,G262,IF(G262&lt;201,G262/2,IF(G262&lt;=301,G262/3,G262/4))))</f>
        <v>482.11955999999998</v>
      </c>
    </row>
    <row r="263" spans="1:8" x14ac:dyDescent="0.2">
      <c r="A263" s="221" t="s">
        <v>293</v>
      </c>
      <c r="B263" s="140"/>
      <c r="C263" s="222" t="s">
        <v>55</v>
      </c>
      <c r="D263" s="222">
        <f t="shared" si="49"/>
        <v>321.41303999999997</v>
      </c>
      <c r="E263" s="99">
        <v>0</v>
      </c>
      <c r="F263" s="222">
        <f t="shared" si="50"/>
        <v>321.41303999999997</v>
      </c>
      <c r="G263" s="222">
        <v>0</v>
      </c>
      <c r="H263" s="222">
        <f t="shared" si="51"/>
        <v>482.11955999999998</v>
      </c>
    </row>
    <row r="264" spans="1:8" x14ac:dyDescent="0.2">
      <c r="A264" s="221" t="s">
        <v>294</v>
      </c>
      <c r="B264" s="140"/>
      <c r="C264" s="222" t="s">
        <v>55</v>
      </c>
      <c r="D264" s="222">
        <f t="shared" si="49"/>
        <v>321.41303999999997</v>
      </c>
      <c r="E264" s="99">
        <v>0</v>
      </c>
      <c r="F264" s="222">
        <f t="shared" si="50"/>
        <v>321.41303999999997</v>
      </c>
      <c r="G264" s="222">
        <v>0</v>
      </c>
      <c r="H264" s="222">
        <f t="shared" si="51"/>
        <v>482.11955999999998</v>
      </c>
    </row>
    <row r="265" spans="1:8" x14ac:dyDescent="0.2">
      <c r="A265" s="221" t="s">
        <v>295</v>
      </c>
      <c r="B265" s="140"/>
      <c r="C265" s="222" t="s">
        <v>55</v>
      </c>
      <c r="D265" s="222">
        <f t="shared" si="49"/>
        <v>321.41303999999997</v>
      </c>
      <c r="E265" s="99">
        <v>0</v>
      </c>
      <c r="F265" s="222">
        <f t="shared" si="50"/>
        <v>321.41303999999997</v>
      </c>
      <c r="G265" s="222">
        <v>0</v>
      </c>
      <c r="H265" s="222">
        <f t="shared" si="51"/>
        <v>482.11955999999998</v>
      </c>
    </row>
    <row r="266" spans="1:8" x14ac:dyDescent="0.2">
      <c r="A266" s="221" t="s">
        <v>296</v>
      </c>
      <c r="B266" s="140"/>
      <c r="C266" s="222" t="s">
        <v>55</v>
      </c>
      <c r="D266" s="222">
        <f t="shared" si="49"/>
        <v>321.41303999999997</v>
      </c>
      <c r="E266" s="99">
        <v>0</v>
      </c>
      <c r="F266" s="222">
        <f t="shared" si="50"/>
        <v>321.41303999999997</v>
      </c>
      <c r="G266" s="222">
        <v>0</v>
      </c>
      <c r="H266" s="222">
        <f t="shared" si="51"/>
        <v>482.11955999999998</v>
      </c>
    </row>
    <row r="267" spans="1:8" x14ac:dyDescent="0.2">
      <c r="A267" s="221" t="s">
        <v>297</v>
      </c>
      <c r="B267" s="140"/>
      <c r="C267" s="222" t="s">
        <v>55</v>
      </c>
      <c r="D267" s="222">
        <f t="shared" si="49"/>
        <v>321.41303999999997</v>
      </c>
      <c r="E267" s="99">
        <v>0</v>
      </c>
      <c r="F267" s="222">
        <f t="shared" si="50"/>
        <v>321.41303999999997</v>
      </c>
      <c r="G267" s="222">
        <v>0</v>
      </c>
      <c r="H267" s="222">
        <f t="shared" si="51"/>
        <v>482.11955999999998</v>
      </c>
    </row>
    <row r="268" spans="1:8" x14ac:dyDescent="0.2">
      <c r="A268" s="221" t="s">
        <v>314</v>
      </c>
      <c r="B268" s="140"/>
      <c r="C268" s="222" t="s">
        <v>55</v>
      </c>
      <c r="D268" s="222">
        <f t="shared" si="49"/>
        <v>321.41303999999997</v>
      </c>
      <c r="E268" s="99">
        <v>0</v>
      </c>
      <c r="F268" s="222">
        <f t="shared" si="50"/>
        <v>321.41303999999997</v>
      </c>
      <c r="G268" s="222">
        <v>0</v>
      </c>
      <c r="H268" s="222">
        <f t="shared" si="51"/>
        <v>482.11955999999998</v>
      </c>
    </row>
    <row r="269" spans="1:8" x14ac:dyDescent="0.2">
      <c r="A269" s="221" t="s">
        <v>298</v>
      </c>
      <c r="B269" s="140"/>
      <c r="C269" s="222" t="s">
        <v>277</v>
      </c>
      <c r="D269" s="222">
        <f>(42.93)*10.764</f>
        <v>462.09851999999995</v>
      </c>
      <c r="E269" s="99">
        <v>0</v>
      </c>
      <c r="F269" s="222">
        <f t="shared" si="50"/>
        <v>462.09851999999995</v>
      </c>
      <c r="G269" s="222">
        <v>0</v>
      </c>
      <c r="H269" s="222">
        <f t="shared" si="51"/>
        <v>693.1477799999999</v>
      </c>
    </row>
    <row r="270" spans="1:8" x14ac:dyDescent="0.2">
      <c r="A270" s="221" t="s">
        <v>299</v>
      </c>
      <c r="B270" s="140"/>
      <c r="C270" s="222" t="s">
        <v>277</v>
      </c>
      <c r="D270" s="222">
        <f>(46.52)*10.764</f>
        <v>500.74128000000002</v>
      </c>
      <c r="E270" s="99">
        <v>0</v>
      </c>
      <c r="F270" s="222">
        <f t="shared" si="50"/>
        <v>500.74128000000002</v>
      </c>
      <c r="G270" s="222">
        <v>0</v>
      </c>
      <c r="H270" s="222">
        <f t="shared" si="51"/>
        <v>751.11192000000005</v>
      </c>
    </row>
    <row r="271" spans="1:8" x14ac:dyDescent="0.2">
      <c r="A271" s="221" t="s">
        <v>300</v>
      </c>
      <c r="B271" s="140"/>
      <c r="C271" s="222" t="s">
        <v>277</v>
      </c>
      <c r="D271" s="222">
        <f>(46.52)*10.764</f>
        <v>500.74128000000002</v>
      </c>
      <c r="E271" s="99">
        <v>0</v>
      </c>
      <c r="F271" s="222">
        <f t="shared" si="50"/>
        <v>500.74128000000002</v>
      </c>
      <c r="G271" s="222">
        <v>0</v>
      </c>
      <c r="H271" s="222">
        <f t="shared" si="51"/>
        <v>751.11192000000005</v>
      </c>
    </row>
    <row r="272" spans="1:8" x14ac:dyDescent="0.2">
      <c r="A272" s="221" t="s">
        <v>301</v>
      </c>
      <c r="B272" s="140"/>
      <c r="C272" s="222" t="s">
        <v>55</v>
      </c>
      <c r="D272" s="222">
        <f t="shared" ref="D272:D275" si="52">(29.86)*10.764</f>
        <v>321.41303999999997</v>
      </c>
      <c r="E272" s="99">
        <v>0</v>
      </c>
      <c r="F272" s="222">
        <f t="shared" si="50"/>
        <v>321.41303999999997</v>
      </c>
      <c r="G272" s="222">
        <v>0</v>
      </c>
      <c r="H272" s="222">
        <f t="shared" si="51"/>
        <v>482.11955999999998</v>
      </c>
    </row>
    <row r="273" spans="1:8" x14ac:dyDescent="0.2">
      <c r="A273" s="221" t="s">
        <v>302</v>
      </c>
      <c r="B273" s="140"/>
      <c r="C273" s="222" t="s">
        <v>55</v>
      </c>
      <c r="D273" s="222">
        <f t="shared" si="52"/>
        <v>321.41303999999997</v>
      </c>
      <c r="E273" s="99">
        <v>0</v>
      </c>
      <c r="F273" s="222">
        <f t="shared" ref="F273:F277" si="53">D273+E273</f>
        <v>321.41303999999997</v>
      </c>
      <c r="G273" s="222">
        <v>0</v>
      </c>
      <c r="H273" s="222">
        <f t="shared" ref="H273:H277" si="54">F273*(($H$141)+1)+(IF(G273&lt;101,G273,IF(G273&lt;201,G273/2,IF(G273&lt;=301,G273/3,G273/4))))</f>
        <v>482.11955999999998</v>
      </c>
    </row>
    <row r="274" spans="1:8" x14ac:dyDescent="0.2">
      <c r="A274" s="221" t="s">
        <v>303</v>
      </c>
      <c r="B274" s="140"/>
      <c r="C274" s="222" t="s">
        <v>55</v>
      </c>
      <c r="D274" s="222">
        <f t="shared" si="52"/>
        <v>321.41303999999997</v>
      </c>
      <c r="E274" s="99">
        <v>0</v>
      </c>
      <c r="F274" s="222">
        <f t="shared" si="53"/>
        <v>321.41303999999997</v>
      </c>
      <c r="G274" s="222">
        <v>0</v>
      </c>
      <c r="H274" s="222">
        <f t="shared" si="54"/>
        <v>482.11955999999998</v>
      </c>
    </row>
    <row r="275" spans="1:8" x14ac:dyDescent="0.2">
      <c r="A275" s="221" t="s">
        <v>304</v>
      </c>
      <c r="B275" s="140"/>
      <c r="C275" s="222" t="s">
        <v>55</v>
      </c>
      <c r="D275" s="222">
        <f t="shared" si="52"/>
        <v>321.41303999999997</v>
      </c>
      <c r="E275" s="99">
        <v>0</v>
      </c>
      <c r="F275" s="222">
        <f t="shared" si="53"/>
        <v>321.41303999999997</v>
      </c>
      <c r="G275" s="222">
        <v>0</v>
      </c>
      <c r="H275" s="222">
        <f t="shared" si="54"/>
        <v>482.11955999999998</v>
      </c>
    </row>
    <row r="276" spans="1:8" x14ac:dyDescent="0.2">
      <c r="A276" s="221" t="s">
        <v>315</v>
      </c>
      <c r="B276" s="140"/>
      <c r="C276" s="222" t="s">
        <v>277</v>
      </c>
      <c r="D276" s="222">
        <f>(46.52)*10.764</f>
        <v>500.74128000000002</v>
      </c>
      <c r="E276" s="99">
        <v>0</v>
      </c>
      <c r="F276" s="222">
        <f t="shared" si="53"/>
        <v>500.74128000000002</v>
      </c>
      <c r="G276" s="222">
        <v>0</v>
      </c>
      <c r="H276" s="222">
        <f t="shared" si="54"/>
        <v>751.11192000000005</v>
      </c>
    </row>
    <row r="277" spans="1:8" x14ac:dyDescent="0.2">
      <c r="A277" s="221" t="s">
        <v>316</v>
      </c>
      <c r="B277" s="140"/>
      <c r="C277" s="222" t="s">
        <v>277</v>
      </c>
      <c r="D277" s="222">
        <f>(46.52)*10.764</f>
        <v>500.74128000000002</v>
      </c>
      <c r="E277" s="99">
        <v>0</v>
      </c>
      <c r="F277" s="222">
        <f t="shared" si="53"/>
        <v>500.74128000000002</v>
      </c>
      <c r="G277" s="222">
        <v>0</v>
      </c>
      <c r="H277" s="222">
        <f t="shared" si="54"/>
        <v>751.11192000000005</v>
      </c>
    </row>
    <row r="278" spans="1:8" x14ac:dyDescent="0.2">
      <c r="A278" s="221" t="s">
        <v>317</v>
      </c>
      <c r="B278" s="140"/>
      <c r="C278" s="99" t="s">
        <v>278</v>
      </c>
      <c r="D278" s="221" t="s">
        <v>318</v>
      </c>
      <c r="E278" s="223"/>
      <c r="F278" s="223"/>
      <c r="G278" s="223"/>
      <c r="H278" s="140"/>
    </row>
    <row r="279" spans="1:8" x14ac:dyDescent="0.2">
      <c r="A279" s="163" t="s">
        <v>320</v>
      </c>
      <c r="B279" s="163"/>
      <c r="C279" s="163"/>
      <c r="D279" s="163"/>
      <c r="E279" s="163"/>
      <c r="F279" s="163"/>
      <c r="G279" s="163"/>
      <c r="H279" s="163"/>
    </row>
    <row r="280" spans="1:8" x14ac:dyDescent="0.2">
      <c r="A280" s="221" t="s">
        <v>280</v>
      </c>
      <c r="B280" s="140"/>
      <c r="C280" s="222" t="s">
        <v>55</v>
      </c>
      <c r="D280" s="222">
        <f>(29.86)*10.764</f>
        <v>321.41303999999997</v>
      </c>
      <c r="E280" s="99">
        <v>0</v>
      </c>
      <c r="F280" s="222">
        <f>D280+E280</f>
        <v>321.41303999999997</v>
      </c>
      <c r="G280" s="222">
        <v>0</v>
      </c>
      <c r="H280" s="222">
        <f>F280*(($H$141)+1)+(IF(G280&lt;101,G280,IF(G280&lt;201,G280/2,IF(G280&lt;=301,G280/3,G280/4))))</f>
        <v>482.11955999999998</v>
      </c>
    </row>
    <row r="281" spans="1:8" x14ac:dyDescent="0.2">
      <c r="A281" s="221" t="s">
        <v>281</v>
      </c>
      <c r="B281" s="140"/>
      <c r="C281" s="222" t="s">
        <v>277</v>
      </c>
      <c r="D281" s="222">
        <f>(42.93)*10.764</f>
        <v>462.09851999999995</v>
      </c>
      <c r="E281" s="99">
        <v>0</v>
      </c>
      <c r="F281" s="222">
        <f t="shared" ref="F281:F291" si="55">D281+E281</f>
        <v>462.09851999999995</v>
      </c>
      <c r="G281" s="222">
        <v>0</v>
      </c>
      <c r="H281" s="222">
        <f t="shared" ref="H281:H291" si="56">F281*(($H$141)+1)+(IF(G281&lt;101,G281,IF(G281&lt;201,G281/2,IF(G281&lt;=301,G281/3,G281/4))))</f>
        <v>693.1477799999999</v>
      </c>
    </row>
    <row r="282" spans="1:8" x14ac:dyDescent="0.2">
      <c r="A282" s="221" t="s">
        <v>282</v>
      </c>
      <c r="B282" s="140"/>
      <c r="C282" s="222" t="s">
        <v>277</v>
      </c>
      <c r="D282" s="222">
        <f>(42.93)*10.764</f>
        <v>462.09851999999995</v>
      </c>
      <c r="E282" s="99">
        <v>0</v>
      </c>
      <c r="F282" s="222">
        <f t="shared" si="55"/>
        <v>462.09851999999995</v>
      </c>
      <c r="G282" s="222">
        <v>0</v>
      </c>
      <c r="H282" s="222">
        <f t="shared" si="56"/>
        <v>693.1477799999999</v>
      </c>
    </row>
    <row r="283" spans="1:8" x14ac:dyDescent="0.2">
      <c r="A283" s="221" t="s">
        <v>283</v>
      </c>
      <c r="B283" s="140"/>
      <c r="C283" s="222" t="s">
        <v>278</v>
      </c>
      <c r="D283" s="230" t="s">
        <v>306</v>
      </c>
      <c r="E283" s="231"/>
      <c r="F283" s="231"/>
      <c r="G283" s="231"/>
      <c r="H283" s="232"/>
    </row>
    <row r="284" spans="1:8" x14ac:dyDescent="0.2">
      <c r="A284" s="221" t="s">
        <v>284</v>
      </c>
      <c r="B284" s="140"/>
      <c r="C284" s="222" t="s">
        <v>278</v>
      </c>
      <c r="D284" s="233"/>
      <c r="E284" s="234"/>
      <c r="F284" s="234"/>
      <c r="G284" s="234"/>
      <c r="H284" s="235"/>
    </row>
    <row r="285" spans="1:8" x14ac:dyDescent="0.2">
      <c r="A285" s="221" t="s">
        <v>285</v>
      </c>
      <c r="B285" s="140"/>
      <c r="C285" s="222" t="s">
        <v>278</v>
      </c>
      <c r="D285" s="230" t="s">
        <v>308</v>
      </c>
      <c r="E285" s="231"/>
      <c r="F285" s="231"/>
      <c r="G285" s="231"/>
      <c r="H285" s="232"/>
    </row>
    <row r="286" spans="1:8" x14ac:dyDescent="0.2">
      <c r="A286" s="221" t="s">
        <v>286</v>
      </c>
      <c r="B286" s="140"/>
      <c r="C286" s="222" t="s">
        <v>278</v>
      </c>
      <c r="D286" s="233"/>
      <c r="E286" s="234"/>
      <c r="F286" s="234"/>
      <c r="G286" s="234"/>
      <c r="H286" s="235"/>
    </row>
    <row r="287" spans="1:8" x14ac:dyDescent="0.2">
      <c r="A287" s="221" t="s">
        <v>287</v>
      </c>
      <c r="B287" s="140"/>
      <c r="C287" s="222" t="s">
        <v>55</v>
      </c>
      <c r="D287" s="222">
        <f t="shared" ref="D287:D298" si="57">(29.86)*10.764</f>
        <v>321.41303999999997</v>
      </c>
      <c r="E287" s="99">
        <v>0</v>
      </c>
      <c r="F287" s="222">
        <f t="shared" si="55"/>
        <v>321.41303999999997</v>
      </c>
      <c r="G287" s="222">
        <v>0</v>
      </c>
      <c r="H287" s="222">
        <f t="shared" si="56"/>
        <v>482.11955999999998</v>
      </c>
    </row>
    <row r="288" spans="1:8" x14ac:dyDescent="0.2">
      <c r="A288" s="221" t="s">
        <v>288</v>
      </c>
      <c r="B288" s="140"/>
      <c r="C288" s="222" t="s">
        <v>55</v>
      </c>
      <c r="D288" s="222">
        <f t="shared" si="57"/>
        <v>321.41303999999997</v>
      </c>
      <c r="E288" s="99">
        <v>0</v>
      </c>
      <c r="F288" s="222">
        <f t="shared" si="55"/>
        <v>321.41303999999997</v>
      </c>
      <c r="G288" s="222">
        <v>0</v>
      </c>
      <c r="H288" s="222">
        <f t="shared" si="56"/>
        <v>482.11955999999998</v>
      </c>
    </row>
    <row r="289" spans="1:8" x14ac:dyDescent="0.2">
      <c r="A289" s="221" t="s">
        <v>289</v>
      </c>
      <c r="B289" s="140"/>
      <c r="C289" s="222" t="s">
        <v>55</v>
      </c>
      <c r="D289" s="222">
        <f t="shared" si="57"/>
        <v>321.41303999999997</v>
      </c>
      <c r="E289" s="99">
        <v>0</v>
      </c>
      <c r="F289" s="222">
        <f t="shared" si="55"/>
        <v>321.41303999999997</v>
      </c>
      <c r="G289" s="222">
        <v>0</v>
      </c>
      <c r="H289" s="222">
        <f t="shared" si="56"/>
        <v>482.11955999999998</v>
      </c>
    </row>
    <row r="290" spans="1:8" x14ac:dyDescent="0.2">
      <c r="A290" s="221" t="s">
        <v>290</v>
      </c>
      <c r="B290" s="140"/>
      <c r="C290" s="222" t="s">
        <v>55</v>
      </c>
      <c r="D290" s="222">
        <f t="shared" si="57"/>
        <v>321.41303999999997</v>
      </c>
      <c r="E290" s="99">
        <v>0</v>
      </c>
      <c r="F290" s="222">
        <f t="shared" si="55"/>
        <v>321.41303999999997</v>
      </c>
      <c r="G290" s="222">
        <v>0</v>
      </c>
      <c r="H290" s="222">
        <f t="shared" si="56"/>
        <v>482.11955999999998</v>
      </c>
    </row>
    <row r="291" spans="1:8" x14ac:dyDescent="0.2">
      <c r="A291" s="221" t="s">
        <v>291</v>
      </c>
      <c r="B291" s="140"/>
      <c r="C291" s="222" t="s">
        <v>55</v>
      </c>
      <c r="D291" s="222">
        <f t="shared" si="57"/>
        <v>321.41303999999997</v>
      </c>
      <c r="E291" s="99">
        <v>0</v>
      </c>
      <c r="F291" s="222">
        <f t="shared" si="55"/>
        <v>321.41303999999997</v>
      </c>
      <c r="G291" s="222">
        <v>0</v>
      </c>
      <c r="H291" s="222">
        <f t="shared" si="56"/>
        <v>482.11955999999998</v>
      </c>
    </row>
    <row r="292" spans="1:8" x14ac:dyDescent="0.2">
      <c r="A292" s="221" t="s">
        <v>292</v>
      </c>
      <c r="B292" s="140"/>
      <c r="C292" s="222" t="s">
        <v>55</v>
      </c>
      <c r="D292" s="222">
        <f t="shared" si="57"/>
        <v>321.41303999999997</v>
      </c>
      <c r="E292" s="99">
        <v>0</v>
      </c>
      <c r="F292" s="222">
        <f t="shared" ref="F292:F302" si="58">D292+E292</f>
        <v>321.41303999999997</v>
      </c>
      <c r="G292" s="222">
        <v>0</v>
      </c>
      <c r="H292" s="222">
        <f t="shared" ref="H292:H302" si="59">F292*(($H$141)+1)+(IF(G292&lt;101,G292,IF(G292&lt;201,G292/2,IF(G292&lt;=301,G292/3,G292/4))))</f>
        <v>482.11955999999998</v>
      </c>
    </row>
    <row r="293" spans="1:8" x14ac:dyDescent="0.2">
      <c r="A293" s="221" t="s">
        <v>293</v>
      </c>
      <c r="B293" s="140"/>
      <c r="C293" s="222" t="s">
        <v>55</v>
      </c>
      <c r="D293" s="222">
        <f t="shared" si="57"/>
        <v>321.41303999999997</v>
      </c>
      <c r="E293" s="99">
        <v>0</v>
      </c>
      <c r="F293" s="222">
        <f t="shared" si="58"/>
        <v>321.41303999999997</v>
      </c>
      <c r="G293" s="222">
        <v>0</v>
      </c>
      <c r="H293" s="222">
        <f t="shared" si="59"/>
        <v>482.11955999999998</v>
      </c>
    </row>
    <row r="294" spans="1:8" x14ac:dyDescent="0.2">
      <c r="A294" s="221" t="s">
        <v>294</v>
      </c>
      <c r="B294" s="140"/>
      <c r="C294" s="222" t="s">
        <v>55</v>
      </c>
      <c r="D294" s="222">
        <f t="shared" si="57"/>
        <v>321.41303999999997</v>
      </c>
      <c r="E294" s="99">
        <v>0</v>
      </c>
      <c r="F294" s="222">
        <f t="shared" si="58"/>
        <v>321.41303999999997</v>
      </c>
      <c r="G294" s="222">
        <v>0</v>
      </c>
      <c r="H294" s="222">
        <f t="shared" si="59"/>
        <v>482.11955999999998</v>
      </c>
    </row>
    <row r="295" spans="1:8" x14ac:dyDescent="0.2">
      <c r="A295" s="221" t="s">
        <v>295</v>
      </c>
      <c r="B295" s="140"/>
      <c r="C295" s="222" t="s">
        <v>55</v>
      </c>
      <c r="D295" s="222">
        <f t="shared" si="57"/>
        <v>321.41303999999997</v>
      </c>
      <c r="E295" s="99">
        <v>0</v>
      </c>
      <c r="F295" s="222">
        <f t="shared" si="58"/>
        <v>321.41303999999997</v>
      </c>
      <c r="G295" s="222">
        <v>0</v>
      </c>
      <c r="H295" s="222">
        <f t="shared" si="59"/>
        <v>482.11955999999998</v>
      </c>
    </row>
    <row r="296" spans="1:8" x14ac:dyDescent="0.2">
      <c r="A296" s="221" t="s">
        <v>296</v>
      </c>
      <c r="B296" s="140"/>
      <c r="C296" s="222" t="s">
        <v>55</v>
      </c>
      <c r="D296" s="222">
        <f t="shared" si="57"/>
        <v>321.41303999999997</v>
      </c>
      <c r="E296" s="99">
        <v>0</v>
      </c>
      <c r="F296" s="222">
        <f t="shared" si="58"/>
        <v>321.41303999999997</v>
      </c>
      <c r="G296" s="222">
        <v>0</v>
      </c>
      <c r="H296" s="222">
        <f t="shared" si="59"/>
        <v>482.11955999999998</v>
      </c>
    </row>
    <row r="297" spans="1:8" x14ac:dyDescent="0.2">
      <c r="A297" s="221" t="s">
        <v>297</v>
      </c>
      <c r="B297" s="140"/>
      <c r="C297" s="222" t="s">
        <v>55</v>
      </c>
      <c r="D297" s="222">
        <f t="shared" si="57"/>
        <v>321.41303999999997</v>
      </c>
      <c r="E297" s="99">
        <v>0</v>
      </c>
      <c r="F297" s="222">
        <f t="shared" si="58"/>
        <v>321.41303999999997</v>
      </c>
      <c r="G297" s="222">
        <v>0</v>
      </c>
      <c r="H297" s="222">
        <f t="shared" si="59"/>
        <v>482.11955999999998</v>
      </c>
    </row>
    <row r="298" spans="1:8" x14ac:dyDescent="0.2">
      <c r="A298" s="221" t="s">
        <v>314</v>
      </c>
      <c r="B298" s="140"/>
      <c r="C298" s="222" t="s">
        <v>55</v>
      </c>
      <c r="D298" s="222">
        <f t="shared" si="57"/>
        <v>321.41303999999997</v>
      </c>
      <c r="E298" s="99">
        <v>0</v>
      </c>
      <c r="F298" s="222">
        <f t="shared" si="58"/>
        <v>321.41303999999997</v>
      </c>
      <c r="G298" s="222">
        <v>0</v>
      </c>
      <c r="H298" s="222">
        <f t="shared" si="59"/>
        <v>482.11955999999998</v>
      </c>
    </row>
    <row r="299" spans="1:8" x14ac:dyDescent="0.2">
      <c r="A299" s="221" t="s">
        <v>298</v>
      </c>
      <c r="B299" s="140"/>
      <c r="C299" s="222" t="s">
        <v>277</v>
      </c>
      <c r="D299" s="222">
        <f>(42.93)*10.764</f>
        <v>462.09851999999995</v>
      </c>
      <c r="E299" s="99">
        <v>0</v>
      </c>
      <c r="F299" s="222">
        <f t="shared" si="58"/>
        <v>462.09851999999995</v>
      </c>
      <c r="G299" s="222">
        <v>0</v>
      </c>
      <c r="H299" s="222">
        <f t="shared" si="59"/>
        <v>693.1477799999999</v>
      </c>
    </row>
    <row r="300" spans="1:8" x14ac:dyDescent="0.2">
      <c r="A300" s="221" t="s">
        <v>299</v>
      </c>
      <c r="B300" s="140"/>
      <c r="C300" s="222" t="s">
        <v>277</v>
      </c>
      <c r="D300" s="222">
        <f>(46.52)*10.764</f>
        <v>500.74128000000002</v>
      </c>
      <c r="E300" s="99">
        <v>0</v>
      </c>
      <c r="F300" s="222">
        <f t="shared" si="58"/>
        <v>500.74128000000002</v>
      </c>
      <c r="G300" s="222">
        <v>0</v>
      </c>
      <c r="H300" s="222">
        <f t="shared" si="59"/>
        <v>751.11192000000005</v>
      </c>
    </row>
    <row r="301" spans="1:8" x14ac:dyDescent="0.2">
      <c r="A301" s="221" t="s">
        <v>300</v>
      </c>
      <c r="B301" s="140"/>
      <c r="C301" s="222" t="s">
        <v>277</v>
      </c>
      <c r="D301" s="222">
        <f>(46.52)*10.764</f>
        <v>500.74128000000002</v>
      </c>
      <c r="E301" s="99">
        <v>0</v>
      </c>
      <c r="F301" s="222">
        <f t="shared" si="58"/>
        <v>500.74128000000002</v>
      </c>
      <c r="G301" s="222">
        <v>0</v>
      </c>
      <c r="H301" s="222">
        <f t="shared" si="59"/>
        <v>751.11192000000005</v>
      </c>
    </row>
    <row r="302" spans="1:8" x14ac:dyDescent="0.2">
      <c r="A302" s="221" t="s">
        <v>301</v>
      </c>
      <c r="B302" s="140"/>
      <c r="C302" s="222" t="s">
        <v>55</v>
      </c>
      <c r="D302" s="222">
        <f t="shared" ref="D302:D305" si="60">(29.86)*10.764</f>
        <v>321.41303999999997</v>
      </c>
      <c r="E302" s="99">
        <v>0</v>
      </c>
      <c r="F302" s="222">
        <f t="shared" si="58"/>
        <v>321.41303999999997</v>
      </c>
      <c r="G302" s="222">
        <v>0</v>
      </c>
      <c r="H302" s="222">
        <f t="shared" si="59"/>
        <v>482.11955999999998</v>
      </c>
    </row>
    <row r="303" spans="1:8" x14ac:dyDescent="0.2">
      <c r="A303" s="221" t="s">
        <v>302</v>
      </c>
      <c r="B303" s="140"/>
      <c r="C303" s="222" t="s">
        <v>55</v>
      </c>
      <c r="D303" s="222">
        <f t="shared" si="60"/>
        <v>321.41303999999997</v>
      </c>
      <c r="E303" s="99">
        <v>0</v>
      </c>
      <c r="F303" s="222">
        <f t="shared" ref="F303:F306" si="61">D303+E303</f>
        <v>321.41303999999997</v>
      </c>
      <c r="G303" s="222">
        <v>0</v>
      </c>
      <c r="H303" s="222">
        <f t="shared" ref="H303:H306" si="62">F303*(($H$141)+1)+(IF(G303&lt;101,G303,IF(G303&lt;201,G303/2,IF(G303&lt;=301,G303/3,G303/4))))</f>
        <v>482.11955999999998</v>
      </c>
    </row>
    <row r="304" spans="1:8" x14ac:dyDescent="0.2">
      <c r="A304" s="221" t="s">
        <v>303</v>
      </c>
      <c r="B304" s="140"/>
      <c r="C304" s="222" t="s">
        <v>55</v>
      </c>
      <c r="D304" s="222">
        <f t="shared" si="60"/>
        <v>321.41303999999997</v>
      </c>
      <c r="E304" s="99">
        <v>0</v>
      </c>
      <c r="F304" s="222">
        <f t="shared" si="61"/>
        <v>321.41303999999997</v>
      </c>
      <c r="G304" s="222">
        <v>0</v>
      </c>
      <c r="H304" s="222">
        <f t="shared" si="62"/>
        <v>482.11955999999998</v>
      </c>
    </row>
    <row r="305" spans="1:8" x14ac:dyDescent="0.2">
      <c r="A305" s="221" t="s">
        <v>304</v>
      </c>
      <c r="B305" s="140"/>
      <c r="C305" s="222" t="s">
        <v>55</v>
      </c>
      <c r="D305" s="222">
        <f t="shared" si="60"/>
        <v>321.41303999999997</v>
      </c>
      <c r="E305" s="99">
        <v>0</v>
      </c>
      <c r="F305" s="222">
        <f t="shared" si="61"/>
        <v>321.41303999999997</v>
      </c>
      <c r="G305" s="222">
        <v>0</v>
      </c>
      <c r="H305" s="222">
        <f t="shared" si="62"/>
        <v>482.11955999999998</v>
      </c>
    </row>
    <row r="306" spans="1:8" x14ac:dyDescent="0.2">
      <c r="A306" s="221" t="s">
        <v>315</v>
      </c>
      <c r="B306" s="140"/>
      <c r="C306" s="222" t="s">
        <v>277</v>
      </c>
      <c r="D306" s="222">
        <f>(46.52)*10.764</f>
        <v>500.74128000000002</v>
      </c>
      <c r="E306" s="99">
        <v>0</v>
      </c>
      <c r="F306" s="222">
        <f t="shared" si="61"/>
        <v>500.74128000000002</v>
      </c>
      <c r="G306" s="222">
        <v>0</v>
      </c>
      <c r="H306" s="222">
        <f t="shared" si="62"/>
        <v>751.11192000000005</v>
      </c>
    </row>
    <row r="307" spans="1:8" x14ac:dyDescent="0.2">
      <c r="A307" s="221" t="s">
        <v>316</v>
      </c>
      <c r="B307" s="140"/>
      <c r="C307" s="99" t="s">
        <v>278</v>
      </c>
      <c r="D307" s="239" t="s">
        <v>307</v>
      </c>
      <c r="E307" s="240"/>
      <c r="F307" s="240"/>
      <c r="G307" s="240"/>
      <c r="H307" s="241"/>
    </row>
    <row r="308" spans="1:8" x14ac:dyDescent="0.2">
      <c r="A308" s="221" t="s">
        <v>317</v>
      </c>
      <c r="B308" s="140"/>
      <c r="C308" s="99" t="s">
        <v>278</v>
      </c>
      <c r="D308" s="242"/>
      <c r="E308" s="243"/>
      <c r="F308" s="243"/>
      <c r="G308" s="243"/>
      <c r="H308" s="244"/>
    </row>
    <row r="309" spans="1:8" x14ac:dyDescent="0.2">
      <c r="A309" s="163" t="s">
        <v>323</v>
      </c>
      <c r="B309" s="163"/>
      <c r="C309" s="163"/>
      <c r="D309" s="163"/>
      <c r="E309" s="163"/>
      <c r="F309" s="163"/>
      <c r="G309" s="163"/>
      <c r="H309" s="163"/>
    </row>
    <row r="310" spans="1:8" x14ac:dyDescent="0.2">
      <c r="A310" s="221" t="s">
        <v>280</v>
      </c>
      <c r="B310" s="140"/>
      <c r="C310" s="222" t="s">
        <v>55</v>
      </c>
      <c r="D310" s="222">
        <f>(29.86)*10.764</f>
        <v>321.41303999999997</v>
      </c>
      <c r="E310" s="99">
        <v>0</v>
      </c>
      <c r="F310" s="222">
        <f>D310+E310</f>
        <v>321.41303999999997</v>
      </c>
      <c r="G310" s="222">
        <v>0</v>
      </c>
      <c r="H310" s="222">
        <f>F310*(($H$141)+1)+(IF(G310&lt;101,G310,IF(G310&lt;201,G310/2,IF(G310&lt;=301,G310/3,G310/4))))</f>
        <v>482.11955999999998</v>
      </c>
    </row>
    <row r="311" spans="1:8" x14ac:dyDescent="0.2">
      <c r="A311" s="221" t="s">
        <v>281</v>
      </c>
      <c r="B311" s="140"/>
      <c r="C311" s="222" t="s">
        <v>277</v>
      </c>
      <c r="D311" s="222">
        <f>(42.93)*10.764</f>
        <v>462.09851999999995</v>
      </c>
      <c r="E311" s="99">
        <v>0</v>
      </c>
      <c r="F311" s="222">
        <f t="shared" ref="F311:F321" si="63">D311+E311</f>
        <v>462.09851999999995</v>
      </c>
      <c r="G311" s="222">
        <v>0</v>
      </c>
      <c r="H311" s="222">
        <f t="shared" ref="H311:H321" si="64">F311*(($H$141)+1)+(IF(G311&lt;101,G311,IF(G311&lt;201,G311/2,IF(G311&lt;=301,G311/3,G311/4))))</f>
        <v>693.1477799999999</v>
      </c>
    </row>
    <row r="312" spans="1:8" x14ac:dyDescent="0.2">
      <c r="A312" s="221" t="s">
        <v>282</v>
      </c>
      <c r="B312" s="140"/>
      <c r="C312" s="222" t="s">
        <v>277</v>
      </c>
      <c r="D312" s="222">
        <f>(42.93)*10.764</f>
        <v>462.09851999999995</v>
      </c>
      <c r="E312" s="99">
        <v>0</v>
      </c>
      <c r="F312" s="222">
        <f t="shared" si="63"/>
        <v>462.09851999999995</v>
      </c>
      <c r="G312" s="222">
        <v>0</v>
      </c>
      <c r="H312" s="222">
        <f t="shared" si="64"/>
        <v>693.1477799999999</v>
      </c>
    </row>
    <row r="313" spans="1:8" x14ac:dyDescent="0.2">
      <c r="A313" s="221" t="s">
        <v>283</v>
      </c>
      <c r="B313" s="140"/>
      <c r="C313" s="222" t="s">
        <v>277</v>
      </c>
      <c r="D313" s="222">
        <f>(42.93)*10.764</f>
        <v>462.09851999999995</v>
      </c>
      <c r="E313" s="99">
        <v>0</v>
      </c>
      <c r="F313" s="222">
        <f t="shared" si="63"/>
        <v>462.09851999999995</v>
      </c>
      <c r="G313" s="222">
        <v>0</v>
      </c>
      <c r="H313" s="222">
        <f t="shared" si="64"/>
        <v>693.1477799999999</v>
      </c>
    </row>
    <row r="314" spans="1:8" x14ac:dyDescent="0.2">
      <c r="A314" s="221" t="s">
        <v>284</v>
      </c>
      <c r="B314" s="140"/>
      <c r="C314" s="222" t="s">
        <v>277</v>
      </c>
      <c r="D314" s="222">
        <f>(42.93)*10.764</f>
        <v>462.09851999999995</v>
      </c>
      <c r="E314" s="99">
        <v>0</v>
      </c>
      <c r="F314" s="222">
        <f t="shared" si="63"/>
        <v>462.09851999999995</v>
      </c>
      <c r="G314" s="222">
        <v>0</v>
      </c>
      <c r="H314" s="222">
        <f t="shared" si="64"/>
        <v>693.1477799999999</v>
      </c>
    </row>
    <row r="315" spans="1:8" x14ac:dyDescent="0.2">
      <c r="A315" s="221" t="s">
        <v>285</v>
      </c>
      <c r="B315" s="140"/>
      <c r="C315" s="222" t="s">
        <v>277</v>
      </c>
      <c r="D315" s="222">
        <f>(42.93)*10.764</f>
        <v>462.09851999999995</v>
      </c>
      <c r="E315" s="99">
        <v>0</v>
      </c>
      <c r="F315" s="222">
        <f t="shared" si="63"/>
        <v>462.09851999999995</v>
      </c>
      <c r="G315" s="222">
        <v>0</v>
      </c>
      <c r="H315" s="222">
        <f t="shared" si="64"/>
        <v>693.1477799999999</v>
      </c>
    </row>
    <row r="316" spans="1:8" x14ac:dyDescent="0.2">
      <c r="A316" s="221" t="s">
        <v>286</v>
      </c>
      <c r="B316" s="140"/>
      <c r="C316" s="222" t="s">
        <v>55</v>
      </c>
      <c r="D316" s="222">
        <f t="shared" ref="D316:D328" si="65">(29.86)*10.764</f>
        <v>321.41303999999997</v>
      </c>
      <c r="E316" s="99">
        <v>0</v>
      </c>
      <c r="F316" s="222">
        <f t="shared" si="63"/>
        <v>321.41303999999997</v>
      </c>
      <c r="G316" s="222">
        <v>0</v>
      </c>
      <c r="H316" s="222">
        <f t="shared" si="64"/>
        <v>482.11955999999998</v>
      </c>
    </row>
    <row r="317" spans="1:8" x14ac:dyDescent="0.2">
      <c r="A317" s="221" t="s">
        <v>287</v>
      </c>
      <c r="B317" s="140"/>
      <c r="C317" s="222" t="s">
        <v>55</v>
      </c>
      <c r="D317" s="222">
        <f t="shared" si="65"/>
        <v>321.41303999999997</v>
      </c>
      <c r="E317" s="99">
        <v>0</v>
      </c>
      <c r="F317" s="222">
        <f t="shared" si="63"/>
        <v>321.41303999999997</v>
      </c>
      <c r="G317" s="222">
        <v>0</v>
      </c>
      <c r="H317" s="222">
        <f t="shared" si="64"/>
        <v>482.11955999999998</v>
      </c>
    </row>
    <row r="318" spans="1:8" x14ac:dyDescent="0.2">
      <c r="A318" s="221" t="s">
        <v>288</v>
      </c>
      <c r="B318" s="140"/>
      <c r="C318" s="222" t="s">
        <v>55</v>
      </c>
      <c r="D318" s="222">
        <f t="shared" si="65"/>
        <v>321.41303999999997</v>
      </c>
      <c r="E318" s="99">
        <v>0</v>
      </c>
      <c r="F318" s="222">
        <f t="shared" si="63"/>
        <v>321.41303999999997</v>
      </c>
      <c r="G318" s="222">
        <v>0</v>
      </c>
      <c r="H318" s="222">
        <f t="shared" si="64"/>
        <v>482.11955999999998</v>
      </c>
    </row>
    <row r="319" spans="1:8" x14ac:dyDescent="0.2">
      <c r="A319" s="221" t="s">
        <v>289</v>
      </c>
      <c r="B319" s="140"/>
      <c r="C319" s="222" t="s">
        <v>55</v>
      </c>
      <c r="D319" s="222">
        <f t="shared" si="65"/>
        <v>321.41303999999997</v>
      </c>
      <c r="E319" s="99">
        <v>0</v>
      </c>
      <c r="F319" s="222">
        <f t="shared" si="63"/>
        <v>321.41303999999997</v>
      </c>
      <c r="G319" s="222">
        <v>0</v>
      </c>
      <c r="H319" s="222">
        <f t="shared" si="64"/>
        <v>482.11955999999998</v>
      </c>
    </row>
    <row r="320" spans="1:8" x14ac:dyDescent="0.2">
      <c r="A320" s="221" t="s">
        <v>290</v>
      </c>
      <c r="B320" s="140"/>
      <c r="C320" s="222" t="s">
        <v>55</v>
      </c>
      <c r="D320" s="222">
        <f t="shared" si="65"/>
        <v>321.41303999999997</v>
      </c>
      <c r="E320" s="99">
        <v>0</v>
      </c>
      <c r="F320" s="222">
        <f t="shared" si="63"/>
        <v>321.41303999999997</v>
      </c>
      <c r="G320" s="222">
        <v>0</v>
      </c>
      <c r="H320" s="222">
        <f t="shared" si="64"/>
        <v>482.11955999999998</v>
      </c>
    </row>
    <row r="321" spans="1:8" x14ac:dyDescent="0.2">
      <c r="A321" s="221" t="s">
        <v>291</v>
      </c>
      <c r="B321" s="140"/>
      <c r="C321" s="222" t="s">
        <v>55</v>
      </c>
      <c r="D321" s="222">
        <f t="shared" si="65"/>
        <v>321.41303999999997</v>
      </c>
      <c r="E321" s="99">
        <v>0</v>
      </c>
      <c r="F321" s="222">
        <f t="shared" si="63"/>
        <v>321.41303999999997</v>
      </c>
      <c r="G321" s="222">
        <v>0</v>
      </c>
      <c r="H321" s="222">
        <f t="shared" si="64"/>
        <v>482.11955999999998</v>
      </c>
    </row>
    <row r="322" spans="1:8" x14ac:dyDescent="0.2">
      <c r="A322" s="221" t="s">
        <v>292</v>
      </c>
      <c r="B322" s="140"/>
      <c r="C322" s="222" t="s">
        <v>55</v>
      </c>
      <c r="D322" s="222">
        <f t="shared" si="65"/>
        <v>321.41303999999997</v>
      </c>
      <c r="E322" s="99">
        <v>0</v>
      </c>
      <c r="F322" s="222">
        <f t="shared" ref="F322:F332" si="66">D322+E322</f>
        <v>321.41303999999997</v>
      </c>
      <c r="G322" s="222">
        <v>0</v>
      </c>
      <c r="H322" s="222">
        <f t="shared" ref="H322:H332" si="67">F322*(($H$141)+1)+(IF(G322&lt;101,G322,IF(G322&lt;201,G322/2,IF(G322&lt;=301,G322/3,G322/4))))</f>
        <v>482.11955999999998</v>
      </c>
    </row>
    <row r="323" spans="1:8" x14ac:dyDescent="0.2">
      <c r="A323" s="221" t="s">
        <v>293</v>
      </c>
      <c r="B323" s="140"/>
      <c r="C323" s="222" t="s">
        <v>55</v>
      </c>
      <c r="D323" s="222">
        <f t="shared" si="65"/>
        <v>321.41303999999997</v>
      </c>
      <c r="E323" s="99">
        <v>0</v>
      </c>
      <c r="F323" s="222">
        <f t="shared" si="66"/>
        <v>321.41303999999997</v>
      </c>
      <c r="G323" s="222">
        <v>0</v>
      </c>
      <c r="H323" s="222">
        <f t="shared" si="67"/>
        <v>482.11955999999998</v>
      </c>
    </row>
    <row r="324" spans="1:8" x14ac:dyDescent="0.2">
      <c r="A324" s="221" t="s">
        <v>294</v>
      </c>
      <c r="B324" s="140"/>
      <c r="C324" s="222" t="s">
        <v>55</v>
      </c>
      <c r="D324" s="222">
        <f t="shared" si="65"/>
        <v>321.41303999999997</v>
      </c>
      <c r="E324" s="99">
        <v>0</v>
      </c>
      <c r="F324" s="222">
        <f t="shared" si="66"/>
        <v>321.41303999999997</v>
      </c>
      <c r="G324" s="222">
        <v>0</v>
      </c>
      <c r="H324" s="222">
        <f t="shared" si="67"/>
        <v>482.11955999999998</v>
      </c>
    </row>
    <row r="325" spans="1:8" x14ac:dyDescent="0.2">
      <c r="A325" s="221" t="s">
        <v>295</v>
      </c>
      <c r="B325" s="140"/>
      <c r="C325" s="222" t="s">
        <v>55</v>
      </c>
      <c r="D325" s="222">
        <f t="shared" si="65"/>
        <v>321.41303999999997</v>
      </c>
      <c r="E325" s="99">
        <v>0</v>
      </c>
      <c r="F325" s="222">
        <f t="shared" si="66"/>
        <v>321.41303999999997</v>
      </c>
      <c r="G325" s="222">
        <v>0</v>
      </c>
      <c r="H325" s="222">
        <f t="shared" si="67"/>
        <v>482.11955999999998</v>
      </c>
    </row>
    <row r="326" spans="1:8" x14ac:dyDescent="0.2">
      <c r="A326" s="221" t="s">
        <v>296</v>
      </c>
      <c r="B326" s="140"/>
      <c r="C326" s="222" t="s">
        <v>55</v>
      </c>
      <c r="D326" s="222">
        <f t="shared" si="65"/>
        <v>321.41303999999997</v>
      </c>
      <c r="E326" s="99">
        <v>0</v>
      </c>
      <c r="F326" s="222">
        <f t="shared" si="66"/>
        <v>321.41303999999997</v>
      </c>
      <c r="G326" s="222">
        <v>0</v>
      </c>
      <c r="H326" s="222">
        <f t="shared" si="67"/>
        <v>482.11955999999998</v>
      </c>
    </row>
    <row r="327" spans="1:8" x14ac:dyDescent="0.2">
      <c r="A327" s="221" t="s">
        <v>297</v>
      </c>
      <c r="B327" s="140"/>
      <c r="C327" s="222" t="s">
        <v>55</v>
      </c>
      <c r="D327" s="222">
        <f t="shared" si="65"/>
        <v>321.41303999999997</v>
      </c>
      <c r="E327" s="99">
        <v>0</v>
      </c>
      <c r="F327" s="222">
        <f t="shared" si="66"/>
        <v>321.41303999999997</v>
      </c>
      <c r="G327" s="222">
        <v>0</v>
      </c>
      <c r="H327" s="222">
        <f t="shared" si="67"/>
        <v>482.11955999999998</v>
      </c>
    </row>
    <row r="328" spans="1:8" x14ac:dyDescent="0.2">
      <c r="A328" s="221" t="s">
        <v>314</v>
      </c>
      <c r="B328" s="140"/>
      <c r="C328" s="222" t="s">
        <v>55</v>
      </c>
      <c r="D328" s="222">
        <f t="shared" si="65"/>
        <v>321.41303999999997</v>
      </c>
      <c r="E328" s="99">
        <v>0</v>
      </c>
      <c r="F328" s="222">
        <f t="shared" si="66"/>
        <v>321.41303999999997</v>
      </c>
      <c r="G328" s="222">
        <v>0</v>
      </c>
      <c r="H328" s="222">
        <f t="shared" si="67"/>
        <v>482.11955999999998</v>
      </c>
    </row>
    <row r="329" spans="1:8" x14ac:dyDescent="0.2">
      <c r="A329" s="221" t="s">
        <v>298</v>
      </c>
      <c r="B329" s="140"/>
      <c r="C329" s="222" t="s">
        <v>277</v>
      </c>
      <c r="D329" s="222">
        <f>(42.93)*10.764</f>
        <v>462.09851999999995</v>
      </c>
      <c r="E329" s="99">
        <v>0</v>
      </c>
      <c r="F329" s="222">
        <f t="shared" si="66"/>
        <v>462.09851999999995</v>
      </c>
      <c r="G329" s="222">
        <v>0</v>
      </c>
      <c r="H329" s="222">
        <f t="shared" si="67"/>
        <v>693.1477799999999</v>
      </c>
    </row>
    <row r="330" spans="1:8" x14ac:dyDescent="0.2">
      <c r="A330" s="221" t="s">
        <v>299</v>
      </c>
      <c r="B330" s="140"/>
      <c r="C330" s="222" t="s">
        <v>277</v>
      </c>
      <c r="D330" s="222">
        <f>(46.52)*10.764</f>
        <v>500.74128000000002</v>
      </c>
      <c r="E330" s="99">
        <v>0</v>
      </c>
      <c r="F330" s="222">
        <f t="shared" si="66"/>
        <v>500.74128000000002</v>
      </c>
      <c r="G330" s="222">
        <v>0</v>
      </c>
      <c r="H330" s="222">
        <f t="shared" si="67"/>
        <v>751.11192000000005</v>
      </c>
    </row>
    <row r="331" spans="1:8" x14ac:dyDescent="0.2">
      <c r="A331" s="221" t="s">
        <v>300</v>
      </c>
      <c r="B331" s="140"/>
      <c r="C331" s="222" t="s">
        <v>277</v>
      </c>
      <c r="D331" s="222">
        <f>(46.52)*10.764</f>
        <v>500.74128000000002</v>
      </c>
      <c r="E331" s="99">
        <v>0</v>
      </c>
      <c r="F331" s="222">
        <f t="shared" si="66"/>
        <v>500.74128000000002</v>
      </c>
      <c r="G331" s="222">
        <v>0</v>
      </c>
      <c r="H331" s="222">
        <f t="shared" si="67"/>
        <v>751.11192000000005</v>
      </c>
    </row>
    <row r="332" spans="1:8" x14ac:dyDescent="0.2">
      <c r="A332" s="221" t="s">
        <v>301</v>
      </c>
      <c r="B332" s="140"/>
      <c r="C332" s="222" t="s">
        <v>55</v>
      </c>
      <c r="D332" s="222">
        <f t="shared" ref="D332:D335" si="68">(29.86)*10.764</f>
        <v>321.41303999999997</v>
      </c>
      <c r="E332" s="99">
        <v>0</v>
      </c>
      <c r="F332" s="222">
        <f t="shared" si="66"/>
        <v>321.41303999999997</v>
      </c>
      <c r="G332" s="222">
        <v>0</v>
      </c>
      <c r="H332" s="222">
        <f t="shared" si="67"/>
        <v>482.11955999999998</v>
      </c>
    </row>
    <row r="333" spans="1:8" x14ac:dyDescent="0.2">
      <c r="A333" s="221" t="s">
        <v>302</v>
      </c>
      <c r="B333" s="140"/>
      <c r="C333" s="222" t="s">
        <v>55</v>
      </c>
      <c r="D333" s="222">
        <f t="shared" si="68"/>
        <v>321.41303999999997</v>
      </c>
      <c r="E333" s="99">
        <v>0</v>
      </c>
      <c r="F333" s="222">
        <f t="shared" ref="F333:F338" si="69">D333+E333</f>
        <v>321.41303999999997</v>
      </c>
      <c r="G333" s="222">
        <v>0</v>
      </c>
      <c r="H333" s="222">
        <f t="shared" ref="H333:H338" si="70">F333*(($H$141)+1)+(IF(G333&lt;101,G333,IF(G333&lt;201,G333/2,IF(G333&lt;=301,G333/3,G333/4))))</f>
        <v>482.11955999999998</v>
      </c>
    </row>
    <row r="334" spans="1:8" x14ac:dyDescent="0.2">
      <c r="A334" s="221" t="s">
        <v>303</v>
      </c>
      <c r="B334" s="140"/>
      <c r="C334" s="222" t="s">
        <v>55</v>
      </c>
      <c r="D334" s="222">
        <f t="shared" si="68"/>
        <v>321.41303999999997</v>
      </c>
      <c r="E334" s="99">
        <v>0</v>
      </c>
      <c r="F334" s="222">
        <f t="shared" si="69"/>
        <v>321.41303999999997</v>
      </c>
      <c r="G334" s="222">
        <v>0</v>
      </c>
      <c r="H334" s="222">
        <f t="shared" si="70"/>
        <v>482.11955999999998</v>
      </c>
    </row>
    <row r="335" spans="1:8" x14ac:dyDescent="0.2">
      <c r="A335" s="221" t="s">
        <v>304</v>
      </c>
      <c r="B335" s="140"/>
      <c r="C335" s="222" t="s">
        <v>55</v>
      </c>
      <c r="D335" s="222">
        <f t="shared" si="68"/>
        <v>321.41303999999997</v>
      </c>
      <c r="E335" s="99">
        <v>0</v>
      </c>
      <c r="F335" s="222">
        <f t="shared" si="69"/>
        <v>321.41303999999997</v>
      </c>
      <c r="G335" s="222">
        <v>0</v>
      </c>
      <c r="H335" s="222">
        <f t="shared" si="70"/>
        <v>482.11955999999998</v>
      </c>
    </row>
    <row r="336" spans="1:8" x14ac:dyDescent="0.2">
      <c r="A336" s="221" t="s">
        <v>315</v>
      </c>
      <c r="B336" s="140"/>
      <c r="C336" s="222" t="s">
        <v>277</v>
      </c>
      <c r="D336" s="222">
        <f>(46.52)*10.764</f>
        <v>500.74128000000002</v>
      </c>
      <c r="E336" s="99">
        <v>0</v>
      </c>
      <c r="F336" s="222">
        <f t="shared" si="69"/>
        <v>500.74128000000002</v>
      </c>
      <c r="G336" s="222">
        <v>0</v>
      </c>
      <c r="H336" s="222">
        <f t="shared" si="70"/>
        <v>751.11192000000005</v>
      </c>
    </row>
    <row r="337" spans="1:8" x14ac:dyDescent="0.2">
      <c r="A337" s="221" t="s">
        <v>316</v>
      </c>
      <c r="B337" s="140"/>
      <c r="C337" s="222" t="s">
        <v>277</v>
      </c>
      <c r="D337" s="222">
        <f>(46.52)*10.764</f>
        <v>500.74128000000002</v>
      </c>
      <c r="E337" s="99">
        <v>0</v>
      </c>
      <c r="F337" s="222">
        <f t="shared" si="69"/>
        <v>500.74128000000002</v>
      </c>
      <c r="G337" s="222">
        <v>0</v>
      </c>
      <c r="H337" s="222">
        <f t="shared" si="70"/>
        <v>751.11192000000005</v>
      </c>
    </row>
    <row r="338" spans="1:8" x14ac:dyDescent="0.2">
      <c r="A338" s="221" t="s">
        <v>317</v>
      </c>
      <c r="B338" s="140"/>
      <c r="C338" s="222" t="s">
        <v>277</v>
      </c>
      <c r="D338" s="222">
        <f>(42.93)*10.764</f>
        <v>462.09851999999995</v>
      </c>
      <c r="E338" s="99">
        <v>0</v>
      </c>
      <c r="F338" s="222">
        <f t="shared" si="69"/>
        <v>462.09851999999995</v>
      </c>
      <c r="G338" s="222">
        <v>0</v>
      </c>
      <c r="H338" s="222">
        <f t="shared" si="70"/>
        <v>693.1477799999999</v>
      </c>
    </row>
    <row r="339" spans="1:8" x14ac:dyDescent="0.2">
      <c r="A339" s="163" t="s">
        <v>321</v>
      </c>
      <c r="B339" s="163"/>
      <c r="C339" s="163"/>
      <c r="D339" s="163"/>
      <c r="E339" s="163"/>
      <c r="F339" s="163"/>
      <c r="G339" s="163"/>
      <c r="H339" s="163"/>
    </row>
    <row r="340" spans="1:8" x14ac:dyDescent="0.2">
      <c r="A340" s="221" t="s">
        <v>280</v>
      </c>
      <c r="B340" s="140"/>
      <c r="C340" s="222" t="s">
        <v>55</v>
      </c>
      <c r="D340" s="222">
        <f>(29.86)*10.764</f>
        <v>321.41303999999997</v>
      </c>
      <c r="E340" s="99">
        <v>0</v>
      </c>
      <c r="F340" s="222">
        <f>D340+E340</f>
        <v>321.41303999999997</v>
      </c>
      <c r="G340" s="222">
        <v>0</v>
      </c>
      <c r="H340" s="222">
        <f>F340*(($H$141)+1)+(IF(G340&lt;101,G340,IF(G340&lt;201,G340/2,IF(G340&lt;=301,G340/3,G340/4))))</f>
        <v>482.11955999999998</v>
      </c>
    </row>
    <row r="341" spans="1:8" x14ac:dyDescent="0.2">
      <c r="A341" s="221" t="s">
        <v>281</v>
      </c>
      <c r="B341" s="140"/>
      <c r="C341" s="222" t="s">
        <v>277</v>
      </c>
      <c r="D341" s="222">
        <f>(42.93)*10.764</f>
        <v>462.09851999999995</v>
      </c>
      <c r="E341" s="99">
        <v>0</v>
      </c>
      <c r="F341" s="222">
        <f t="shared" ref="F341:F368" si="71">D341+E341</f>
        <v>462.09851999999995</v>
      </c>
      <c r="G341" s="222">
        <v>0</v>
      </c>
      <c r="H341" s="222">
        <f t="shared" ref="H341:H368" si="72">F341*(($H$141)+1)+(IF(G341&lt;101,G341,IF(G341&lt;201,G341/2,IF(G341&lt;=301,G341/3,G341/4))))</f>
        <v>693.1477799999999</v>
      </c>
    </row>
    <row r="342" spans="1:8" x14ac:dyDescent="0.2">
      <c r="A342" s="221" t="s">
        <v>282</v>
      </c>
      <c r="B342" s="140"/>
      <c r="C342" s="222" t="s">
        <v>278</v>
      </c>
      <c r="D342" s="227" t="s">
        <v>311</v>
      </c>
      <c r="E342" s="229"/>
      <c r="F342" s="229"/>
      <c r="G342" s="229"/>
      <c r="H342" s="228"/>
    </row>
    <row r="343" spans="1:8" x14ac:dyDescent="0.2">
      <c r="A343" s="221" t="s">
        <v>283</v>
      </c>
      <c r="B343" s="140"/>
      <c r="C343" s="222" t="s">
        <v>277</v>
      </c>
      <c r="D343" s="222">
        <f>(42.93)*10.764</f>
        <v>462.09851999999995</v>
      </c>
      <c r="E343" s="99">
        <v>0</v>
      </c>
      <c r="F343" s="222">
        <f t="shared" si="71"/>
        <v>462.09851999999995</v>
      </c>
      <c r="G343" s="222">
        <v>0</v>
      </c>
      <c r="H343" s="222">
        <f t="shared" si="72"/>
        <v>693.1477799999999</v>
      </c>
    </row>
    <row r="344" spans="1:8" x14ac:dyDescent="0.2">
      <c r="A344" s="221" t="s">
        <v>284</v>
      </c>
      <c r="B344" s="140"/>
      <c r="C344" s="222" t="s">
        <v>277</v>
      </c>
      <c r="D344" s="222">
        <f>(42.93)*10.764</f>
        <v>462.09851999999995</v>
      </c>
      <c r="E344" s="99">
        <v>0</v>
      </c>
      <c r="F344" s="222">
        <f t="shared" si="71"/>
        <v>462.09851999999995</v>
      </c>
      <c r="G344" s="222">
        <v>0</v>
      </c>
      <c r="H344" s="222">
        <f t="shared" si="72"/>
        <v>693.1477799999999</v>
      </c>
    </row>
    <row r="345" spans="1:8" x14ac:dyDescent="0.2">
      <c r="A345" s="221" t="s">
        <v>285</v>
      </c>
      <c r="B345" s="140"/>
      <c r="C345" s="222" t="s">
        <v>277</v>
      </c>
      <c r="D345" s="222">
        <f>(42.93)*10.764</f>
        <v>462.09851999999995</v>
      </c>
      <c r="E345" s="99">
        <v>0</v>
      </c>
      <c r="F345" s="222">
        <f t="shared" si="71"/>
        <v>462.09851999999995</v>
      </c>
      <c r="G345" s="222">
        <v>0</v>
      </c>
      <c r="H345" s="222">
        <f t="shared" si="72"/>
        <v>693.1477799999999</v>
      </c>
    </row>
    <row r="346" spans="1:8" x14ac:dyDescent="0.2">
      <c r="A346" s="221" t="s">
        <v>286</v>
      </c>
      <c r="B346" s="140"/>
      <c r="C346" s="222" t="s">
        <v>55</v>
      </c>
      <c r="D346" s="222">
        <f t="shared" ref="D346:D358" si="73">(29.86)*10.764</f>
        <v>321.41303999999997</v>
      </c>
      <c r="E346" s="99">
        <v>0</v>
      </c>
      <c r="F346" s="222">
        <f t="shared" si="71"/>
        <v>321.41303999999997</v>
      </c>
      <c r="G346" s="222">
        <v>0</v>
      </c>
      <c r="H346" s="222">
        <f t="shared" si="72"/>
        <v>482.11955999999998</v>
      </c>
    </row>
    <row r="347" spans="1:8" x14ac:dyDescent="0.2">
      <c r="A347" s="221" t="s">
        <v>287</v>
      </c>
      <c r="B347" s="140"/>
      <c r="C347" s="222" t="s">
        <v>55</v>
      </c>
      <c r="D347" s="222">
        <f t="shared" si="73"/>
        <v>321.41303999999997</v>
      </c>
      <c r="E347" s="99">
        <v>0</v>
      </c>
      <c r="F347" s="222">
        <f t="shared" si="71"/>
        <v>321.41303999999997</v>
      </c>
      <c r="G347" s="222">
        <v>0</v>
      </c>
      <c r="H347" s="222">
        <f t="shared" si="72"/>
        <v>482.11955999999998</v>
      </c>
    </row>
    <row r="348" spans="1:8" x14ac:dyDescent="0.2">
      <c r="A348" s="221" t="s">
        <v>288</v>
      </c>
      <c r="B348" s="140"/>
      <c r="C348" s="222" t="s">
        <v>55</v>
      </c>
      <c r="D348" s="222">
        <f t="shared" si="73"/>
        <v>321.41303999999997</v>
      </c>
      <c r="E348" s="99">
        <v>0</v>
      </c>
      <c r="F348" s="222">
        <f t="shared" si="71"/>
        <v>321.41303999999997</v>
      </c>
      <c r="G348" s="222">
        <v>0</v>
      </c>
      <c r="H348" s="222">
        <f t="shared" si="72"/>
        <v>482.11955999999998</v>
      </c>
    </row>
    <row r="349" spans="1:8" x14ac:dyDescent="0.2">
      <c r="A349" s="221" t="s">
        <v>289</v>
      </c>
      <c r="B349" s="140"/>
      <c r="C349" s="222" t="s">
        <v>55</v>
      </c>
      <c r="D349" s="222">
        <f t="shared" si="73"/>
        <v>321.41303999999997</v>
      </c>
      <c r="E349" s="99">
        <v>0</v>
      </c>
      <c r="F349" s="222">
        <f t="shared" si="71"/>
        <v>321.41303999999997</v>
      </c>
      <c r="G349" s="222">
        <v>0</v>
      </c>
      <c r="H349" s="222">
        <f t="shared" si="72"/>
        <v>482.11955999999998</v>
      </c>
    </row>
    <row r="350" spans="1:8" x14ac:dyDescent="0.2">
      <c r="A350" s="221" t="s">
        <v>290</v>
      </c>
      <c r="B350" s="140"/>
      <c r="C350" s="222" t="s">
        <v>55</v>
      </c>
      <c r="D350" s="222">
        <f t="shared" si="73"/>
        <v>321.41303999999997</v>
      </c>
      <c r="E350" s="99">
        <v>0</v>
      </c>
      <c r="F350" s="222">
        <f t="shared" si="71"/>
        <v>321.41303999999997</v>
      </c>
      <c r="G350" s="222">
        <v>0</v>
      </c>
      <c r="H350" s="222">
        <f t="shared" si="72"/>
        <v>482.11955999999998</v>
      </c>
    </row>
    <row r="351" spans="1:8" x14ac:dyDescent="0.2">
      <c r="A351" s="221" t="s">
        <v>291</v>
      </c>
      <c r="B351" s="140"/>
      <c r="C351" s="222" t="s">
        <v>278</v>
      </c>
      <c r="D351" s="227" t="s">
        <v>311</v>
      </c>
      <c r="E351" s="229"/>
      <c r="F351" s="229"/>
      <c r="G351" s="229"/>
      <c r="H351" s="228"/>
    </row>
    <row r="352" spans="1:8" x14ac:dyDescent="0.2">
      <c r="A352" s="221" t="s">
        <v>292</v>
      </c>
      <c r="B352" s="140"/>
      <c r="C352" s="222" t="s">
        <v>55</v>
      </c>
      <c r="D352" s="222">
        <f t="shared" si="73"/>
        <v>321.41303999999997</v>
      </c>
      <c r="E352" s="99">
        <v>0</v>
      </c>
      <c r="F352" s="222">
        <f t="shared" si="71"/>
        <v>321.41303999999997</v>
      </c>
      <c r="G352" s="222">
        <v>0</v>
      </c>
      <c r="H352" s="222">
        <f t="shared" si="72"/>
        <v>482.11955999999998</v>
      </c>
    </row>
    <row r="353" spans="1:8" x14ac:dyDescent="0.2">
      <c r="A353" s="221" t="s">
        <v>293</v>
      </c>
      <c r="B353" s="140"/>
      <c r="C353" s="222" t="s">
        <v>55</v>
      </c>
      <c r="D353" s="222">
        <f t="shared" si="73"/>
        <v>321.41303999999997</v>
      </c>
      <c r="E353" s="99">
        <v>0</v>
      </c>
      <c r="F353" s="222">
        <f t="shared" si="71"/>
        <v>321.41303999999997</v>
      </c>
      <c r="G353" s="222">
        <v>0</v>
      </c>
      <c r="H353" s="222">
        <f t="shared" si="72"/>
        <v>482.11955999999998</v>
      </c>
    </row>
    <row r="354" spans="1:8" x14ac:dyDescent="0.2">
      <c r="A354" s="221" t="s">
        <v>294</v>
      </c>
      <c r="B354" s="140"/>
      <c r="C354" s="222" t="s">
        <v>55</v>
      </c>
      <c r="D354" s="222">
        <f t="shared" si="73"/>
        <v>321.41303999999997</v>
      </c>
      <c r="E354" s="99">
        <v>0</v>
      </c>
      <c r="F354" s="222">
        <f t="shared" si="71"/>
        <v>321.41303999999997</v>
      </c>
      <c r="G354" s="222">
        <v>0</v>
      </c>
      <c r="H354" s="222">
        <f t="shared" si="72"/>
        <v>482.11955999999998</v>
      </c>
    </row>
    <row r="355" spans="1:8" x14ac:dyDescent="0.2">
      <c r="A355" s="221" t="s">
        <v>295</v>
      </c>
      <c r="B355" s="140"/>
      <c r="C355" s="222" t="s">
        <v>55</v>
      </c>
      <c r="D355" s="222">
        <f t="shared" si="73"/>
        <v>321.41303999999997</v>
      </c>
      <c r="E355" s="99">
        <v>0</v>
      </c>
      <c r="F355" s="222">
        <f t="shared" si="71"/>
        <v>321.41303999999997</v>
      </c>
      <c r="G355" s="222">
        <v>0</v>
      </c>
      <c r="H355" s="222">
        <f t="shared" si="72"/>
        <v>482.11955999999998</v>
      </c>
    </row>
    <row r="356" spans="1:8" x14ac:dyDescent="0.2">
      <c r="A356" s="221" t="s">
        <v>296</v>
      </c>
      <c r="B356" s="140"/>
      <c r="C356" s="222" t="s">
        <v>55</v>
      </c>
      <c r="D356" s="222">
        <f t="shared" si="73"/>
        <v>321.41303999999997</v>
      </c>
      <c r="E356" s="99">
        <v>0</v>
      </c>
      <c r="F356" s="222">
        <f t="shared" si="71"/>
        <v>321.41303999999997</v>
      </c>
      <c r="G356" s="222">
        <v>0</v>
      </c>
      <c r="H356" s="222">
        <f t="shared" si="72"/>
        <v>482.11955999999998</v>
      </c>
    </row>
    <row r="357" spans="1:8" x14ac:dyDescent="0.2">
      <c r="A357" s="221" t="s">
        <v>297</v>
      </c>
      <c r="B357" s="140"/>
      <c r="C357" s="222" t="s">
        <v>55</v>
      </c>
      <c r="D357" s="222">
        <f t="shared" si="73"/>
        <v>321.41303999999997</v>
      </c>
      <c r="E357" s="99">
        <v>0</v>
      </c>
      <c r="F357" s="222">
        <f t="shared" si="71"/>
        <v>321.41303999999997</v>
      </c>
      <c r="G357" s="222">
        <v>0</v>
      </c>
      <c r="H357" s="222">
        <f t="shared" si="72"/>
        <v>482.11955999999998</v>
      </c>
    </row>
    <row r="358" spans="1:8" x14ac:dyDescent="0.2">
      <c r="A358" s="221" t="s">
        <v>314</v>
      </c>
      <c r="B358" s="140"/>
      <c r="C358" s="222" t="s">
        <v>55</v>
      </c>
      <c r="D358" s="222">
        <f t="shared" si="73"/>
        <v>321.41303999999997</v>
      </c>
      <c r="E358" s="99">
        <v>0</v>
      </c>
      <c r="F358" s="222">
        <f t="shared" si="71"/>
        <v>321.41303999999997</v>
      </c>
      <c r="G358" s="222">
        <v>0</v>
      </c>
      <c r="H358" s="222">
        <f t="shared" si="72"/>
        <v>482.11955999999998</v>
      </c>
    </row>
    <row r="359" spans="1:8" x14ac:dyDescent="0.2">
      <c r="A359" s="221" t="s">
        <v>298</v>
      </c>
      <c r="B359" s="140"/>
      <c r="C359" s="222" t="s">
        <v>277</v>
      </c>
      <c r="D359" s="222">
        <f>(42.93)*10.764</f>
        <v>462.09851999999995</v>
      </c>
      <c r="E359" s="99">
        <v>0</v>
      </c>
      <c r="F359" s="222">
        <f t="shared" si="71"/>
        <v>462.09851999999995</v>
      </c>
      <c r="G359" s="222">
        <v>0</v>
      </c>
      <c r="H359" s="222">
        <f t="shared" si="72"/>
        <v>693.1477799999999</v>
      </c>
    </row>
    <row r="360" spans="1:8" x14ac:dyDescent="0.2">
      <c r="A360" s="221" t="s">
        <v>299</v>
      </c>
      <c r="B360" s="140"/>
      <c r="C360" s="222" t="s">
        <v>278</v>
      </c>
      <c r="D360" s="227" t="s">
        <v>311</v>
      </c>
      <c r="E360" s="229"/>
      <c r="F360" s="229"/>
      <c r="G360" s="229"/>
      <c r="H360" s="228"/>
    </row>
    <row r="361" spans="1:8" x14ac:dyDescent="0.2">
      <c r="A361" s="221" t="s">
        <v>300</v>
      </c>
      <c r="B361" s="140"/>
      <c r="C361" s="222" t="s">
        <v>277</v>
      </c>
      <c r="D361" s="222">
        <f>(46.52)*10.764</f>
        <v>500.74128000000002</v>
      </c>
      <c r="E361" s="99">
        <v>0</v>
      </c>
      <c r="F361" s="222">
        <f t="shared" si="71"/>
        <v>500.74128000000002</v>
      </c>
      <c r="G361" s="222">
        <v>0</v>
      </c>
      <c r="H361" s="222">
        <f t="shared" si="72"/>
        <v>751.11192000000005</v>
      </c>
    </row>
    <row r="362" spans="1:8" x14ac:dyDescent="0.2">
      <c r="A362" s="221" t="s">
        <v>301</v>
      </c>
      <c r="B362" s="140"/>
      <c r="C362" s="222" t="s">
        <v>55</v>
      </c>
      <c r="D362" s="222">
        <f t="shared" ref="D362:D365" si="74">(29.86)*10.764</f>
        <v>321.41303999999997</v>
      </c>
      <c r="E362" s="99">
        <v>0</v>
      </c>
      <c r="F362" s="222">
        <f>D362+E362</f>
        <v>321.41303999999997</v>
      </c>
      <c r="G362" s="222">
        <v>0</v>
      </c>
      <c r="H362" s="222">
        <f t="shared" si="72"/>
        <v>482.11955999999998</v>
      </c>
    </row>
    <row r="363" spans="1:8" x14ac:dyDescent="0.2">
      <c r="A363" s="221" t="s">
        <v>302</v>
      </c>
      <c r="B363" s="140"/>
      <c r="C363" s="222" t="s">
        <v>55</v>
      </c>
      <c r="D363" s="222">
        <f t="shared" si="74"/>
        <v>321.41303999999997</v>
      </c>
      <c r="E363" s="99">
        <v>0</v>
      </c>
      <c r="F363" s="222">
        <f t="shared" si="71"/>
        <v>321.41303999999997</v>
      </c>
      <c r="G363" s="222">
        <v>0</v>
      </c>
      <c r="H363" s="222">
        <f t="shared" si="72"/>
        <v>482.11955999999998</v>
      </c>
    </row>
    <row r="364" spans="1:8" x14ac:dyDescent="0.2">
      <c r="A364" s="221" t="s">
        <v>303</v>
      </c>
      <c r="B364" s="140"/>
      <c r="C364" s="222" t="s">
        <v>55</v>
      </c>
      <c r="D364" s="222">
        <f t="shared" si="74"/>
        <v>321.41303999999997</v>
      </c>
      <c r="E364" s="99">
        <v>0</v>
      </c>
      <c r="F364" s="222">
        <f t="shared" si="71"/>
        <v>321.41303999999997</v>
      </c>
      <c r="G364" s="222">
        <v>0</v>
      </c>
      <c r="H364" s="222">
        <f t="shared" si="72"/>
        <v>482.11955999999998</v>
      </c>
    </row>
    <row r="365" spans="1:8" x14ac:dyDescent="0.2">
      <c r="A365" s="221" t="s">
        <v>304</v>
      </c>
      <c r="B365" s="140"/>
      <c r="C365" s="222" t="s">
        <v>55</v>
      </c>
      <c r="D365" s="222">
        <f t="shared" si="74"/>
        <v>321.41303999999997</v>
      </c>
      <c r="E365" s="99">
        <v>0</v>
      </c>
      <c r="F365" s="222">
        <f t="shared" si="71"/>
        <v>321.41303999999997</v>
      </c>
      <c r="G365" s="222">
        <v>0</v>
      </c>
      <c r="H365" s="222">
        <f t="shared" si="72"/>
        <v>482.11955999999998</v>
      </c>
    </row>
    <row r="366" spans="1:8" x14ac:dyDescent="0.2">
      <c r="A366" s="221" t="s">
        <v>315</v>
      </c>
      <c r="B366" s="140"/>
      <c r="C366" s="222" t="s">
        <v>277</v>
      </c>
      <c r="D366" s="222">
        <f>(46.52)*10.764</f>
        <v>500.74128000000002</v>
      </c>
      <c r="E366" s="99">
        <v>0</v>
      </c>
      <c r="F366" s="222">
        <f t="shared" si="71"/>
        <v>500.74128000000002</v>
      </c>
      <c r="G366" s="222">
        <v>0</v>
      </c>
      <c r="H366" s="222">
        <f t="shared" si="72"/>
        <v>751.11192000000005</v>
      </c>
    </row>
    <row r="367" spans="1:8" x14ac:dyDescent="0.2">
      <c r="A367" s="221" t="s">
        <v>316</v>
      </c>
      <c r="B367" s="140"/>
      <c r="C367" s="222" t="s">
        <v>277</v>
      </c>
      <c r="D367" s="222">
        <f>(46.52)*10.764</f>
        <v>500.74128000000002</v>
      </c>
      <c r="E367" s="99">
        <v>0</v>
      </c>
      <c r="F367" s="222">
        <f t="shared" si="71"/>
        <v>500.74128000000002</v>
      </c>
      <c r="G367" s="222">
        <v>0</v>
      </c>
      <c r="H367" s="222">
        <f t="shared" si="72"/>
        <v>751.11192000000005</v>
      </c>
    </row>
    <row r="368" spans="1:8" x14ac:dyDescent="0.2">
      <c r="A368" s="221" t="s">
        <v>317</v>
      </c>
      <c r="B368" s="140"/>
      <c r="C368" s="222" t="s">
        <v>277</v>
      </c>
      <c r="D368" s="222">
        <f>(42.93)*10.764</f>
        <v>462.09851999999995</v>
      </c>
      <c r="E368" s="99">
        <v>0</v>
      </c>
      <c r="F368" s="222">
        <f t="shared" si="71"/>
        <v>462.09851999999995</v>
      </c>
      <c r="G368" s="222">
        <v>0</v>
      </c>
      <c r="H368" s="222">
        <f t="shared" si="72"/>
        <v>693.1477799999999</v>
      </c>
    </row>
    <row r="369" spans="1:8" hidden="1" x14ac:dyDescent="0.2">
      <c r="A369" s="163" t="s">
        <v>208</v>
      </c>
      <c r="B369" s="163"/>
      <c r="C369" s="163"/>
      <c r="D369" s="163"/>
      <c r="E369" s="163"/>
      <c r="F369" s="163"/>
      <c r="G369" s="163"/>
      <c r="H369" s="163"/>
    </row>
    <row r="370" spans="1:8" hidden="1" x14ac:dyDescent="0.2">
      <c r="A370" s="221">
        <v>1</v>
      </c>
      <c r="B370" s="140"/>
      <c r="C370" s="99" t="s">
        <v>55</v>
      </c>
      <c r="D370" s="99"/>
      <c r="E370" s="99"/>
      <c r="F370" s="222">
        <f>D370+E370</f>
        <v>0</v>
      </c>
      <c r="G370" s="222">
        <v>0</v>
      </c>
      <c r="H370" s="99">
        <f>F370*(($H$141)+1)+(IF(G370&lt;101,G370,IF(G370&lt;201,G370/2,IF(G370&lt;=301,G370/3,G370/4))))</f>
        <v>0</v>
      </c>
    </row>
    <row r="371" spans="1:8" hidden="1" x14ac:dyDescent="0.2">
      <c r="A371" s="221">
        <f>A370+1</f>
        <v>2</v>
      </c>
      <c r="B371" s="140"/>
      <c r="C371" s="99" t="s">
        <v>55</v>
      </c>
      <c r="D371" s="99"/>
      <c r="E371" s="99"/>
      <c r="F371" s="222">
        <f t="shared" ref="F371:F381" si="75">D371+E371</f>
        <v>0</v>
      </c>
      <c r="G371" s="222">
        <v>0</v>
      </c>
      <c r="H371" s="99">
        <f t="shared" ref="H371:H381" si="76">F371*(($H$141)+1)+(IF(G371&lt;101,G371,IF(G371&lt;201,G371/2,IF(G371&lt;=301,G371/3,G371/4))))</f>
        <v>0</v>
      </c>
    </row>
    <row r="372" spans="1:8" hidden="1" x14ac:dyDescent="0.2">
      <c r="A372" s="221">
        <f t="shared" ref="A372:A381" si="77">A371+1</f>
        <v>3</v>
      </c>
      <c r="B372" s="140"/>
      <c r="C372" s="99" t="s">
        <v>55</v>
      </c>
      <c r="D372" s="99"/>
      <c r="E372" s="99"/>
      <c r="F372" s="222">
        <f t="shared" si="75"/>
        <v>0</v>
      </c>
      <c r="G372" s="222">
        <v>0</v>
      </c>
      <c r="H372" s="99">
        <f t="shared" si="76"/>
        <v>0</v>
      </c>
    </row>
    <row r="373" spans="1:8" hidden="1" x14ac:dyDescent="0.2">
      <c r="A373" s="221">
        <f t="shared" si="77"/>
        <v>4</v>
      </c>
      <c r="B373" s="140"/>
      <c r="C373" s="99" t="s">
        <v>55</v>
      </c>
      <c r="D373" s="99"/>
      <c r="E373" s="99"/>
      <c r="F373" s="222">
        <f t="shared" si="75"/>
        <v>0</v>
      </c>
      <c r="G373" s="222">
        <v>0</v>
      </c>
      <c r="H373" s="99">
        <f t="shared" si="76"/>
        <v>0</v>
      </c>
    </row>
    <row r="374" spans="1:8" hidden="1" x14ac:dyDescent="0.2">
      <c r="A374" s="221">
        <f t="shared" si="77"/>
        <v>5</v>
      </c>
      <c r="B374" s="140"/>
      <c r="C374" s="99" t="s">
        <v>55</v>
      </c>
      <c r="D374" s="99"/>
      <c r="E374" s="99"/>
      <c r="F374" s="222">
        <f t="shared" si="75"/>
        <v>0</v>
      </c>
      <c r="G374" s="222">
        <v>0</v>
      </c>
      <c r="H374" s="99">
        <f t="shared" si="76"/>
        <v>0</v>
      </c>
    </row>
    <row r="375" spans="1:8" hidden="1" x14ac:dyDescent="0.2">
      <c r="A375" s="221">
        <f t="shared" si="77"/>
        <v>6</v>
      </c>
      <c r="B375" s="140"/>
      <c r="C375" s="99" t="s">
        <v>55</v>
      </c>
      <c r="D375" s="99"/>
      <c r="E375" s="99"/>
      <c r="F375" s="222">
        <f t="shared" si="75"/>
        <v>0</v>
      </c>
      <c r="G375" s="222">
        <v>0</v>
      </c>
      <c r="H375" s="99">
        <f t="shared" si="76"/>
        <v>0</v>
      </c>
    </row>
    <row r="376" spans="1:8" hidden="1" x14ac:dyDescent="0.2">
      <c r="A376" s="221">
        <f t="shared" si="77"/>
        <v>7</v>
      </c>
      <c r="B376" s="140"/>
      <c r="C376" s="99" t="s">
        <v>55</v>
      </c>
      <c r="D376" s="99"/>
      <c r="E376" s="99"/>
      <c r="F376" s="222">
        <f t="shared" si="75"/>
        <v>0</v>
      </c>
      <c r="G376" s="222">
        <v>0</v>
      </c>
      <c r="H376" s="99">
        <f t="shared" si="76"/>
        <v>0</v>
      </c>
    </row>
    <row r="377" spans="1:8" hidden="1" x14ac:dyDescent="0.2">
      <c r="A377" s="221">
        <f t="shared" si="77"/>
        <v>8</v>
      </c>
      <c r="B377" s="140"/>
      <c r="C377" s="99" t="s">
        <v>55</v>
      </c>
      <c r="D377" s="99"/>
      <c r="E377" s="99"/>
      <c r="F377" s="222">
        <f t="shared" si="75"/>
        <v>0</v>
      </c>
      <c r="G377" s="222">
        <v>0</v>
      </c>
      <c r="H377" s="99">
        <f t="shared" si="76"/>
        <v>0</v>
      </c>
    </row>
    <row r="378" spans="1:8" hidden="1" x14ac:dyDescent="0.2">
      <c r="A378" s="221">
        <f t="shared" si="77"/>
        <v>9</v>
      </c>
      <c r="B378" s="140"/>
      <c r="C378" s="99" t="s">
        <v>55</v>
      </c>
      <c r="D378" s="99"/>
      <c r="E378" s="99"/>
      <c r="F378" s="222">
        <f t="shared" si="75"/>
        <v>0</v>
      </c>
      <c r="G378" s="222">
        <v>0</v>
      </c>
      <c r="H378" s="99">
        <f t="shared" si="76"/>
        <v>0</v>
      </c>
    </row>
    <row r="379" spans="1:8" hidden="1" x14ac:dyDescent="0.2">
      <c r="A379" s="221">
        <f t="shared" si="77"/>
        <v>10</v>
      </c>
      <c r="B379" s="140"/>
      <c r="C379" s="99" t="s">
        <v>55</v>
      </c>
      <c r="D379" s="99"/>
      <c r="E379" s="99"/>
      <c r="F379" s="222">
        <f t="shared" si="75"/>
        <v>0</v>
      </c>
      <c r="G379" s="222">
        <v>0</v>
      </c>
      <c r="H379" s="99">
        <f t="shared" si="76"/>
        <v>0</v>
      </c>
    </row>
    <row r="380" spans="1:8" hidden="1" x14ac:dyDescent="0.2">
      <c r="A380" s="221">
        <f t="shared" si="77"/>
        <v>11</v>
      </c>
      <c r="B380" s="140"/>
      <c r="C380" s="99" t="s">
        <v>55</v>
      </c>
      <c r="D380" s="99"/>
      <c r="E380" s="99"/>
      <c r="F380" s="222">
        <f t="shared" si="75"/>
        <v>0</v>
      </c>
      <c r="G380" s="222">
        <v>0</v>
      </c>
      <c r="H380" s="99">
        <f t="shared" si="76"/>
        <v>0</v>
      </c>
    </row>
    <row r="381" spans="1:8" hidden="1" x14ac:dyDescent="0.2">
      <c r="A381" s="221">
        <f t="shared" si="77"/>
        <v>12</v>
      </c>
      <c r="B381" s="140"/>
      <c r="C381" s="99" t="s">
        <v>55</v>
      </c>
      <c r="D381" s="99"/>
      <c r="E381" s="99"/>
      <c r="F381" s="222">
        <f t="shared" si="75"/>
        <v>0</v>
      </c>
      <c r="G381" s="222">
        <v>0</v>
      </c>
      <c r="H381" s="99">
        <f t="shared" si="76"/>
        <v>0</v>
      </c>
    </row>
    <row r="382" spans="1:8" hidden="1" x14ac:dyDescent="0.2">
      <c r="A382" s="163" t="s">
        <v>125</v>
      </c>
      <c r="B382" s="163"/>
      <c r="C382" s="163"/>
      <c r="D382" s="163"/>
      <c r="E382" s="163"/>
      <c r="F382" s="163"/>
      <c r="G382" s="163"/>
      <c r="H382" s="163"/>
    </row>
    <row r="383" spans="1:8" hidden="1" x14ac:dyDescent="0.2">
      <c r="A383" s="221">
        <v>1</v>
      </c>
      <c r="B383" s="140"/>
      <c r="C383" s="99" t="s">
        <v>55</v>
      </c>
      <c r="D383" s="99"/>
      <c r="E383" s="99"/>
      <c r="F383" s="222">
        <f>D383+E383</f>
        <v>0</v>
      </c>
      <c r="G383" s="222">
        <v>0</v>
      </c>
      <c r="H383" s="99">
        <f>F383*(($H$141)+1)+(IF(G383&lt;101,G383,IF(G383&lt;201,G383/2,IF(G383&lt;=301,G383/3,G383/4))))</f>
        <v>0</v>
      </c>
    </row>
    <row r="384" spans="1:8" hidden="1" x14ac:dyDescent="0.2">
      <c r="A384" s="221">
        <f>A383+1</f>
        <v>2</v>
      </c>
      <c r="B384" s="140"/>
      <c r="C384" s="99" t="s">
        <v>55</v>
      </c>
      <c r="D384" s="99"/>
      <c r="E384" s="99"/>
      <c r="F384" s="222">
        <f t="shared" ref="F384:F394" si="78">D384+E384</f>
        <v>0</v>
      </c>
      <c r="G384" s="222">
        <v>0</v>
      </c>
      <c r="H384" s="99">
        <f t="shared" ref="H384:H394" si="79">F384*(($H$141)+1)+(IF(G384&lt;101,G384,IF(G384&lt;201,G384/2,IF(G384&lt;=301,G384/3,G384/4))))</f>
        <v>0</v>
      </c>
    </row>
    <row r="385" spans="1:8" hidden="1" x14ac:dyDescent="0.2">
      <c r="A385" s="221">
        <f t="shared" ref="A385:A394" si="80">A384+1</f>
        <v>3</v>
      </c>
      <c r="B385" s="140"/>
      <c r="C385" s="99" t="s">
        <v>55</v>
      </c>
      <c r="D385" s="99"/>
      <c r="E385" s="99"/>
      <c r="F385" s="222">
        <f t="shared" si="78"/>
        <v>0</v>
      </c>
      <c r="G385" s="222">
        <v>0</v>
      </c>
      <c r="H385" s="99">
        <f t="shared" si="79"/>
        <v>0</v>
      </c>
    </row>
    <row r="386" spans="1:8" hidden="1" x14ac:dyDescent="0.2">
      <c r="A386" s="221">
        <f t="shared" si="80"/>
        <v>4</v>
      </c>
      <c r="B386" s="140"/>
      <c r="C386" s="99" t="s">
        <v>55</v>
      </c>
      <c r="D386" s="99"/>
      <c r="E386" s="99"/>
      <c r="F386" s="222">
        <f t="shared" si="78"/>
        <v>0</v>
      </c>
      <c r="G386" s="222">
        <v>0</v>
      </c>
      <c r="H386" s="99">
        <f t="shared" si="79"/>
        <v>0</v>
      </c>
    </row>
    <row r="387" spans="1:8" hidden="1" x14ac:dyDescent="0.2">
      <c r="A387" s="221">
        <f t="shared" si="80"/>
        <v>5</v>
      </c>
      <c r="B387" s="140"/>
      <c r="C387" s="99" t="s">
        <v>55</v>
      </c>
      <c r="D387" s="99"/>
      <c r="E387" s="99"/>
      <c r="F387" s="222">
        <f t="shared" si="78"/>
        <v>0</v>
      </c>
      <c r="G387" s="222">
        <v>0</v>
      </c>
      <c r="H387" s="99">
        <f t="shared" si="79"/>
        <v>0</v>
      </c>
    </row>
    <row r="388" spans="1:8" hidden="1" x14ac:dyDescent="0.2">
      <c r="A388" s="221">
        <f t="shared" si="80"/>
        <v>6</v>
      </c>
      <c r="B388" s="140"/>
      <c r="C388" s="99" t="s">
        <v>55</v>
      </c>
      <c r="D388" s="99"/>
      <c r="E388" s="99"/>
      <c r="F388" s="222">
        <f t="shared" si="78"/>
        <v>0</v>
      </c>
      <c r="G388" s="222">
        <v>0</v>
      </c>
      <c r="H388" s="99">
        <f t="shared" si="79"/>
        <v>0</v>
      </c>
    </row>
    <row r="389" spans="1:8" hidden="1" x14ac:dyDescent="0.2">
      <c r="A389" s="221">
        <f t="shared" si="80"/>
        <v>7</v>
      </c>
      <c r="B389" s="140"/>
      <c r="C389" s="99" t="s">
        <v>55</v>
      </c>
      <c r="D389" s="99"/>
      <c r="E389" s="99"/>
      <c r="F389" s="222">
        <f t="shared" si="78"/>
        <v>0</v>
      </c>
      <c r="G389" s="222">
        <v>0</v>
      </c>
      <c r="H389" s="99">
        <f t="shared" si="79"/>
        <v>0</v>
      </c>
    </row>
    <row r="390" spans="1:8" hidden="1" x14ac:dyDescent="0.2">
      <c r="A390" s="221">
        <f t="shared" si="80"/>
        <v>8</v>
      </c>
      <c r="B390" s="140"/>
      <c r="C390" s="99" t="s">
        <v>55</v>
      </c>
      <c r="D390" s="99"/>
      <c r="E390" s="99"/>
      <c r="F390" s="222">
        <f t="shared" si="78"/>
        <v>0</v>
      </c>
      <c r="G390" s="222">
        <v>0</v>
      </c>
      <c r="H390" s="99">
        <f t="shared" si="79"/>
        <v>0</v>
      </c>
    </row>
    <row r="391" spans="1:8" hidden="1" x14ac:dyDescent="0.2">
      <c r="A391" s="221">
        <f t="shared" si="80"/>
        <v>9</v>
      </c>
      <c r="B391" s="140"/>
      <c r="C391" s="99" t="s">
        <v>55</v>
      </c>
      <c r="D391" s="99"/>
      <c r="E391" s="99"/>
      <c r="F391" s="222">
        <f t="shared" si="78"/>
        <v>0</v>
      </c>
      <c r="G391" s="222">
        <v>0</v>
      </c>
      <c r="H391" s="99">
        <f t="shared" si="79"/>
        <v>0</v>
      </c>
    </row>
    <row r="392" spans="1:8" hidden="1" x14ac:dyDescent="0.2">
      <c r="A392" s="221">
        <f t="shared" si="80"/>
        <v>10</v>
      </c>
      <c r="B392" s="140"/>
      <c r="C392" s="99" t="s">
        <v>55</v>
      </c>
      <c r="D392" s="99"/>
      <c r="E392" s="99"/>
      <c r="F392" s="222">
        <f t="shared" si="78"/>
        <v>0</v>
      </c>
      <c r="G392" s="222">
        <v>0</v>
      </c>
      <c r="H392" s="99">
        <f t="shared" si="79"/>
        <v>0</v>
      </c>
    </row>
    <row r="393" spans="1:8" hidden="1" x14ac:dyDescent="0.2">
      <c r="A393" s="221">
        <f t="shared" si="80"/>
        <v>11</v>
      </c>
      <c r="B393" s="140"/>
      <c r="C393" s="99" t="s">
        <v>55</v>
      </c>
      <c r="D393" s="99"/>
      <c r="E393" s="99"/>
      <c r="F393" s="222">
        <f t="shared" si="78"/>
        <v>0</v>
      </c>
      <c r="G393" s="222">
        <v>0</v>
      </c>
      <c r="H393" s="99">
        <f t="shared" si="79"/>
        <v>0</v>
      </c>
    </row>
    <row r="394" spans="1:8" hidden="1" x14ac:dyDescent="0.2">
      <c r="A394" s="221">
        <f t="shared" si="80"/>
        <v>12</v>
      </c>
      <c r="B394" s="140"/>
      <c r="C394" s="99" t="s">
        <v>55</v>
      </c>
      <c r="D394" s="99"/>
      <c r="E394" s="99"/>
      <c r="F394" s="222">
        <f t="shared" si="78"/>
        <v>0</v>
      </c>
      <c r="G394" s="222">
        <v>0</v>
      </c>
      <c r="H394" s="99">
        <f t="shared" si="79"/>
        <v>0</v>
      </c>
    </row>
    <row r="395" spans="1:8" hidden="1" x14ac:dyDescent="0.2">
      <c r="A395" s="163" t="s">
        <v>126</v>
      </c>
      <c r="B395" s="163"/>
      <c r="C395" s="163"/>
      <c r="D395" s="163"/>
      <c r="E395" s="163"/>
      <c r="F395" s="163"/>
      <c r="G395" s="163"/>
      <c r="H395" s="163"/>
    </row>
    <row r="396" spans="1:8" hidden="1" x14ac:dyDescent="0.2">
      <c r="A396" s="221">
        <v>1</v>
      </c>
      <c r="B396" s="140"/>
      <c r="C396" s="99" t="s">
        <v>55</v>
      </c>
      <c r="D396" s="99"/>
      <c r="E396" s="99"/>
      <c r="F396" s="222">
        <f>D396+E396</f>
        <v>0</v>
      </c>
      <c r="G396" s="222">
        <v>0</v>
      </c>
      <c r="H396" s="99">
        <f>F396*(($H$141)+1)+(IF(G396&lt;101,G396,IF(G396&lt;201,G396/2,IF(G396&lt;=301,G396/3,G396/4))))</f>
        <v>0</v>
      </c>
    </row>
    <row r="397" spans="1:8" hidden="1" x14ac:dyDescent="0.2">
      <c r="A397" s="221">
        <f>A396+1</f>
        <v>2</v>
      </c>
      <c r="B397" s="140"/>
      <c r="C397" s="99" t="s">
        <v>55</v>
      </c>
      <c r="D397" s="99"/>
      <c r="E397" s="99"/>
      <c r="F397" s="222">
        <f t="shared" ref="F397:F407" si="81">D397+E397</f>
        <v>0</v>
      </c>
      <c r="G397" s="222">
        <v>0</v>
      </c>
      <c r="H397" s="99">
        <f t="shared" ref="H397:H407" si="82">F397*(($H$141)+1)+(IF(G397&lt;101,G397,IF(G397&lt;201,G397/2,IF(G397&lt;=301,G397/3,G397/4))))</f>
        <v>0</v>
      </c>
    </row>
    <row r="398" spans="1:8" hidden="1" x14ac:dyDescent="0.2">
      <c r="A398" s="221">
        <f t="shared" ref="A398:A407" si="83">A397+1</f>
        <v>3</v>
      </c>
      <c r="B398" s="140"/>
      <c r="C398" s="99" t="s">
        <v>55</v>
      </c>
      <c r="D398" s="99"/>
      <c r="E398" s="99"/>
      <c r="F398" s="222">
        <f t="shared" si="81"/>
        <v>0</v>
      </c>
      <c r="G398" s="222">
        <v>0</v>
      </c>
      <c r="H398" s="99">
        <f t="shared" si="82"/>
        <v>0</v>
      </c>
    </row>
    <row r="399" spans="1:8" hidden="1" x14ac:dyDescent="0.2">
      <c r="A399" s="221">
        <f t="shared" si="83"/>
        <v>4</v>
      </c>
      <c r="B399" s="140"/>
      <c r="C399" s="99" t="s">
        <v>55</v>
      </c>
      <c r="D399" s="99"/>
      <c r="E399" s="99"/>
      <c r="F399" s="222">
        <f t="shared" si="81"/>
        <v>0</v>
      </c>
      <c r="G399" s="222">
        <v>0</v>
      </c>
      <c r="H399" s="99">
        <f t="shared" si="82"/>
        <v>0</v>
      </c>
    </row>
    <row r="400" spans="1:8" hidden="1" x14ac:dyDescent="0.2">
      <c r="A400" s="221">
        <f t="shared" si="83"/>
        <v>5</v>
      </c>
      <c r="B400" s="140"/>
      <c r="C400" s="99" t="s">
        <v>55</v>
      </c>
      <c r="D400" s="99"/>
      <c r="E400" s="99"/>
      <c r="F400" s="222">
        <f t="shared" si="81"/>
        <v>0</v>
      </c>
      <c r="G400" s="222">
        <v>0</v>
      </c>
      <c r="H400" s="99">
        <f t="shared" si="82"/>
        <v>0</v>
      </c>
    </row>
    <row r="401" spans="1:8" hidden="1" x14ac:dyDescent="0.2">
      <c r="A401" s="221">
        <f t="shared" si="83"/>
        <v>6</v>
      </c>
      <c r="B401" s="140"/>
      <c r="C401" s="99" t="s">
        <v>55</v>
      </c>
      <c r="D401" s="99"/>
      <c r="E401" s="99"/>
      <c r="F401" s="222">
        <f t="shared" si="81"/>
        <v>0</v>
      </c>
      <c r="G401" s="222">
        <v>0</v>
      </c>
      <c r="H401" s="99">
        <f t="shared" si="82"/>
        <v>0</v>
      </c>
    </row>
    <row r="402" spans="1:8" hidden="1" x14ac:dyDescent="0.2">
      <c r="A402" s="221">
        <f t="shared" si="83"/>
        <v>7</v>
      </c>
      <c r="B402" s="140"/>
      <c r="C402" s="99" t="s">
        <v>55</v>
      </c>
      <c r="D402" s="99"/>
      <c r="E402" s="99"/>
      <c r="F402" s="222">
        <f t="shared" si="81"/>
        <v>0</v>
      </c>
      <c r="G402" s="222">
        <v>0</v>
      </c>
      <c r="H402" s="99">
        <f t="shared" si="82"/>
        <v>0</v>
      </c>
    </row>
    <row r="403" spans="1:8" hidden="1" x14ac:dyDescent="0.2">
      <c r="A403" s="221">
        <f t="shared" si="83"/>
        <v>8</v>
      </c>
      <c r="B403" s="140"/>
      <c r="C403" s="99" t="s">
        <v>55</v>
      </c>
      <c r="D403" s="99"/>
      <c r="E403" s="99"/>
      <c r="F403" s="222">
        <f t="shared" si="81"/>
        <v>0</v>
      </c>
      <c r="G403" s="222">
        <v>0</v>
      </c>
      <c r="H403" s="99">
        <f t="shared" si="82"/>
        <v>0</v>
      </c>
    </row>
    <row r="404" spans="1:8" hidden="1" x14ac:dyDescent="0.2">
      <c r="A404" s="221">
        <f t="shared" si="83"/>
        <v>9</v>
      </c>
      <c r="B404" s="140"/>
      <c r="C404" s="99" t="s">
        <v>55</v>
      </c>
      <c r="D404" s="99"/>
      <c r="E404" s="99"/>
      <c r="F404" s="222">
        <f t="shared" si="81"/>
        <v>0</v>
      </c>
      <c r="G404" s="222">
        <v>0</v>
      </c>
      <c r="H404" s="99">
        <f t="shared" si="82"/>
        <v>0</v>
      </c>
    </row>
    <row r="405" spans="1:8" hidden="1" x14ac:dyDescent="0.2">
      <c r="A405" s="221">
        <f t="shared" si="83"/>
        <v>10</v>
      </c>
      <c r="B405" s="140"/>
      <c r="C405" s="99" t="s">
        <v>55</v>
      </c>
      <c r="D405" s="99"/>
      <c r="E405" s="99"/>
      <c r="F405" s="222">
        <f t="shared" si="81"/>
        <v>0</v>
      </c>
      <c r="G405" s="222">
        <v>0</v>
      </c>
      <c r="H405" s="99">
        <f t="shared" si="82"/>
        <v>0</v>
      </c>
    </row>
    <row r="406" spans="1:8" hidden="1" x14ac:dyDescent="0.2">
      <c r="A406" s="221">
        <f t="shared" si="83"/>
        <v>11</v>
      </c>
      <c r="B406" s="140"/>
      <c r="C406" s="99" t="s">
        <v>55</v>
      </c>
      <c r="D406" s="99"/>
      <c r="E406" s="99"/>
      <c r="F406" s="222">
        <f t="shared" si="81"/>
        <v>0</v>
      </c>
      <c r="G406" s="222">
        <v>0</v>
      </c>
      <c r="H406" s="99">
        <f t="shared" si="82"/>
        <v>0</v>
      </c>
    </row>
    <row r="407" spans="1:8" hidden="1" x14ac:dyDescent="0.2">
      <c r="A407" s="221">
        <f t="shared" si="83"/>
        <v>12</v>
      </c>
      <c r="B407" s="140"/>
      <c r="C407" s="99" t="s">
        <v>55</v>
      </c>
      <c r="D407" s="99"/>
      <c r="E407" s="99"/>
      <c r="F407" s="222">
        <f t="shared" si="81"/>
        <v>0</v>
      </c>
      <c r="G407" s="222">
        <v>0</v>
      </c>
      <c r="H407" s="99">
        <f t="shared" si="82"/>
        <v>0</v>
      </c>
    </row>
    <row r="408" spans="1:8" hidden="1" x14ac:dyDescent="0.2">
      <c r="A408" s="163" t="s">
        <v>126</v>
      </c>
      <c r="B408" s="163"/>
      <c r="C408" s="163"/>
      <c r="D408" s="163"/>
      <c r="E408" s="163"/>
      <c r="F408" s="163"/>
      <c r="G408" s="163"/>
      <c r="H408" s="163"/>
    </row>
    <row r="409" spans="1:8" hidden="1" x14ac:dyDescent="0.2">
      <c r="A409" s="221">
        <v>1</v>
      </c>
      <c r="B409" s="140"/>
      <c r="C409" s="99" t="s">
        <v>55</v>
      </c>
      <c r="D409" s="99"/>
      <c r="E409" s="99"/>
      <c r="F409" s="222">
        <f>D409+E409</f>
        <v>0</v>
      </c>
      <c r="G409" s="222">
        <v>0</v>
      </c>
      <c r="H409" s="99">
        <f>F409*(($H$141)+1)+(IF(G409&lt;101,G409,IF(G409&lt;201,G409/2,IF(G409&lt;=301,G409/3,G409/4))))</f>
        <v>0</v>
      </c>
    </row>
    <row r="410" spans="1:8" hidden="1" x14ac:dyDescent="0.2">
      <c r="A410" s="221">
        <f>A409+1</f>
        <v>2</v>
      </c>
      <c r="B410" s="140"/>
      <c r="C410" s="99" t="s">
        <v>55</v>
      </c>
      <c r="D410" s="99"/>
      <c r="E410" s="99"/>
      <c r="F410" s="222">
        <f t="shared" ref="F410:F420" si="84">D410+E410</f>
        <v>0</v>
      </c>
      <c r="G410" s="222">
        <v>0</v>
      </c>
      <c r="H410" s="99">
        <f t="shared" ref="H410:H420" si="85">F410*(($H$141)+1)+(IF(G410&lt;101,G410,IF(G410&lt;201,G410/2,IF(G410&lt;=301,G410/3,G410/4))))</f>
        <v>0</v>
      </c>
    </row>
    <row r="411" spans="1:8" hidden="1" x14ac:dyDescent="0.2">
      <c r="A411" s="221">
        <f t="shared" ref="A411:A420" si="86">A410+1</f>
        <v>3</v>
      </c>
      <c r="B411" s="140"/>
      <c r="C411" s="99" t="s">
        <v>55</v>
      </c>
      <c r="D411" s="99"/>
      <c r="E411" s="99"/>
      <c r="F411" s="222">
        <f t="shared" si="84"/>
        <v>0</v>
      </c>
      <c r="G411" s="222">
        <v>0</v>
      </c>
      <c r="H411" s="99">
        <f t="shared" si="85"/>
        <v>0</v>
      </c>
    </row>
    <row r="412" spans="1:8" hidden="1" x14ac:dyDescent="0.2">
      <c r="A412" s="221">
        <f t="shared" si="86"/>
        <v>4</v>
      </c>
      <c r="B412" s="140"/>
      <c r="C412" s="99" t="s">
        <v>55</v>
      </c>
      <c r="D412" s="99"/>
      <c r="E412" s="99"/>
      <c r="F412" s="222">
        <f t="shared" si="84"/>
        <v>0</v>
      </c>
      <c r="G412" s="222">
        <v>0</v>
      </c>
      <c r="H412" s="99">
        <f t="shared" si="85"/>
        <v>0</v>
      </c>
    </row>
    <row r="413" spans="1:8" hidden="1" x14ac:dyDescent="0.2">
      <c r="A413" s="221">
        <f t="shared" si="86"/>
        <v>5</v>
      </c>
      <c r="B413" s="140"/>
      <c r="C413" s="99" t="s">
        <v>55</v>
      </c>
      <c r="D413" s="99"/>
      <c r="E413" s="99"/>
      <c r="F413" s="222">
        <f t="shared" si="84"/>
        <v>0</v>
      </c>
      <c r="G413" s="222">
        <v>0</v>
      </c>
      <c r="H413" s="99">
        <f t="shared" si="85"/>
        <v>0</v>
      </c>
    </row>
    <row r="414" spans="1:8" hidden="1" x14ac:dyDescent="0.2">
      <c r="A414" s="221">
        <f t="shared" si="86"/>
        <v>6</v>
      </c>
      <c r="B414" s="140"/>
      <c r="C414" s="99" t="s">
        <v>55</v>
      </c>
      <c r="D414" s="99"/>
      <c r="E414" s="99"/>
      <c r="F414" s="222">
        <f t="shared" si="84"/>
        <v>0</v>
      </c>
      <c r="G414" s="222">
        <v>0</v>
      </c>
      <c r="H414" s="99">
        <f t="shared" si="85"/>
        <v>0</v>
      </c>
    </row>
    <row r="415" spans="1:8" hidden="1" x14ac:dyDescent="0.2">
      <c r="A415" s="221">
        <f t="shared" si="86"/>
        <v>7</v>
      </c>
      <c r="B415" s="140"/>
      <c r="C415" s="99" t="s">
        <v>55</v>
      </c>
      <c r="D415" s="99"/>
      <c r="E415" s="99"/>
      <c r="F415" s="222">
        <f t="shared" si="84"/>
        <v>0</v>
      </c>
      <c r="G415" s="222">
        <v>0</v>
      </c>
      <c r="H415" s="99">
        <f t="shared" si="85"/>
        <v>0</v>
      </c>
    </row>
    <row r="416" spans="1:8" hidden="1" x14ac:dyDescent="0.2">
      <c r="A416" s="221">
        <f t="shared" si="86"/>
        <v>8</v>
      </c>
      <c r="B416" s="140"/>
      <c r="C416" s="99" t="s">
        <v>55</v>
      </c>
      <c r="D416" s="99"/>
      <c r="E416" s="99"/>
      <c r="F416" s="222">
        <f t="shared" si="84"/>
        <v>0</v>
      </c>
      <c r="G416" s="222">
        <v>0</v>
      </c>
      <c r="H416" s="99">
        <f t="shared" si="85"/>
        <v>0</v>
      </c>
    </row>
    <row r="417" spans="1:8" hidden="1" x14ac:dyDescent="0.2">
      <c r="A417" s="221">
        <f t="shared" si="86"/>
        <v>9</v>
      </c>
      <c r="B417" s="140"/>
      <c r="C417" s="99" t="s">
        <v>55</v>
      </c>
      <c r="D417" s="99"/>
      <c r="E417" s="99"/>
      <c r="F417" s="222">
        <f t="shared" si="84"/>
        <v>0</v>
      </c>
      <c r="G417" s="222">
        <v>0</v>
      </c>
      <c r="H417" s="99">
        <f t="shared" si="85"/>
        <v>0</v>
      </c>
    </row>
    <row r="418" spans="1:8" hidden="1" x14ac:dyDescent="0.2">
      <c r="A418" s="221">
        <f t="shared" si="86"/>
        <v>10</v>
      </c>
      <c r="B418" s="140"/>
      <c r="C418" s="99" t="s">
        <v>55</v>
      </c>
      <c r="D418" s="99"/>
      <c r="E418" s="99"/>
      <c r="F418" s="222">
        <f t="shared" si="84"/>
        <v>0</v>
      </c>
      <c r="G418" s="222">
        <v>0</v>
      </c>
      <c r="H418" s="99">
        <f t="shared" si="85"/>
        <v>0</v>
      </c>
    </row>
    <row r="419" spans="1:8" ht="12.75" hidden="1" customHeight="1" x14ac:dyDescent="0.2">
      <c r="A419" s="221">
        <f t="shared" si="86"/>
        <v>11</v>
      </c>
      <c r="B419" s="140"/>
      <c r="C419" s="99" t="s">
        <v>55</v>
      </c>
      <c r="D419" s="99"/>
      <c r="E419" s="99"/>
      <c r="F419" s="222">
        <f t="shared" si="84"/>
        <v>0</v>
      </c>
      <c r="G419" s="222">
        <v>0</v>
      </c>
      <c r="H419" s="99">
        <f t="shared" si="85"/>
        <v>0</v>
      </c>
    </row>
    <row r="420" spans="1:8" ht="14.25" hidden="1" customHeight="1" x14ac:dyDescent="0.2">
      <c r="A420" s="221">
        <f t="shared" si="86"/>
        <v>12</v>
      </c>
      <c r="B420" s="140"/>
      <c r="C420" s="99" t="s">
        <v>55</v>
      </c>
      <c r="D420" s="99"/>
      <c r="E420" s="99"/>
      <c r="F420" s="222">
        <f t="shared" si="84"/>
        <v>0</v>
      </c>
      <c r="G420" s="222">
        <v>0</v>
      </c>
      <c r="H420" s="99">
        <f t="shared" si="85"/>
        <v>0</v>
      </c>
    </row>
    <row r="421" spans="1:8" ht="14.25" customHeight="1" x14ac:dyDescent="0.2">
      <c r="A421" s="163" t="s">
        <v>114</v>
      </c>
      <c r="B421" s="163"/>
      <c r="C421" s="163"/>
      <c r="D421" s="163"/>
      <c r="E421" s="163"/>
      <c r="F421" s="163"/>
      <c r="G421" s="163"/>
      <c r="H421" s="163"/>
    </row>
    <row r="422" spans="1:8" x14ac:dyDescent="0.2">
      <c r="A422" s="141" t="s">
        <v>115</v>
      </c>
      <c r="B422" s="245"/>
      <c r="C422" s="245"/>
      <c r="D422" s="245"/>
      <c r="E422" s="142"/>
      <c r="F422" s="141">
        <v>10000</v>
      </c>
      <c r="G422" s="245"/>
      <c r="H422" s="142"/>
    </row>
    <row r="423" spans="1:8" x14ac:dyDescent="0.2">
      <c r="A423" s="141" t="s">
        <v>116</v>
      </c>
      <c r="B423" s="245"/>
      <c r="C423" s="245"/>
      <c r="D423" s="245"/>
      <c r="E423" s="142"/>
      <c r="F423" s="246" t="s">
        <v>324</v>
      </c>
      <c r="G423" s="247"/>
      <c r="H423" s="248"/>
    </row>
    <row r="424" spans="1:8" x14ac:dyDescent="0.2">
      <c r="A424" s="163" t="s">
        <v>47</v>
      </c>
      <c r="B424" s="163"/>
      <c r="C424" s="163"/>
      <c r="D424" s="163"/>
      <c r="E424" s="163"/>
      <c r="F424" s="163"/>
      <c r="G424" s="163"/>
      <c r="H424" s="163"/>
    </row>
    <row r="425" spans="1:8" x14ac:dyDescent="0.2">
      <c r="A425" s="249">
        <v>1</v>
      </c>
      <c r="B425" s="82" t="s">
        <v>220</v>
      </c>
      <c r="C425" s="251"/>
      <c r="D425" s="251"/>
      <c r="E425" s="251"/>
      <c r="F425" s="251"/>
      <c r="G425" s="251"/>
      <c r="H425" s="83"/>
    </row>
    <row r="426" spans="1:8" x14ac:dyDescent="0.2">
      <c r="A426" s="249">
        <f t="shared" ref="A426:A437" si="87">A425+1</f>
        <v>2</v>
      </c>
      <c r="B426" s="82" t="s">
        <v>221</v>
      </c>
      <c r="C426" s="251"/>
      <c r="D426" s="251"/>
      <c r="E426" s="251"/>
      <c r="F426" s="251"/>
      <c r="G426" s="251"/>
      <c r="H426" s="83"/>
    </row>
    <row r="427" spans="1:8" x14ac:dyDescent="0.2">
      <c r="A427" s="249">
        <f t="shared" si="87"/>
        <v>3</v>
      </c>
      <c r="B427" s="82" t="s">
        <v>222</v>
      </c>
      <c r="C427" s="251"/>
      <c r="D427" s="251"/>
      <c r="E427" s="251"/>
      <c r="F427" s="251"/>
      <c r="G427" s="251"/>
      <c r="H427" s="83"/>
    </row>
    <row r="428" spans="1:8" ht="12.75" customHeight="1" x14ac:dyDescent="0.2">
      <c r="A428" s="249">
        <f t="shared" si="87"/>
        <v>4</v>
      </c>
      <c r="B428" s="82" t="s">
        <v>223</v>
      </c>
      <c r="C428" s="251"/>
      <c r="D428" s="251"/>
      <c r="E428" s="251"/>
      <c r="F428" s="251"/>
      <c r="G428" s="251"/>
      <c r="H428" s="83"/>
    </row>
    <row r="429" spans="1:8" x14ac:dyDescent="0.2">
      <c r="A429" s="249">
        <f t="shared" si="87"/>
        <v>5</v>
      </c>
      <c r="B429" s="82" t="s">
        <v>326</v>
      </c>
      <c r="C429" s="251"/>
      <c r="D429" s="251"/>
      <c r="E429" s="251"/>
      <c r="F429" s="251"/>
      <c r="G429" s="251"/>
      <c r="H429" s="83"/>
    </row>
    <row r="430" spans="1:8" x14ac:dyDescent="0.2">
      <c r="A430" s="249">
        <f t="shared" si="87"/>
        <v>6</v>
      </c>
      <c r="B430" s="82" t="s">
        <v>228</v>
      </c>
      <c r="C430" s="251"/>
      <c r="D430" s="251"/>
      <c r="E430" s="251"/>
      <c r="F430" s="252">
        <f>H141</f>
        <v>0.5</v>
      </c>
      <c r="G430" s="253"/>
      <c r="H430" s="254"/>
    </row>
    <row r="431" spans="1:8" x14ac:dyDescent="0.2">
      <c r="A431" s="249">
        <f t="shared" si="87"/>
        <v>7</v>
      </c>
      <c r="B431" s="82" t="s">
        <v>224</v>
      </c>
      <c r="C431" s="251"/>
      <c r="D431" s="251"/>
      <c r="E431" s="251"/>
      <c r="F431" s="251"/>
      <c r="G431" s="251"/>
      <c r="H431" s="83"/>
    </row>
    <row r="432" spans="1:8" ht="29.25" customHeight="1" x14ac:dyDescent="0.2">
      <c r="A432" s="249">
        <f t="shared" si="87"/>
        <v>8</v>
      </c>
      <c r="B432" s="82" t="s">
        <v>225</v>
      </c>
      <c r="C432" s="251"/>
      <c r="D432" s="251"/>
      <c r="E432" s="251"/>
      <c r="F432" s="251"/>
      <c r="G432" s="251"/>
      <c r="H432" s="83"/>
    </row>
    <row r="433" spans="1:8" x14ac:dyDescent="0.2">
      <c r="A433" s="249">
        <f t="shared" si="87"/>
        <v>9</v>
      </c>
      <c r="B433" s="82" t="s">
        <v>226</v>
      </c>
      <c r="C433" s="251"/>
      <c r="D433" s="251"/>
      <c r="E433" s="251"/>
      <c r="F433" s="251"/>
      <c r="G433" s="251"/>
      <c r="H433" s="83"/>
    </row>
    <row r="434" spans="1:8" x14ac:dyDescent="0.2">
      <c r="A434" s="249">
        <f t="shared" si="87"/>
        <v>10</v>
      </c>
      <c r="B434" s="82" t="s">
        <v>331</v>
      </c>
      <c r="C434" s="251"/>
      <c r="D434" s="251"/>
      <c r="E434" s="251"/>
      <c r="F434" s="251"/>
      <c r="G434" s="251"/>
      <c r="H434" s="83"/>
    </row>
    <row r="435" spans="1:8" hidden="1" x14ac:dyDescent="0.2">
      <c r="A435" s="249">
        <f t="shared" si="87"/>
        <v>11</v>
      </c>
      <c r="B435" s="250" t="s">
        <v>227</v>
      </c>
      <c r="C435" s="251"/>
      <c r="D435" s="251"/>
      <c r="E435" s="251"/>
      <c r="F435" s="251"/>
      <c r="G435" s="251"/>
      <c r="H435" s="83"/>
    </row>
    <row r="436" spans="1:8" x14ac:dyDescent="0.2">
      <c r="A436" s="249">
        <f>A434+1</f>
        <v>11</v>
      </c>
      <c r="B436" s="82" t="s">
        <v>332</v>
      </c>
      <c r="C436" s="251"/>
      <c r="D436" s="251"/>
      <c r="E436" s="251"/>
      <c r="F436" s="251"/>
      <c r="G436" s="251"/>
      <c r="H436" s="83"/>
    </row>
    <row r="437" spans="1:8" x14ac:dyDescent="0.2">
      <c r="A437" s="249">
        <f t="shared" si="87"/>
        <v>12</v>
      </c>
      <c r="B437" s="82" t="s">
        <v>330</v>
      </c>
      <c r="C437" s="251"/>
      <c r="D437" s="251"/>
      <c r="E437" s="251"/>
      <c r="F437" s="251"/>
      <c r="G437" s="251"/>
      <c r="H437" s="83"/>
    </row>
    <row r="438" spans="1:8" x14ac:dyDescent="0.2">
      <c r="A438" s="141" t="s">
        <v>119</v>
      </c>
      <c r="B438" s="142"/>
      <c r="C438" s="141" t="str">
        <f>C7</f>
        <v>North Imperial Greens Tower 1 &amp; Tower 2</v>
      </c>
      <c r="D438" s="245"/>
      <c r="E438" s="245"/>
      <c r="F438" s="245"/>
      <c r="G438" s="245"/>
      <c r="H438" s="142"/>
    </row>
    <row r="439" spans="1:8" x14ac:dyDescent="0.2">
      <c r="A439" s="255"/>
      <c r="B439" s="256"/>
      <c r="C439" s="256"/>
      <c r="D439" s="256"/>
      <c r="E439" s="256"/>
      <c r="F439" s="256"/>
      <c r="G439" s="256"/>
      <c r="H439" s="257"/>
    </row>
    <row r="440" spans="1:8" x14ac:dyDescent="0.2">
      <c r="A440" s="258"/>
      <c r="B440" s="259"/>
      <c r="C440" s="259"/>
      <c r="D440" s="259"/>
      <c r="E440" s="259"/>
      <c r="F440" s="259"/>
      <c r="G440" s="259"/>
      <c r="H440" s="260"/>
    </row>
    <row r="441" spans="1:8" x14ac:dyDescent="0.2">
      <c r="A441" s="258"/>
      <c r="B441" s="259"/>
      <c r="C441" s="259"/>
      <c r="D441" s="259"/>
      <c r="E441" s="259"/>
      <c r="F441" s="259"/>
      <c r="G441" s="259"/>
      <c r="H441" s="260"/>
    </row>
    <row r="442" spans="1:8" x14ac:dyDescent="0.2">
      <c r="A442" s="258"/>
      <c r="B442" s="259"/>
      <c r="C442" s="259"/>
      <c r="D442" s="259"/>
      <c r="E442" s="259"/>
      <c r="F442" s="259"/>
      <c r="G442" s="259"/>
      <c r="H442" s="260"/>
    </row>
    <row r="443" spans="1:8" x14ac:dyDescent="0.2">
      <c r="A443" s="258"/>
      <c r="B443" s="259"/>
      <c r="C443" s="259"/>
      <c r="D443" s="259"/>
      <c r="E443" s="259"/>
      <c r="F443" s="259"/>
      <c r="G443" s="259"/>
      <c r="H443" s="260"/>
    </row>
    <row r="444" spans="1:8" x14ac:dyDescent="0.2">
      <c r="A444" s="258"/>
      <c r="B444" s="259"/>
      <c r="C444" s="259"/>
      <c r="D444" s="259"/>
      <c r="E444" s="259"/>
      <c r="F444" s="259"/>
      <c r="G444" s="259"/>
      <c r="H444" s="260"/>
    </row>
    <row r="445" spans="1:8" x14ac:dyDescent="0.2">
      <c r="A445" s="258"/>
      <c r="B445" s="259"/>
      <c r="C445" s="259"/>
      <c r="D445" s="259"/>
      <c r="E445" s="259"/>
      <c r="F445" s="259"/>
      <c r="G445" s="259"/>
      <c r="H445" s="260"/>
    </row>
    <row r="446" spans="1:8" x14ac:dyDescent="0.2">
      <c r="A446" s="258"/>
      <c r="B446" s="259"/>
      <c r="C446" s="259"/>
      <c r="D446" s="259"/>
      <c r="E446" s="259"/>
      <c r="F446" s="259"/>
      <c r="G446" s="259"/>
      <c r="H446" s="260"/>
    </row>
    <row r="447" spans="1:8" x14ac:dyDescent="0.2">
      <c r="A447" s="258"/>
      <c r="B447" s="259"/>
      <c r="C447" s="259"/>
      <c r="D447" s="259"/>
      <c r="E447" s="259"/>
      <c r="F447" s="259"/>
      <c r="G447" s="259"/>
      <c r="H447" s="260"/>
    </row>
    <row r="448" spans="1:8" x14ac:dyDescent="0.2">
      <c r="A448" s="258"/>
      <c r="B448" s="259"/>
      <c r="C448" s="259"/>
      <c r="D448" s="259"/>
      <c r="E448" s="259"/>
      <c r="F448" s="259"/>
      <c r="G448" s="259"/>
      <c r="H448" s="260"/>
    </row>
    <row r="449" spans="1:8" x14ac:dyDescent="0.2">
      <c r="A449" s="258"/>
      <c r="B449" s="259"/>
      <c r="C449" s="259"/>
      <c r="D449" s="259"/>
      <c r="E449" s="259"/>
      <c r="F449" s="259"/>
      <c r="G449" s="259"/>
      <c r="H449" s="260"/>
    </row>
    <row r="450" spans="1:8" x14ac:dyDescent="0.2">
      <c r="A450" s="258"/>
      <c r="B450" s="259"/>
      <c r="C450" s="259"/>
      <c r="D450" s="259"/>
      <c r="E450" s="259"/>
      <c r="F450" s="259"/>
      <c r="G450" s="259"/>
      <c r="H450" s="260"/>
    </row>
    <row r="451" spans="1:8" x14ac:dyDescent="0.2">
      <c r="A451" s="258"/>
      <c r="B451" s="259"/>
      <c r="C451" s="259"/>
      <c r="D451" s="259"/>
      <c r="E451" s="259"/>
      <c r="F451" s="259"/>
      <c r="G451" s="259"/>
      <c r="H451" s="260"/>
    </row>
    <row r="452" spans="1:8" x14ac:dyDescent="0.2">
      <c r="A452" s="258"/>
      <c r="B452" s="259"/>
      <c r="C452" s="259"/>
      <c r="D452" s="259"/>
      <c r="E452" s="259"/>
      <c r="F452" s="259"/>
      <c r="G452" s="259"/>
      <c r="H452" s="260"/>
    </row>
    <row r="453" spans="1:8" x14ac:dyDescent="0.2">
      <c r="A453" s="258"/>
      <c r="B453" s="259"/>
      <c r="C453" s="259"/>
      <c r="D453" s="259"/>
      <c r="E453" s="259"/>
      <c r="F453" s="259"/>
      <c r="G453" s="259"/>
      <c r="H453" s="260"/>
    </row>
    <row r="454" spans="1:8" x14ac:dyDescent="0.2">
      <c r="A454" s="258"/>
      <c r="B454" s="259"/>
      <c r="C454" s="259"/>
      <c r="D454" s="259"/>
      <c r="E454" s="259"/>
      <c r="F454" s="259"/>
      <c r="G454" s="259"/>
      <c r="H454" s="260"/>
    </row>
    <row r="455" spans="1:8" x14ac:dyDescent="0.2">
      <c r="A455" s="258"/>
      <c r="B455" s="259"/>
      <c r="C455" s="259"/>
      <c r="D455" s="259"/>
      <c r="E455" s="259"/>
      <c r="F455" s="259"/>
      <c r="G455" s="259"/>
      <c r="H455" s="260"/>
    </row>
    <row r="456" spans="1:8" x14ac:dyDescent="0.2">
      <c r="A456" s="258"/>
      <c r="B456" s="259"/>
      <c r="C456" s="259"/>
      <c r="D456" s="259"/>
      <c r="E456" s="259"/>
      <c r="F456" s="259"/>
      <c r="G456" s="259"/>
      <c r="H456" s="260"/>
    </row>
    <row r="457" spans="1:8" x14ac:dyDescent="0.2">
      <c r="A457" s="258"/>
      <c r="B457" s="259"/>
      <c r="C457" s="259"/>
      <c r="D457" s="259"/>
      <c r="E457" s="259"/>
      <c r="F457" s="259"/>
      <c r="G457" s="259"/>
      <c r="H457" s="260"/>
    </row>
    <row r="458" spans="1:8" x14ac:dyDescent="0.2">
      <c r="A458" s="258"/>
      <c r="B458" s="259"/>
      <c r="C458" s="259"/>
      <c r="D458" s="259"/>
      <c r="E458" s="259"/>
      <c r="F458" s="259"/>
      <c r="G458" s="259"/>
      <c r="H458" s="260"/>
    </row>
    <row r="459" spans="1:8" x14ac:dyDescent="0.2">
      <c r="A459" s="258"/>
      <c r="B459" s="259"/>
      <c r="C459" s="259"/>
      <c r="D459" s="259"/>
      <c r="E459" s="259"/>
      <c r="F459" s="259"/>
      <c r="G459" s="259"/>
      <c r="H459" s="260"/>
    </row>
    <row r="460" spans="1:8" x14ac:dyDescent="0.2">
      <c r="A460" s="258"/>
      <c r="B460" s="259"/>
      <c r="C460" s="259"/>
      <c r="D460" s="259"/>
      <c r="E460" s="259"/>
      <c r="F460" s="259"/>
      <c r="G460" s="259"/>
      <c r="H460" s="260"/>
    </row>
    <row r="461" spans="1:8" x14ac:dyDescent="0.2">
      <c r="A461" s="258"/>
      <c r="B461" s="259"/>
      <c r="C461" s="259"/>
      <c r="D461" s="259"/>
      <c r="E461" s="259"/>
      <c r="F461" s="259"/>
      <c r="G461" s="259"/>
      <c r="H461" s="260"/>
    </row>
    <row r="462" spans="1:8" x14ac:dyDescent="0.2">
      <c r="A462" s="258"/>
      <c r="B462" s="259"/>
      <c r="C462" s="259"/>
      <c r="D462" s="259"/>
      <c r="E462" s="259"/>
      <c r="F462" s="259"/>
      <c r="G462" s="259"/>
      <c r="H462" s="260"/>
    </row>
    <row r="463" spans="1:8" x14ac:dyDescent="0.2">
      <c r="A463" s="258"/>
      <c r="B463" s="259"/>
      <c r="C463" s="259"/>
      <c r="D463" s="259"/>
      <c r="E463" s="259"/>
      <c r="F463" s="259"/>
      <c r="G463" s="259"/>
      <c r="H463" s="260"/>
    </row>
    <row r="464" spans="1:8" x14ac:dyDescent="0.2">
      <c r="A464" s="258"/>
      <c r="B464" s="259"/>
      <c r="C464" s="259"/>
      <c r="D464" s="259"/>
      <c r="E464" s="259"/>
      <c r="F464" s="259"/>
      <c r="G464" s="259"/>
      <c r="H464" s="260"/>
    </row>
    <row r="465" spans="1:8" x14ac:dyDescent="0.2">
      <c r="A465" s="258"/>
      <c r="B465" s="259"/>
      <c r="C465" s="259"/>
      <c r="D465" s="259"/>
      <c r="E465" s="259"/>
      <c r="F465" s="259"/>
      <c r="G465" s="259"/>
      <c r="H465" s="260"/>
    </row>
    <row r="466" spans="1:8" x14ac:dyDescent="0.2">
      <c r="A466" s="258"/>
      <c r="B466" s="259"/>
      <c r="C466" s="259"/>
      <c r="D466" s="259"/>
      <c r="E466" s="259"/>
      <c r="F466" s="259"/>
      <c r="G466" s="259"/>
      <c r="H466" s="260"/>
    </row>
    <row r="467" spans="1:8" x14ac:dyDescent="0.2">
      <c r="A467" s="258"/>
      <c r="B467" s="259"/>
      <c r="C467" s="259"/>
      <c r="D467" s="259"/>
      <c r="E467" s="259"/>
      <c r="F467" s="259"/>
      <c r="G467" s="259"/>
      <c r="H467" s="260"/>
    </row>
    <row r="468" spans="1:8" x14ac:dyDescent="0.2">
      <c r="A468" s="258"/>
      <c r="B468" s="259"/>
      <c r="C468" s="259"/>
      <c r="D468" s="259"/>
      <c r="E468" s="259"/>
      <c r="F468" s="259"/>
      <c r="G468" s="259"/>
      <c r="H468" s="260"/>
    </row>
    <row r="469" spans="1:8" x14ac:dyDescent="0.2">
      <c r="A469" s="258"/>
      <c r="B469" s="259"/>
      <c r="C469" s="259"/>
      <c r="D469" s="259"/>
      <c r="E469" s="259"/>
      <c r="F469" s="259"/>
      <c r="G469" s="259"/>
      <c r="H469" s="260"/>
    </row>
    <row r="470" spans="1:8" x14ac:dyDescent="0.2">
      <c r="A470" s="258"/>
      <c r="B470" s="259"/>
      <c r="C470" s="259"/>
      <c r="D470" s="259"/>
      <c r="E470" s="259"/>
      <c r="F470" s="259"/>
      <c r="G470" s="259"/>
      <c r="H470" s="260"/>
    </row>
    <row r="471" spans="1:8" x14ac:dyDescent="0.2">
      <c r="A471" s="258"/>
      <c r="B471" s="259"/>
      <c r="C471" s="259"/>
      <c r="D471" s="259"/>
      <c r="E471" s="259"/>
      <c r="F471" s="259"/>
      <c r="G471" s="259"/>
      <c r="H471" s="260"/>
    </row>
    <row r="472" spans="1:8" x14ac:dyDescent="0.2">
      <c r="A472" s="258"/>
      <c r="B472" s="259"/>
      <c r="C472" s="259"/>
      <c r="D472" s="259"/>
      <c r="E472" s="259"/>
      <c r="F472" s="259"/>
      <c r="G472" s="259"/>
      <c r="H472" s="260"/>
    </row>
    <row r="473" spans="1:8" x14ac:dyDescent="0.2">
      <c r="A473" s="258"/>
      <c r="B473" s="259"/>
      <c r="C473" s="259"/>
      <c r="D473" s="259"/>
      <c r="E473" s="259"/>
      <c r="F473" s="259"/>
      <c r="G473" s="259"/>
      <c r="H473" s="260"/>
    </row>
    <row r="474" spans="1:8" x14ac:dyDescent="0.2">
      <c r="A474" s="258"/>
      <c r="B474" s="259"/>
      <c r="C474" s="259"/>
      <c r="D474" s="259"/>
      <c r="E474" s="259"/>
      <c r="F474" s="259"/>
      <c r="G474" s="259"/>
      <c r="H474" s="260"/>
    </row>
    <row r="475" spans="1:8" x14ac:dyDescent="0.2">
      <c r="A475" s="258"/>
      <c r="B475" s="259"/>
      <c r="C475" s="259"/>
      <c r="D475" s="259"/>
      <c r="E475" s="259"/>
      <c r="F475" s="259"/>
      <c r="G475" s="259"/>
      <c r="H475" s="260"/>
    </row>
    <row r="476" spans="1:8" x14ac:dyDescent="0.2">
      <c r="A476" s="258"/>
      <c r="B476" s="259"/>
      <c r="C476" s="259"/>
      <c r="D476" s="259"/>
      <c r="E476" s="259"/>
      <c r="F476" s="259"/>
      <c r="G476" s="259"/>
      <c r="H476" s="260"/>
    </row>
    <row r="477" spans="1:8" x14ac:dyDescent="0.2">
      <c r="A477" s="258"/>
      <c r="B477" s="259"/>
      <c r="C477" s="259"/>
      <c r="D477" s="259"/>
      <c r="E477" s="259"/>
      <c r="F477" s="259"/>
      <c r="G477" s="259"/>
      <c r="H477" s="260"/>
    </row>
    <row r="478" spans="1:8" x14ac:dyDescent="0.2">
      <c r="A478" s="258"/>
      <c r="B478" s="259"/>
      <c r="C478" s="259"/>
      <c r="D478" s="259"/>
      <c r="E478" s="259"/>
      <c r="F478" s="259"/>
      <c r="G478" s="259"/>
      <c r="H478" s="260"/>
    </row>
    <row r="479" spans="1:8" x14ac:dyDescent="0.2">
      <c r="A479" s="258"/>
      <c r="B479" s="259"/>
      <c r="C479" s="259"/>
      <c r="D479" s="259"/>
      <c r="E479" s="259"/>
      <c r="F479" s="259"/>
      <c r="G479" s="259"/>
      <c r="H479" s="260"/>
    </row>
    <row r="480" spans="1:8" x14ac:dyDescent="0.2">
      <c r="A480" s="258"/>
      <c r="B480" s="259"/>
      <c r="C480" s="259"/>
      <c r="D480" s="259"/>
      <c r="E480" s="259"/>
      <c r="F480" s="259"/>
      <c r="G480" s="259"/>
      <c r="H480" s="260"/>
    </row>
    <row r="481" spans="1:8" x14ac:dyDescent="0.2">
      <c r="A481" s="258"/>
      <c r="B481" s="259"/>
      <c r="C481" s="259"/>
      <c r="D481" s="259"/>
      <c r="E481" s="259"/>
      <c r="F481" s="259"/>
      <c r="G481" s="259"/>
      <c r="H481" s="260"/>
    </row>
    <row r="482" spans="1:8" x14ac:dyDescent="0.2">
      <c r="A482" s="258"/>
      <c r="B482" s="259"/>
      <c r="C482" s="259"/>
      <c r="D482" s="259"/>
      <c r="E482" s="259"/>
      <c r="F482" s="259"/>
      <c r="G482" s="259"/>
      <c r="H482" s="260"/>
    </row>
    <row r="483" spans="1:8" x14ac:dyDescent="0.2">
      <c r="A483" s="258"/>
      <c r="B483" s="259"/>
      <c r="C483" s="259"/>
      <c r="D483" s="259"/>
      <c r="E483" s="259"/>
      <c r="F483" s="259"/>
      <c r="G483" s="259"/>
      <c r="H483" s="260"/>
    </row>
    <row r="484" spans="1:8" x14ac:dyDescent="0.2">
      <c r="A484" s="258"/>
      <c r="B484" s="259"/>
      <c r="C484" s="259"/>
      <c r="D484" s="259"/>
      <c r="E484" s="259"/>
      <c r="F484" s="259"/>
      <c r="G484" s="259"/>
      <c r="H484" s="260"/>
    </row>
    <row r="485" spans="1:8" x14ac:dyDescent="0.2">
      <c r="A485" s="258"/>
      <c r="B485" s="259"/>
      <c r="C485" s="259"/>
      <c r="D485" s="259"/>
      <c r="E485" s="259"/>
      <c r="F485" s="259"/>
      <c r="G485" s="259"/>
      <c r="H485" s="260"/>
    </row>
    <row r="486" spans="1:8" x14ac:dyDescent="0.2">
      <c r="A486" s="258"/>
      <c r="B486" s="259"/>
      <c r="C486" s="259"/>
      <c r="D486" s="259"/>
      <c r="E486" s="259"/>
      <c r="F486" s="259"/>
      <c r="G486" s="259"/>
      <c r="H486" s="260"/>
    </row>
    <row r="487" spans="1:8" x14ac:dyDescent="0.2">
      <c r="A487" s="258"/>
      <c r="B487" s="259"/>
      <c r="C487" s="259"/>
      <c r="D487" s="259"/>
      <c r="E487" s="259"/>
      <c r="F487" s="259"/>
      <c r="G487" s="259"/>
      <c r="H487" s="260"/>
    </row>
    <row r="488" spans="1:8" x14ac:dyDescent="0.2">
      <c r="A488" s="258"/>
      <c r="B488" s="259"/>
      <c r="C488" s="259"/>
      <c r="D488" s="259"/>
      <c r="E488" s="259"/>
      <c r="F488" s="259"/>
      <c r="G488" s="259"/>
      <c r="H488" s="260"/>
    </row>
    <row r="489" spans="1:8" x14ac:dyDescent="0.2">
      <c r="A489" s="258"/>
      <c r="B489" s="259"/>
      <c r="C489" s="259"/>
      <c r="D489" s="259"/>
      <c r="E489" s="259"/>
      <c r="F489" s="259"/>
      <c r="G489" s="259"/>
      <c r="H489" s="260"/>
    </row>
    <row r="490" spans="1:8" x14ac:dyDescent="0.2">
      <c r="A490" s="258"/>
      <c r="B490" s="259"/>
      <c r="C490" s="259"/>
      <c r="D490" s="259"/>
      <c r="E490" s="259"/>
      <c r="F490" s="259"/>
      <c r="G490" s="259"/>
      <c r="H490" s="260"/>
    </row>
    <row r="491" spans="1:8" ht="12.75" customHeight="1" x14ac:dyDescent="0.2">
      <c r="A491" s="141" t="s">
        <v>143</v>
      </c>
      <c r="B491" s="142"/>
      <c r="C491" s="141"/>
      <c r="D491" s="245"/>
      <c r="E491" s="245"/>
      <c r="F491" s="245"/>
      <c r="G491" s="245"/>
      <c r="H491" s="142"/>
    </row>
    <row r="492" spans="1:8" x14ac:dyDescent="0.2">
      <c r="A492" s="258"/>
      <c r="B492" s="259"/>
      <c r="C492" s="259"/>
      <c r="D492" s="259"/>
      <c r="E492" s="259"/>
      <c r="F492" s="259"/>
      <c r="G492" s="259"/>
      <c r="H492" s="260"/>
    </row>
    <row r="493" spans="1:8" x14ac:dyDescent="0.2">
      <c r="A493" s="258"/>
      <c r="B493" s="259"/>
      <c r="C493" s="259"/>
      <c r="D493" s="259"/>
      <c r="E493" s="259"/>
      <c r="F493" s="259"/>
      <c r="G493" s="259"/>
      <c r="H493" s="260"/>
    </row>
    <row r="494" spans="1:8" x14ac:dyDescent="0.2">
      <c r="A494" s="258"/>
      <c r="B494" s="259"/>
      <c r="C494" s="259"/>
      <c r="D494" s="259"/>
      <c r="E494" s="259"/>
      <c r="F494" s="259"/>
      <c r="G494" s="259"/>
      <c r="H494" s="260"/>
    </row>
    <row r="495" spans="1:8" x14ac:dyDescent="0.2">
      <c r="A495" s="258"/>
      <c r="B495" s="259"/>
      <c r="C495" s="259"/>
      <c r="D495" s="259"/>
      <c r="E495" s="259"/>
      <c r="F495" s="259"/>
      <c r="G495" s="259"/>
      <c r="H495" s="260"/>
    </row>
    <row r="496" spans="1:8" x14ac:dyDescent="0.2">
      <c r="A496" s="258"/>
      <c r="B496" s="259"/>
      <c r="C496" s="259"/>
      <c r="D496" s="259"/>
      <c r="E496" s="259"/>
      <c r="F496" s="259"/>
      <c r="G496" s="259"/>
      <c r="H496" s="260"/>
    </row>
    <row r="497" spans="1:8" x14ac:dyDescent="0.2">
      <c r="A497" s="258"/>
      <c r="B497" s="259"/>
      <c r="C497" s="259"/>
      <c r="D497" s="259"/>
      <c r="E497" s="259"/>
      <c r="F497" s="259"/>
      <c r="G497" s="259"/>
      <c r="H497" s="260"/>
    </row>
    <row r="498" spans="1:8" x14ac:dyDescent="0.2">
      <c r="A498" s="258"/>
      <c r="B498" s="259"/>
      <c r="C498" s="259"/>
      <c r="D498" s="259"/>
      <c r="E498" s="259"/>
      <c r="F498" s="259"/>
      <c r="G498" s="259"/>
      <c r="H498" s="260"/>
    </row>
    <row r="499" spans="1:8" x14ac:dyDescent="0.2">
      <c r="A499" s="258"/>
      <c r="B499" s="259"/>
      <c r="C499" s="259"/>
      <c r="D499" s="259"/>
      <c r="E499" s="259"/>
      <c r="F499" s="259"/>
      <c r="G499" s="259"/>
      <c r="H499" s="260"/>
    </row>
    <row r="500" spans="1:8" x14ac:dyDescent="0.2">
      <c r="A500" s="258"/>
      <c r="B500" s="259"/>
      <c r="C500" s="259"/>
      <c r="D500" s="259"/>
      <c r="E500" s="259"/>
      <c r="F500" s="259"/>
      <c r="G500" s="259"/>
      <c r="H500" s="260"/>
    </row>
    <row r="501" spans="1:8" x14ac:dyDescent="0.2">
      <c r="A501" s="258"/>
      <c r="B501" s="259"/>
      <c r="C501" s="259"/>
      <c r="D501" s="259"/>
      <c r="E501" s="259"/>
      <c r="F501" s="259"/>
      <c r="G501" s="259"/>
      <c r="H501" s="260"/>
    </row>
    <row r="502" spans="1:8" x14ac:dyDescent="0.2">
      <c r="A502" s="258"/>
      <c r="B502" s="259"/>
      <c r="C502" s="259"/>
      <c r="D502" s="259"/>
      <c r="E502" s="259"/>
      <c r="F502" s="259"/>
      <c r="G502" s="259"/>
      <c r="H502" s="260"/>
    </row>
    <row r="503" spans="1:8" x14ac:dyDescent="0.2">
      <c r="A503" s="258"/>
      <c r="B503" s="259"/>
      <c r="C503" s="259"/>
      <c r="D503" s="259"/>
      <c r="E503" s="259"/>
      <c r="F503" s="259"/>
      <c r="G503" s="259"/>
      <c r="H503" s="260"/>
    </row>
    <row r="504" spans="1:8" x14ac:dyDescent="0.2">
      <c r="A504" s="258"/>
      <c r="B504" s="259"/>
      <c r="C504" s="259"/>
      <c r="D504" s="259"/>
      <c r="E504" s="259"/>
      <c r="F504" s="259"/>
      <c r="G504" s="259"/>
      <c r="H504" s="260"/>
    </row>
    <row r="505" spans="1:8" x14ac:dyDescent="0.2">
      <c r="A505" s="258"/>
      <c r="B505" s="259"/>
      <c r="C505" s="259"/>
      <c r="D505" s="259"/>
      <c r="E505" s="259"/>
      <c r="F505" s="259"/>
      <c r="G505" s="259"/>
      <c r="H505" s="260"/>
    </row>
    <row r="506" spans="1:8" x14ac:dyDescent="0.2">
      <c r="A506" s="258"/>
      <c r="B506" s="259"/>
      <c r="C506" s="259"/>
      <c r="D506" s="259"/>
      <c r="E506" s="259"/>
      <c r="F506" s="259"/>
      <c r="G506" s="259"/>
      <c r="H506" s="260"/>
    </row>
    <row r="507" spans="1:8" x14ac:dyDescent="0.2">
      <c r="A507" s="258"/>
      <c r="B507" s="259"/>
      <c r="C507" s="259"/>
      <c r="D507" s="259"/>
      <c r="E507" s="259"/>
      <c r="F507" s="259"/>
      <c r="G507" s="259"/>
      <c r="H507" s="260"/>
    </row>
    <row r="508" spans="1:8" x14ac:dyDescent="0.2">
      <c r="A508" s="258"/>
      <c r="B508" s="259"/>
      <c r="C508" s="259"/>
      <c r="D508" s="259"/>
      <c r="E508" s="259"/>
      <c r="F508" s="259"/>
      <c r="G508" s="259"/>
      <c r="H508" s="260"/>
    </row>
    <row r="509" spans="1:8" x14ac:dyDescent="0.2">
      <c r="A509" s="258"/>
      <c r="B509" s="259"/>
      <c r="C509" s="259"/>
      <c r="D509" s="259"/>
      <c r="E509" s="259"/>
      <c r="F509" s="259"/>
      <c r="G509" s="259"/>
      <c r="H509" s="260"/>
    </row>
    <row r="510" spans="1:8" x14ac:dyDescent="0.2">
      <c r="A510" s="258"/>
      <c r="B510" s="259"/>
      <c r="C510" s="259"/>
      <c r="D510" s="259"/>
      <c r="E510" s="259"/>
      <c r="F510" s="259"/>
      <c r="G510" s="259"/>
      <c r="H510" s="260"/>
    </row>
    <row r="511" spans="1:8" x14ac:dyDescent="0.2">
      <c r="A511" s="258"/>
      <c r="B511" s="259"/>
      <c r="C511" s="259"/>
      <c r="D511" s="259"/>
      <c r="E511" s="259"/>
      <c r="F511" s="259"/>
      <c r="G511" s="259"/>
      <c r="H511" s="260"/>
    </row>
    <row r="512" spans="1:8" x14ac:dyDescent="0.2">
      <c r="A512" s="258"/>
      <c r="B512" s="259"/>
      <c r="C512" s="259"/>
      <c r="D512" s="259"/>
      <c r="E512" s="259"/>
      <c r="F512" s="259"/>
      <c r="G512" s="259"/>
      <c r="H512" s="260"/>
    </row>
    <row r="513" spans="1:8" x14ac:dyDescent="0.2">
      <c r="A513" s="258"/>
      <c r="B513" s="259"/>
      <c r="C513" s="259"/>
      <c r="D513" s="259"/>
      <c r="E513" s="259"/>
      <c r="F513" s="259"/>
      <c r="G513" s="259"/>
      <c r="H513" s="260"/>
    </row>
    <row r="514" spans="1:8" x14ac:dyDescent="0.2">
      <c r="A514" s="258"/>
      <c r="B514" s="259"/>
      <c r="C514" s="259"/>
      <c r="D514" s="259"/>
      <c r="E514" s="259"/>
      <c r="F514" s="259"/>
      <c r="G514" s="259"/>
      <c r="H514" s="260"/>
    </row>
    <row r="515" spans="1:8" x14ac:dyDescent="0.2">
      <c r="A515" s="258"/>
      <c r="B515" s="259"/>
      <c r="C515" s="259"/>
      <c r="D515" s="259"/>
      <c r="E515" s="259"/>
      <c r="F515" s="259"/>
      <c r="G515" s="259"/>
      <c r="H515" s="260"/>
    </row>
    <row r="516" spans="1:8" x14ac:dyDescent="0.2">
      <c r="A516" s="258"/>
      <c r="B516" s="259"/>
      <c r="C516" s="259"/>
      <c r="D516" s="259"/>
      <c r="E516" s="259"/>
      <c r="F516" s="259"/>
      <c r="G516" s="259"/>
      <c r="H516" s="260"/>
    </row>
    <row r="517" spans="1:8" x14ac:dyDescent="0.2">
      <c r="A517" s="258"/>
      <c r="B517" s="259"/>
      <c r="C517" s="259"/>
      <c r="D517" s="259"/>
      <c r="E517" s="259"/>
      <c r="F517" s="259"/>
      <c r="G517" s="259"/>
      <c r="H517" s="260"/>
    </row>
    <row r="518" spans="1:8" x14ac:dyDescent="0.2">
      <c r="A518" s="258"/>
      <c r="B518" s="259"/>
      <c r="C518" s="259"/>
      <c r="D518" s="259"/>
      <c r="E518" s="259"/>
      <c r="F518" s="259"/>
      <c r="G518" s="259"/>
      <c r="H518" s="260"/>
    </row>
    <row r="519" spans="1:8" x14ac:dyDescent="0.2">
      <c r="A519" s="258"/>
      <c r="B519" s="259"/>
      <c r="C519" s="259"/>
      <c r="D519" s="259"/>
      <c r="E519" s="259"/>
      <c r="F519" s="259"/>
      <c r="G519" s="259"/>
      <c r="H519" s="260"/>
    </row>
    <row r="520" spans="1:8" x14ac:dyDescent="0.2">
      <c r="A520" s="258"/>
      <c r="B520" s="259"/>
      <c r="C520" s="259"/>
      <c r="D520" s="259"/>
      <c r="E520" s="259"/>
      <c r="F520" s="259"/>
      <c r="G520" s="259"/>
      <c r="H520" s="260"/>
    </row>
    <row r="521" spans="1:8" x14ac:dyDescent="0.2">
      <c r="A521" s="258"/>
      <c r="B521" s="259"/>
      <c r="C521" s="259"/>
      <c r="D521" s="259"/>
      <c r="E521" s="259"/>
      <c r="F521" s="259"/>
      <c r="G521" s="259"/>
      <c r="H521" s="260"/>
    </row>
    <row r="522" spans="1:8" x14ac:dyDescent="0.2">
      <c r="A522" s="258"/>
      <c r="B522" s="259"/>
      <c r="C522" s="259"/>
      <c r="D522" s="259"/>
      <c r="E522" s="259"/>
      <c r="F522" s="259"/>
      <c r="G522" s="259"/>
      <c r="H522" s="260"/>
    </row>
    <row r="523" spans="1:8" x14ac:dyDescent="0.2">
      <c r="A523" s="258"/>
      <c r="B523" s="259"/>
      <c r="C523" s="259"/>
      <c r="D523" s="259"/>
      <c r="E523" s="259"/>
      <c r="F523" s="259"/>
      <c r="G523" s="259"/>
      <c r="H523" s="260"/>
    </row>
    <row r="524" spans="1:8" x14ac:dyDescent="0.2">
      <c r="A524" s="258"/>
      <c r="B524" s="259"/>
      <c r="C524" s="259"/>
      <c r="D524" s="259"/>
      <c r="E524" s="259"/>
      <c r="F524" s="259"/>
      <c r="G524" s="259"/>
      <c r="H524" s="260"/>
    </row>
    <row r="525" spans="1:8" x14ac:dyDescent="0.2">
      <c r="A525" s="258"/>
      <c r="B525" s="259"/>
      <c r="C525" s="259"/>
      <c r="D525" s="259"/>
      <c r="E525" s="259"/>
      <c r="F525" s="259"/>
      <c r="G525" s="259"/>
      <c r="H525" s="260"/>
    </row>
    <row r="526" spans="1:8" x14ac:dyDescent="0.2">
      <c r="A526" s="258"/>
      <c r="B526" s="259"/>
      <c r="C526" s="259"/>
      <c r="D526" s="259"/>
      <c r="E526" s="259"/>
      <c r="F526" s="259"/>
      <c r="G526" s="259"/>
      <c r="H526" s="260"/>
    </row>
    <row r="527" spans="1:8" x14ac:dyDescent="0.2">
      <c r="A527" s="258"/>
      <c r="B527" s="259"/>
      <c r="C527" s="259"/>
      <c r="D527" s="259"/>
      <c r="E527" s="259"/>
      <c r="F527" s="259"/>
      <c r="G527" s="259"/>
      <c r="H527" s="260"/>
    </row>
    <row r="528" spans="1:8" x14ac:dyDescent="0.2">
      <c r="A528" s="258"/>
      <c r="B528" s="259"/>
      <c r="C528" s="259"/>
      <c r="D528" s="259"/>
      <c r="E528" s="259"/>
      <c r="F528" s="259"/>
      <c r="G528" s="259"/>
      <c r="H528" s="260"/>
    </row>
    <row r="529" spans="1:8" x14ac:dyDescent="0.2">
      <c r="A529" s="258"/>
      <c r="B529" s="259"/>
      <c r="C529" s="259"/>
      <c r="D529" s="259"/>
      <c r="E529" s="259"/>
      <c r="F529" s="259"/>
      <c r="G529" s="259"/>
      <c r="H529" s="260"/>
    </row>
    <row r="530" spans="1:8" x14ac:dyDescent="0.2">
      <c r="A530" s="258"/>
      <c r="B530" s="259"/>
      <c r="C530" s="259"/>
      <c r="D530" s="259"/>
      <c r="E530" s="259"/>
      <c r="F530" s="259"/>
      <c r="G530" s="259"/>
      <c r="H530" s="260"/>
    </row>
    <row r="531" spans="1:8" x14ac:dyDescent="0.2">
      <c r="A531" s="258"/>
      <c r="B531" s="259"/>
      <c r="C531" s="259"/>
      <c r="D531" s="259"/>
      <c r="E531" s="259"/>
      <c r="F531" s="259"/>
      <c r="G531" s="259"/>
      <c r="H531" s="260"/>
    </row>
    <row r="532" spans="1:8" x14ac:dyDescent="0.2">
      <c r="A532" s="258"/>
      <c r="B532" s="259"/>
      <c r="C532" s="259"/>
      <c r="D532" s="259"/>
      <c r="E532" s="259"/>
      <c r="F532" s="259"/>
      <c r="G532" s="259"/>
      <c r="H532" s="260"/>
    </row>
    <row r="533" spans="1:8" x14ac:dyDescent="0.2">
      <c r="A533" s="258"/>
      <c r="B533" s="259"/>
      <c r="C533" s="259"/>
      <c r="D533" s="259"/>
      <c r="E533" s="259"/>
      <c r="F533" s="259"/>
      <c r="G533" s="259"/>
      <c r="H533" s="260"/>
    </row>
    <row r="534" spans="1:8" x14ac:dyDescent="0.2">
      <c r="A534" s="258"/>
      <c r="B534" s="259"/>
      <c r="C534" s="259"/>
      <c r="D534" s="259"/>
      <c r="E534" s="259"/>
      <c r="F534" s="259"/>
      <c r="G534" s="259"/>
      <c r="H534" s="260"/>
    </row>
    <row r="535" spans="1:8" x14ac:dyDescent="0.2">
      <c r="A535" s="258"/>
      <c r="B535" s="259"/>
      <c r="C535" s="259"/>
      <c r="D535" s="259"/>
      <c r="E535" s="259"/>
      <c r="F535" s="259"/>
      <c r="G535" s="259"/>
      <c r="H535" s="260"/>
    </row>
    <row r="536" spans="1:8" x14ac:dyDescent="0.2">
      <c r="A536" s="258"/>
      <c r="B536" s="259"/>
      <c r="C536" s="259"/>
      <c r="D536" s="259"/>
      <c r="E536" s="259"/>
      <c r="F536" s="259"/>
      <c r="G536" s="259"/>
      <c r="H536" s="260"/>
    </row>
    <row r="537" spans="1:8" x14ac:dyDescent="0.2">
      <c r="A537" s="258"/>
      <c r="B537" s="259"/>
      <c r="C537" s="259"/>
      <c r="D537" s="259"/>
      <c r="E537" s="259"/>
      <c r="F537" s="259"/>
      <c r="G537" s="259"/>
      <c r="H537" s="260"/>
    </row>
    <row r="538" spans="1:8" x14ac:dyDescent="0.2">
      <c r="A538" s="258"/>
      <c r="B538" s="259"/>
      <c r="C538" s="259"/>
      <c r="D538" s="259"/>
      <c r="E538" s="259"/>
      <c r="F538" s="259"/>
      <c r="G538" s="259"/>
      <c r="H538" s="260"/>
    </row>
    <row r="539" spans="1:8" x14ac:dyDescent="0.2">
      <c r="A539" s="258"/>
      <c r="B539" s="259"/>
      <c r="C539" s="259"/>
      <c r="D539" s="259"/>
      <c r="E539" s="259"/>
      <c r="F539" s="259"/>
      <c r="G539" s="259"/>
      <c r="H539" s="260"/>
    </row>
    <row r="540" spans="1:8" x14ac:dyDescent="0.2">
      <c r="A540" s="258"/>
      <c r="B540" s="259"/>
      <c r="C540" s="259"/>
      <c r="D540" s="259"/>
      <c r="E540" s="259"/>
      <c r="F540" s="259"/>
      <c r="G540" s="259"/>
      <c r="H540" s="260"/>
    </row>
    <row r="541" spans="1:8" x14ac:dyDescent="0.2">
      <c r="A541" s="258"/>
      <c r="B541" s="259"/>
      <c r="C541" s="259"/>
      <c r="D541" s="259"/>
      <c r="E541" s="259"/>
      <c r="F541" s="259"/>
      <c r="G541" s="259"/>
      <c r="H541" s="260"/>
    </row>
    <row r="542" spans="1:8" x14ac:dyDescent="0.2">
      <c r="A542" s="258"/>
      <c r="B542" s="259"/>
      <c r="C542" s="259"/>
      <c r="D542" s="259"/>
      <c r="E542" s="259"/>
      <c r="F542" s="259"/>
      <c r="G542" s="259"/>
      <c r="H542" s="260"/>
    </row>
    <row r="543" spans="1:8" x14ac:dyDescent="0.2">
      <c r="A543" s="258"/>
      <c r="B543" s="259"/>
      <c r="C543" s="259"/>
      <c r="D543" s="259"/>
      <c r="E543" s="259"/>
      <c r="F543" s="259"/>
      <c r="G543" s="259"/>
      <c r="H543" s="260"/>
    </row>
    <row r="544" spans="1:8" x14ac:dyDescent="0.2">
      <c r="A544" s="261"/>
      <c r="B544" s="262"/>
      <c r="C544" s="262"/>
      <c r="D544" s="262"/>
      <c r="E544" s="262"/>
      <c r="F544" s="262"/>
      <c r="G544" s="262"/>
      <c r="H544" s="263"/>
    </row>
    <row r="545" spans="1:8" x14ac:dyDescent="0.2">
      <c r="A545" s="141" t="s">
        <v>120</v>
      </c>
      <c r="B545" s="142"/>
      <c r="C545" s="102"/>
      <c r="D545" s="264"/>
      <c r="E545" s="264"/>
      <c r="F545" s="264"/>
      <c r="G545" s="264"/>
      <c r="H545" s="103"/>
    </row>
    <row r="546" spans="1:8" x14ac:dyDescent="0.2">
      <c r="A546" s="258"/>
      <c r="B546" s="259"/>
      <c r="C546" s="259"/>
      <c r="D546" s="259"/>
      <c r="E546" s="259"/>
      <c r="F546" s="259"/>
      <c r="G546" s="259"/>
      <c r="H546" s="260"/>
    </row>
    <row r="547" spans="1:8" x14ac:dyDescent="0.2">
      <c r="A547" s="258"/>
      <c r="B547" s="259"/>
      <c r="C547" s="259"/>
      <c r="D547" s="259"/>
      <c r="E547" s="259"/>
      <c r="F547" s="259"/>
      <c r="G547" s="259"/>
      <c r="H547" s="260"/>
    </row>
    <row r="548" spans="1:8" x14ac:dyDescent="0.2">
      <c r="A548" s="258"/>
      <c r="B548" s="259"/>
      <c r="C548" s="259"/>
      <c r="D548" s="259"/>
      <c r="E548" s="259"/>
      <c r="F548" s="259"/>
      <c r="G548" s="259"/>
      <c r="H548" s="260"/>
    </row>
    <row r="549" spans="1:8" x14ac:dyDescent="0.2">
      <c r="A549" s="258"/>
      <c r="B549" s="259"/>
      <c r="C549" s="259"/>
      <c r="D549" s="259"/>
      <c r="E549" s="259"/>
      <c r="F549" s="259"/>
      <c r="G549" s="259"/>
      <c r="H549" s="260"/>
    </row>
    <row r="550" spans="1:8" x14ac:dyDescent="0.2">
      <c r="A550" s="258"/>
      <c r="B550" s="259"/>
      <c r="C550" s="259"/>
      <c r="D550" s="259"/>
      <c r="E550" s="259"/>
      <c r="F550" s="259"/>
      <c r="G550" s="259"/>
      <c r="H550" s="260"/>
    </row>
    <row r="551" spans="1:8" x14ac:dyDescent="0.2">
      <c r="A551" s="258"/>
      <c r="B551" s="259"/>
      <c r="C551" s="259"/>
      <c r="D551" s="259"/>
      <c r="E551" s="259"/>
      <c r="F551" s="259"/>
      <c r="G551" s="259"/>
      <c r="H551" s="260"/>
    </row>
    <row r="552" spans="1:8" x14ac:dyDescent="0.2">
      <c r="A552" s="258"/>
      <c r="B552" s="259"/>
      <c r="C552" s="259"/>
      <c r="D552" s="259"/>
      <c r="E552" s="259"/>
      <c r="F552" s="259"/>
      <c r="G552" s="259"/>
      <c r="H552" s="260"/>
    </row>
    <row r="553" spans="1:8" x14ac:dyDescent="0.2">
      <c r="A553" s="258"/>
      <c r="B553" s="259"/>
      <c r="C553" s="259"/>
      <c r="D553" s="259"/>
      <c r="E553" s="259"/>
      <c r="F553" s="259"/>
      <c r="G553" s="259"/>
      <c r="H553" s="260"/>
    </row>
    <row r="554" spans="1:8" x14ac:dyDescent="0.2">
      <c r="A554" s="258"/>
      <c r="B554" s="259"/>
      <c r="C554" s="259"/>
      <c r="D554" s="259"/>
      <c r="E554" s="259"/>
      <c r="F554" s="259"/>
      <c r="G554" s="259"/>
      <c r="H554" s="260"/>
    </row>
    <row r="555" spans="1:8" x14ac:dyDescent="0.2">
      <c r="A555" s="258"/>
      <c r="B555" s="259"/>
      <c r="C555" s="259"/>
      <c r="D555" s="259"/>
      <c r="E555" s="259"/>
      <c r="F555" s="259"/>
      <c r="G555" s="259"/>
      <c r="H555" s="260"/>
    </row>
    <row r="556" spans="1:8" x14ac:dyDescent="0.2">
      <c r="A556" s="258"/>
      <c r="B556" s="259"/>
      <c r="C556" s="259"/>
      <c r="D556" s="259"/>
      <c r="E556" s="259"/>
      <c r="F556" s="259"/>
      <c r="G556" s="259"/>
      <c r="H556" s="260"/>
    </row>
    <row r="557" spans="1:8" x14ac:dyDescent="0.2">
      <c r="A557" s="258"/>
      <c r="B557" s="259"/>
      <c r="C557" s="259"/>
      <c r="D557" s="259"/>
      <c r="E557" s="259"/>
      <c r="F557" s="259"/>
      <c r="G557" s="259"/>
      <c r="H557" s="260"/>
    </row>
    <row r="558" spans="1:8" x14ac:dyDescent="0.2">
      <c r="A558" s="258"/>
      <c r="B558" s="259"/>
      <c r="C558" s="259"/>
      <c r="D558" s="259"/>
      <c r="E558" s="259"/>
      <c r="F558" s="259"/>
      <c r="G558" s="259"/>
      <c r="H558" s="260"/>
    </row>
    <row r="559" spans="1:8" x14ac:dyDescent="0.2">
      <c r="A559" s="258"/>
      <c r="B559" s="259"/>
      <c r="C559" s="259"/>
      <c r="D559" s="259"/>
      <c r="E559" s="259"/>
      <c r="F559" s="259"/>
      <c r="G559" s="259"/>
      <c r="H559" s="260"/>
    </row>
    <row r="560" spans="1:8" x14ac:dyDescent="0.2">
      <c r="A560" s="258"/>
      <c r="B560" s="259"/>
      <c r="C560" s="259"/>
      <c r="D560" s="259"/>
      <c r="E560" s="259"/>
      <c r="F560" s="259"/>
      <c r="G560" s="259"/>
      <c r="H560" s="260"/>
    </row>
    <row r="561" spans="1:8" x14ac:dyDescent="0.2">
      <c r="A561" s="258"/>
      <c r="B561" s="259"/>
      <c r="C561" s="259"/>
      <c r="D561" s="259"/>
      <c r="E561" s="259"/>
      <c r="F561" s="259"/>
      <c r="G561" s="259"/>
      <c r="H561" s="260"/>
    </row>
    <row r="562" spans="1:8" x14ac:dyDescent="0.2">
      <c r="A562" s="258"/>
      <c r="B562" s="259"/>
      <c r="C562" s="259"/>
      <c r="D562" s="259"/>
      <c r="E562" s="259"/>
      <c r="F562" s="259"/>
      <c r="G562" s="259"/>
      <c r="H562" s="260"/>
    </row>
    <row r="563" spans="1:8" x14ac:dyDescent="0.2">
      <c r="A563" s="258"/>
      <c r="B563" s="259"/>
      <c r="C563" s="259"/>
      <c r="D563" s="259"/>
      <c r="E563" s="259"/>
      <c r="F563" s="259"/>
      <c r="G563" s="259"/>
      <c r="H563" s="260"/>
    </row>
    <row r="564" spans="1:8" x14ac:dyDescent="0.2">
      <c r="A564" s="258"/>
      <c r="B564" s="259"/>
      <c r="C564" s="259"/>
      <c r="D564" s="259"/>
      <c r="E564" s="259"/>
      <c r="F564" s="259"/>
      <c r="G564" s="259"/>
      <c r="H564" s="260"/>
    </row>
    <row r="565" spans="1:8" x14ac:dyDescent="0.2">
      <c r="A565" s="258"/>
      <c r="B565" s="259"/>
      <c r="C565" s="259"/>
      <c r="D565" s="259"/>
      <c r="E565" s="259"/>
      <c r="F565" s="259"/>
      <c r="G565" s="259"/>
      <c r="H565" s="260"/>
    </row>
    <row r="566" spans="1:8" x14ac:dyDescent="0.2">
      <c r="A566" s="258"/>
      <c r="B566" s="259"/>
      <c r="C566" s="259"/>
      <c r="D566" s="259"/>
      <c r="E566" s="259"/>
      <c r="F566" s="259"/>
      <c r="G566" s="259"/>
      <c r="H566" s="260"/>
    </row>
    <row r="567" spans="1:8" x14ac:dyDescent="0.2">
      <c r="A567" s="258"/>
      <c r="B567" s="259"/>
      <c r="C567" s="259"/>
      <c r="D567" s="259"/>
      <c r="E567" s="259"/>
      <c r="F567" s="259"/>
      <c r="G567" s="259"/>
      <c r="H567" s="260"/>
    </row>
    <row r="568" spans="1:8" x14ac:dyDescent="0.2">
      <c r="A568" s="258"/>
      <c r="B568" s="259"/>
      <c r="C568" s="259"/>
      <c r="D568" s="259"/>
      <c r="E568" s="259"/>
      <c r="F568" s="259"/>
      <c r="G568" s="259"/>
      <c r="H568" s="260"/>
    </row>
    <row r="569" spans="1:8" x14ac:dyDescent="0.2">
      <c r="A569" s="258"/>
      <c r="B569" s="259"/>
      <c r="C569" s="259"/>
      <c r="D569" s="259"/>
      <c r="E569" s="259"/>
      <c r="F569" s="259"/>
      <c r="G569" s="259"/>
      <c r="H569" s="260"/>
    </row>
    <row r="570" spans="1:8" x14ac:dyDescent="0.2">
      <c r="A570" s="258"/>
      <c r="B570" s="259"/>
      <c r="C570" s="259"/>
      <c r="D570" s="259"/>
      <c r="E570" s="259"/>
      <c r="F570" s="259"/>
      <c r="G570" s="259"/>
      <c r="H570" s="260"/>
    </row>
    <row r="571" spans="1:8" x14ac:dyDescent="0.2">
      <c r="A571" s="258"/>
      <c r="B571" s="259"/>
      <c r="C571" s="259"/>
      <c r="D571" s="259"/>
      <c r="E571" s="259"/>
      <c r="F571" s="259"/>
      <c r="G571" s="259"/>
      <c r="H571" s="260"/>
    </row>
    <row r="572" spans="1:8" x14ac:dyDescent="0.2">
      <c r="A572" s="258"/>
      <c r="B572" s="259"/>
      <c r="C572" s="259"/>
      <c r="D572" s="259"/>
      <c r="E572" s="259"/>
      <c r="F572" s="259"/>
      <c r="G572" s="259"/>
      <c r="H572" s="260"/>
    </row>
    <row r="573" spans="1:8" x14ac:dyDescent="0.2">
      <c r="A573" s="258"/>
      <c r="B573" s="259"/>
      <c r="C573" s="259"/>
      <c r="D573" s="259"/>
      <c r="E573" s="259"/>
      <c r="F573" s="259"/>
      <c r="G573" s="259"/>
      <c r="H573" s="260"/>
    </row>
    <row r="574" spans="1:8" x14ac:dyDescent="0.2">
      <c r="A574" s="258"/>
      <c r="B574" s="259"/>
      <c r="C574" s="259"/>
      <c r="D574" s="259"/>
      <c r="E574" s="259"/>
      <c r="F574" s="259"/>
      <c r="G574" s="259"/>
      <c r="H574" s="260"/>
    </row>
    <row r="575" spans="1:8" x14ac:dyDescent="0.2">
      <c r="A575" s="258"/>
      <c r="B575" s="259"/>
      <c r="C575" s="259"/>
      <c r="D575" s="259"/>
      <c r="E575" s="259"/>
      <c r="F575" s="259"/>
      <c r="G575" s="259"/>
      <c r="H575" s="260"/>
    </row>
    <row r="576" spans="1:8" x14ac:dyDescent="0.2">
      <c r="A576" s="258"/>
      <c r="B576" s="259"/>
      <c r="C576" s="259"/>
      <c r="D576" s="259"/>
      <c r="E576" s="259"/>
      <c r="F576" s="259"/>
      <c r="G576" s="259"/>
      <c r="H576" s="260"/>
    </row>
    <row r="577" spans="1:8" x14ac:dyDescent="0.2">
      <c r="A577" s="258"/>
      <c r="B577" s="259"/>
      <c r="C577" s="259"/>
      <c r="D577" s="259"/>
      <c r="E577" s="259"/>
      <c r="F577" s="259"/>
      <c r="G577" s="259"/>
      <c r="H577" s="260"/>
    </row>
    <row r="578" spans="1:8" x14ac:dyDescent="0.2">
      <c r="A578" s="258"/>
      <c r="B578" s="259"/>
      <c r="C578" s="259"/>
      <c r="D578" s="259"/>
      <c r="E578" s="259"/>
      <c r="F578" s="259"/>
      <c r="G578" s="259"/>
      <c r="H578" s="260"/>
    </row>
    <row r="579" spans="1:8" x14ac:dyDescent="0.2">
      <c r="A579" s="258"/>
      <c r="B579" s="259"/>
      <c r="C579" s="259"/>
      <c r="D579" s="259"/>
      <c r="E579" s="259"/>
      <c r="F579" s="259"/>
      <c r="G579" s="259"/>
      <c r="H579" s="260"/>
    </row>
    <row r="580" spans="1:8" x14ac:dyDescent="0.2">
      <c r="A580" s="258"/>
      <c r="B580" s="259"/>
      <c r="C580" s="259"/>
      <c r="D580" s="259"/>
      <c r="E580" s="259"/>
      <c r="F580" s="259"/>
      <c r="G580" s="259"/>
      <c r="H580" s="260"/>
    </row>
    <row r="581" spans="1:8" x14ac:dyDescent="0.2">
      <c r="A581" s="258"/>
      <c r="B581" s="259"/>
      <c r="C581" s="259"/>
      <c r="D581" s="259"/>
      <c r="E581" s="259"/>
      <c r="F581" s="259"/>
      <c r="G581" s="259"/>
      <c r="H581" s="260"/>
    </row>
    <row r="582" spans="1:8" x14ac:dyDescent="0.2">
      <c r="A582" s="258"/>
      <c r="B582" s="259"/>
      <c r="C582" s="259"/>
      <c r="D582" s="259"/>
      <c r="E582" s="259"/>
      <c r="F582" s="259"/>
      <c r="G582" s="259"/>
      <c r="H582" s="260"/>
    </row>
    <row r="583" spans="1:8" x14ac:dyDescent="0.2">
      <c r="A583" s="258"/>
      <c r="B583" s="259"/>
      <c r="C583" s="259"/>
      <c r="D583" s="259"/>
      <c r="E583" s="259"/>
      <c r="F583" s="259"/>
      <c r="G583" s="259"/>
      <c r="H583" s="260"/>
    </row>
    <row r="584" spans="1:8" x14ac:dyDescent="0.2">
      <c r="A584" s="258"/>
      <c r="B584" s="259"/>
      <c r="C584" s="259"/>
      <c r="D584" s="259"/>
      <c r="E584" s="259"/>
      <c r="F584" s="259"/>
      <c r="G584" s="259"/>
      <c r="H584" s="260"/>
    </row>
    <row r="585" spans="1:8" x14ac:dyDescent="0.2">
      <c r="A585" s="258"/>
      <c r="B585" s="259"/>
      <c r="C585" s="259"/>
      <c r="D585" s="259"/>
      <c r="E585" s="259"/>
      <c r="F585" s="259"/>
      <c r="G585" s="259"/>
      <c r="H585" s="260"/>
    </row>
    <row r="586" spans="1:8" x14ac:dyDescent="0.2">
      <c r="A586" s="258"/>
      <c r="B586" s="259"/>
      <c r="C586" s="259"/>
      <c r="D586" s="259"/>
      <c r="E586" s="259"/>
      <c r="F586" s="259"/>
      <c r="G586" s="259"/>
      <c r="H586" s="260"/>
    </row>
    <row r="587" spans="1:8" x14ac:dyDescent="0.2">
      <c r="A587" s="258"/>
      <c r="B587" s="259"/>
      <c r="C587" s="259"/>
      <c r="D587" s="259"/>
      <c r="E587" s="259"/>
      <c r="F587" s="259"/>
      <c r="G587" s="259"/>
      <c r="H587" s="260"/>
    </row>
    <row r="588" spans="1:8" x14ac:dyDescent="0.2">
      <c r="A588" s="258"/>
      <c r="B588" s="259"/>
      <c r="C588" s="259"/>
      <c r="D588" s="259"/>
      <c r="E588" s="259"/>
      <c r="F588" s="259"/>
      <c r="G588" s="259"/>
      <c r="H588" s="260"/>
    </row>
    <row r="589" spans="1:8" x14ac:dyDescent="0.2">
      <c r="A589" s="258"/>
      <c r="B589" s="259"/>
      <c r="C589" s="259"/>
      <c r="D589" s="259"/>
      <c r="E589" s="259"/>
      <c r="F589" s="259"/>
      <c r="G589" s="259"/>
      <c r="H589" s="260"/>
    </row>
    <row r="590" spans="1:8" x14ac:dyDescent="0.2">
      <c r="A590" s="258"/>
      <c r="B590" s="259"/>
      <c r="C590" s="259"/>
      <c r="D590" s="259"/>
      <c r="E590" s="259"/>
      <c r="F590" s="259"/>
      <c r="G590" s="259"/>
      <c r="H590" s="260"/>
    </row>
    <row r="591" spans="1:8" x14ac:dyDescent="0.2">
      <c r="A591" s="258"/>
      <c r="B591" s="259"/>
      <c r="C591" s="259"/>
      <c r="D591" s="259"/>
      <c r="E591" s="259"/>
      <c r="F591" s="259"/>
      <c r="G591" s="259"/>
      <c r="H591" s="260"/>
    </row>
    <row r="592" spans="1:8" x14ac:dyDescent="0.2">
      <c r="A592" s="258"/>
      <c r="B592" s="259"/>
      <c r="C592" s="259"/>
      <c r="D592" s="259"/>
      <c r="E592" s="259"/>
      <c r="F592" s="259"/>
      <c r="G592" s="259"/>
      <c r="H592" s="260"/>
    </row>
    <row r="593" spans="1:8" x14ac:dyDescent="0.2">
      <c r="A593" s="258"/>
      <c r="B593" s="259"/>
      <c r="C593" s="259"/>
      <c r="D593" s="259"/>
      <c r="E593" s="259"/>
      <c r="F593" s="259"/>
      <c r="G593" s="259"/>
      <c r="H593" s="260"/>
    </row>
    <row r="594" spans="1:8" x14ac:dyDescent="0.2">
      <c r="A594" s="258"/>
      <c r="B594" s="259"/>
      <c r="C594" s="259"/>
      <c r="D594" s="259"/>
      <c r="E594" s="259"/>
      <c r="F594" s="259"/>
      <c r="G594" s="259"/>
      <c r="H594" s="260"/>
    </row>
    <row r="595" spans="1:8" ht="50.25" customHeight="1" x14ac:dyDescent="0.2">
      <c r="A595" s="102" t="s">
        <v>117</v>
      </c>
      <c r="B595" s="103"/>
      <c r="C595" s="265" t="s">
        <v>325</v>
      </c>
      <c r="D595" s="266"/>
      <c r="E595" s="163" t="s">
        <v>118</v>
      </c>
      <c r="F595" s="163"/>
      <c r="G595" s="205"/>
      <c r="H595" s="205"/>
    </row>
  </sheetData>
  <mergeCells count="756">
    <mergeCell ref="A87:B87"/>
    <mergeCell ref="C87:D87"/>
    <mergeCell ref="A88:B88"/>
    <mergeCell ref="C88:D88"/>
    <mergeCell ref="A89:B89"/>
    <mergeCell ref="C89:D89"/>
    <mergeCell ref="A90:B90"/>
    <mergeCell ref="C90:D90"/>
    <mergeCell ref="A76:H76"/>
    <mergeCell ref="C82:D82"/>
    <mergeCell ref="A83:B83"/>
    <mergeCell ref="C83:D83"/>
    <mergeCell ref="A84:B84"/>
    <mergeCell ref="C84:D84"/>
    <mergeCell ref="A85:B85"/>
    <mergeCell ref="C85:D85"/>
    <mergeCell ref="A86:B86"/>
    <mergeCell ref="C86:D86"/>
    <mergeCell ref="A363:B363"/>
    <mergeCell ref="A364:B364"/>
    <mergeCell ref="A365:B365"/>
    <mergeCell ref="A366:B366"/>
    <mergeCell ref="A367:B367"/>
    <mergeCell ref="A368:B368"/>
    <mergeCell ref="D342:H342"/>
    <mergeCell ref="D351:H351"/>
    <mergeCell ref="D360:H360"/>
    <mergeCell ref="A354:B354"/>
    <mergeCell ref="A355:B355"/>
    <mergeCell ref="A356:B356"/>
    <mergeCell ref="A357:B357"/>
    <mergeCell ref="A358:B358"/>
    <mergeCell ref="A359:B359"/>
    <mergeCell ref="A360:B360"/>
    <mergeCell ref="A361:B361"/>
    <mergeCell ref="A362:B362"/>
    <mergeCell ref="A345:B345"/>
    <mergeCell ref="A346:B346"/>
    <mergeCell ref="A347:B347"/>
    <mergeCell ref="A348:B348"/>
    <mergeCell ref="A349:B349"/>
    <mergeCell ref="A350:B350"/>
    <mergeCell ref="A351:B351"/>
    <mergeCell ref="A352:B352"/>
    <mergeCell ref="A353:B353"/>
    <mergeCell ref="A336:B336"/>
    <mergeCell ref="A337:B337"/>
    <mergeCell ref="A338:B338"/>
    <mergeCell ref="A339:H339"/>
    <mergeCell ref="A340:B340"/>
    <mergeCell ref="A341:B341"/>
    <mergeCell ref="A342:B342"/>
    <mergeCell ref="A343:B343"/>
    <mergeCell ref="A344:B344"/>
    <mergeCell ref="A327:B327"/>
    <mergeCell ref="A328:B328"/>
    <mergeCell ref="A329:B329"/>
    <mergeCell ref="A330:B330"/>
    <mergeCell ref="A331:B331"/>
    <mergeCell ref="A332:B332"/>
    <mergeCell ref="A333:B333"/>
    <mergeCell ref="A334:B334"/>
    <mergeCell ref="A335:B335"/>
    <mergeCell ref="A318:B318"/>
    <mergeCell ref="A319:B319"/>
    <mergeCell ref="A320:B320"/>
    <mergeCell ref="A321:B321"/>
    <mergeCell ref="A322:B322"/>
    <mergeCell ref="A323:B323"/>
    <mergeCell ref="A324:B324"/>
    <mergeCell ref="A325:B325"/>
    <mergeCell ref="A326:B326"/>
    <mergeCell ref="A309:H309"/>
    <mergeCell ref="A310:B310"/>
    <mergeCell ref="A311:B311"/>
    <mergeCell ref="A312:B312"/>
    <mergeCell ref="A313:B313"/>
    <mergeCell ref="A314:B314"/>
    <mergeCell ref="A315:B315"/>
    <mergeCell ref="A316:B316"/>
    <mergeCell ref="A317:B317"/>
    <mergeCell ref="A306:B306"/>
    <mergeCell ref="A307:B307"/>
    <mergeCell ref="A308:B308"/>
    <mergeCell ref="D283:H284"/>
    <mergeCell ref="D285:H286"/>
    <mergeCell ref="D307:H308"/>
    <mergeCell ref="A297:B297"/>
    <mergeCell ref="A298:B298"/>
    <mergeCell ref="A299:B299"/>
    <mergeCell ref="A300:B300"/>
    <mergeCell ref="A301:B301"/>
    <mergeCell ref="A302:B302"/>
    <mergeCell ref="A303:B303"/>
    <mergeCell ref="A304:B304"/>
    <mergeCell ref="A305:B305"/>
    <mergeCell ref="A288:B288"/>
    <mergeCell ref="A289:B289"/>
    <mergeCell ref="A290:B290"/>
    <mergeCell ref="A291:B291"/>
    <mergeCell ref="A292:B292"/>
    <mergeCell ref="A293:B293"/>
    <mergeCell ref="A294:B294"/>
    <mergeCell ref="A295:B295"/>
    <mergeCell ref="A296:B296"/>
    <mergeCell ref="A279:H279"/>
    <mergeCell ref="A280:B280"/>
    <mergeCell ref="A281:B281"/>
    <mergeCell ref="A282:B282"/>
    <mergeCell ref="A283:B283"/>
    <mergeCell ref="A284:B284"/>
    <mergeCell ref="A285:B285"/>
    <mergeCell ref="A286:B286"/>
    <mergeCell ref="A287:B287"/>
    <mergeCell ref="A273:B273"/>
    <mergeCell ref="A274:B274"/>
    <mergeCell ref="A275:B275"/>
    <mergeCell ref="A276:B276"/>
    <mergeCell ref="A277:B277"/>
    <mergeCell ref="A278:B278"/>
    <mergeCell ref="D255:H257"/>
    <mergeCell ref="D278:H278"/>
    <mergeCell ref="A264:B264"/>
    <mergeCell ref="A265:B265"/>
    <mergeCell ref="A266:B266"/>
    <mergeCell ref="A267:B267"/>
    <mergeCell ref="A268:B268"/>
    <mergeCell ref="A269:B269"/>
    <mergeCell ref="A270:B270"/>
    <mergeCell ref="A271:B271"/>
    <mergeCell ref="A272:B272"/>
    <mergeCell ref="A255:B255"/>
    <mergeCell ref="A256:B256"/>
    <mergeCell ref="A257:B257"/>
    <mergeCell ref="A258:B258"/>
    <mergeCell ref="A259:B259"/>
    <mergeCell ref="A260:B260"/>
    <mergeCell ref="A261:B261"/>
    <mergeCell ref="A262:B262"/>
    <mergeCell ref="A263:B263"/>
    <mergeCell ref="D234:H234"/>
    <mergeCell ref="D242:H242"/>
    <mergeCell ref="A247:H247"/>
    <mergeCell ref="A249:H249"/>
    <mergeCell ref="A250:B250"/>
    <mergeCell ref="A251:B251"/>
    <mergeCell ref="A252:B252"/>
    <mergeCell ref="A253:B253"/>
    <mergeCell ref="A254:B254"/>
    <mergeCell ref="A248:H248"/>
    <mergeCell ref="A238:B238"/>
    <mergeCell ref="A239:B239"/>
    <mergeCell ref="A240:B240"/>
    <mergeCell ref="A241:B241"/>
    <mergeCell ref="A242:B242"/>
    <mergeCell ref="A243:B243"/>
    <mergeCell ref="A244:B244"/>
    <mergeCell ref="A245:B245"/>
    <mergeCell ref="A246:B246"/>
    <mergeCell ref="A229:B229"/>
    <mergeCell ref="A230:B230"/>
    <mergeCell ref="A231:B231"/>
    <mergeCell ref="A232:B232"/>
    <mergeCell ref="A233:B233"/>
    <mergeCell ref="A234:B234"/>
    <mergeCell ref="A235:B235"/>
    <mergeCell ref="A236:B236"/>
    <mergeCell ref="A237:B237"/>
    <mergeCell ref="A220:B220"/>
    <mergeCell ref="A221:H221"/>
    <mergeCell ref="A222:B222"/>
    <mergeCell ref="A223:B223"/>
    <mergeCell ref="A224:B224"/>
    <mergeCell ref="A225:B225"/>
    <mergeCell ref="A226:B226"/>
    <mergeCell ref="A227:B227"/>
    <mergeCell ref="A228:B228"/>
    <mergeCell ref="D222:H222"/>
    <mergeCell ref="A213:B213"/>
    <mergeCell ref="A214:B214"/>
    <mergeCell ref="A215:B215"/>
    <mergeCell ref="A216:B216"/>
    <mergeCell ref="A217:B217"/>
    <mergeCell ref="A218:B218"/>
    <mergeCell ref="A219:B219"/>
    <mergeCell ref="A204:B204"/>
    <mergeCell ref="A205:B205"/>
    <mergeCell ref="A206:B206"/>
    <mergeCell ref="A207:B207"/>
    <mergeCell ref="A208:B208"/>
    <mergeCell ref="A209:B209"/>
    <mergeCell ref="A210:B210"/>
    <mergeCell ref="A211:B211"/>
    <mergeCell ref="A212:B212"/>
    <mergeCell ref="A195:H195"/>
    <mergeCell ref="A196:B196"/>
    <mergeCell ref="A197:B197"/>
    <mergeCell ref="A198:B198"/>
    <mergeCell ref="A199:B199"/>
    <mergeCell ref="A200:B200"/>
    <mergeCell ref="A201:B201"/>
    <mergeCell ref="A202:B202"/>
    <mergeCell ref="A203:B203"/>
    <mergeCell ref="I51:L51"/>
    <mergeCell ref="C491:H491"/>
    <mergeCell ref="A595:B595"/>
    <mergeCell ref="C595:D595"/>
    <mergeCell ref="A491:B491"/>
    <mergeCell ref="A413:B413"/>
    <mergeCell ref="A414:B414"/>
    <mergeCell ref="A415:B415"/>
    <mergeCell ref="A416:B416"/>
    <mergeCell ref="A417:B417"/>
    <mergeCell ref="A418:B418"/>
    <mergeCell ref="A419:B419"/>
    <mergeCell ref="A420:B420"/>
    <mergeCell ref="B425:H425"/>
    <mergeCell ref="A538:H538"/>
    <mergeCell ref="A539:H539"/>
    <mergeCell ref="A540:H540"/>
    <mergeCell ref="A541:H541"/>
    <mergeCell ref="A542:H542"/>
    <mergeCell ref="A543:H543"/>
    <mergeCell ref="A544:H544"/>
    <mergeCell ref="A520:H520"/>
    <mergeCell ref="A521:H521"/>
    <mergeCell ref="A522:H522"/>
    <mergeCell ref="A523:H523"/>
    <mergeCell ref="A524:H524"/>
    <mergeCell ref="A511:H511"/>
    <mergeCell ref="A512:H512"/>
    <mergeCell ref="A513:H513"/>
    <mergeCell ref="A514:H514"/>
    <mergeCell ref="A515:H515"/>
    <mergeCell ref="A516:H516"/>
    <mergeCell ref="A519:H519"/>
    <mergeCell ref="A492:H492"/>
    <mergeCell ref="A493:H493"/>
    <mergeCell ref="A423:E423"/>
    <mergeCell ref="F423:H423"/>
    <mergeCell ref="A439:H439"/>
    <mergeCell ref="A393:B393"/>
    <mergeCell ref="A394:B394"/>
    <mergeCell ref="A396:B396"/>
    <mergeCell ref="A397:B397"/>
    <mergeCell ref="A398:B398"/>
    <mergeCell ref="A399:B399"/>
    <mergeCell ref="A400:B400"/>
    <mergeCell ref="A401:B401"/>
    <mergeCell ref="A402:B402"/>
    <mergeCell ref="F422:H422"/>
    <mergeCell ref="A408:H408"/>
    <mergeCell ref="A403:B403"/>
    <mergeCell ref="A404:B404"/>
    <mergeCell ref="A405:B405"/>
    <mergeCell ref="A406:B406"/>
    <mergeCell ref="A407:B407"/>
    <mergeCell ref="A409:B409"/>
    <mergeCell ref="A410:B410"/>
    <mergeCell ref="A411:B411"/>
    <mergeCell ref="A412:B412"/>
    <mergeCell ref="A395:H395"/>
    <mergeCell ref="A384:B384"/>
    <mergeCell ref="A385:B385"/>
    <mergeCell ref="A386:B386"/>
    <mergeCell ref="A387:B387"/>
    <mergeCell ref="A388:B388"/>
    <mergeCell ref="A389:B389"/>
    <mergeCell ref="A390:B390"/>
    <mergeCell ref="A391:B391"/>
    <mergeCell ref="A392:B392"/>
    <mergeCell ref="A379:B379"/>
    <mergeCell ref="A380:B380"/>
    <mergeCell ref="A381:B381"/>
    <mergeCell ref="A139:H139"/>
    <mergeCell ref="A113:H113"/>
    <mergeCell ref="B114:B115"/>
    <mergeCell ref="B140:B141"/>
    <mergeCell ref="A383:B383"/>
    <mergeCell ref="A369:H369"/>
    <mergeCell ref="A370:B370"/>
    <mergeCell ref="A371:B371"/>
    <mergeCell ref="A372:B372"/>
    <mergeCell ref="A373:B373"/>
    <mergeCell ref="A374:B374"/>
    <mergeCell ref="A375:B375"/>
    <mergeCell ref="A376:B376"/>
    <mergeCell ref="A377:B377"/>
    <mergeCell ref="A127:B127"/>
    <mergeCell ref="A128:B128"/>
    <mergeCell ref="A129:B129"/>
    <mergeCell ref="E140:E141"/>
    <mergeCell ref="F140:F141"/>
    <mergeCell ref="A142:H142"/>
    <mergeCell ref="A121:B121"/>
    <mergeCell ref="A122:B122"/>
    <mergeCell ref="A114:A115"/>
    <mergeCell ref="C114:C115"/>
    <mergeCell ref="E114:E115"/>
    <mergeCell ref="F114:F115"/>
    <mergeCell ref="E107:F107"/>
    <mergeCell ref="G107:H107"/>
    <mergeCell ref="A378:B378"/>
    <mergeCell ref="C104:D104"/>
    <mergeCell ref="C105:D105"/>
    <mergeCell ref="C107:D107"/>
    <mergeCell ref="C108:D108"/>
    <mergeCell ref="C109:D109"/>
    <mergeCell ref="C110:D110"/>
    <mergeCell ref="C111:D111"/>
    <mergeCell ref="D114:D115"/>
    <mergeCell ref="A140:A141"/>
    <mergeCell ref="C140:C141"/>
    <mergeCell ref="D140:D141"/>
    <mergeCell ref="A107:B107"/>
    <mergeCell ref="A108:B108"/>
    <mergeCell ref="A109:B109"/>
    <mergeCell ref="A110:B110"/>
    <mergeCell ref="A111:B111"/>
    <mergeCell ref="A117:H117"/>
    <mergeCell ref="A118:B118"/>
    <mergeCell ref="A119:B119"/>
    <mergeCell ref="A120:B120"/>
    <mergeCell ref="A123:B123"/>
    <mergeCell ref="A124:B124"/>
    <mergeCell ref="A125:B125"/>
    <mergeCell ref="A126:B126"/>
    <mergeCell ref="C49:D49"/>
    <mergeCell ref="C50:D50"/>
    <mergeCell ref="C51:D51"/>
    <mergeCell ref="C65:D65"/>
    <mergeCell ref="C66:D66"/>
    <mergeCell ref="C67:D67"/>
    <mergeCell ref="C64:H64"/>
    <mergeCell ref="A66:B66"/>
    <mergeCell ref="G103:H103"/>
    <mergeCell ref="E104:F104"/>
    <mergeCell ref="G104:H104"/>
    <mergeCell ref="E105:F105"/>
    <mergeCell ref="G105:H105"/>
    <mergeCell ref="A106:H106"/>
    <mergeCell ref="A69:B69"/>
    <mergeCell ref="A70:B70"/>
    <mergeCell ref="E60:F60"/>
    <mergeCell ref="A61:H61"/>
    <mergeCell ref="G60:H60"/>
    <mergeCell ref="C60:D60"/>
    <mergeCell ref="C46:F46"/>
    <mergeCell ref="C48:F48"/>
    <mergeCell ref="C53:F53"/>
    <mergeCell ref="A62:D63"/>
    <mergeCell ref="A52:B52"/>
    <mergeCell ref="C52:H52"/>
    <mergeCell ref="C54:F54"/>
    <mergeCell ref="A54:B55"/>
    <mergeCell ref="C58:F58"/>
    <mergeCell ref="A56:B58"/>
    <mergeCell ref="C56:F57"/>
    <mergeCell ref="E50:F50"/>
    <mergeCell ref="C55:H55"/>
    <mergeCell ref="C3:E3"/>
    <mergeCell ref="C4:E4"/>
    <mergeCell ref="C5:E5"/>
    <mergeCell ref="G3:H3"/>
    <mergeCell ref="G4:H4"/>
    <mergeCell ref="G5:H5"/>
    <mergeCell ref="C31:D31"/>
    <mergeCell ref="C32:D32"/>
    <mergeCell ref="A25:B25"/>
    <mergeCell ref="A26:B26"/>
    <mergeCell ref="A27:B27"/>
    <mergeCell ref="A28:B28"/>
    <mergeCell ref="A29:B29"/>
    <mergeCell ref="A30:B30"/>
    <mergeCell ref="A31:B34"/>
    <mergeCell ref="A7:B7"/>
    <mergeCell ref="A8:B8"/>
    <mergeCell ref="A9:B9"/>
    <mergeCell ref="A10:B10"/>
    <mergeCell ref="A11:B11"/>
    <mergeCell ref="A12:B12"/>
    <mergeCell ref="A13:B13"/>
    <mergeCell ref="A14:B14"/>
    <mergeCell ref="C33:D33"/>
    <mergeCell ref="F18:H18"/>
    <mergeCell ref="A102:H102"/>
    <mergeCell ref="A35:B35"/>
    <mergeCell ref="A36:B36"/>
    <mergeCell ref="A16:B16"/>
    <mergeCell ref="A17:B17"/>
    <mergeCell ref="A18:B18"/>
    <mergeCell ref="A19:B19"/>
    <mergeCell ref="A20:B20"/>
    <mergeCell ref="A21:B21"/>
    <mergeCell ref="A22:B22"/>
    <mergeCell ref="A23:B23"/>
    <mergeCell ref="A24:B24"/>
    <mergeCell ref="A71:B71"/>
    <mergeCell ref="A72:B72"/>
    <mergeCell ref="A73:B73"/>
    <mergeCell ref="A74:B74"/>
    <mergeCell ref="A75:B75"/>
    <mergeCell ref="A91:B91"/>
    <mergeCell ref="A93:B93"/>
    <mergeCell ref="A94:B94"/>
    <mergeCell ref="A95:B95"/>
    <mergeCell ref="A96:B96"/>
    <mergeCell ref="A97:B97"/>
    <mergeCell ref="A15:B15"/>
    <mergeCell ref="E110:F110"/>
    <mergeCell ref="G110:H110"/>
    <mergeCell ref="E111:F111"/>
    <mergeCell ref="G111:H111"/>
    <mergeCell ref="C29:H29"/>
    <mergeCell ref="C30:H30"/>
    <mergeCell ref="A37:B37"/>
    <mergeCell ref="A38:B38"/>
    <mergeCell ref="A40:B45"/>
    <mergeCell ref="A46:B46"/>
    <mergeCell ref="A47:B47"/>
    <mergeCell ref="A48:B48"/>
    <mergeCell ref="A49:B51"/>
    <mergeCell ref="A53:B53"/>
    <mergeCell ref="A60:B60"/>
    <mergeCell ref="A65:B65"/>
    <mergeCell ref="C43:F43"/>
    <mergeCell ref="G43:H43"/>
    <mergeCell ref="C45:F45"/>
    <mergeCell ref="G45:H45"/>
    <mergeCell ref="G65:H65"/>
    <mergeCell ref="G66:H75"/>
    <mergeCell ref="E96:F96"/>
    <mergeCell ref="A531:H531"/>
    <mergeCell ref="A532:H532"/>
    <mergeCell ref="A533:H533"/>
    <mergeCell ref="A534:H534"/>
    <mergeCell ref="A535:H535"/>
    <mergeCell ref="A536:H536"/>
    <mergeCell ref="A537:H537"/>
    <mergeCell ref="A525:H525"/>
    <mergeCell ref="A526:H526"/>
    <mergeCell ref="A527:H527"/>
    <mergeCell ref="A528:H528"/>
    <mergeCell ref="A98:B98"/>
    <mergeCell ref="A99:B99"/>
    <mergeCell ref="A100:B100"/>
    <mergeCell ref="A101:B101"/>
    <mergeCell ref="C74:D74"/>
    <mergeCell ref="C75:D75"/>
    <mergeCell ref="C93:D93"/>
    <mergeCell ref="C94:D94"/>
    <mergeCell ref="C95:D95"/>
    <mergeCell ref="C96:D96"/>
    <mergeCell ref="C97:D97"/>
    <mergeCell ref="C98:D98"/>
    <mergeCell ref="C99:D99"/>
    <mergeCell ref="C100:D100"/>
    <mergeCell ref="C101:D101"/>
    <mergeCell ref="A77:D78"/>
    <mergeCell ref="C79:H79"/>
    <mergeCell ref="A80:B80"/>
    <mergeCell ref="C80:D80"/>
    <mergeCell ref="G80:H80"/>
    <mergeCell ref="A81:B81"/>
    <mergeCell ref="C81:D81"/>
    <mergeCell ref="G81:H90"/>
    <mergeCell ref="A82:B82"/>
    <mergeCell ref="C103:D103"/>
    <mergeCell ref="E595:F595"/>
    <mergeCell ref="G595:H595"/>
    <mergeCell ref="C91:H91"/>
    <mergeCell ref="A92:H92"/>
    <mergeCell ref="E93:F93"/>
    <mergeCell ref="E94:F94"/>
    <mergeCell ref="E101:F101"/>
    <mergeCell ref="A112:H112"/>
    <mergeCell ref="A494:H494"/>
    <mergeCell ref="A495:H495"/>
    <mergeCell ref="A496:H496"/>
    <mergeCell ref="A497:H497"/>
    <mergeCell ref="A498:H498"/>
    <mergeCell ref="A499:H499"/>
    <mergeCell ref="A500:H500"/>
    <mergeCell ref="A501:H501"/>
    <mergeCell ref="A502:H502"/>
    <mergeCell ref="A421:H421"/>
    <mergeCell ref="A517:H517"/>
    <mergeCell ref="A518:H518"/>
    <mergeCell ref="A422:E422"/>
    <mergeCell ref="A116:H116"/>
    <mergeCell ref="A382:H382"/>
    <mergeCell ref="A1:H1"/>
    <mergeCell ref="C23:H23"/>
    <mergeCell ref="C22:H22"/>
    <mergeCell ref="C26:H26"/>
    <mergeCell ref="C17:H17"/>
    <mergeCell ref="C16:H16"/>
    <mergeCell ref="C25:H25"/>
    <mergeCell ref="C10:H10"/>
    <mergeCell ref="A6:H6"/>
    <mergeCell ref="C20:H20"/>
    <mergeCell ref="C21:H21"/>
    <mergeCell ref="C24:H24"/>
    <mergeCell ref="A2:H2"/>
    <mergeCell ref="C7:H7"/>
    <mergeCell ref="C8:H8"/>
    <mergeCell ref="C19:H19"/>
    <mergeCell ref="C9:H9"/>
    <mergeCell ref="C13:H13"/>
    <mergeCell ref="C14:H14"/>
    <mergeCell ref="C15:H15"/>
    <mergeCell ref="C18:E18"/>
    <mergeCell ref="C11:H11"/>
    <mergeCell ref="C12:H12"/>
    <mergeCell ref="A5:B5"/>
    <mergeCell ref="C27:E27"/>
    <mergeCell ref="A59:H59"/>
    <mergeCell ref="C47:H47"/>
    <mergeCell ref="E49:H49"/>
    <mergeCell ref="G41:H41"/>
    <mergeCell ref="C37:H37"/>
    <mergeCell ref="C28:E28"/>
    <mergeCell ref="E36:F36"/>
    <mergeCell ref="G27:H27"/>
    <mergeCell ref="G28:H28"/>
    <mergeCell ref="C35:H35"/>
    <mergeCell ref="G36:H36"/>
    <mergeCell ref="A39:H39"/>
    <mergeCell ref="C40:F40"/>
    <mergeCell ref="G40:H40"/>
    <mergeCell ref="C41:F41"/>
    <mergeCell ref="C44:F44"/>
    <mergeCell ref="G44:H44"/>
    <mergeCell ref="C38:H38"/>
    <mergeCell ref="G42:H42"/>
    <mergeCell ref="E51:H51"/>
    <mergeCell ref="C34:D34"/>
    <mergeCell ref="C36:D36"/>
    <mergeCell ref="C42:F42"/>
    <mergeCell ref="E108:F108"/>
    <mergeCell ref="G108:H108"/>
    <mergeCell ref="E109:F109"/>
    <mergeCell ref="G109:H109"/>
    <mergeCell ref="A67:B67"/>
    <mergeCell ref="A68:B68"/>
    <mergeCell ref="C438:H438"/>
    <mergeCell ref="E97:F97"/>
    <mergeCell ref="E98:F98"/>
    <mergeCell ref="E99:F99"/>
    <mergeCell ref="G100:H100"/>
    <mergeCell ref="G101:H101"/>
    <mergeCell ref="E100:F100"/>
    <mergeCell ref="A103:B103"/>
    <mergeCell ref="A104:B104"/>
    <mergeCell ref="A105:B105"/>
    <mergeCell ref="C68:D68"/>
    <mergeCell ref="C69:D69"/>
    <mergeCell ref="C70:D70"/>
    <mergeCell ref="C71:D71"/>
    <mergeCell ref="C72:D72"/>
    <mergeCell ref="C73:D73"/>
    <mergeCell ref="E95:F95"/>
    <mergeCell ref="E103:F103"/>
    <mergeCell ref="A440:H440"/>
    <mergeCell ref="A441:H441"/>
    <mergeCell ref="A442:H442"/>
    <mergeCell ref="A443:H443"/>
    <mergeCell ref="A444:H444"/>
    <mergeCell ref="A424:H424"/>
    <mergeCell ref="B426:H426"/>
    <mergeCell ref="B427:H427"/>
    <mergeCell ref="B428:H428"/>
    <mergeCell ref="B429:H429"/>
    <mergeCell ref="B431:H431"/>
    <mergeCell ref="B432:H432"/>
    <mergeCell ref="B434:H434"/>
    <mergeCell ref="B437:H437"/>
    <mergeCell ref="A438:B438"/>
    <mergeCell ref="B430:E430"/>
    <mergeCell ref="B433:H433"/>
    <mergeCell ref="B435:H435"/>
    <mergeCell ref="B436:H436"/>
    <mergeCell ref="A445:H445"/>
    <mergeCell ref="A446:H446"/>
    <mergeCell ref="A447:H447"/>
    <mergeCell ref="A448:H448"/>
    <mergeCell ref="A449:H449"/>
    <mergeCell ref="A450:H450"/>
    <mergeCell ref="A451:H451"/>
    <mergeCell ref="A452:H452"/>
    <mergeCell ref="A453:H453"/>
    <mergeCell ref="A454:H454"/>
    <mergeCell ref="A455:H455"/>
    <mergeCell ref="A456:H456"/>
    <mergeCell ref="A457:H457"/>
    <mergeCell ref="A458:H458"/>
    <mergeCell ref="A459:H459"/>
    <mergeCell ref="A460:H460"/>
    <mergeCell ref="A461:H461"/>
    <mergeCell ref="A462:H462"/>
    <mergeCell ref="A463:H463"/>
    <mergeCell ref="A464:H464"/>
    <mergeCell ref="A465:H465"/>
    <mergeCell ref="A466:H466"/>
    <mergeCell ref="A467:H467"/>
    <mergeCell ref="A468:H468"/>
    <mergeCell ref="A469:H469"/>
    <mergeCell ref="A470:H470"/>
    <mergeCell ref="A471:H471"/>
    <mergeCell ref="A472:H472"/>
    <mergeCell ref="A473:H473"/>
    <mergeCell ref="A474:H474"/>
    <mergeCell ref="A475:H475"/>
    <mergeCell ref="A476:H476"/>
    <mergeCell ref="A477:H477"/>
    <mergeCell ref="A478:H478"/>
    <mergeCell ref="A479:H479"/>
    <mergeCell ref="A480:H480"/>
    <mergeCell ref="A546:H546"/>
    <mergeCell ref="A547:H547"/>
    <mergeCell ref="A548:H548"/>
    <mergeCell ref="A490:H490"/>
    <mergeCell ref="A481:H481"/>
    <mergeCell ref="A482:H482"/>
    <mergeCell ref="A483:H483"/>
    <mergeCell ref="A484:H484"/>
    <mergeCell ref="A485:H485"/>
    <mergeCell ref="A486:H486"/>
    <mergeCell ref="A487:H487"/>
    <mergeCell ref="A488:H488"/>
    <mergeCell ref="A489:H489"/>
    <mergeCell ref="A503:H503"/>
    <mergeCell ref="A504:H504"/>
    <mergeCell ref="A505:H505"/>
    <mergeCell ref="A506:H506"/>
    <mergeCell ref="A507:H507"/>
    <mergeCell ref="A508:H508"/>
    <mergeCell ref="A509:H509"/>
    <mergeCell ref="A510:H510"/>
    <mergeCell ref="A529:H529"/>
    <mergeCell ref="A530:H530"/>
    <mergeCell ref="A545:B545"/>
    <mergeCell ref="A567:H567"/>
    <mergeCell ref="A568:H568"/>
    <mergeCell ref="A549:H549"/>
    <mergeCell ref="A550:H550"/>
    <mergeCell ref="A551:H551"/>
    <mergeCell ref="A552:H552"/>
    <mergeCell ref="A553:H553"/>
    <mergeCell ref="A554:H554"/>
    <mergeCell ref="A555:H555"/>
    <mergeCell ref="A556:H556"/>
    <mergeCell ref="A557:H557"/>
    <mergeCell ref="A583:H583"/>
    <mergeCell ref="A584:H584"/>
    <mergeCell ref="A594:H594"/>
    <mergeCell ref="A585:H585"/>
    <mergeCell ref="A586:H586"/>
    <mergeCell ref="A587:H587"/>
    <mergeCell ref="A588:H588"/>
    <mergeCell ref="A589:H589"/>
    <mergeCell ref="A590:H590"/>
    <mergeCell ref="A591:H591"/>
    <mergeCell ref="A592:H592"/>
    <mergeCell ref="A593:H593"/>
    <mergeCell ref="C545:H545"/>
    <mergeCell ref="A576:H576"/>
    <mergeCell ref="A577:H577"/>
    <mergeCell ref="A578:H578"/>
    <mergeCell ref="A579:H579"/>
    <mergeCell ref="A580:H580"/>
    <mergeCell ref="A581:H581"/>
    <mergeCell ref="A582:H582"/>
    <mergeCell ref="A569:H569"/>
    <mergeCell ref="A570:H570"/>
    <mergeCell ref="A571:H571"/>
    <mergeCell ref="A572:H572"/>
    <mergeCell ref="A573:H573"/>
    <mergeCell ref="A574:H574"/>
    <mergeCell ref="A575:H575"/>
    <mergeCell ref="A558:H558"/>
    <mergeCell ref="A559:H559"/>
    <mergeCell ref="A560:H560"/>
    <mergeCell ref="A561:H561"/>
    <mergeCell ref="A562:H562"/>
    <mergeCell ref="A563:H563"/>
    <mergeCell ref="A564:H564"/>
    <mergeCell ref="A565:H565"/>
    <mergeCell ref="A566:H566"/>
    <mergeCell ref="A130:B130"/>
    <mergeCell ref="A131:B131"/>
    <mergeCell ref="A132:B132"/>
    <mergeCell ref="A133:B133"/>
    <mergeCell ref="A134:B134"/>
    <mergeCell ref="A135:B135"/>
    <mergeCell ref="A136:B136"/>
    <mergeCell ref="A137:B137"/>
    <mergeCell ref="A138:B138"/>
    <mergeCell ref="A157:B157"/>
    <mergeCell ref="A158:B158"/>
    <mergeCell ref="A143:H143"/>
    <mergeCell ref="A144:B144"/>
    <mergeCell ref="A145:B145"/>
    <mergeCell ref="A146:B146"/>
    <mergeCell ref="A147:B147"/>
    <mergeCell ref="A148:B148"/>
    <mergeCell ref="A149:B149"/>
    <mergeCell ref="D149:H149"/>
    <mergeCell ref="D159:H159"/>
    <mergeCell ref="D168:H168"/>
    <mergeCell ref="A169:H169"/>
    <mergeCell ref="A170:B170"/>
    <mergeCell ref="A171:B171"/>
    <mergeCell ref="A172:B172"/>
    <mergeCell ref="A173:B173"/>
    <mergeCell ref="A159:B159"/>
    <mergeCell ref="A160:B160"/>
    <mergeCell ref="A161:B161"/>
    <mergeCell ref="A162:B162"/>
    <mergeCell ref="A163:B163"/>
    <mergeCell ref="A164:B164"/>
    <mergeCell ref="A165:B165"/>
    <mergeCell ref="A166:B166"/>
    <mergeCell ref="A167:B167"/>
    <mergeCell ref="A150:B150"/>
    <mergeCell ref="A151:B151"/>
    <mergeCell ref="A152:B152"/>
    <mergeCell ref="A153:B153"/>
    <mergeCell ref="A154:B154"/>
    <mergeCell ref="A155:B155"/>
    <mergeCell ref="A156:B156"/>
    <mergeCell ref="A174:B174"/>
    <mergeCell ref="A175:B175"/>
    <mergeCell ref="A176:B176"/>
    <mergeCell ref="A177:B177"/>
    <mergeCell ref="A178:B178"/>
    <mergeCell ref="A179:B179"/>
    <mergeCell ref="A180:B180"/>
    <mergeCell ref="A181:B181"/>
    <mergeCell ref="A168:B168"/>
    <mergeCell ref="A190:B190"/>
    <mergeCell ref="A191:B191"/>
    <mergeCell ref="A192:B192"/>
    <mergeCell ref="A193:B193"/>
    <mergeCell ref="A194:B194"/>
    <mergeCell ref="A182:B182"/>
    <mergeCell ref="A183:B183"/>
    <mergeCell ref="A184:B184"/>
    <mergeCell ref="A185:B185"/>
    <mergeCell ref="A186:B186"/>
    <mergeCell ref="A187:B187"/>
    <mergeCell ref="A188:B188"/>
    <mergeCell ref="A189:B189"/>
    <mergeCell ref="D186:H187"/>
    <mergeCell ref="D191:H191"/>
    <mergeCell ref="D192:H193"/>
  </mergeCells>
  <dataValidations count="7">
    <dataValidation type="list" allowBlank="1" showInputMessage="1" showErrorMessage="1" sqref="A9:B9">
      <formula1>"CTS No,Survey No,Plot No,Gut No,FP No,"</formula1>
    </dataValidation>
    <dataValidation type="list" allowBlank="1" showInputMessage="1" showErrorMessage="1" sqref="B140">
      <formula1>"Flat No. (Sale Plan),Sale / Rehab,Sale / Mhada"</formula1>
    </dataValidation>
    <dataValidation type="list" allowBlank="1" showInputMessage="1" showErrorMessage="1" sqref="D114 D140">
      <formula1>"Carpet area,RERA Carpet area"</formula1>
    </dataValidation>
    <dataValidation type="list" allowBlank="1" showInputMessage="1" showErrorMessage="1" sqref="E140:E141">
      <formula1>"Fungible area,Balcony Area,Chajja Area,Cornice Area,AP Area,WS Area"</formula1>
    </dataValidation>
    <dataValidation type="list" allowBlank="1" showInputMessage="1" showErrorMessage="1" sqref="E114:E115">
      <formula1>"Attached Loft area,Attached Otla area,Attached Mezzanine area"</formula1>
    </dataValidation>
    <dataValidation type="list" allowBlank="1" showInputMessage="1" showErrorMessage="1" sqref="B114">
      <formula1>"Shop No. (Sale Plan),Sale / Rehab,Sale / Mhada"</formula1>
    </dataValidation>
    <dataValidation type="list" allowBlank="1" showInputMessage="1" showErrorMessage="1" sqref="H141 H115">
      <formula1>".45,.50,.55,.60"</formula1>
    </dataValidation>
  </dataValidations>
  <hyperlinks>
    <hyperlink ref="C19" r:id="rId1"/>
  </hyperlinks>
  <printOptions horizontalCentered="1"/>
  <pageMargins left="0.23622047244094491" right="0.23622047244094491" top="0.78740157480314965" bottom="0.70866141732283472" header="0.19685039370078741" footer="0.19685039370078741"/>
  <pageSetup paperSize="2" fitToHeight="0" orientation="portrait" r:id="rId2"/>
  <headerFooter>
    <oddHeader>&amp;C&amp;G</oddHeader>
    <oddFooter>&amp;L&amp;"Times New Roman,Bold"&amp;F&amp;R&amp;"Times New Roman,Bold"&amp;P</oddFooter>
  </headerFooter>
  <rowBreaks count="6" manualBreakCount="6">
    <brk id="30" max="7" man="1"/>
    <brk id="60" max="7" man="1"/>
    <brk id="105" max="7" man="1"/>
    <brk id="437" max="7" man="1"/>
    <brk id="490" max="7" man="1"/>
    <brk id="544" max="7"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25" zoomScale="115" zoomScaleNormal="115" workbookViewId="0">
      <selection activeCell="H35" sqref="H35"/>
    </sheetView>
  </sheetViews>
  <sheetFormatPr defaultRowHeight="15" x14ac:dyDescent="0.25"/>
  <cols>
    <col min="1" max="1" width="24.140625" customWidth="1"/>
    <col min="2" max="6" width="17.5703125" customWidth="1"/>
    <col min="7" max="7" width="10.42578125" customWidth="1"/>
  </cols>
  <sheetData>
    <row r="1" spans="1:8" x14ac:dyDescent="0.25">
      <c r="A1" s="44" t="s">
        <v>112</v>
      </c>
      <c r="B1" s="45"/>
      <c r="C1" s="9" t="s">
        <v>58</v>
      </c>
      <c r="D1" s="9" t="s">
        <v>59</v>
      </c>
      <c r="E1" s="9" t="s">
        <v>60</v>
      </c>
      <c r="F1" s="10" t="s">
        <v>46</v>
      </c>
    </row>
    <row r="2" spans="1:8" x14ac:dyDescent="0.25">
      <c r="A2" s="46"/>
      <c r="B2" s="47"/>
      <c r="C2" s="7">
        <v>0</v>
      </c>
      <c r="D2" s="14">
        <v>1</v>
      </c>
      <c r="E2" s="7">
        <v>0</v>
      </c>
      <c r="F2" s="8">
        <f ca="1">--TRIM(RIGHT(SUBSTITUTE(LEFT(A1,_xlfn.AGGREGATE(16,6,FIND({0,1,2,3,4,5,6,7,8,9},A1,ROW(INDIRECT("1:"&amp;LEN(A1)))),1))," ",REPT(" ",LEN(A1))),LEN(A1)))</f>
        <v>3</v>
      </c>
    </row>
    <row r="3" spans="1:8" x14ac:dyDescent="0.25">
      <c r="A3" s="2" t="s">
        <v>61</v>
      </c>
      <c r="B3" s="3" t="s">
        <v>62</v>
      </c>
      <c r="C3" s="12" t="s">
        <v>63</v>
      </c>
      <c r="D3" s="15" t="s">
        <v>56</v>
      </c>
      <c r="E3" s="48" t="s">
        <v>132</v>
      </c>
      <c r="F3" s="49"/>
      <c r="G3" s="24" t="s">
        <v>64</v>
      </c>
      <c r="H3" s="19">
        <f ca="1">F2*25%</f>
        <v>0.75</v>
      </c>
    </row>
    <row r="4" spans="1:8" x14ac:dyDescent="0.25">
      <c r="A4" s="2" t="s">
        <v>65</v>
      </c>
      <c r="B4" s="4">
        <f ca="1">H5</f>
        <v>3</v>
      </c>
      <c r="C4" s="13">
        <f ca="1">((100/F2)*B4)/100</f>
        <v>1</v>
      </c>
      <c r="D4" s="17" t="str">
        <f ca="1">IF(C13=100%,"All work Completed. Possession granted to the Building.",IF(C12=100%,"All work Completed, Waiting for OC",D10&amp;""&amp;D11&amp;""&amp;D9&amp;""&amp;D12&amp;" "&amp;D13))</f>
        <v xml:space="preserve">Excavation, Plinth, RCC Slab, Brickwork Completed </v>
      </c>
      <c r="E4" s="50" t="str">
        <f ca="1">D4</f>
        <v xml:space="preserve">Excavation, Plinth, RCC Slab, Brickwork Completed </v>
      </c>
      <c r="F4" s="51"/>
      <c r="G4" s="1" t="s">
        <v>66</v>
      </c>
      <c r="H4" s="20">
        <f ca="1">F2*50%</f>
        <v>1.5</v>
      </c>
    </row>
    <row r="5" spans="1:8" x14ac:dyDescent="0.25">
      <c r="A5" s="2" t="s">
        <v>67</v>
      </c>
      <c r="B5" s="5">
        <f ca="1">H13</f>
        <v>3</v>
      </c>
      <c r="C5" s="13">
        <f ca="1">((100/F2)*B5)/100</f>
        <v>1</v>
      </c>
      <c r="D5" s="18"/>
      <c r="E5" s="52"/>
      <c r="F5" s="53"/>
      <c r="G5" s="1" t="s">
        <v>68</v>
      </c>
      <c r="H5" s="20">
        <f ca="1">F2</f>
        <v>3</v>
      </c>
    </row>
    <row r="6" spans="1:8" x14ac:dyDescent="0.25">
      <c r="A6" s="2" t="s">
        <v>69</v>
      </c>
      <c r="B6" s="5">
        <v>4</v>
      </c>
      <c r="C6" s="13">
        <f ca="1">((100/(D2+E2+F2))*B6)/100</f>
        <v>1</v>
      </c>
      <c r="D6" s="18"/>
      <c r="E6" s="52"/>
      <c r="F6" s="53"/>
      <c r="G6" s="1" t="s">
        <v>70</v>
      </c>
      <c r="H6" s="21">
        <f ca="1">(IF(C2&gt;1,(F2/(C2+2)),F2/4))</f>
        <v>0.75</v>
      </c>
    </row>
    <row r="7" spans="1:8" x14ac:dyDescent="0.25">
      <c r="A7" s="2" t="s">
        <v>71</v>
      </c>
      <c r="B7" s="4">
        <v>3</v>
      </c>
      <c r="C7" s="13">
        <f ca="1">((100/F2)*B7)/100</f>
        <v>1</v>
      </c>
      <c r="D7" s="18"/>
      <c r="E7" s="52"/>
      <c r="F7" s="53"/>
      <c r="G7" s="1" t="s">
        <v>72</v>
      </c>
      <c r="H7" s="21">
        <f ca="1">(IF(C2&gt;1,(F2/(C2+2)+H6),F2/4+H6))</f>
        <v>1.5</v>
      </c>
    </row>
    <row r="8" spans="1:8" x14ac:dyDescent="0.25">
      <c r="A8" s="2" t="s">
        <v>73</v>
      </c>
      <c r="B8" s="4">
        <v>0</v>
      </c>
      <c r="C8" s="13">
        <f ca="1">((100/F2)*B8)/100</f>
        <v>0</v>
      </c>
      <c r="D8" s="16">
        <f ca="1">(((B5/F2*10)+(40/(D2+E2+F2)*B6)+(15/(F2)*B7)+(5/(F2)*B8)+(5/F2*B9)+(10/F2*B10)+(5/F2*B11)+(5/F2*B12)+(5/F2*B13))/100)</f>
        <v>0.65</v>
      </c>
      <c r="E8" s="52"/>
      <c r="F8" s="53"/>
      <c r="G8" s="1" t="s">
        <v>74</v>
      </c>
      <c r="H8" s="21">
        <f>(IF(C2&gt;1,(F2/(C2+2)+H7),0))</f>
        <v>0</v>
      </c>
    </row>
    <row r="9" spans="1:8" x14ac:dyDescent="0.25">
      <c r="A9" s="2" t="s">
        <v>75</v>
      </c>
      <c r="B9" s="4">
        <v>0</v>
      </c>
      <c r="C9" s="13">
        <f ca="1">((100/(F2))*B9)/100</f>
        <v>0</v>
      </c>
      <c r="D9" s="18" t="str">
        <f ca="1">(IF(B4=0,"Work not yet Started.",IF(C4=25%,"Piling work in process",IF(C4=50%,"Excavation work in process",IF(C4=100%,"","0")))))&amp;(IF(B5=0%,"",IF(B5=H6,", Footing work is process",IF(B5=H7,", Footing work Completed",IF(B5=H8,", 1st Basement Completed",IF(B5=H9,", 1st &amp; 2nd Basement Completed",IF(B5=H10,", 1st to 3rd Basement Completed",IF(B5=H11,", 1st to 4th Basement Completed",IF(B5=H12,", Plinth work is process",IF(B5=H13,"","0"))))))))))</f>
        <v/>
      </c>
      <c r="E9" s="52"/>
      <c r="F9" s="53"/>
      <c r="G9" s="1" t="s">
        <v>76</v>
      </c>
      <c r="H9" s="21">
        <f>(IF(C2&gt;2,(F2/(C2+2)+H8),0))</f>
        <v>0</v>
      </c>
    </row>
    <row r="10" spans="1:8" x14ac:dyDescent="0.25">
      <c r="A10" s="2" t="s">
        <v>77</v>
      </c>
      <c r="B10" s="4">
        <v>0</v>
      </c>
      <c r="C10" s="13">
        <f ca="1">((100/F2)*B10)/100</f>
        <v>0</v>
      </c>
      <c r="D10" s="18" t="str">
        <f ca="1">IF(C4=100%,"Excavation","")&amp;IF(C5=100%,", Plinth","")&amp;IF(C6=100%,", RCC Slab","")&amp;IF(C7=100%,", Brickwork","")&amp;IF(C8=100%,", Internal Plaster","")&amp;IF(C9=100%,", External Plaster","")&amp;IF(C10=100%,", Flooring","")&amp;IF(C11=100%,", Painting","")&amp;IF(C12=100%,", Building common Amenities","")</f>
        <v>Excavation, Plinth, RCC Slab, Brickwork</v>
      </c>
      <c r="E10" s="52"/>
      <c r="F10" s="53"/>
      <c r="G10" s="1" t="s">
        <v>78</v>
      </c>
      <c r="H10" s="22">
        <f>(IF(C2&gt;3,(F2/(C2+2)+H9),0))</f>
        <v>0</v>
      </c>
    </row>
    <row r="11" spans="1:8" x14ac:dyDescent="0.25">
      <c r="A11" s="2" t="s">
        <v>79</v>
      </c>
      <c r="B11" s="4">
        <v>0</v>
      </c>
      <c r="C11" s="13">
        <f ca="1">((100/F2)*B11)/100</f>
        <v>0</v>
      </c>
      <c r="D11" s="18" t="str">
        <f ca="1">IF(D10&lt;&gt;""," Completed","")</f>
        <v xml:space="preserve"> Completed</v>
      </c>
      <c r="E11" s="52"/>
      <c r="F11" s="53"/>
      <c r="G11" s="1" t="s">
        <v>80</v>
      </c>
      <c r="H11" s="21">
        <f>(IF(C2&gt;4,(F2/(C2+2)+H10),0))</f>
        <v>0</v>
      </c>
    </row>
    <row r="12" spans="1:8" x14ac:dyDescent="0.25">
      <c r="A12" s="2" t="s">
        <v>81</v>
      </c>
      <c r="B12" s="4">
        <v>0</v>
      </c>
      <c r="C12" s="13">
        <f ca="1">((100/(F2))*B12)/100</f>
        <v>0</v>
      </c>
      <c r="D12" s="18" t="str">
        <f ca="1">(IF(B6=(D2+E2+F2),"",IF(B6&gt;0,", RCC upto "&amp;B6&amp;" Slab","")))&amp;(IF(B7=F2,"",IF(B7&gt;0,", Brickwork upto "&amp;B7&amp;" Floor","")))&amp;(IF(B8=F2,"",IF(B8&gt;0,", Internal Plaster upto "&amp;B8&amp;" Floor","")))&amp;(IF(B9=F2,"",IF(B9&gt;0,", External Plaster upto "&amp;B9&amp;" Floor","")))&amp;(IF(B10=F2,"",IF(B10&gt;0,", Flooring upto "&amp;B10&amp;" Floor","")))&amp;(IF(B11=F2,"",IF(B11&gt;0,", Painting upto "&amp;B11&amp;" Floor","")))&amp;(IF(B12=F2,"",IF(B12&gt;0,", Finishing upto "&amp;B12&amp;" Floor","")))&amp;(IF(B13=F2,"",IF(B13&gt;0,", Possession upto "&amp;B13&amp;" Floor","")))</f>
        <v/>
      </c>
      <c r="E12" s="52"/>
      <c r="F12" s="53"/>
      <c r="G12" s="1" t="s">
        <v>82</v>
      </c>
      <c r="H12" s="21">
        <f ca="1">(IF(C2=1,(F2/(C2+3)+H7),IF(C2=0,(F2/4+H7),IF(C2&gt;1,0))))</f>
        <v>2.25</v>
      </c>
    </row>
    <row r="13" spans="1:8" ht="15.75" thickBot="1" x14ac:dyDescent="0.3">
      <c r="A13" s="26" t="s">
        <v>83</v>
      </c>
      <c r="B13" s="27">
        <v>0</v>
      </c>
      <c r="C13" s="28">
        <f ca="1">((100/(F2))*B13)/100</f>
        <v>0</v>
      </c>
      <c r="D13" s="29" t="str">
        <f ca="1">IF(D12&lt;&gt;"","Completed","")</f>
        <v/>
      </c>
      <c r="E13" s="54"/>
      <c r="F13" s="55"/>
      <c r="G13" s="25" t="s">
        <v>84</v>
      </c>
      <c r="H13" s="23">
        <f ca="1">(IF(C2&gt;1.5,(F2/(C2+2)+H7+MAX(0,H8-H7)+MAX(0,H9-H8)+MAX(0,H10-H9)+MAX(0,H11-H10)+MAX(0,H12-H11)),IF(C2=1,(F2/(C2+3)+H12),IF(C2=0,F2/4+H12))))</f>
        <v>3</v>
      </c>
    </row>
  </sheetData>
  <mergeCells count="3">
    <mergeCell ref="A1:B2"/>
    <mergeCell ref="E3:F3"/>
    <mergeCell ref="E4:F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C%</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MANGESH AMDEKAR</dc:creator>
  <cp:lastModifiedBy>VSJC</cp:lastModifiedBy>
  <cp:lastPrinted>2025-09-26T10:58:36Z</cp:lastPrinted>
  <dcterms:created xsi:type="dcterms:W3CDTF">2019-01-21T04:29:02Z</dcterms:created>
  <dcterms:modified xsi:type="dcterms:W3CDTF">2025-09-26T11:00:08Z</dcterms:modified>
</cp:coreProperties>
</file>