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Old\Sept 2025\14-09-2025\"/>
    </mc:Choice>
  </mc:AlternateContent>
  <bookViews>
    <workbookView xWindow="0" yWindow="0" windowWidth="19200" windowHeight="6930" tabRatio="851"/>
  </bookViews>
  <sheets>
    <sheet name="Sheet1" sheetId="1" r:id="rId1"/>
    <sheet name="A" sheetId="14" r:id="rId2"/>
    <sheet name="B" sheetId="18" r:id="rId3"/>
    <sheet name="C" sheetId="19" r:id="rId4"/>
    <sheet name="O" sheetId="20" r:id="rId5"/>
    <sheet name="P" sheetId="22" r:id="rId6"/>
    <sheet name="Q" sheetId="21" r:id="rId7"/>
    <sheet name="Wing A" sheetId="11" r:id="rId8"/>
    <sheet name="VALUATION" sheetId="23" r:id="rId9"/>
  </sheets>
  <definedNames>
    <definedName name="_xlnm.Print_Area" localSheetId="0">Sheet1!$A$1:$J$412</definedName>
  </definedNames>
  <calcPr calcId="162913"/>
</workbook>
</file>

<file path=xl/calcChain.xml><?xml version="1.0" encoding="utf-8"?>
<calcChain xmlns="http://schemas.openxmlformats.org/spreadsheetml/2006/main">
  <c r="F3" i="1" l="1"/>
  <c r="G13" i="23" l="1"/>
  <c r="G12" i="23"/>
  <c r="F6" i="23"/>
  <c r="G6" i="23" s="1"/>
  <c r="F7" i="23"/>
  <c r="G7" i="23" s="1"/>
  <c r="G8" i="23"/>
  <c r="G9" i="23"/>
  <c r="G10" i="23"/>
  <c r="G11" i="23"/>
  <c r="F5" i="23"/>
  <c r="G5" i="23" s="1"/>
  <c r="I155" i="1"/>
  <c r="C128" i="1"/>
  <c r="C129" i="1"/>
  <c r="G129" i="1"/>
  <c r="G128" i="1"/>
  <c r="C124" i="1"/>
  <c r="G124" i="1"/>
  <c r="C123" i="1"/>
  <c r="G122" i="1"/>
  <c r="C122" i="1"/>
  <c r="G121" i="1"/>
  <c r="C121" i="1"/>
  <c r="G120" i="1"/>
  <c r="B16" i="22"/>
  <c r="E16" i="22" s="1"/>
  <c r="F93" i="1" s="1"/>
  <c r="B14" i="22"/>
  <c r="O6" i="22" s="1"/>
  <c r="K18" i="22" s="1"/>
  <c r="B12" i="22"/>
  <c r="N7" i="22" s="1"/>
  <c r="L17" i="22" s="1"/>
  <c r="B10" i="22"/>
  <c r="M6" i="22" s="1"/>
  <c r="K16" i="22" s="1"/>
  <c r="B8" i="22"/>
  <c r="L6" i="22" s="1"/>
  <c r="K15" i="22" s="1"/>
  <c r="J6" i="22"/>
  <c r="K13" i="22"/>
  <c r="B6" i="22"/>
  <c r="K6" i="22"/>
  <c r="K14" i="22" s="1"/>
  <c r="E4" i="22"/>
  <c r="F87" i="1" s="1"/>
  <c r="D48" i="1"/>
  <c r="F264" i="1"/>
  <c r="E264" i="1"/>
  <c r="D264" i="1"/>
  <c r="F263" i="1"/>
  <c r="E263" i="1"/>
  <c r="D263" i="1"/>
  <c r="E262" i="1"/>
  <c r="D262" i="1"/>
  <c r="E261" i="1"/>
  <c r="D261" i="1"/>
  <c r="E260" i="1"/>
  <c r="D260" i="1"/>
  <c r="D259" i="1"/>
  <c r="E258" i="1"/>
  <c r="D258" i="1"/>
  <c r="E257" i="1"/>
  <c r="D257" i="1"/>
  <c r="E256" i="1"/>
  <c r="D256" i="1"/>
  <c r="E255" i="1"/>
  <c r="D255" i="1"/>
  <c r="F254" i="1"/>
  <c r="E254" i="1"/>
  <c r="D254" i="1"/>
  <c r="F253" i="1"/>
  <c r="D253" i="1"/>
  <c r="E228" i="1"/>
  <c r="D228" i="1"/>
  <c r="E227" i="1"/>
  <c r="D227" i="1"/>
  <c r="E226" i="1"/>
  <c r="D226" i="1"/>
  <c r="D225" i="1"/>
  <c r="E211" i="1"/>
  <c r="D211" i="1"/>
  <c r="E210" i="1"/>
  <c r="D210" i="1"/>
  <c r="E209" i="1"/>
  <c r="D209" i="1"/>
  <c r="E208" i="1"/>
  <c r="D208" i="1"/>
  <c r="E207" i="1"/>
  <c r="D207" i="1"/>
  <c r="D206" i="1"/>
  <c r="F197" i="1"/>
  <c r="E197" i="1"/>
  <c r="D197" i="1"/>
  <c r="F196" i="1"/>
  <c r="E196" i="1"/>
  <c r="D196" i="1"/>
  <c r="F195" i="1"/>
  <c r="E195" i="1"/>
  <c r="D195" i="1"/>
  <c r="E194" i="1"/>
  <c r="D194" i="1"/>
  <c r="E193" i="1"/>
  <c r="D193" i="1"/>
  <c r="F192" i="1"/>
  <c r="D192" i="1"/>
  <c r="D171" i="1"/>
  <c r="E170" i="1"/>
  <c r="D170" i="1"/>
  <c r="E169" i="1"/>
  <c r="D169" i="1"/>
  <c r="E168" i="1"/>
  <c r="D168" i="1"/>
  <c r="E167" i="1"/>
  <c r="D167" i="1"/>
  <c r="E166" i="1"/>
  <c r="D166" i="1"/>
  <c r="E165" i="1"/>
  <c r="D165" i="1"/>
  <c r="D164" i="1"/>
  <c r="F162" i="1"/>
  <c r="D162" i="1"/>
  <c r="F161" i="1"/>
  <c r="E161" i="1"/>
  <c r="D161" i="1"/>
  <c r="E160" i="1"/>
  <c r="D160" i="1"/>
  <c r="E159" i="1"/>
  <c r="D159" i="1"/>
  <c r="E158" i="1"/>
  <c r="D158" i="1"/>
  <c r="E157" i="1"/>
  <c r="D157" i="1"/>
  <c r="F156" i="1"/>
  <c r="E156" i="1"/>
  <c r="D156" i="1"/>
  <c r="F155" i="1"/>
  <c r="D155" i="1"/>
  <c r="B16" i="21"/>
  <c r="E16" i="21" s="1"/>
  <c r="F103" i="1" s="1"/>
  <c r="B14" i="21"/>
  <c r="E14" i="21"/>
  <c r="F102" i="1" s="1"/>
  <c r="B12" i="21"/>
  <c r="E12" i="21" s="1"/>
  <c r="F101" i="1" s="1"/>
  <c r="B10" i="21"/>
  <c r="M6" i="21" s="1"/>
  <c r="K16" i="21" s="1"/>
  <c r="B8" i="21"/>
  <c r="L7" i="21" s="1"/>
  <c r="L15" i="21" s="1"/>
  <c r="J6" i="21"/>
  <c r="J7" i="21"/>
  <c r="L13" i="21" s="1"/>
  <c r="B6" i="21"/>
  <c r="K7" i="21" s="1"/>
  <c r="L14" i="21" s="1"/>
  <c r="E4" i="21"/>
  <c r="F97" i="1"/>
  <c r="B16" i="20"/>
  <c r="P7" i="20" s="1"/>
  <c r="L19" i="20" s="1"/>
  <c r="B14" i="20"/>
  <c r="E14" i="20" s="1"/>
  <c r="B12" i="20"/>
  <c r="E12" i="20" s="1"/>
  <c r="B10" i="20"/>
  <c r="E10" i="20" s="1"/>
  <c r="B8" i="20"/>
  <c r="L7" i="20" s="1"/>
  <c r="L15" i="20" s="1"/>
  <c r="J6" i="20"/>
  <c r="J7" i="20"/>
  <c r="L13" i="20" s="1"/>
  <c r="B6" i="20"/>
  <c r="K6" i="20" s="1"/>
  <c r="K14" i="20" s="1"/>
  <c r="E4" i="20"/>
  <c r="D301" i="1"/>
  <c r="D300" i="1"/>
  <c r="D299" i="1"/>
  <c r="F288" i="1"/>
  <c r="E308" i="1"/>
  <c r="D308" i="1"/>
  <c r="D307" i="1"/>
  <c r="D306" i="1"/>
  <c r="D305" i="1"/>
  <c r="E304" i="1"/>
  <c r="D304" i="1"/>
  <c r="E303" i="1"/>
  <c r="D303" i="1"/>
  <c r="E302" i="1"/>
  <c r="D302" i="1"/>
  <c r="E301" i="1"/>
  <c r="E300" i="1"/>
  <c r="F290" i="1"/>
  <c r="F289" i="1"/>
  <c r="D297" i="1"/>
  <c r="D296" i="1"/>
  <c r="D295" i="1"/>
  <c r="D294" i="1"/>
  <c r="D293" i="1"/>
  <c r="D292" i="1"/>
  <c r="D291" i="1"/>
  <c r="D290" i="1"/>
  <c r="D289" i="1"/>
  <c r="D288" i="1"/>
  <c r="E292" i="1"/>
  <c r="E293" i="1"/>
  <c r="E286" i="1"/>
  <c r="D286" i="1"/>
  <c r="E285" i="1"/>
  <c r="D285" i="1"/>
  <c r="D283" i="1"/>
  <c r="D282" i="1"/>
  <c r="D281" i="1"/>
  <c r="D280" i="1"/>
  <c r="E297" i="1"/>
  <c r="E291" i="1"/>
  <c r="E290" i="1"/>
  <c r="E289" i="1"/>
  <c r="E284" i="1"/>
  <c r="D284" i="1"/>
  <c r="E283" i="1"/>
  <c r="E282" i="1"/>
  <c r="D277" i="1"/>
  <c r="D276" i="1"/>
  <c r="D267" i="1"/>
  <c r="D266" i="1"/>
  <c r="E277" i="1"/>
  <c r="E276" i="1"/>
  <c r="E275" i="1"/>
  <c r="D275" i="1"/>
  <c r="E274" i="1"/>
  <c r="D274" i="1"/>
  <c r="E273" i="1"/>
  <c r="D273" i="1"/>
  <c r="D272" i="1"/>
  <c r="E271" i="1"/>
  <c r="D271" i="1"/>
  <c r="E270" i="1"/>
  <c r="D270" i="1"/>
  <c r="E269" i="1"/>
  <c r="D269" i="1"/>
  <c r="E268" i="1"/>
  <c r="D268" i="1"/>
  <c r="E267" i="1"/>
  <c r="F251" i="1"/>
  <c r="F250" i="1"/>
  <c r="F241" i="1"/>
  <c r="F240" i="1"/>
  <c r="D251" i="1"/>
  <c r="D250" i="1"/>
  <c r="D249" i="1"/>
  <c r="D248" i="1"/>
  <c r="D247" i="1"/>
  <c r="D246" i="1"/>
  <c r="D245" i="1"/>
  <c r="D244" i="1"/>
  <c r="D243" i="1"/>
  <c r="D242" i="1"/>
  <c r="D241" i="1"/>
  <c r="D240" i="1"/>
  <c r="E248" i="1"/>
  <c r="E245" i="1"/>
  <c r="E238" i="1"/>
  <c r="D238" i="1"/>
  <c r="D237" i="1"/>
  <c r="D236" i="1"/>
  <c r="E235" i="1"/>
  <c r="D235" i="1"/>
  <c r="E234" i="1"/>
  <c r="D234" i="1"/>
  <c r="D233" i="1"/>
  <c r="D232" i="1"/>
  <c r="D231" i="1"/>
  <c r="G231" i="1" s="1"/>
  <c r="G123" i="1" s="1"/>
  <c r="E251" i="1"/>
  <c r="E250" i="1"/>
  <c r="E249" i="1"/>
  <c r="E247" i="1"/>
  <c r="E244" i="1"/>
  <c r="E237" i="1"/>
  <c r="E236" i="1"/>
  <c r="E233" i="1"/>
  <c r="E243" i="1"/>
  <c r="E242" i="1"/>
  <c r="E241" i="1"/>
  <c r="D223" i="1"/>
  <c r="D222" i="1"/>
  <c r="D221" i="1"/>
  <c r="D220" i="1"/>
  <c r="E223" i="1"/>
  <c r="E222" i="1"/>
  <c r="E221" i="1"/>
  <c r="F217" i="1"/>
  <c r="F216" i="1"/>
  <c r="F218" i="1"/>
  <c r="F215" i="1"/>
  <c r="D218" i="1"/>
  <c r="D217" i="1"/>
  <c r="E218" i="1"/>
  <c r="E217" i="1"/>
  <c r="D216" i="1"/>
  <c r="D215" i="1"/>
  <c r="E216" i="1"/>
  <c r="D204" i="1"/>
  <c r="D203" i="1"/>
  <c r="D202" i="1"/>
  <c r="D199" i="1"/>
  <c r="E204" i="1"/>
  <c r="E203" i="1"/>
  <c r="E202" i="1"/>
  <c r="E201" i="1"/>
  <c r="D201" i="1"/>
  <c r="E200" i="1"/>
  <c r="D200" i="1"/>
  <c r="F190" i="1"/>
  <c r="F188" i="1"/>
  <c r="F189" i="1"/>
  <c r="F185" i="1"/>
  <c r="D190" i="1"/>
  <c r="D189" i="1"/>
  <c r="D188" i="1"/>
  <c r="D187" i="1"/>
  <c r="D186" i="1"/>
  <c r="D185" i="1"/>
  <c r="E183" i="1"/>
  <c r="D183" i="1"/>
  <c r="D182" i="1"/>
  <c r="D181" i="1"/>
  <c r="E180" i="1"/>
  <c r="D180" i="1"/>
  <c r="D179" i="1"/>
  <c r="E182" i="1"/>
  <c r="D178" i="1"/>
  <c r="D177" i="1"/>
  <c r="D176" i="1"/>
  <c r="D175" i="1"/>
  <c r="D174" i="1"/>
  <c r="E190" i="1"/>
  <c r="E189" i="1"/>
  <c r="E188" i="1"/>
  <c r="E187" i="1"/>
  <c r="E186" i="1"/>
  <c r="E181" i="1"/>
  <c r="E179" i="1"/>
  <c r="E178" i="1"/>
  <c r="E177" i="1"/>
  <c r="E176" i="1"/>
  <c r="E175" i="1"/>
  <c r="F153" i="1"/>
  <c r="F152" i="1"/>
  <c r="F147" i="1"/>
  <c r="F146" i="1"/>
  <c r="D153" i="1"/>
  <c r="D152" i="1"/>
  <c r="D151" i="1"/>
  <c r="D150" i="1"/>
  <c r="D149" i="1"/>
  <c r="D148" i="1"/>
  <c r="D147" i="1"/>
  <c r="D146" i="1"/>
  <c r="E152" i="1"/>
  <c r="E151" i="1"/>
  <c r="E150" i="1"/>
  <c r="E149" i="1"/>
  <c r="E148" i="1"/>
  <c r="E147" i="1"/>
  <c r="D140" i="1"/>
  <c r="E144" i="1"/>
  <c r="D144" i="1"/>
  <c r="E143" i="1"/>
  <c r="D143" i="1"/>
  <c r="E142" i="1"/>
  <c r="D142" i="1"/>
  <c r="E141" i="1"/>
  <c r="D141" i="1"/>
  <c r="E140" i="1"/>
  <c r="E139" i="1"/>
  <c r="D139" i="1"/>
  <c r="E138" i="1"/>
  <c r="D138" i="1"/>
  <c r="D137" i="1"/>
  <c r="F40" i="1"/>
  <c r="F41" i="1"/>
  <c r="D50" i="1" s="1"/>
  <c r="F10" i="11"/>
  <c r="D323" i="1"/>
  <c r="C45" i="1"/>
  <c r="F13" i="11"/>
  <c r="F9" i="11"/>
  <c r="B16" i="19"/>
  <c r="E16" i="19"/>
  <c r="F83" i="1" s="1"/>
  <c r="P7" i="19"/>
  <c r="L19" i="19" s="1"/>
  <c r="B14" i="19"/>
  <c r="E14" i="19" s="1"/>
  <c r="F82" i="1" s="1"/>
  <c r="B12" i="19"/>
  <c r="N7" i="19" s="1"/>
  <c r="L17" i="19" s="1"/>
  <c r="N6" i="19"/>
  <c r="K17" i="19" s="1"/>
  <c r="B10" i="19"/>
  <c r="E10" i="19" s="1"/>
  <c r="F80" i="1" s="1"/>
  <c r="B8" i="19"/>
  <c r="L6" i="19"/>
  <c r="K15" i="19" s="1"/>
  <c r="J6" i="19"/>
  <c r="K13" i="19" s="1"/>
  <c r="B6" i="19"/>
  <c r="K6" i="19" s="1"/>
  <c r="K14" i="19" s="1"/>
  <c r="E4" i="19"/>
  <c r="F77" i="1"/>
  <c r="G117" i="1"/>
  <c r="B16" i="18"/>
  <c r="P6" i="18" s="1"/>
  <c r="K19" i="18" s="1"/>
  <c r="B14" i="18"/>
  <c r="E14" i="18"/>
  <c r="F72" i="1" s="1"/>
  <c r="B12" i="18"/>
  <c r="E12" i="18" s="1"/>
  <c r="F71" i="1" s="1"/>
  <c r="B10" i="18"/>
  <c r="E10" i="18" s="1"/>
  <c r="F70" i="1" s="1"/>
  <c r="B8" i="18"/>
  <c r="O7" i="18"/>
  <c r="L18" i="18"/>
  <c r="J6" i="18"/>
  <c r="K13" i="18"/>
  <c r="B6" i="18"/>
  <c r="K6" i="18"/>
  <c r="E4" i="18"/>
  <c r="F67" i="1"/>
  <c r="E4" i="14"/>
  <c r="F57" i="1"/>
  <c r="B16" i="14"/>
  <c r="P7" i="14"/>
  <c r="L19" i="14" s="1"/>
  <c r="B14" i="14"/>
  <c r="O7" i="14" s="1"/>
  <c r="L18" i="14" s="1"/>
  <c r="B12" i="14"/>
  <c r="E12" i="14" s="1"/>
  <c r="F61" i="1" s="1"/>
  <c r="B10" i="14"/>
  <c r="E10" i="14" s="1"/>
  <c r="F60" i="1" s="1"/>
  <c r="B8" i="14"/>
  <c r="L6" i="14" s="1"/>
  <c r="K15" i="14" s="1"/>
  <c r="L7" i="14"/>
  <c r="L15" i="14" s="1"/>
  <c r="J6" i="14"/>
  <c r="K13" i="14" s="1"/>
  <c r="B6" i="14"/>
  <c r="E6" i="14" s="1"/>
  <c r="F58" i="1" s="1"/>
  <c r="H45" i="1"/>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11" i="11"/>
  <c r="F12" i="11"/>
  <c r="F14" i="11"/>
  <c r="F15" i="11"/>
  <c r="F16" i="11"/>
  <c r="F17" i="11"/>
  <c r="F18" i="11"/>
  <c r="F19" i="11"/>
  <c r="F20" i="11"/>
  <c r="M33" i="11"/>
  <c r="J33" i="11"/>
  <c r="M32" i="11"/>
  <c r="J32" i="11"/>
  <c r="M31" i="11"/>
  <c r="J31" i="11"/>
  <c r="M30" i="11"/>
  <c r="J30" i="11"/>
  <c r="M6" i="11"/>
  <c r="J6" i="11"/>
  <c r="F6" i="11"/>
  <c r="E12" i="19"/>
  <c r="F81" i="1" s="1"/>
  <c r="K14" i="18"/>
  <c r="K7" i="18"/>
  <c r="L14" i="18" s="1"/>
  <c r="E6" i="21"/>
  <c r="F98" i="1"/>
  <c r="N7" i="21"/>
  <c r="L17" i="21" s="1"/>
  <c r="K13" i="20"/>
  <c r="K6" i="14"/>
  <c r="K14" i="14" s="1"/>
  <c r="O6" i="18"/>
  <c r="K18" i="18" s="1"/>
  <c r="E6" i="22"/>
  <c r="F88" i="1" s="1"/>
  <c r="J7" i="22"/>
  <c r="L13" i="22" s="1"/>
  <c r="M7" i="20"/>
  <c r="L16" i="20" s="1"/>
  <c r="P6" i="14"/>
  <c r="K19" i="14"/>
  <c r="N6" i="18"/>
  <c r="K17" i="18" s="1"/>
  <c r="L6" i="18"/>
  <c r="K15" i="18" s="1"/>
  <c r="M6" i="19"/>
  <c r="K16" i="19" s="1"/>
  <c r="J7" i="14"/>
  <c r="L13" i="14" s="1"/>
  <c r="N6" i="21"/>
  <c r="K17" i="21" s="1"/>
  <c r="J7" i="18"/>
  <c r="L13" i="18" s="1"/>
  <c r="O6" i="21"/>
  <c r="K18" i="21"/>
  <c r="P6" i="21"/>
  <c r="K19" i="21" s="1"/>
  <c r="O7" i="21"/>
  <c r="L18" i="21" s="1"/>
  <c r="M6" i="18"/>
  <c r="K16" i="18" s="1"/>
  <c r="E14" i="14"/>
  <c r="F62" i="1" s="1"/>
  <c r="E8" i="19"/>
  <c r="F79" i="1"/>
  <c r="E10" i="21"/>
  <c r="F100" i="1" s="1"/>
  <c r="E10" i="22"/>
  <c r="F90" i="1" s="1"/>
  <c r="M7" i="22"/>
  <c r="L16" i="22" s="1"/>
  <c r="L7" i="18"/>
  <c r="L15" i="18" s="1"/>
  <c r="E8" i="18"/>
  <c r="F69" i="1" s="1"/>
  <c r="O6" i="20"/>
  <c r="K18" i="20" s="1"/>
  <c r="O7" i="20"/>
  <c r="L18" i="20" s="1"/>
  <c r="E14" i="22"/>
  <c r="F92" i="1" s="1"/>
  <c r="O7" i="22"/>
  <c r="L18" i="22" s="1"/>
  <c r="E6" i="19"/>
  <c r="F78" i="1" s="1"/>
  <c r="K13" i="21"/>
  <c r="P6" i="20"/>
  <c r="K19" i="20"/>
  <c r="P6" i="19"/>
  <c r="K19" i="19" s="1"/>
  <c r="K7" i="20"/>
  <c r="L14" i="20" s="1"/>
  <c r="E6" i="18"/>
  <c r="F68" i="1" s="1"/>
  <c r="K7" i="19"/>
  <c r="L14" i="19" s="1"/>
  <c r="M7" i="19"/>
  <c r="L16" i="19" s="1"/>
  <c r="E16" i="20"/>
  <c r="K7" i="22"/>
  <c r="L14" i="22" s="1"/>
  <c r="E6" i="20"/>
  <c r="E16" i="14"/>
  <c r="F63" i="1" s="1"/>
  <c r="N7" i="14"/>
  <c r="L17" i="14" s="1"/>
  <c r="L7" i="19"/>
  <c r="L15" i="19" s="1"/>
  <c r="M7" i="21"/>
  <c r="L16" i="21" s="1"/>
  <c r="M7" i="18"/>
  <c r="L16" i="18"/>
  <c r="N6" i="14"/>
  <c r="K17" i="14" s="1"/>
  <c r="E8" i="14"/>
  <c r="F59" i="1"/>
  <c r="F34" i="11" l="1"/>
  <c r="J34" i="11"/>
  <c r="I34" i="11" s="1"/>
  <c r="M34" i="11"/>
  <c r="L34" i="11" s="1"/>
  <c r="M6" i="20"/>
  <c r="K16" i="20" s="1"/>
  <c r="N6" i="20"/>
  <c r="K17" i="20" s="1"/>
  <c r="K7" i="14"/>
  <c r="L14" i="14" s="1"/>
  <c r="C130" i="1"/>
  <c r="L20" i="20"/>
  <c r="G14" i="23"/>
  <c r="K20" i="18"/>
  <c r="D74" i="1" s="1"/>
  <c r="F36" i="11"/>
  <c r="E34" i="11"/>
  <c r="P7" i="18"/>
  <c r="L19" i="18" s="1"/>
  <c r="P7" i="21"/>
  <c r="L19" i="21" s="1"/>
  <c r="L20" i="21" s="1"/>
  <c r="I104" i="1" s="1"/>
  <c r="M7" i="14"/>
  <c r="L16" i="14" s="1"/>
  <c r="L20" i="14" s="1"/>
  <c r="I64" i="1" s="1"/>
  <c r="O6" i="14"/>
  <c r="K18" i="14" s="1"/>
  <c r="E16" i="18"/>
  <c r="F73" i="1" s="1"/>
  <c r="N7" i="20"/>
  <c r="L17" i="20" s="1"/>
  <c r="K6" i="21"/>
  <c r="K14" i="21" s="1"/>
  <c r="E8" i="21"/>
  <c r="F99" i="1" s="1"/>
  <c r="L7" i="22"/>
  <c r="L15" i="22" s="1"/>
  <c r="P7" i="22"/>
  <c r="L19" i="22" s="1"/>
  <c r="E8" i="22"/>
  <c r="F89" i="1" s="1"/>
  <c r="E12" i="22"/>
  <c r="F91" i="1" s="1"/>
  <c r="G130" i="1"/>
  <c r="G125" i="1"/>
  <c r="L6" i="20"/>
  <c r="K15" i="20" s="1"/>
  <c r="M6" i="14"/>
  <c r="K16" i="14" s="1"/>
  <c r="K20" i="14" s="1"/>
  <c r="J7" i="19"/>
  <c r="L13" i="19" s="1"/>
  <c r="N7" i="18"/>
  <c r="L17" i="18" s="1"/>
  <c r="L20" i="18" s="1"/>
  <c r="I74" i="1" s="1"/>
  <c r="E8" i="20"/>
  <c r="O6" i="19"/>
  <c r="K18" i="19" s="1"/>
  <c r="K20" i="19" s="1"/>
  <c r="D84" i="1" s="1"/>
  <c r="O7" i="19"/>
  <c r="L18" i="19" s="1"/>
  <c r="L6" i="21"/>
  <c r="K15" i="21" s="1"/>
  <c r="N6" i="22"/>
  <c r="K17" i="22" s="1"/>
  <c r="P6" i="22"/>
  <c r="K19" i="22" s="1"/>
  <c r="C120" i="1"/>
  <c r="C125" i="1" s="1"/>
  <c r="D129" i="1"/>
  <c r="D124" i="1"/>
  <c r="D123" i="1"/>
  <c r="D122" i="1"/>
  <c r="D128" i="1"/>
  <c r="D130" i="1" s="1"/>
  <c r="D121" i="1"/>
  <c r="D120" i="1"/>
  <c r="K20" i="22" l="1"/>
  <c r="D94" i="1" s="1"/>
  <c r="K20" i="20"/>
  <c r="K20" i="21"/>
  <c r="D104" i="1" s="1"/>
  <c r="C131" i="1"/>
  <c r="G131" i="1"/>
  <c r="L20" i="22"/>
  <c r="I94" i="1" s="1"/>
  <c r="L20" i="19"/>
  <c r="I84" i="1" s="1"/>
  <c r="D125" i="1"/>
  <c r="D131" i="1" s="1"/>
</calcChain>
</file>

<file path=xl/sharedStrings.xml><?xml version="1.0" encoding="utf-8"?>
<sst xmlns="http://schemas.openxmlformats.org/spreadsheetml/2006/main" count="1095" uniqueCount="264">
  <si>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</si>
  <si>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</si>
  <si>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</si>
  <si>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</si>
  <si>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</si>
  <si>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</si>
  <si>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</si>
  <si>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</si>
  <si>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</si>
  <si>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</si>
  <si>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</si>
  <si>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</si>
  <si>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</si>
  <si>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</si>
  <si>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</si>
  <si>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</si>
  <si>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</si>
  <si>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</si>
  <si>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</si>
  <si>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</si>
  <si>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</si>
  <si>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</si>
  <si>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</si>
  <si>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</si>
  <si>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</si>
  <si>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</si>
  <si>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</si>
  <si>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</si>
  <si>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</si>
  <si>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</si>
  <si>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</si>
  <si>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</si>
  <si>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</si>
  <si>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 Progress</t>
  </si>
  <si>
    <t xml:space="preserve">% Disbursement </t>
  </si>
  <si>
    <t>Type of Work</t>
  </si>
  <si>
    <t>% Complition</t>
  </si>
  <si>
    <t>Plinth</t>
  </si>
  <si>
    <t>RCC</t>
  </si>
  <si>
    <t>Brick</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</si>
  <si>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</si>
  <si>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</si>
  <si>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</si>
  <si>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</si>
  <si>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</si>
  <si>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</si>
  <si>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</si>
  <si>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</si>
  <si>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</si>
  <si>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Painting &amp; Wooden Work</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</si>
  <si>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</si>
  <si>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</si>
  <si>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</si>
  <si>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</si>
  <si>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</si>
  <si>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Expiry date:NA</t>
  </si>
  <si>
    <t>Violations Observed if any : NA</t>
  </si>
  <si>
    <t>NA</t>
  </si>
  <si>
    <t>South</t>
  </si>
  <si>
    <t xml:space="preserve">Distance from city centre: </t>
  </si>
  <si>
    <t>Plane</t>
  </si>
  <si>
    <t>Expiry date: NA</t>
  </si>
  <si>
    <t>No of floors at site : See Construction details</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</si>
  <si>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</si>
  <si>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</si>
  <si>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</si>
  <si>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</si>
  <si>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</si>
  <si>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</si>
  <si>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</si>
  <si>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</si>
  <si>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</si>
  <si>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</si>
  <si>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</si>
  <si>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</si>
  <si>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</si>
  <si>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</si>
  <si>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</si>
  <si>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</si>
  <si>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</si>
  <si>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</si>
  <si>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</si>
  <si>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</si>
  <si>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</si>
  <si>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</si>
  <si>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</si>
  <si>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</si>
  <si>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</si>
  <si>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</si>
  <si>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</si>
  <si>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</si>
  <si>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</si>
  <si>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</si>
  <si>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</si>
  <si>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</si>
  <si>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</si>
  <si>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</si>
  <si>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</si>
  <si>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</si>
  <si>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</si>
  <si>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</si>
  <si>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</si>
  <si>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</si>
  <si>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</si>
  <si>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</si>
  <si>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</si>
  <si>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</si>
  <si>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</si>
  <si>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Name / no of the Building</t>
  </si>
  <si>
    <t>Plot No</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</si>
  <si>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</si>
  <si>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</si>
  <si>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</si>
  <si>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</si>
  <si>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</si>
  <si>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</si>
  <si>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</si>
  <si>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</si>
  <si>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</si>
  <si>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</si>
  <si>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</si>
  <si>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</si>
  <si>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</si>
  <si>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</si>
  <si>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</si>
  <si>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</si>
  <si>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</si>
  <si>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</si>
  <si>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</si>
  <si>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</si>
  <si>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</si>
  <si>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</si>
  <si>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</si>
  <si>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</si>
  <si>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</si>
  <si>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Name of the builder </t>
  </si>
  <si>
    <t>1 BHK</t>
  </si>
  <si>
    <t>Type of Structure : RCC Framed Structure</t>
  </si>
  <si>
    <t>S No /G. No</t>
  </si>
  <si>
    <t>Approved Layout, Approved Building Plan, CC.</t>
  </si>
  <si>
    <t>RERA Number</t>
  </si>
  <si>
    <t>Google Map :</t>
  </si>
  <si>
    <t>all available at  1 to 3 km.</t>
  </si>
  <si>
    <t>Accessibility to the Project from the City:
(Proximity to civic amenities like school, hospital, market)</t>
  </si>
  <si>
    <t xml:space="preserve">Development charges </t>
  </si>
  <si>
    <t>Axis Sanpada</t>
  </si>
  <si>
    <t>2 BHK</t>
  </si>
  <si>
    <t>Middle Class</t>
  </si>
  <si>
    <t>Developing</t>
  </si>
  <si>
    <t>Ground</t>
  </si>
  <si>
    <t xml:space="preserve">Photograph of Property : </t>
  </si>
  <si>
    <t>Ground Floor for Parking &amp; Commercial</t>
  </si>
  <si>
    <t>1 RK</t>
  </si>
  <si>
    <t>N</t>
  </si>
  <si>
    <t>Titwala</t>
  </si>
  <si>
    <t>Survey No 120 Hissa no 7/3B</t>
  </si>
  <si>
    <t>Recommended rate of the Flat Per Sq. Ft. ( on Saleable area)</t>
  </si>
  <si>
    <t>Shop</t>
  </si>
  <si>
    <t>Gross Carpet area</t>
  </si>
  <si>
    <t>M/s.The Silwant</t>
  </si>
  <si>
    <t>Maple Greens</t>
  </si>
  <si>
    <t>P52000013794</t>
  </si>
  <si>
    <t>Bhivpuri Road</t>
  </si>
  <si>
    <t>Maple Greens, Survey No 84/3, Village-Ukrul, Bhivpuri Road, Karjat, Raigad.</t>
  </si>
  <si>
    <t>Karjat</t>
  </si>
  <si>
    <t>Raigad</t>
  </si>
  <si>
    <t>Bhivpuri Sai Baba Mandir</t>
  </si>
  <si>
    <t>About 1.1KM from Bhivpuri Road Railway Station.</t>
  </si>
  <si>
    <t>MHSL/LNA.1(B)/S.R.255/2014.</t>
  </si>
  <si>
    <t>31/05/2017.</t>
  </si>
  <si>
    <t>Wing - A</t>
  </si>
  <si>
    <t>Wing No.</t>
  </si>
  <si>
    <t>Saleable area</t>
  </si>
  <si>
    <t>1st &amp; 3rd Floors</t>
  </si>
  <si>
    <t>1st &amp; 3rd</t>
  </si>
  <si>
    <t>2nd &amp; 4th Floors</t>
  </si>
  <si>
    <t>2nd &amp; 4th</t>
  </si>
  <si>
    <t>Wing - B</t>
  </si>
  <si>
    <t>B</t>
  </si>
  <si>
    <t>Wing - C</t>
  </si>
  <si>
    <t>Ground Floor for Parking</t>
  </si>
  <si>
    <t>C</t>
  </si>
  <si>
    <t>Ground Floor for Parking &amp; Residential</t>
  </si>
  <si>
    <t>Wing - Q</t>
  </si>
  <si>
    <t>Q</t>
  </si>
  <si>
    <t>Tasgaonkar Eng. School</t>
  </si>
  <si>
    <t>Old Temple</t>
  </si>
  <si>
    <t>Ukrul Gaon</t>
  </si>
  <si>
    <t>Open Space</t>
  </si>
  <si>
    <t>Wing - O &amp; P</t>
  </si>
  <si>
    <t>O &amp; P</t>
  </si>
  <si>
    <t>4)  The Saleable Area is as per our calculation.</t>
  </si>
  <si>
    <t>Shops = 18
Flats = 175</t>
  </si>
  <si>
    <t xml:space="preserve">Approved usage of the Property: Residential + Commercial
(Restrictive Covenants in regard to Land Use, if any) : No                                                                                                                                         </t>
  </si>
  <si>
    <t>30,000/-</t>
  </si>
  <si>
    <t>Contect Details ( Name &amp; Contact No.)</t>
  </si>
  <si>
    <t>Approved no of units</t>
  </si>
  <si>
    <t>1st Floor</t>
  </si>
  <si>
    <t>3rd Floor</t>
  </si>
  <si>
    <t>1st</t>
  </si>
  <si>
    <t>3rd</t>
  </si>
  <si>
    <t>2nd Floor</t>
  </si>
  <si>
    <t>2nd</t>
  </si>
  <si>
    <t>4th Floor</t>
  </si>
  <si>
    <t>4th</t>
  </si>
  <si>
    <t>2nd &amp; 4th Floor</t>
  </si>
  <si>
    <t>1st &amp; 3rd Floor</t>
  </si>
  <si>
    <t>Grill Charges</t>
  </si>
  <si>
    <t>Recommended rate of the Shop Per Sq. Ft. ( on Saleable area)</t>
  </si>
  <si>
    <t>02 Buildings (06 Wings)</t>
  </si>
  <si>
    <t>Other Charges</t>
  </si>
  <si>
    <t>NA Order Cum C.Certificate No.</t>
  </si>
  <si>
    <t>Building &amp; Wing</t>
  </si>
  <si>
    <t>No. of Flats</t>
  </si>
  <si>
    <t>Total Carpet Area</t>
  </si>
  <si>
    <t>Total Saleable Area</t>
  </si>
  <si>
    <t>Residential Area Details :</t>
  </si>
  <si>
    <t>A wing</t>
  </si>
  <si>
    <t xml:space="preserve"> B wing</t>
  </si>
  <si>
    <t>C wing</t>
  </si>
  <si>
    <t>O &amp; P wing</t>
  </si>
  <si>
    <t>Q wing</t>
  </si>
  <si>
    <t>Commercial Area Details :</t>
  </si>
  <si>
    <t>No. of Shops</t>
  </si>
  <si>
    <t>Market Research Data</t>
  </si>
  <si>
    <t>Source</t>
  </si>
  <si>
    <t>Distance from proposed property</t>
  </si>
  <si>
    <t>Net Carpet</t>
  </si>
  <si>
    <t>Saleable Area</t>
  </si>
  <si>
    <t>Rate on Saleable</t>
  </si>
  <si>
    <t>Market Value</t>
  </si>
  <si>
    <t>Average</t>
  </si>
  <si>
    <t xml:space="preserve">Valuation Adopted </t>
  </si>
  <si>
    <t>proptiger</t>
  </si>
  <si>
    <t>1BHK</t>
  </si>
  <si>
    <t>2BHK</t>
  </si>
  <si>
    <t>commonfloor.</t>
  </si>
  <si>
    <t>1RK</t>
  </si>
  <si>
    <t>Stage of construction Q Wing : Plinth, RCC, Brick, Plaster, Flooring &amp; Painting work completed. Finishing work are in process…</t>
  </si>
  <si>
    <t>Stage of construction O &amp; P Wing : Plinth, RCC, Brick, Plaster, Flooring &amp; Painting work completed. Finishing work are in process…</t>
  </si>
  <si>
    <t>Stage of construction B Wing : Plinth, RCC, Brick work, Plaster, Flooring, Painting Work completed. Window Sliding work is in process….</t>
  </si>
  <si>
    <t>Stage of construction C Wing : Plinth, RCC, Brick work, Plaster, Flooring, Painting Work completed. Window Sliding work is in process….</t>
  </si>
  <si>
    <t>02 Buildings(A, B, C, O, P &amp; Q Wings)</t>
  </si>
  <si>
    <t>Wheather the construction is as per approved Building plan : Yes</t>
  </si>
  <si>
    <t>Material laying at Site: : Nothing</t>
  </si>
  <si>
    <t>Completed.</t>
  </si>
  <si>
    <t>Quality of construction: Good</t>
  </si>
  <si>
    <t>Recommended rate for Parking</t>
  </si>
  <si>
    <t>100000/-</t>
  </si>
  <si>
    <t>1,00,000/-</t>
  </si>
  <si>
    <t>1,75,000/-</t>
  </si>
  <si>
    <t>All Buildings = G + 4th Floor</t>
  </si>
  <si>
    <t>MHSL/LNA.1(B)/S.R.255/2014.
Valid upto : All Buildings G + 4th Floor</t>
  </si>
  <si>
    <t>Location Link</t>
  </si>
  <si>
    <t>https://goo.gl/maps/CMqFigrzyo79AQCw6</t>
  </si>
  <si>
    <t>Grand Total</t>
  </si>
  <si>
    <t>Loading 1.5% to 1.57% by rushikesh</t>
  </si>
  <si>
    <t>Site Person - Contact Details ( Name &amp; Contact No.)</t>
  </si>
  <si>
    <t>Miss. Shloka 9890093206</t>
  </si>
  <si>
    <t xml:space="preserve">Office No. 1031, Wing J, Akshar Business Park, Plot No. 03 Sector 25, Near APMC Market, Vashi, 
Navi Mumbai, Maharashtra 400703 TEL: 022-46090378/79/80                                                                                                     Email : vsjcapf@gmail.com. Web site : www.vsjadon.com
</t>
  </si>
  <si>
    <t>MS/LNA.1(B)/Part OC/O.C.27/2021
Approved Upto : Wing A, B, C, O, P &amp; Q = Gr/St + 1st to 4th Floor
Total Flats = 175 Nos &amp; Total Shops = 18 Nos.</t>
  </si>
  <si>
    <t>Stage of construction A, B, C, O, P &amp; Q Wing : All work completed. OC Received.</t>
  </si>
  <si>
    <t xml:space="preserve">Projected life of the structure: 58 Years </t>
  </si>
  <si>
    <t>Remarks:  
1. Wing A, B, C, O, P &amp; Q = All work completed. OC Received.
2. We considered rate as per Market inquire
3. Saleable Area is as per our calculation.
4. Carpet Area is adopted from Approved Plan.
5. Wing O &amp; P is one building with 56 number of total flats.
6. Car parking is subjected to authentic documentation.
7. We have updated OC (On 25/03/2025).
6. On site, we meet Miss. Prajakta Pitale (Sales) - 8424016318.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</si>
</sst>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3"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sz val="10"/>
      <name val="Arial"/>
      <family val="2"/>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b/>
      <sz val="11"/>
      <color rgb="FF000000"/>
      <name val="Times New Roman"/>
      <family val="1"/>
    </font>
    <font>
      <sz val="11"/>
      <name val="Calibri"/>
      <family val="2"/>
      <scheme val="minor"/>
    </font>
    <font>
      <sz val="11"/>
      <color rgb="FFFF0000"/>
      <name val="Calibri"/>
      <family val="2"/>
    </font>
    <font>
      <sz val="11"/>
      <color theme="1"/>
      <name val="Times New Roman"/>
      <family val="1"/>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1">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14" fillId="0" borderId="0"/>
    <xf numFmtId="0" fontId="14" fillId="0" borderId="0"/>
    <xf numFmtId="0" fontId="13" fillId="0" borderId="0"/>
    <xf numFmtId="0" fontId="14" fillId="0" borderId="0"/>
    <xf numFmtId="0" fontId="15" fillId="0" borderId="0"/>
    <xf numFmtId="0" fontId="22" fillId="0" borderId="0" applyNumberFormat="0" applyFill="0" applyBorder="0" applyAlignment="0" applyProtection="0"/>
  </cellStyleXfs>
  <cellXfs count="223">
    <xf numFmtId="0" fontId="0" fillId="0" borderId="0" xfId="0"/>
    <xf numFmtId="0" fontId="2" fillId="0" borderId="0" xfId="2"/>
    <xf numFmtId="0" fontId="4" fillId="0" borderId="1" xfId="0" applyFont="1" applyBorder="1" applyAlignment="1">
      <alignment vertical="top"/>
    </xf>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0" fontId="0" fillId="0" borderId="2" xfId="0" applyBorder="1"/>
    <xf numFmtId="0" fontId="16" fillId="0" borderId="2" xfId="0" applyFont="1" applyBorder="1"/>
    <xf numFmtId="0" fontId="0" fillId="0" borderId="3" xfId="0" applyBorder="1"/>
    <xf numFmtId="0" fontId="0" fillId="3" borderId="2" xfId="0" applyFill="1" applyBorder="1"/>
    <xf numFmtId="0" fontId="16" fillId="0" borderId="2" xfId="0" applyFont="1" applyBorder="1" applyAlignment="1">
      <alignment horizontal="center"/>
    </xf>
    <xf numFmtId="1" fontId="10" fillId="0" borderId="2" xfId="0" applyNumberFormat="1" applyFont="1" applyBorder="1" applyAlignment="1">
      <alignment horizontal="center" vertical="center" wrapText="1"/>
    </xf>
    <xf numFmtId="0" fontId="16"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3" fillId="0" borderId="0" xfId="0" applyFont="1" applyAlignment="1">
      <alignment horizontal="center" vertical="top" wrapText="1"/>
    </xf>
    <xf numFmtId="0" fontId="16" fillId="2" borderId="2" xfId="0" applyFont="1" applyFill="1" applyBorder="1"/>
    <xf numFmtId="0" fontId="0" fillId="4" borderId="2" xfId="0" applyFill="1" applyBorder="1"/>
    <xf numFmtId="1" fontId="3" fillId="0" borderId="2" xfId="0" applyNumberFormat="1" applyFont="1" applyBorder="1" applyAlignment="1">
      <alignment horizontal="center" vertical="top" wrapText="1"/>
    </xf>
    <xf numFmtId="1" fontId="0" fillId="0" borderId="0" xfId="0" applyNumberFormat="1"/>
    <xf numFmtId="0" fontId="2" fillId="0" borderId="0" xfId="2" applyAlignment="1">
      <alignment vertical="center"/>
    </xf>
    <xf numFmtId="0" fontId="0" fillId="0" borderId="0" xfId="0" applyAlignment="1">
      <alignment horizontal="left" vertical="center"/>
    </xf>
    <xf numFmtId="0" fontId="4" fillId="0" borderId="1" xfId="0" applyFont="1" applyBorder="1" applyAlignment="1">
      <alignment horizontal="left" vertical="top"/>
    </xf>
    <xf numFmtId="0" fontId="18" fillId="0" borderId="0" xfId="0" applyFont="1" applyAlignment="1">
      <alignment horizontal="left" readingOrder="1"/>
    </xf>
    <xf numFmtId="0" fontId="3" fillId="0" borderId="0" xfId="0" applyFont="1" applyAlignment="1">
      <alignment horizontal="center" vertical="top"/>
    </xf>
    <xf numFmtId="0" fontId="3" fillId="0" borderId="0" xfId="0" applyFont="1" applyAlignment="1">
      <alignment horizontal="left" vertical="top"/>
    </xf>
    <xf numFmtId="165" fontId="0" fillId="0" borderId="0" xfId="0" applyNumberFormat="1"/>
    <xf numFmtId="0" fontId="19" fillId="0" borderId="0" xfId="0" applyFont="1" applyAlignment="1">
      <alignment vertical="center"/>
    </xf>
    <xf numFmtId="0" fontId="19" fillId="0" borderId="0" xfId="0" applyFont="1"/>
    <xf numFmtId="0" fontId="4" fillId="0" borderId="2" xfId="0" applyFont="1" applyBorder="1" applyAlignment="1">
      <alignment horizontal="center" vertical="top"/>
    </xf>
    <xf numFmtId="0" fontId="3" fillId="0" borderId="2" xfId="0" applyFont="1" applyBorder="1" applyAlignment="1">
      <alignment horizontal="center" vertical="top"/>
    </xf>
    <xf numFmtId="1" fontId="4" fillId="0" borderId="2" xfId="0" applyNumberFormat="1" applyFont="1" applyBorder="1" applyAlignment="1">
      <alignment horizontal="center" vertical="top"/>
    </xf>
    <xf numFmtId="0" fontId="15" fillId="0" borderId="0" xfId="9"/>
    <xf numFmtId="0" fontId="1" fillId="0" borderId="0" xfId="3"/>
    <xf numFmtId="0" fontId="14" fillId="0" borderId="0" xfId="8"/>
    <xf numFmtId="0" fontId="16" fillId="0" borderId="2" xfId="8" applyFont="1" applyBorder="1" applyAlignment="1">
      <alignment horizontal="center" vertical="top" wrapText="1"/>
    </xf>
    <xf numFmtId="0" fontId="20" fillId="0" borderId="0" xfId="3" applyFont="1"/>
    <xf numFmtId="0" fontId="14" fillId="0" borderId="2" xfId="8" applyBorder="1" applyAlignment="1">
      <alignment horizontal="center" vertical="center"/>
    </xf>
    <xf numFmtId="1" fontId="14" fillId="0" borderId="2" xfId="8" applyNumberFormat="1" applyBorder="1" applyAlignment="1">
      <alignment horizontal="center" vertical="center"/>
    </xf>
    <xf numFmtId="166" fontId="14" fillId="0" borderId="2" xfId="1" applyNumberFormat="1" applyFont="1" applyBorder="1" applyAlignment="1">
      <alignment horizontal="right" vertical="center"/>
    </xf>
    <xf numFmtId="0" fontId="16" fillId="0" borderId="2" xfId="8" applyFont="1" applyBorder="1" applyAlignment="1">
      <alignment horizontal="center" vertical="center"/>
    </xf>
    <xf numFmtId="1" fontId="17" fillId="0" borderId="2" xfId="8" applyNumberFormat="1" applyFont="1" applyBorder="1" applyAlignment="1">
      <alignment horizontal="center" vertical="center"/>
    </xf>
    <xf numFmtId="0" fontId="1" fillId="0" borderId="2" xfId="3" applyBorder="1" applyAlignment="1">
      <alignment horizontal="center" vertical="center"/>
    </xf>
    <xf numFmtId="0" fontId="14" fillId="0" borderId="2" xfId="8" applyBorder="1" applyAlignment="1">
      <alignment horizontal="left" vertical="center"/>
    </xf>
    <xf numFmtId="0" fontId="3" fillId="0" borderId="2" xfId="0" applyFont="1" applyBorder="1" applyAlignment="1">
      <alignment vertical="top"/>
    </xf>
    <xf numFmtId="1" fontId="6" fillId="0" borderId="2" xfId="0" applyNumberFormat="1" applyFont="1" applyBorder="1" applyAlignment="1">
      <alignment horizontal="center" vertical="top" wrapText="1"/>
    </xf>
    <xf numFmtId="1" fontId="10" fillId="0" borderId="2" xfId="0" applyNumberFormat="1" applyFont="1" applyBorder="1" applyAlignment="1">
      <alignment horizontal="center" vertical="center" wrapText="1"/>
    </xf>
    <xf numFmtId="0" fontId="4" fillId="0" borderId="1"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1" fontId="10" fillId="0" borderId="1"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0" fontId="3" fillId="0" borderId="2" xfId="0" applyFont="1" applyBorder="1" applyAlignment="1">
      <alignment horizontal="center" vertical="top"/>
    </xf>
    <xf numFmtId="1" fontId="3" fillId="0" borderId="2" xfId="0" applyNumberFormat="1" applyFont="1" applyBorder="1" applyAlignment="1">
      <alignment horizontal="center" vertical="top"/>
    </xf>
    <xf numFmtId="0" fontId="11" fillId="0" borderId="2" xfId="0" applyFont="1" applyBorder="1" applyAlignment="1">
      <alignment horizontal="center" vertical="top"/>
    </xf>
    <xf numFmtId="1" fontId="4" fillId="0" borderId="2" xfId="0" applyNumberFormat="1" applyFont="1" applyBorder="1" applyAlignment="1">
      <alignment horizontal="center" vertical="top"/>
    </xf>
    <xf numFmtId="0" fontId="9" fillId="2" borderId="1"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12" xfId="0" applyFont="1" applyBorder="1" applyAlignment="1">
      <alignment horizontal="center" vertical="top" wrapText="1"/>
    </xf>
    <xf numFmtId="0" fontId="5" fillId="0" borderId="1"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1" fontId="6" fillId="0" borderId="2"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5" fillId="0" borderId="1" xfId="0" applyFont="1" applyBorder="1" applyAlignment="1">
      <alignment horizontal="left" vertical="top"/>
    </xf>
    <xf numFmtId="0" fontId="3" fillId="0" borderId="2" xfId="2" applyFont="1" applyBorder="1" applyAlignment="1">
      <alignment horizontal="left" vertical="top" wrapText="1"/>
    </xf>
    <xf numFmtId="1" fontId="6" fillId="0" borderId="2" xfId="0" applyNumberFormat="1" applyFont="1" applyBorder="1" applyAlignment="1">
      <alignment horizontal="center" vertical="top" wrapText="1"/>
    </xf>
    <xf numFmtId="17" fontId="4" fillId="0" borderId="2" xfId="0" applyNumberFormat="1" applyFont="1" applyBorder="1" applyAlignment="1">
      <alignment horizontal="left" vertical="top"/>
    </xf>
    <xf numFmtId="0" fontId="4" fillId="0" borderId="2" xfId="0" applyFont="1" applyBorder="1" applyAlignment="1">
      <alignment horizontal="left" vertical="top"/>
    </xf>
    <xf numFmtId="1" fontId="9" fillId="2" borderId="1" xfId="0" applyNumberFormat="1" applyFont="1" applyFill="1" applyBorder="1" applyAlignment="1">
      <alignment horizontal="center"/>
    </xf>
    <xf numFmtId="1" fontId="9" fillId="2" borderId="6" xfId="0" applyNumberFormat="1" applyFont="1" applyFill="1" applyBorder="1" applyAlignment="1">
      <alignment horizontal="center"/>
    </xf>
    <xf numFmtId="0" fontId="9" fillId="0" borderId="1"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1" xfId="0" applyFont="1" applyBorder="1" applyAlignment="1">
      <alignment horizontal="center" vertical="top" wrapText="1"/>
    </xf>
    <xf numFmtId="0" fontId="9" fillId="0" borderId="6" xfId="0" applyFont="1" applyBorder="1" applyAlignment="1">
      <alignment horizontal="center" vertical="top" wrapText="1"/>
    </xf>
    <xf numFmtId="14" fontId="9" fillId="0" borderId="1" xfId="0" applyNumberFormat="1" applyFont="1" applyBorder="1" applyAlignment="1">
      <alignment horizontal="left" vertical="top"/>
    </xf>
    <xf numFmtId="14" fontId="9" fillId="0" borderId="5" xfId="0" applyNumberFormat="1" applyFont="1" applyBorder="1" applyAlignment="1">
      <alignment horizontal="left" vertical="top"/>
    </xf>
    <xf numFmtId="14" fontId="9" fillId="0" borderId="6" xfId="0" applyNumberFormat="1" applyFont="1" applyBorder="1" applyAlignment="1">
      <alignment horizontal="left" vertical="top"/>
    </xf>
    <xf numFmtId="0" fontId="9" fillId="0" borderId="1"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4" fillId="0" borderId="2" xfId="0" applyFont="1" applyBorder="1" applyAlignment="1">
      <alignment horizontal="left" vertical="top" wrapText="1"/>
    </xf>
    <xf numFmtId="0" fontId="4" fillId="0" borderId="1"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0" fontId="21" fillId="0" borderId="1"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9" fillId="0" borderId="1" xfId="0" applyFont="1" applyBorder="1" applyAlignment="1">
      <alignment horizontal="center" vertical="top"/>
    </xf>
    <xf numFmtId="0" fontId="9" fillId="0" borderId="6" xfId="0" applyFont="1" applyBorder="1" applyAlignment="1">
      <alignment horizontal="center" vertical="top"/>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1" xfId="0" applyFont="1" applyBorder="1" applyAlignment="1">
      <alignment vertical="top"/>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12" xfId="0" applyFont="1" applyBorder="1" applyAlignment="1">
      <alignment horizontal="left" vertical="top" wrapText="1"/>
    </xf>
    <xf numFmtId="0" fontId="4" fillId="0" borderId="5" xfId="0" applyFont="1" applyBorder="1" applyAlignment="1">
      <alignment vertical="top"/>
    </xf>
    <xf numFmtId="0" fontId="4" fillId="0" borderId="6" xfId="0" applyFont="1" applyBorder="1" applyAlignment="1">
      <alignment vertical="top"/>
    </xf>
    <xf numFmtId="2" fontId="4" fillId="0" borderId="1" xfId="0" applyNumberFormat="1" applyFont="1" applyBorder="1" applyAlignment="1">
      <alignment horizontal="left" vertical="top"/>
    </xf>
    <xf numFmtId="2" fontId="4" fillId="0" borderId="5" xfId="0" applyNumberFormat="1" applyFont="1" applyBorder="1" applyAlignment="1">
      <alignment horizontal="left" vertical="top"/>
    </xf>
    <xf numFmtId="2" fontId="4" fillId="0" borderId="6" xfId="0" applyNumberFormat="1" applyFont="1" applyBorder="1" applyAlignment="1">
      <alignment horizontal="left" vertical="top"/>
    </xf>
    <xf numFmtId="0" fontId="22" fillId="0" borderId="1" xfId="10" applyFill="1" applyBorder="1" applyAlignment="1">
      <alignment horizontal="left" vertical="top"/>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0" fillId="0" borderId="2" xfId="0" applyBorder="1" applyAlignment="1">
      <alignment horizontal="left"/>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vertical="top"/>
    </xf>
    <xf numFmtId="14" fontId="4" fillId="0" borderId="2" xfId="0" applyNumberFormat="1" applyFont="1" applyBorder="1" applyAlignment="1">
      <alignment horizontal="left" vertical="top"/>
    </xf>
    <xf numFmtId="14" fontId="4" fillId="0" borderId="2" xfId="0" applyNumberFormat="1" applyFont="1" applyBorder="1" applyAlignment="1">
      <alignment horizontal="center" vertical="top"/>
    </xf>
    <xf numFmtId="0" fontId="4" fillId="0" borderId="2" xfId="0" applyFont="1" applyBorder="1" applyAlignment="1">
      <alignment horizontal="center" vertical="top"/>
    </xf>
    <xf numFmtId="0" fontId="9" fillId="0" borderId="7" xfId="0" applyFont="1" applyBorder="1" applyAlignment="1">
      <alignment horizontal="center" vertical="top" wrapText="1"/>
    </xf>
    <xf numFmtId="0" fontId="9" fillId="0" borderId="13"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0" xfId="0" applyFont="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9" fillId="0" borderId="3" xfId="0" applyFont="1" applyBorder="1" applyAlignment="1">
      <alignment horizontal="center" vertical="top" wrapText="1"/>
    </xf>
    <xf numFmtId="0" fontId="9" fillId="0" borderId="12" xfId="0" applyFont="1" applyBorder="1" applyAlignment="1">
      <alignment horizontal="center" vertical="top" wrapText="1"/>
    </xf>
    <xf numFmtId="0" fontId="9" fillId="0" borderId="5" xfId="0" applyFont="1" applyBorder="1" applyAlignment="1">
      <alignment horizontal="center" vertical="top" wrapText="1"/>
    </xf>
    <xf numFmtId="0" fontId="9" fillId="0" borderId="2" xfId="0" applyFont="1" applyBorder="1" applyAlignment="1">
      <alignment horizontal="center" vertical="top" wrapText="1"/>
    </xf>
    <xf numFmtId="0" fontId="9" fillId="0" borderId="2" xfId="0" applyFont="1" applyBorder="1" applyAlignment="1">
      <alignment horizontal="left" vertical="top" wrapText="1"/>
    </xf>
    <xf numFmtId="0" fontId="3" fillId="0" borderId="2" xfId="0" applyFont="1" applyBorder="1" applyAlignment="1">
      <alignment horizontal="left" vertical="top" wrapText="1"/>
    </xf>
    <xf numFmtId="14" fontId="3" fillId="0" borderId="2" xfId="0" applyNumberFormat="1" applyFont="1" applyBorder="1" applyAlignment="1">
      <alignment horizontal="left" vertical="top"/>
    </xf>
    <xf numFmtId="0" fontId="3" fillId="0" borderId="2" xfId="0" applyFont="1" applyBorder="1" applyAlignment="1">
      <alignment horizontal="left" vertical="top"/>
    </xf>
    <xf numFmtId="0" fontId="9" fillId="2" borderId="1" xfId="0" applyFont="1" applyFill="1" applyBorder="1" applyAlignment="1">
      <alignment horizontal="center" vertical="top" wrapText="1"/>
    </xf>
    <xf numFmtId="0" fontId="9" fillId="2" borderId="6" xfId="0" applyFont="1" applyFill="1" applyBorder="1" applyAlignment="1">
      <alignment horizontal="center" vertical="top" wrapText="1"/>
    </xf>
    <xf numFmtId="2" fontId="4" fillId="0" borderId="2" xfId="0" applyNumberFormat="1" applyFont="1" applyBorder="1" applyAlignment="1">
      <alignment horizontal="center" vertical="top"/>
    </xf>
    <xf numFmtId="1" fontId="9" fillId="2" borderId="1" xfId="0" applyNumberFormat="1" applyFont="1" applyFill="1" applyBorder="1" applyAlignment="1">
      <alignment horizontal="center" vertical="top" wrapText="1"/>
    </xf>
    <xf numFmtId="1" fontId="9" fillId="2" borderId="6" xfId="0" applyNumberFormat="1" applyFont="1" applyFill="1" applyBorder="1" applyAlignment="1">
      <alignment horizontal="center" vertical="top" wrapText="1"/>
    </xf>
    <xf numFmtId="0" fontId="4" fillId="0" borderId="2" xfId="0" applyFont="1" applyBorder="1" applyAlignment="1">
      <alignment horizontal="center" vertical="top" wrapText="1"/>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8" fillId="0" borderId="7" xfId="0" applyFont="1" applyBorder="1" applyAlignment="1">
      <alignment vertical="top" wrapText="1"/>
    </xf>
    <xf numFmtId="0" fontId="8" fillId="0" borderId="13"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8" fillId="2" borderId="1" xfId="0" applyFont="1" applyFill="1" applyBorder="1" applyAlignment="1">
      <alignment horizontal="left" vertical="top"/>
    </xf>
    <xf numFmtId="0" fontId="8" fillId="2" borderId="5" xfId="0" applyFont="1" applyFill="1" applyBorder="1" applyAlignment="1">
      <alignment horizontal="left" vertical="top"/>
    </xf>
    <xf numFmtId="0" fontId="8" fillId="2" borderId="6" xfId="0" applyFont="1" applyFill="1" applyBorder="1" applyAlignment="1">
      <alignment horizontal="left" vertical="top"/>
    </xf>
    <xf numFmtId="0" fontId="3" fillId="0" borderId="1" xfId="0" applyFont="1" applyBorder="1" applyAlignment="1">
      <alignment horizontal="left" vertical="center"/>
    </xf>
    <xf numFmtId="0" fontId="4" fillId="2" borderId="1"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12" fillId="0" borderId="2" xfId="0" applyFont="1" applyBorder="1" applyAlignment="1">
      <alignment horizontal="center" vertical="top"/>
    </xf>
    <xf numFmtId="0" fontId="9" fillId="2" borderId="1" xfId="0" applyFont="1" applyFill="1" applyBorder="1" applyAlignment="1">
      <alignment horizontal="left" vertical="top"/>
    </xf>
    <xf numFmtId="0" fontId="9" fillId="2" borderId="5" xfId="0" applyFont="1" applyFill="1" applyBorder="1" applyAlignment="1">
      <alignment horizontal="left" vertical="top"/>
    </xf>
    <xf numFmtId="0" fontId="9" fillId="2" borderId="6" xfId="0" applyFont="1" applyFill="1" applyBorder="1" applyAlignment="1">
      <alignment horizontal="left" vertical="top"/>
    </xf>
    <xf numFmtId="0" fontId="0" fillId="3" borderId="2" xfId="0" applyFill="1" applyBorder="1" applyAlignment="1">
      <alignment horizontal="center" wrapText="1"/>
    </xf>
    <xf numFmtId="0" fontId="16" fillId="0" borderId="2" xfId="0" applyFont="1" applyBorder="1" applyAlignment="1">
      <alignment horizontal="center"/>
    </xf>
    <xf numFmtId="0" fontId="16" fillId="0" borderId="2" xfId="8" applyFont="1" applyBorder="1" applyAlignment="1">
      <alignment horizontal="left"/>
    </xf>
    <xf numFmtId="0" fontId="4" fillId="2" borderId="2" xfId="0" applyFont="1" applyFill="1" applyBorder="1" applyAlignment="1">
      <alignment horizontal="left" vertical="top" wrapText="1"/>
    </xf>
    <xf numFmtId="14" fontId="4" fillId="2" borderId="2" xfId="0" applyNumberFormat="1" applyFont="1" applyFill="1" applyBorder="1" applyAlignment="1">
      <alignment horizontal="center" vertical="center"/>
    </xf>
  </cellXfs>
  <cellStyles count="11">
    <cellStyle name="Comma 2" xfId="1"/>
    <cellStyle name="Excel Built-in Normal" xfId="2"/>
    <cellStyle name="Excel Built-in Normal 2" xfId="3"/>
    <cellStyle name="Excel Built-in Normal 3" xfId="4"/>
    <cellStyle name="Hyperlink" xfId="10" builtinId="8"/>
    <cellStyle name="Normal" xfId="0" builtinId="0"/>
    <cellStyle name="Normal 2" xfId="5"/>
    <cellStyle name="Normal 3" xfId="6"/>
    <cellStyle name="Normal 3 3" xfId="7"/>
    <cellStyle name="Normal 4" xfId="8"/>
    <cellStyle name="Normal 5"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109444</xdr:colOff>
      <xdr:row>371</xdr:row>
      <xdr:rowOff>138207</xdr:rowOff>
    </xdr:from>
    <xdr:to>
      <xdr:col>9</xdr:col>
      <xdr:colOff>391458</xdr:colOff>
      <xdr:row>389</xdr:row>
      <xdr:rowOff>167903</xdr:rowOff>
    </xdr:to>
    <xdr:pic>
      <xdr:nvPicPr>
        <xdr:cNvPr id="7997" name="Picture 7">
          <a:extLst>
            <a:ext uri="{FF2B5EF4-FFF2-40B4-BE49-F238E27FC236}">
              <a16:creationId xmlns:a16="http://schemas.microsoft.com/office/drawing/2014/main" id="{00000000-0008-0000-0000-00003D1F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19044" y="66413157"/>
          <a:ext cx="5673164" cy="334439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98238</xdr:colOff>
      <xdr:row>390</xdr:row>
      <xdr:rowOff>152620</xdr:rowOff>
    </xdr:from>
    <xdr:to>
      <xdr:col>9</xdr:col>
      <xdr:colOff>390419</xdr:colOff>
      <xdr:row>408</xdr:row>
      <xdr:rowOff>172943</xdr:rowOff>
    </xdr:to>
    <xdr:pic>
      <xdr:nvPicPr>
        <xdr:cNvPr id="7998" name="Picture 8">
          <a:extLst>
            <a:ext uri="{FF2B5EF4-FFF2-40B4-BE49-F238E27FC236}">
              <a16:creationId xmlns:a16="http://schemas.microsoft.com/office/drawing/2014/main" id="{00000000-0008-0000-0000-00003E1F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707838" y="69926420"/>
          <a:ext cx="5683331" cy="333502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125557</xdr:colOff>
      <xdr:row>324</xdr:row>
      <xdr:rowOff>37234</xdr:rowOff>
    </xdr:from>
    <xdr:to>
      <xdr:col>19</xdr:col>
      <xdr:colOff>173881</xdr:colOff>
      <xdr:row>361</xdr:row>
      <xdr:rowOff>24696</xdr:rowOff>
    </xdr:to>
    <xdr:grpSp>
      <xdr:nvGrpSpPr>
        <xdr:cNvPr id="2" name="Group 1">
          <a:extLst>
            <a:ext uri="{FF2B5EF4-FFF2-40B4-BE49-F238E27FC236}">
              <a16:creationId xmlns:a16="http://schemas.microsoft.com/office/drawing/2014/main" id="{BA0CA495-DC42-8077-542E-90E51FD41F01}"/>
            </a:ext>
          </a:extLst>
        </xdr:cNvPr>
        <xdr:cNvGrpSpPr/>
      </xdr:nvGrpSpPr>
      <xdr:grpSpPr>
        <a:xfrm>
          <a:off x="7301057" y="57657134"/>
          <a:ext cx="5953824" cy="6801012"/>
          <a:chOff x="173182" y="58158784"/>
          <a:chExt cx="5906199" cy="7035962"/>
        </a:xfrm>
      </xdr:grpSpPr>
      <xdr:pic>
        <xdr:nvPicPr>
          <xdr:cNvPr id="17" name="Picture 16" descr="insp-169079-1525.jpg (959×1280)">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000789" y="63034746"/>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insp-169079-843.jpg (1079×810)">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86766" y="60784139"/>
            <a:ext cx="2875601"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insp-169079-861.jpg (959×1280)">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2173702" y="58158784"/>
            <a:ext cx="1887165"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insp-169079-862.jpg (1079×810)">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198584" y="60784139"/>
            <a:ext cx="288079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insp-169079-860.jpg (959×128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73182" y="58158784"/>
            <a:ext cx="188976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insp-169079-871.jpg (959×1280)">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4168074" y="58158784"/>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insp-169079-874.jpg (959×1280)">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509963" y="63034746"/>
            <a:ext cx="162004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insp-169079-1512.jpg (959×1280)">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2256675" y="63034746"/>
            <a:ext cx="161744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349250</xdr:colOff>
      <xdr:row>323</xdr:row>
      <xdr:rowOff>133350</xdr:rowOff>
    </xdr:from>
    <xdr:to>
      <xdr:col>9</xdr:col>
      <xdr:colOff>776851</xdr:colOff>
      <xdr:row>363</xdr:row>
      <xdr:rowOff>60390</xdr:rowOff>
    </xdr:to>
    <xdr:grpSp>
      <xdr:nvGrpSpPr>
        <xdr:cNvPr id="3" name="Group 2"/>
        <xdr:cNvGrpSpPr/>
      </xdr:nvGrpSpPr>
      <xdr:grpSpPr>
        <a:xfrm>
          <a:off x="349250" y="57569100"/>
          <a:ext cx="6428351" cy="7293040"/>
          <a:chOff x="349250" y="57569100"/>
          <a:chExt cx="6428351" cy="7293040"/>
        </a:xfrm>
      </xdr:grpSpPr>
      <xdr:pic>
        <xdr:nvPicPr>
          <xdr:cNvPr id="38" name="Picture 3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759023" y="62702140"/>
            <a:ext cx="1618313"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882066" y="60423620"/>
            <a:ext cx="2877333" cy="216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49250" y="57569100"/>
            <a:ext cx="2049863" cy="2736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538494" y="57569100"/>
            <a:ext cx="2049863" cy="2736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727738" y="57569100"/>
            <a:ext cx="2049863" cy="273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99354" y="60423620"/>
            <a:ext cx="1618313"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140710" y="60423620"/>
            <a:ext cx="1618313" cy="216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017666" y="62702140"/>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17</xdr:row>
      <xdr:rowOff>0</xdr:rowOff>
    </xdr:from>
    <xdr:to>
      <xdr:col>7</xdr:col>
      <xdr:colOff>400050</xdr:colOff>
      <xdr:row>27</xdr:row>
      <xdr:rowOff>66675</xdr:rowOff>
    </xdr:to>
    <xdr:pic>
      <xdr:nvPicPr>
        <xdr:cNvPr id="5165" name="Picture 1">
          <a:extLst>
            <a:ext uri="{FF2B5EF4-FFF2-40B4-BE49-F238E27FC236}">
              <a16:creationId xmlns:a16="http://schemas.microsoft.com/office/drawing/2014/main" id="{00000000-0008-0000-0100-00002D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9450" y="3429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16</xdr:row>
      <xdr:rowOff>38100</xdr:rowOff>
    </xdr:from>
    <xdr:to>
      <xdr:col>7</xdr:col>
      <xdr:colOff>47625</xdr:colOff>
      <xdr:row>35</xdr:row>
      <xdr:rowOff>19050</xdr:rowOff>
    </xdr:to>
    <xdr:pic>
      <xdr:nvPicPr>
        <xdr:cNvPr id="6247" name="Picture 1">
          <a:extLst>
            <a:ext uri="{FF2B5EF4-FFF2-40B4-BE49-F238E27FC236}">
              <a16:creationId xmlns:a16="http://schemas.microsoft.com/office/drawing/2014/main" id="{00000000-0008-0000-0800-000067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2766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171450</xdr:rowOff>
    </xdr:from>
    <xdr:to>
      <xdr:col>7</xdr:col>
      <xdr:colOff>47625</xdr:colOff>
      <xdr:row>54</xdr:row>
      <xdr:rowOff>142875</xdr:rowOff>
    </xdr:to>
    <xdr:pic>
      <xdr:nvPicPr>
        <xdr:cNvPr id="6248" name="Picture 2">
          <a:extLst>
            <a:ext uri="{FF2B5EF4-FFF2-40B4-BE49-F238E27FC236}">
              <a16:creationId xmlns:a16="http://schemas.microsoft.com/office/drawing/2014/main" id="{00000000-0008-0000-0800-000068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7029450"/>
          <a:ext cx="6753225" cy="3590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16</xdr:row>
      <xdr:rowOff>0</xdr:rowOff>
    </xdr:from>
    <xdr:to>
      <xdr:col>16</xdr:col>
      <xdr:colOff>533400</xdr:colOff>
      <xdr:row>34</xdr:row>
      <xdr:rowOff>171450</xdr:rowOff>
    </xdr:to>
    <xdr:pic>
      <xdr:nvPicPr>
        <xdr:cNvPr id="6249" name="Picture 3">
          <a:extLst>
            <a:ext uri="{FF2B5EF4-FFF2-40B4-BE49-F238E27FC236}">
              <a16:creationId xmlns:a16="http://schemas.microsoft.com/office/drawing/2014/main" id="{00000000-0008-0000-0800-00006918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81900" y="3238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CMqFigrzyo79AQCw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0"/>
  <sheetViews>
    <sheetView tabSelected="1" view="pageBreakPreview" zoomScaleNormal="100" zoomScaleSheetLayoutView="100" zoomScalePageLayoutView="85" workbookViewId="0">
      <selection activeCell="F9" sqref="F9:J9"/>
    </sheetView>
  </sheetViews>
  <sheetFormatPr defaultRowHeight="14.5" x14ac:dyDescent="0.35"/>
  <cols>
    <col min="1" max="1" width="8.7265625" customWidth="1"/>
    <col min="2" max="2" width="11.54296875" customWidth="1"/>
    <col min="3" max="3" width="13.7265625" customWidth="1"/>
    <col min="4" max="4" width="7.1796875" customWidth="1"/>
    <col min="5" max="5" width="5.54296875" customWidth="1"/>
    <col min="6" max="6" width="9.1796875" customWidth="1"/>
    <col min="7" max="7" width="9.81640625" customWidth="1"/>
    <col min="8" max="8" width="10.1796875" customWidth="1"/>
    <col min="9" max="9" width="10" customWidth="1"/>
    <col min="10" max="10" width="16.81640625" customWidth="1"/>
    <col min="19" max="19" width="14.7265625" customWidth="1"/>
  </cols>
  <sheetData>
    <row r="1" spans="1:10" ht="43.9" customHeight="1" x14ac:dyDescent="0.35">
      <c r="A1" s="163" t="s">
        <v>259</v>
      </c>
      <c r="B1" s="164"/>
      <c r="C1" s="164"/>
      <c r="D1" s="164"/>
      <c r="E1" s="164"/>
      <c r="F1" s="164"/>
      <c r="G1" s="164"/>
      <c r="H1" s="164"/>
      <c r="I1" s="164"/>
      <c r="J1" s="165"/>
    </row>
    <row r="2" spans="1:10" x14ac:dyDescent="0.35">
      <c r="A2" s="79" t="s">
        <v>52</v>
      </c>
      <c r="B2" s="80"/>
      <c r="C2" s="80"/>
      <c r="D2" s="80"/>
      <c r="E2" s="80"/>
      <c r="F2" s="80"/>
      <c r="G2" s="80"/>
      <c r="H2" s="80"/>
      <c r="I2" s="80"/>
      <c r="J2" s="81"/>
    </row>
    <row r="3" spans="1:10" x14ac:dyDescent="0.35">
      <c r="A3" s="101" t="s">
        <v>0</v>
      </c>
      <c r="B3" s="50"/>
      <c r="C3" s="50"/>
      <c r="D3" s="50"/>
      <c r="E3" s="51"/>
      <c r="F3" s="113" t="str">
        <f ca="1">TEXT(TODAY(),"DD/MM/YYYY")</f>
        <v>13/09/2025</v>
      </c>
      <c r="G3" s="114"/>
      <c r="H3" s="114"/>
      <c r="I3" s="114"/>
      <c r="J3" s="115"/>
    </row>
    <row r="4" spans="1:10" x14ac:dyDescent="0.35">
      <c r="A4" s="101" t="s">
        <v>1</v>
      </c>
      <c r="B4" s="50"/>
      <c r="C4" s="50"/>
      <c r="D4" s="50"/>
      <c r="E4" s="51"/>
      <c r="F4" s="116" t="s">
        <v>145</v>
      </c>
      <c r="G4" s="117"/>
      <c r="H4" s="117"/>
      <c r="I4" s="117"/>
      <c r="J4" s="118"/>
    </row>
    <row r="5" spans="1:10" x14ac:dyDescent="0.35">
      <c r="A5" s="101" t="s">
        <v>2</v>
      </c>
      <c r="B5" s="50"/>
      <c r="C5" s="50"/>
      <c r="D5" s="50"/>
      <c r="E5" s="51"/>
      <c r="F5" s="113">
        <v>45912</v>
      </c>
      <c r="G5" s="114"/>
      <c r="H5" s="114"/>
      <c r="I5" s="114"/>
      <c r="J5" s="115"/>
    </row>
    <row r="6" spans="1:10" ht="16.5" customHeight="1" x14ac:dyDescent="0.35">
      <c r="A6" s="49" t="s">
        <v>135</v>
      </c>
      <c r="B6" s="50"/>
      <c r="C6" s="50"/>
      <c r="D6" s="50"/>
      <c r="E6" s="51"/>
      <c r="F6" s="98" t="s">
        <v>159</v>
      </c>
      <c r="G6" s="99"/>
      <c r="H6" s="99"/>
      <c r="I6" s="99"/>
      <c r="J6" s="100"/>
    </row>
    <row r="7" spans="1:10" ht="15" customHeight="1" x14ac:dyDescent="0.35">
      <c r="A7" s="101" t="s">
        <v>3</v>
      </c>
      <c r="B7" s="50"/>
      <c r="C7" s="50"/>
      <c r="D7" s="50"/>
      <c r="E7" s="51"/>
      <c r="F7" s="98" t="s">
        <v>159</v>
      </c>
      <c r="G7" s="99"/>
      <c r="H7" s="99"/>
      <c r="I7" s="99"/>
      <c r="J7" s="100"/>
    </row>
    <row r="8" spans="1:10" x14ac:dyDescent="0.35">
      <c r="A8" s="101" t="s">
        <v>4</v>
      </c>
      <c r="B8" s="50"/>
      <c r="C8" s="50"/>
      <c r="D8" s="50"/>
      <c r="E8" s="51"/>
      <c r="F8" s="123" t="s">
        <v>160</v>
      </c>
      <c r="G8" s="124"/>
      <c r="H8" s="124"/>
      <c r="I8" s="124"/>
      <c r="J8" s="125"/>
    </row>
    <row r="9" spans="1:10" x14ac:dyDescent="0.35">
      <c r="A9" s="49" t="s">
        <v>195</v>
      </c>
      <c r="B9" s="50"/>
      <c r="C9" s="50"/>
      <c r="D9" s="50"/>
      <c r="E9" s="51"/>
      <c r="F9" s="49">
        <v>9920453300</v>
      </c>
      <c r="G9" s="52"/>
      <c r="H9" s="52"/>
      <c r="I9" s="52"/>
      <c r="J9" s="53"/>
    </row>
    <row r="10" spans="1:10" hidden="1" x14ac:dyDescent="0.35">
      <c r="A10" s="49" t="s">
        <v>257</v>
      </c>
      <c r="B10" s="50"/>
      <c r="C10" s="50"/>
      <c r="D10" s="50"/>
      <c r="E10" s="51"/>
      <c r="F10" s="49" t="s">
        <v>258</v>
      </c>
      <c r="G10" s="52"/>
      <c r="H10" s="52"/>
      <c r="I10" s="52"/>
      <c r="J10" s="53"/>
    </row>
    <row r="11" spans="1:10" x14ac:dyDescent="0.35">
      <c r="A11" s="49" t="s">
        <v>108</v>
      </c>
      <c r="B11" s="52"/>
      <c r="C11" s="52"/>
      <c r="D11" s="52"/>
      <c r="E11" s="53"/>
      <c r="F11" s="49" t="s">
        <v>242</v>
      </c>
      <c r="G11" s="52"/>
      <c r="H11" s="52"/>
      <c r="I11" s="52"/>
      <c r="J11" s="53"/>
    </row>
    <row r="12" spans="1:10" x14ac:dyDescent="0.35">
      <c r="A12" s="101" t="s">
        <v>5</v>
      </c>
      <c r="B12" s="50"/>
      <c r="C12" s="50"/>
      <c r="D12" s="50"/>
      <c r="E12" s="51"/>
      <c r="F12" s="98" t="s">
        <v>139</v>
      </c>
      <c r="G12" s="99"/>
      <c r="H12" s="99"/>
      <c r="I12" s="99"/>
      <c r="J12" s="100"/>
    </row>
    <row r="13" spans="1:10" x14ac:dyDescent="0.35">
      <c r="A13" s="49" t="s">
        <v>140</v>
      </c>
      <c r="B13" s="50"/>
      <c r="C13" s="50"/>
      <c r="D13" s="50"/>
      <c r="E13" s="51"/>
      <c r="F13" s="99" t="s">
        <v>161</v>
      </c>
      <c r="G13" s="99"/>
      <c r="H13" s="99"/>
      <c r="I13" s="99"/>
      <c r="J13" s="100"/>
    </row>
    <row r="14" spans="1:10" x14ac:dyDescent="0.35">
      <c r="A14" s="105" t="s">
        <v>65</v>
      </c>
      <c r="B14" s="105"/>
      <c r="C14" s="98" t="s">
        <v>163</v>
      </c>
      <c r="D14" s="99"/>
      <c r="E14" s="99"/>
      <c r="F14" s="99"/>
      <c r="G14" s="99"/>
      <c r="H14" s="99"/>
      <c r="I14" s="99"/>
      <c r="J14" s="100"/>
    </row>
    <row r="15" spans="1:10" x14ac:dyDescent="0.35">
      <c r="A15" s="2" t="s">
        <v>109</v>
      </c>
      <c r="B15" s="24" t="s">
        <v>57</v>
      </c>
      <c r="C15" s="144" t="s">
        <v>138</v>
      </c>
      <c r="D15" s="145"/>
      <c r="E15" s="135" t="s">
        <v>155</v>
      </c>
      <c r="F15" s="136"/>
      <c r="G15" s="137"/>
      <c r="H15" s="5" t="s">
        <v>66</v>
      </c>
      <c r="I15" s="127" t="s">
        <v>154</v>
      </c>
      <c r="J15" s="128"/>
    </row>
    <row r="16" spans="1:10" x14ac:dyDescent="0.35">
      <c r="A16" s="3" t="s">
        <v>6</v>
      </c>
      <c r="B16" s="116" t="s">
        <v>162</v>
      </c>
      <c r="C16" s="117"/>
      <c r="D16" s="117"/>
      <c r="E16" s="118"/>
      <c r="F16" s="4" t="s">
        <v>67</v>
      </c>
      <c r="G16" s="49" t="s">
        <v>165</v>
      </c>
      <c r="H16" s="52"/>
      <c r="I16" s="52"/>
      <c r="J16" s="53"/>
    </row>
    <row r="17" spans="1:10" x14ac:dyDescent="0.35">
      <c r="A17" s="3" t="s">
        <v>7</v>
      </c>
      <c r="B17" s="49" t="s">
        <v>164</v>
      </c>
      <c r="C17" s="52"/>
      <c r="D17" s="52"/>
      <c r="E17" s="53"/>
      <c r="F17" s="4" t="s">
        <v>68</v>
      </c>
      <c r="G17" s="49">
        <v>410201</v>
      </c>
      <c r="H17" s="52"/>
      <c r="I17" s="52"/>
      <c r="J17" s="53"/>
    </row>
    <row r="18" spans="1:10" ht="32.25" customHeight="1" x14ac:dyDescent="0.35">
      <c r="A18" s="105" t="s">
        <v>69</v>
      </c>
      <c r="B18" s="105"/>
      <c r="C18" s="70" t="s">
        <v>166</v>
      </c>
      <c r="D18" s="71"/>
      <c r="E18" s="72"/>
      <c r="F18" s="126" t="s">
        <v>59</v>
      </c>
      <c r="G18" s="126"/>
      <c r="H18" s="83" t="s">
        <v>167</v>
      </c>
      <c r="I18" s="83"/>
      <c r="J18" s="84"/>
    </row>
    <row r="19" spans="1:10" ht="15" customHeight="1" x14ac:dyDescent="0.35">
      <c r="A19" s="138" t="s">
        <v>143</v>
      </c>
      <c r="B19" s="139"/>
      <c r="C19" s="139"/>
      <c r="D19" s="139"/>
      <c r="E19" s="140"/>
      <c r="F19" s="129" t="s">
        <v>142</v>
      </c>
      <c r="G19" s="130"/>
      <c r="H19" s="130"/>
      <c r="I19" s="130"/>
      <c r="J19" s="131"/>
    </row>
    <row r="20" spans="1:10" ht="15.75" customHeight="1" x14ac:dyDescent="0.35">
      <c r="A20" s="141"/>
      <c r="B20" s="142"/>
      <c r="C20" s="142"/>
      <c r="D20" s="142"/>
      <c r="E20" s="143"/>
      <c r="F20" s="132"/>
      <c r="G20" s="133"/>
      <c r="H20" s="133"/>
      <c r="I20" s="133"/>
      <c r="J20" s="134"/>
    </row>
    <row r="21" spans="1:10" ht="15" customHeight="1" x14ac:dyDescent="0.35">
      <c r="A21" s="138" t="s">
        <v>110</v>
      </c>
      <c r="B21" s="152"/>
      <c r="C21" s="152"/>
      <c r="D21" s="152"/>
      <c r="E21" s="153"/>
      <c r="F21" s="138" t="s">
        <v>54</v>
      </c>
      <c r="G21" s="139"/>
      <c r="H21" s="139"/>
      <c r="I21" s="139"/>
      <c r="J21" s="140"/>
    </row>
    <row r="22" spans="1:10" x14ac:dyDescent="0.35">
      <c r="A22" s="154"/>
      <c r="B22" s="155"/>
      <c r="C22" s="155"/>
      <c r="D22" s="155"/>
      <c r="E22" s="156"/>
      <c r="F22" s="141"/>
      <c r="G22" s="142"/>
      <c r="H22" s="142"/>
      <c r="I22" s="142"/>
      <c r="J22" s="143"/>
    </row>
    <row r="23" spans="1:10" x14ac:dyDescent="0.35">
      <c r="A23" s="101" t="s">
        <v>8</v>
      </c>
      <c r="B23" s="50"/>
      <c r="C23" s="50"/>
      <c r="D23" s="50"/>
      <c r="E23" s="51"/>
      <c r="F23" s="148" t="s">
        <v>147</v>
      </c>
      <c r="G23" s="149"/>
      <c r="H23" s="149"/>
      <c r="I23" s="149"/>
      <c r="J23" s="150"/>
    </row>
    <row r="24" spans="1:10" x14ac:dyDescent="0.35">
      <c r="A24" s="101" t="s">
        <v>9</v>
      </c>
      <c r="B24" s="50"/>
      <c r="C24" s="50"/>
      <c r="D24" s="50"/>
      <c r="E24" s="51"/>
      <c r="F24" s="151" t="s">
        <v>60</v>
      </c>
      <c r="G24" s="157"/>
      <c r="H24" s="157"/>
      <c r="I24" s="157"/>
      <c r="J24" s="158"/>
    </row>
    <row r="25" spans="1:10" x14ac:dyDescent="0.35">
      <c r="A25" s="101" t="s">
        <v>10</v>
      </c>
      <c r="B25" s="50"/>
      <c r="C25" s="50"/>
      <c r="D25" s="50"/>
      <c r="E25" s="51"/>
      <c r="F25" s="148" t="s">
        <v>148</v>
      </c>
      <c r="G25" s="149"/>
      <c r="H25" s="149"/>
      <c r="I25" s="149"/>
      <c r="J25" s="150"/>
    </row>
    <row r="26" spans="1:10" x14ac:dyDescent="0.35">
      <c r="A26" s="101" t="s">
        <v>27</v>
      </c>
      <c r="B26" s="50"/>
      <c r="C26" s="50"/>
      <c r="D26" s="50"/>
      <c r="E26" s="51"/>
      <c r="F26" s="151" t="s">
        <v>70</v>
      </c>
      <c r="G26" s="95"/>
      <c r="H26" s="95"/>
      <c r="I26" s="95"/>
      <c r="J26" s="96"/>
    </row>
    <row r="27" spans="1:10" x14ac:dyDescent="0.35">
      <c r="A27" s="119" t="s">
        <v>11</v>
      </c>
      <c r="B27" s="120"/>
      <c r="C27" s="119" t="s">
        <v>12</v>
      </c>
      <c r="D27" s="120"/>
      <c r="E27" s="121" t="s">
        <v>13</v>
      </c>
      <c r="F27" s="120"/>
      <c r="G27" s="121" t="s">
        <v>58</v>
      </c>
      <c r="H27" s="122"/>
      <c r="I27" s="119" t="s">
        <v>14</v>
      </c>
      <c r="J27" s="120"/>
    </row>
    <row r="28" spans="1:10" x14ac:dyDescent="0.35">
      <c r="A28" s="146" t="s">
        <v>15</v>
      </c>
      <c r="B28" s="147"/>
      <c r="C28" s="146" t="s">
        <v>57</v>
      </c>
      <c r="D28" s="147"/>
      <c r="E28" s="146" t="s">
        <v>57</v>
      </c>
      <c r="F28" s="147"/>
      <c r="G28" s="146" t="s">
        <v>57</v>
      </c>
      <c r="H28" s="147"/>
      <c r="I28" s="146" t="s">
        <v>57</v>
      </c>
      <c r="J28" s="147"/>
    </row>
    <row r="29" spans="1:10" x14ac:dyDescent="0.35">
      <c r="A29" s="146" t="s">
        <v>16</v>
      </c>
      <c r="B29" s="147"/>
      <c r="C29" s="111" t="s">
        <v>185</v>
      </c>
      <c r="D29" s="112"/>
      <c r="E29" s="111" t="s">
        <v>186</v>
      </c>
      <c r="F29" s="112"/>
      <c r="G29" s="111" t="s">
        <v>188</v>
      </c>
      <c r="H29" s="112"/>
      <c r="I29" s="111" t="s">
        <v>187</v>
      </c>
      <c r="J29" s="112"/>
    </row>
    <row r="30" spans="1:10" x14ac:dyDescent="0.35">
      <c r="A30" s="116" t="s">
        <v>63</v>
      </c>
      <c r="B30" s="117"/>
      <c r="C30" s="117"/>
      <c r="D30" s="117"/>
      <c r="E30" s="117"/>
      <c r="F30" s="117"/>
      <c r="G30" s="117"/>
      <c r="H30" s="117"/>
      <c r="I30" s="117"/>
      <c r="J30" s="118"/>
    </row>
    <row r="31" spans="1:10" x14ac:dyDescent="0.35">
      <c r="A31" s="116" t="s">
        <v>137</v>
      </c>
      <c r="B31" s="117"/>
      <c r="C31" s="117"/>
      <c r="D31" s="117"/>
      <c r="E31" s="117"/>
      <c r="F31" s="117"/>
      <c r="G31" s="117"/>
      <c r="H31" s="117"/>
      <c r="I31" s="117"/>
      <c r="J31" s="118"/>
    </row>
    <row r="32" spans="1:10" x14ac:dyDescent="0.35">
      <c r="A32" s="116" t="s">
        <v>45</v>
      </c>
      <c r="B32" s="118"/>
      <c r="C32" s="146" t="s">
        <v>46</v>
      </c>
      <c r="D32" s="147"/>
      <c r="E32" s="146">
        <v>18.974459100000001</v>
      </c>
      <c r="F32" s="147"/>
      <c r="G32" s="146" t="s">
        <v>47</v>
      </c>
      <c r="H32" s="147"/>
      <c r="I32" s="146">
        <v>73.336670299999994</v>
      </c>
      <c r="J32" s="147"/>
    </row>
    <row r="33" spans="1:10" x14ac:dyDescent="0.35">
      <c r="A33" s="116" t="s">
        <v>253</v>
      </c>
      <c r="B33" s="118"/>
      <c r="C33" s="162" t="s">
        <v>254</v>
      </c>
      <c r="D33" s="117"/>
      <c r="E33" s="117"/>
      <c r="F33" s="117"/>
      <c r="G33" s="117"/>
      <c r="H33" s="117"/>
      <c r="I33" s="117"/>
      <c r="J33" s="118"/>
    </row>
    <row r="34" spans="1:10" x14ac:dyDescent="0.35">
      <c r="A34" s="123" t="s">
        <v>17</v>
      </c>
      <c r="B34" s="124"/>
      <c r="C34" s="124"/>
      <c r="D34" s="124"/>
      <c r="E34" s="124"/>
      <c r="F34" s="124"/>
      <c r="G34" s="124"/>
      <c r="H34" s="124"/>
      <c r="I34" s="124"/>
      <c r="J34" s="125"/>
    </row>
    <row r="35" spans="1:10" ht="15" customHeight="1" x14ac:dyDescent="0.35">
      <c r="A35" s="138" t="s">
        <v>193</v>
      </c>
      <c r="B35" s="139"/>
      <c r="C35" s="139"/>
      <c r="D35" s="139"/>
      <c r="E35" s="139"/>
      <c r="F35" s="139"/>
      <c r="G35" s="139"/>
      <c r="H35" s="139"/>
      <c r="I35" s="139"/>
      <c r="J35" s="140"/>
    </row>
    <row r="36" spans="1:10" x14ac:dyDescent="0.35">
      <c r="A36" s="141"/>
      <c r="B36" s="142"/>
      <c r="C36" s="142"/>
      <c r="D36" s="142"/>
      <c r="E36" s="142"/>
      <c r="F36" s="142"/>
      <c r="G36" s="142"/>
      <c r="H36" s="142"/>
      <c r="I36" s="142"/>
      <c r="J36" s="143"/>
    </row>
    <row r="37" spans="1:10" ht="16.5" customHeight="1" x14ac:dyDescent="0.35">
      <c r="A37" s="49" t="s">
        <v>71</v>
      </c>
      <c r="B37" s="50"/>
      <c r="C37" s="50"/>
      <c r="D37" s="50"/>
      <c r="E37" s="51"/>
      <c r="F37" s="98">
        <v>15380</v>
      </c>
      <c r="G37" s="99"/>
      <c r="H37" s="99"/>
      <c r="I37" s="99"/>
      <c r="J37" s="100"/>
    </row>
    <row r="38" spans="1:10" x14ac:dyDescent="0.35">
      <c r="A38" s="101" t="s">
        <v>18</v>
      </c>
      <c r="B38" s="50"/>
      <c r="C38" s="50"/>
      <c r="D38" s="50"/>
      <c r="E38" s="51"/>
      <c r="F38" s="49">
        <v>1</v>
      </c>
      <c r="G38" s="52"/>
      <c r="H38" s="52"/>
      <c r="I38" s="52"/>
      <c r="J38" s="53"/>
    </row>
    <row r="39" spans="1:10" x14ac:dyDescent="0.35">
      <c r="A39" s="101" t="s">
        <v>19</v>
      </c>
      <c r="B39" s="50"/>
      <c r="C39" s="50"/>
      <c r="D39" s="50"/>
      <c r="E39" s="51"/>
      <c r="F39" s="49">
        <v>0</v>
      </c>
      <c r="G39" s="52"/>
      <c r="H39" s="52"/>
      <c r="I39" s="52"/>
      <c r="J39" s="53"/>
    </row>
    <row r="40" spans="1:10" x14ac:dyDescent="0.35">
      <c r="A40" s="101" t="s">
        <v>20</v>
      </c>
      <c r="B40" s="50"/>
      <c r="C40" s="50"/>
      <c r="D40" s="50"/>
      <c r="E40" s="51"/>
      <c r="F40" s="49">
        <f>F38+F39</f>
        <v>1</v>
      </c>
      <c r="G40" s="52"/>
      <c r="H40" s="52"/>
      <c r="I40" s="52"/>
      <c r="J40" s="53"/>
    </row>
    <row r="41" spans="1:10" x14ac:dyDescent="0.35">
      <c r="A41" s="49" t="s">
        <v>72</v>
      </c>
      <c r="B41" s="50"/>
      <c r="C41" s="50"/>
      <c r="D41" s="50"/>
      <c r="E41" s="51"/>
      <c r="F41" s="159">
        <f>F37*F40</f>
        <v>15380</v>
      </c>
      <c r="G41" s="160"/>
      <c r="H41" s="160"/>
      <c r="I41" s="160"/>
      <c r="J41" s="161"/>
    </row>
    <row r="42" spans="1:10" x14ac:dyDescent="0.35">
      <c r="A42" s="101" t="s">
        <v>21</v>
      </c>
      <c r="B42" s="50"/>
      <c r="C42" s="50"/>
      <c r="D42" s="50"/>
      <c r="E42" s="51"/>
      <c r="F42" s="49" t="s">
        <v>209</v>
      </c>
      <c r="G42" s="52"/>
      <c r="H42" s="52"/>
      <c r="I42" s="52"/>
      <c r="J42" s="53"/>
    </row>
    <row r="43" spans="1:10" x14ac:dyDescent="0.35">
      <c r="A43" s="191" t="s">
        <v>74</v>
      </c>
      <c r="B43" s="191"/>
      <c r="C43" s="191"/>
      <c r="D43" s="191"/>
      <c r="E43" s="191"/>
      <c r="F43" s="191"/>
      <c r="G43" s="191"/>
      <c r="H43" s="191"/>
      <c r="I43" s="191"/>
      <c r="J43" s="191"/>
    </row>
    <row r="44" spans="1:10" ht="15" customHeight="1" x14ac:dyDescent="0.35">
      <c r="A44" s="126" t="s">
        <v>73</v>
      </c>
      <c r="B44" s="126"/>
      <c r="C44" s="221" t="s">
        <v>168</v>
      </c>
      <c r="D44" s="221"/>
      <c r="E44" s="221"/>
      <c r="F44" s="221"/>
      <c r="G44" s="6" t="s">
        <v>64</v>
      </c>
      <c r="H44" s="222" t="s">
        <v>169</v>
      </c>
      <c r="I44" s="222"/>
      <c r="J44" s="222"/>
    </row>
    <row r="45" spans="1:10" ht="15.75" customHeight="1" x14ac:dyDescent="0.35">
      <c r="A45" s="126" t="s">
        <v>75</v>
      </c>
      <c r="B45" s="126"/>
      <c r="C45" s="221" t="str">
        <f>C44</f>
        <v>MHSL/LNA.1(B)/S.R.255/2014.</v>
      </c>
      <c r="D45" s="221"/>
      <c r="E45" s="221"/>
      <c r="F45" s="221"/>
      <c r="G45" s="6" t="s">
        <v>64</v>
      </c>
      <c r="H45" s="222" t="str">
        <f>H44</f>
        <v>31/05/2017.</v>
      </c>
      <c r="I45" s="222" t="s">
        <v>55</v>
      </c>
      <c r="J45" s="222"/>
    </row>
    <row r="46" spans="1:10" ht="31.5" customHeight="1" x14ac:dyDescent="0.35">
      <c r="A46" s="126" t="s">
        <v>211</v>
      </c>
      <c r="B46" s="126"/>
      <c r="C46" s="126" t="s">
        <v>252</v>
      </c>
      <c r="D46" s="126"/>
      <c r="E46" s="126"/>
      <c r="F46" s="126"/>
      <c r="G46" s="4" t="s">
        <v>64</v>
      </c>
      <c r="H46" s="174" t="s">
        <v>169</v>
      </c>
      <c r="I46" s="105"/>
      <c r="J46" s="105"/>
    </row>
    <row r="47" spans="1:10" ht="74" customHeight="1" x14ac:dyDescent="0.35">
      <c r="A47" s="189" t="s">
        <v>106</v>
      </c>
      <c r="B47" s="189"/>
      <c r="C47" s="189" t="s">
        <v>260</v>
      </c>
      <c r="D47" s="189"/>
      <c r="E47" s="189"/>
      <c r="F47" s="189" t="s">
        <v>107</v>
      </c>
      <c r="G47" s="46" t="s">
        <v>64</v>
      </c>
      <c r="H47" s="190">
        <v>44845</v>
      </c>
      <c r="I47" s="191" t="s">
        <v>61</v>
      </c>
      <c r="J47" s="191"/>
    </row>
    <row r="48" spans="1:10" x14ac:dyDescent="0.35">
      <c r="A48" s="105" t="s">
        <v>79</v>
      </c>
      <c r="B48" s="105"/>
      <c r="C48" s="105"/>
      <c r="D48" s="175" t="str">
        <f>H46</f>
        <v>31/05/2017.</v>
      </c>
      <c r="E48" s="176"/>
      <c r="F48" s="105" t="s">
        <v>76</v>
      </c>
      <c r="G48" s="169"/>
      <c r="H48" s="104" t="s">
        <v>245</v>
      </c>
      <c r="I48" s="105"/>
      <c r="J48" s="105"/>
    </row>
    <row r="49" spans="1:10" x14ac:dyDescent="0.35">
      <c r="A49" s="173" t="s">
        <v>22</v>
      </c>
      <c r="B49" s="173"/>
      <c r="C49" s="173"/>
      <c r="D49" s="173"/>
      <c r="E49" s="173"/>
      <c r="F49" s="173"/>
      <c r="G49" s="173"/>
      <c r="H49" s="173"/>
      <c r="I49" s="173"/>
      <c r="J49" s="173"/>
    </row>
    <row r="50" spans="1:10" ht="30" customHeight="1" x14ac:dyDescent="0.35">
      <c r="A50" s="105" t="s">
        <v>105</v>
      </c>
      <c r="B50" s="105"/>
      <c r="C50" s="105"/>
      <c r="D50" s="194">
        <f>F41</f>
        <v>15380</v>
      </c>
      <c r="E50" s="194"/>
      <c r="F50" s="188" t="s">
        <v>196</v>
      </c>
      <c r="G50" s="188"/>
      <c r="H50" s="188"/>
      <c r="I50" s="187" t="s">
        <v>192</v>
      </c>
      <c r="J50" s="187"/>
    </row>
    <row r="51" spans="1:10" x14ac:dyDescent="0.35">
      <c r="A51" s="197" t="s">
        <v>77</v>
      </c>
      <c r="B51" s="197"/>
      <c r="C51" s="188" t="s">
        <v>251</v>
      </c>
      <c r="D51" s="188"/>
      <c r="E51" s="188"/>
      <c r="F51" s="105" t="s">
        <v>62</v>
      </c>
      <c r="G51" s="105"/>
      <c r="H51" s="105"/>
      <c r="I51" s="105"/>
      <c r="J51" s="105"/>
    </row>
    <row r="52" spans="1:10" x14ac:dyDescent="0.35">
      <c r="A52" s="132" t="s">
        <v>246</v>
      </c>
      <c r="B52" s="133"/>
      <c r="C52" s="133"/>
      <c r="D52" s="133"/>
      <c r="E52" s="134"/>
      <c r="F52" s="141" t="s">
        <v>262</v>
      </c>
      <c r="G52" s="142"/>
      <c r="H52" s="142"/>
      <c r="I52" s="142"/>
      <c r="J52" s="143"/>
    </row>
    <row r="53" spans="1:10" x14ac:dyDescent="0.35">
      <c r="A53" s="49" t="s">
        <v>244</v>
      </c>
      <c r="B53" s="52"/>
      <c r="C53" s="52"/>
      <c r="D53" s="52"/>
      <c r="E53" s="52"/>
      <c r="F53" s="52"/>
      <c r="G53" s="52"/>
      <c r="H53" s="52"/>
      <c r="I53" s="52"/>
      <c r="J53" s="53"/>
    </row>
    <row r="54" spans="1:10" ht="15" customHeight="1" x14ac:dyDescent="0.35">
      <c r="A54" s="170" t="s">
        <v>51</v>
      </c>
      <c r="B54" s="171"/>
      <c r="C54" s="171"/>
      <c r="D54" s="171"/>
      <c r="E54" s="171"/>
      <c r="F54" s="171"/>
      <c r="G54" s="171"/>
      <c r="H54" s="171"/>
      <c r="I54" s="171"/>
      <c r="J54" s="172"/>
    </row>
    <row r="55" spans="1:10" s="29" customFormat="1" x14ac:dyDescent="0.35">
      <c r="A55" s="166" t="s">
        <v>261</v>
      </c>
      <c r="B55" s="167"/>
      <c r="C55" s="167"/>
      <c r="D55" s="167"/>
      <c r="E55" s="167"/>
      <c r="F55" s="167"/>
      <c r="G55" s="167"/>
      <c r="H55" s="167"/>
      <c r="I55" s="167"/>
      <c r="J55" s="168"/>
    </row>
    <row r="56" spans="1:10" s="30" customFormat="1" ht="15" customHeight="1" x14ac:dyDescent="0.35">
      <c r="A56" s="177"/>
      <c r="B56" s="179"/>
      <c r="C56" s="111" t="s">
        <v>35</v>
      </c>
      <c r="D56" s="186"/>
      <c r="E56" s="112"/>
      <c r="F56" s="111" t="s">
        <v>36</v>
      </c>
      <c r="G56" s="112"/>
      <c r="H56" s="177"/>
      <c r="I56" s="178"/>
      <c r="J56" s="179"/>
    </row>
    <row r="57" spans="1:10" s="30" customFormat="1" x14ac:dyDescent="0.35">
      <c r="A57" s="180"/>
      <c r="B57" s="182"/>
      <c r="C57" s="111" t="s">
        <v>37</v>
      </c>
      <c r="D57" s="186"/>
      <c r="E57" s="112"/>
      <c r="F57" s="192">
        <f>A!E4</f>
        <v>100</v>
      </c>
      <c r="G57" s="193"/>
      <c r="H57" s="180"/>
      <c r="I57" s="181"/>
      <c r="J57" s="182"/>
    </row>
    <row r="58" spans="1:10" s="30" customFormat="1" x14ac:dyDescent="0.35">
      <c r="A58" s="180"/>
      <c r="B58" s="182"/>
      <c r="C58" s="111" t="s">
        <v>38</v>
      </c>
      <c r="D58" s="186"/>
      <c r="E58" s="112"/>
      <c r="F58" s="195">
        <f>A!E6</f>
        <v>100</v>
      </c>
      <c r="G58" s="196"/>
      <c r="H58" s="180"/>
      <c r="I58" s="181"/>
      <c r="J58" s="182"/>
    </row>
    <row r="59" spans="1:10" s="30" customFormat="1" x14ac:dyDescent="0.35">
      <c r="A59" s="180"/>
      <c r="B59" s="182"/>
      <c r="C59" s="111" t="s">
        <v>39</v>
      </c>
      <c r="D59" s="186"/>
      <c r="E59" s="112"/>
      <c r="F59" s="195">
        <f>A!E8</f>
        <v>100</v>
      </c>
      <c r="G59" s="196"/>
      <c r="H59" s="180"/>
      <c r="I59" s="181"/>
      <c r="J59" s="182"/>
    </row>
    <row r="60" spans="1:10" s="30" customFormat="1" x14ac:dyDescent="0.35">
      <c r="A60" s="180"/>
      <c r="B60" s="182"/>
      <c r="C60" s="111" t="s">
        <v>40</v>
      </c>
      <c r="D60" s="186"/>
      <c r="E60" s="112"/>
      <c r="F60" s="195">
        <f>A!E10</f>
        <v>100</v>
      </c>
      <c r="G60" s="196"/>
      <c r="H60" s="180"/>
      <c r="I60" s="181"/>
      <c r="J60" s="182"/>
    </row>
    <row r="61" spans="1:10" s="30" customFormat="1" x14ac:dyDescent="0.35">
      <c r="A61" s="180"/>
      <c r="B61" s="182"/>
      <c r="C61" s="111" t="s">
        <v>48</v>
      </c>
      <c r="D61" s="186"/>
      <c r="E61" s="112"/>
      <c r="F61" s="195">
        <f>A!E12</f>
        <v>100</v>
      </c>
      <c r="G61" s="196"/>
      <c r="H61" s="180"/>
      <c r="I61" s="181"/>
      <c r="J61" s="182"/>
    </row>
    <row r="62" spans="1:10" s="30" customFormat="1" ht="15" customHeight="1" x14ac:dyDescent="0.35">
      <c r="A62" s="180"/>
      <c r="B62" s="182"/>
      <c r="C62" s="111" t="s">
        <v>49</v>
      </c>
      <c r="D62" s="186"/>
      <c r="E62" s="112"/>
      <c r="F62" s="192">
        <f>A!E14</f>
        <v>100</v>
      </c>
      <c r="G62" s="193"/>
      <c r="H62" s="180"/>
      <c r="I62" s="181"/>
      <c r="J62" s="182"/>
    </row>
    <row r="63" spans="1:10" s="30" customFormat="1" x14ac:dyDescent="0.35">
      <c r="A63" s="183"/>
      <c r="B63" s="185"/>
      <c r="C63" s="111" t="s">
        <v>50</v>
      </c>
      <c r="D63" s="186"/>
      <c r="E63" s="112"/>
      <c r="F63" s="192">
        <f>A!E16</f>
        <v>100</v>
      </c>
      <c r="G63" s="193"/>
      <c r="H63" s="183"/>
      <c r="I63" s="184"/>
      <c r="J63" s="185"/>
    </row>
    <row r="64" spans="1:10" s="30" customFormat="1" x14ac:dyDescent="0.35">
      <c r="A64" s="108" t="s">
        <v>33</v>
      </c>
      <c r="B64" s="109"/>
      <c r="C64" s="110"/>
      <c r="D64" s="106">
        <v>100</v>
      </c>
      <c r="E64" s="107"/>
      <c r="F64" s="108" t="s">
        <v>34</v>
      </c>
      <c r="G64" s="109"/>
      <c r="H64" s="110"/>
      <c r="I64" s="106">
        <f>A!L20</f>
        <v>100</v>
      </c>
      <c r="J64" s="107"/>
    </row>
    <row r="65" spans="1:10" s="30" customFormat="1" ht="31.5" hidden="1" customHeight="1" x14ac:dyDescent="0.35">
      <c r="A65" s="166" t="s">
        <v>240</v>
      </c>
      <c r="B65" s="167"/>
      <c r="C65" s="167"/>
      <c r="D65" s="167"/>
      <c r="E65" s="167"/>
      <c r="F65" s="167"/>
      <c r="G65" s="167"/>
      <c r="H65" s="167"/>
      <c r="I65" s="167"/>
      <c r="J65" s="168"/>
    </row>
    <row r="66" spans="1:10" s="30" customFormat="1" ht="15" hidden="1" customHeight="1" x14ac:dyDescent="0.35">
      <c r="A66" s="177"/>
      <c r="B66" s="179"/>
      <c r="C66" s="111" t="s">
        <v>35</v>
      </c>
      <c r="D66" s="186"/>
      <c r="E66" s="112"/>
      <c r="F66" s="111" t="s">
        <v>36</v>
      </c>
      <c r="G66" s="112"/>
      <c r="H66" s="177"/>
      <c r="I66" s="178"/>
      <c r="J66" s="179"/>
    </row>
    <row r="67" spans="1:10" s="30" customFormat="1" hidden="1" x14ac:dyDescent="0.35">
      <c r="A67" s="180"/>
      <c r="B67" s="182"/>
      <c r="C67" s="111" t="s">
        <v>37</v>
      </c>
      <c r="D67" s="186"/>
      <c r="E67" s="112"/>
      <c r="F67" s="192">
        <f>B!E4</f>
        <v>100</v>
      </c>
      <c r="G67" s="193"/>
      <c r="H67" s="180"/>
      <c r="I67" s="181"/>
      <c r="J67" s="182"/>
    </row>
    <row r="68" spans="1:10" s="30" customFormat="1" hidden="1" x14ac:dyDescent="0.35">
      <c r="A68" s="180"/>
      <c r="B68" s="182"/>
      <c r="C68" s="111" t="s">
        <v>38</v>
      </c>
      <c r="D68" s="186"/>
      <c r="E68" s="112"/>
      <c r="F68" s="192">
        <f>B!E6</f>
        <v>100</v>
      </c>
      <c r="G68" s="193"/>
      <c r="H68" s="180"/>
      <c r="I68" s="181"/>
      <c r="J68" s="182"/>
    </row>
    <row r="69" spans="1:10" s="30" customFormat="1" hidden="1" x14ac:dyDescent="0.35">
      <c r="A69" s="180"/>
      <c r="B69" s="182"/>
      <c r="C69" s="111" t="s">
        <v>39</v>
      </c>
      <c r="D69" s="186"/>
      <c r="E69" s="112"/>
      <c r="F69" s="192">
        <f>B!E8</f>
        <v>100</v>
      </c>
      <c r="G69" s="193"/>
      <c r="H69" s="180"/>
      <c r="I69" s="181"/>
      <c r="J69" s="182"/>
    </row>
    <row r="70" spans="1:10" s="30" customFormat="1" hidden="1" x14ac:dyDescent="0.35">
      <c r="A70" s="180"/>
      <c r="B70" s="182"/>
      <c r="C70" s="111" t="s">
        <v>40</v>
      </c>
      <c r="D70" s="186"/>
      <c r="E70" s="112"/>
      <c r="F70" s="192">
        <f>B!E10</f>
        <v>100</v>
      </c>
      <c r="G70" s="193"/>
      <c r="H70" s="180"/>
      <c r="I70" s="181"/>
      <c r="J70" s="182"/>
    </row>
    <row r="71" spans="1:10" s="30" customFormat="1" hidden="1" x14ac:dyDescent="0.35">
      <c r="A71" s="180"/>
      <c r="B71" s="182"/>
      <c r="C71" s="111" t="s">
        <v>48</v>
      </c>
      <c r="D71" s="186"/>
      <c r="E71" s="112"/>
      <c r="F71" s="195">
        <f>B!E12</f>
        <v>100</v>
      </c>
      <c r="G71" s="196"/>
      <c r="H71" s="180"/>
      <c r="I71" s="181"/>
      <c r="J71" s="182"/>
    </row>
    <row r="72" spans="1:10" s="30" customFormat="1" ht="15" hidden="1" customHeight="1" x14ac:dyDescent="0.35">
      <c r="A72" s="180"/>
      <c r="B72" s="182"/>
      <c r="C72" s="111" t="s">
        <v>49</v>
      </c>
      <c r="D72" s="186"/>
      <c r="E72" s="112"/>
      <c r="F72" s="192">
        <f>B!E14</f>
        <v>75</v>
      </c>
      <c r="G72" s="193"/>
      <c r="H72" s="180"/>
      <c r="I72" s="181"/>
      <c r="J72" s="182"/>
    </row>
    <row r="73" spans="1:10" s="30" customFormat="1" hidden="1" x14ac:dyDescent="0.35">
      <c r="A73" s="183"/>
      <c r="B73" s="185"/>
      <c r="C73" s="111" t="s">
        <v>50</v>
      </c>
      <c r="D73" s="186"/>
      <c r="E73" s="112"/>
      <c r="F73" s="192">
        <f>B!E16</f>
        <v>0</v>
      </c>
      <c r="G73" s="193"/>
      <c r="H73" s="183"/>
      <c r="I73" s="184"/>
      <c r="J73" s="185"/>
    </row>
    <row r="74" spans="1:10" s="30" customFormat="1" hidden="1" x14ac:dyDescent="0.35">
      <c r="A74" s="108" t="s">
        <v>33</v>
      </c>
      <c r="B74" s="109"/>
      <c r="C74" s="110"/>
      <c r="D74" s="106">
        <f>B!K20</f>
        <v>88.75</v>
      </c>
      <c r="E74" s="107"/>
      <c r="F74" s="108" t="s">
        <v>34</v>
      </c>
      <c r="G74" s="109"/>
      <c r="H74" s="110"/>
      <c r="I74" s="106">
        <f>B!L20</f>
        <v>93.75</v>
      </c>
      <c r="J74" s="107"/>
    </row>
    <row r="75" spans="1:10" s="30" customFormat="1" ht="31.5" hidden="1" customHeight="1" x14ac:dyDescent="0.35">
      <c r="A75" s="166" t="s">
        <v>241</v>
      </c>
      <c r="B75" s="167"/>
      <c r="C75" s="167"/>
      <c r="D75" s="167"/>
      <c r="E75" s="167"/>
      <c r="F75" s="167"/>
      <c r="G75" s="167"/>
      <c r="H75" s="167"/>
      <c r="I75" s="167"/>
      <c r="J75" s="168"/>
    </row>
    <row r="76" spans="1:10" s="30" customFormat="1" ht="15" hidden="1" customHeight="1" x14ac:dyDescent="0.35">
      <c r="A76" s="177"/>
      <c r="B76" s="179"/>
      <c r="C76" s="111" t="s">
        <v>35</v>
      </c>
      <c r="D76" s="186"/>
      <c r="E76" s="112"/>
      <c r="F76" s="111" t="s">
        <v>36</v>
      </c>
      <c r="G76" s="112"/>
      <c r="H76" s="177"/>
      <c r="I76" s="178"/>
      <c r="J76" s="179"/>
    </row>
    <row r="77" spans="1:10" s="30" customFormat="1" hidden="1" x14ac:dyDescent="0.35">
      <c r="A77" s="180"/>
      <c r="B77" s="182"/>
      <c r="C77" s="111" t="s">
        <v>37</v>
      </c>
      <c r="D77" s="186"/>
      <c r="E77" s="112"/>
      <c r="F77" s="192">
        <f>'C'!E4</f>
        <v>100</v>
      </c>
      <c r="G77" s="193"/>
      <c r="H77" s="180"/>
      <c r="I77" s="181"/>
      <c r="J77" s="182"/>
    </row>
    <row r="78" spans="1:10" s="30" customFormat="1" hidden="1" x14ac:dyDescent="0.35">
      <c r="A78" s="180"/>
      <c r="B78" s="182"/>
      <c r="C78" s="111" t="s">
        <v>38</v>
      </c>
      <c r="D78" s="186"/>
      <c r="E78" s="112"/>
      <c r="F78" s="192">
        <f>'C'!E6</f>
        <v>100</v>
      </c>
      <c r="G78" s="193"/>
      <c r="H78" s="180"/>
      <c r="I78" s="181"/>
      <c r="J78" s="182"/>
    </row>
    <row r="79" spans="1:10" s="30" customFormat="1" hidden="1" x14ac:dyDescent="0.35">
      <c r="A79" s="180"/>
      <c r="B79" s="182"/>
      <c r="C79" s="111" t="s">
        <v>39</v>
      </c>
      <c r="D79" s="186"/>
      <c r="E79" s="112"/>
      <c r="F79" s="192">
        <f>'C'!E8</f>
        <v>100</v>
      </c>
      <c r="G79" s="193"/>
      <c r="H79" s="180"/>
      <c r="I79" s="181"/>
      <c r="J79" s="182"/>
    </row>
    <row r="80" spans="1:10" s="30" customFormat="1" hidden="1" x14ac:dyDescent="0.35">
      <c r="A80" s="180"/>
      <c r="B80" s="182"/>
      <c r="C80" s="111" t="s">
        <v>40</v>
      </c>
      <c r="D80" s="186"/>
      <c r="E80" s="112"/>
      <c r="F80" s="192">
        <f>'C'!E10</f>
        <v>100</v>
      </c>
      <c r="G80" s="193"/>
      <c r="H80" s="180"/>
      <c r="I80" s="181"/>
      <c r="J80" s="182"/>
    </row>
    <row r="81" spans="1:10" s="30" customFormat="1" hidden="1" x14ac:dyDescent="0.35">
      <c r="A81" s="180"/>
      <c r="B81" s="182"/>
      <c r="C81" s="111" t="s">
        <v>48</v>
      </c>
      <c r="D81" s="186"/>
      <c r="E81" s="112"/>
      <c r="F81" s="192">
        <f>'C'!E12</f>
        <v>100</v>
      </c>
      <c r="G81" s="193"/>
      <c r="H81" s="180"/>
      <c r="I81" s="181"/>
      <c r="J81" s="182"/>
    </row>
    <row r="82" spans="1:10" s="30" customFormat="1" ht="15" hidden="1" customHeight="1" x14ac:dyDescent="0.35">
      <c r="A82" s="180"/>
      <c r="B82" s="182"/>
      <c r="C82" s="111" t="s">
        <v>49</v>
      </c>
      <c r="D82" s="186"/>
      <c r="E82" s="112"/>
      <c r="F82" s="192">
        <f>'C'!E14</f>
        <v>50</v>
      </c>
      <c r="G82" s="193"/>
      <c r="H82" s="180"/>
      <c r="I82" s="181"/>
      <c r="J82" s="182"/>
    </row>
    <row r="83" spans="1:10" s="30" customFormat="1" hidden="1" x14ac:dyDescent="0.35">
      <c r="A83" s="183"/>
      <c r="B83" s="185"/>
      <c r="C83" s="111" t="s">
        <v>50</v>
      </c>
      <c r="D83" s="186"/>
      <c r="E83" s="112"/>
      <c r="F83" s="192">
        <f>'C'!E16</f>
        <v>0</v>
      </c>
      <c r="G83" s="193"/>
      <c r="H83" s="183"/>
      <c r="I83" s="184"/>
      <c r="J83" s="185"/>
    </row>
    <row r="84" spans="1:10" s="30" customFormat="1" hidden="1" x14ac:dyDescent="0.35">
      <c r="A84" s="108" t="s">
        <v>33</v>
      </c>
      <c r="B84" s="109"/>
      <c r="C84" s="110"/>
      <c r="D84" s="106">
        <f>'C'!K20</f>
        <v>87.5</v>
      </c>
      <c r="E84" s="107"/>
      <c r="F84" s="108" t="s">
        <v>34</v>
      </c>
      <c r="G84" s="109"/>
      <c r="H84" s="110"/>
      <c r="I84" s="106">
        <f>'C'!L20</f>
        <v>92.5</v>
      </c>
      <c r="J84" s="107"/>
    </row>
    <row r="85" spans="1:10" s="30" customFormat="1" ht="31.5" hidden="1" customHeight="1" x14ac:dyDescent="0.35">
      <c r="A85" s="166" t="s">
        <v>239</v>
      </c>
      <c r="B85" s="167"/>
      <c r="C85" s="167"/>
      <c r="D85" s="167"/>
      <c r="E85" s="167"/>
      <c r="F85" s="167"/>
      <c r="G85" s="167"/>
      <c r="H85" s="167"/>
      <c r="I85" s="167"/>
      <c r="J85" s="168"/>
    </row>
    <row r="86" spans="1:10" s="30" customFormat="1" hidden="1" x14ac:dyDescent="0.35">
      <c r="A86" s="177"/>
      <c r="B86" s="179"/>
      <c r="C86" s="111" t="s">
        <v>35</v>
      </c>
      <c r="D86" s="186"/>
      <c r="E86" s="112"/>
      <c r="F86" s="111" t="s">
        <v>36</v>
      </c>
      <c r="G86" s="112"/>
      <c r="H86" s="177"/>
      <c r="I86" s="178"/>
      <c r="J86" s="179"/>
    </row>
    <row r="87" spans="1:10" s="30" customFormat="1" hidden="1" x14ac:dyDescent="0.35">
      <c r="A87" s="180"/>
      <c r="B87" s="182"/>
      <c r="C87" s="111" t="s">
        <v>37</v>
      </c>
      <c r="D87" s="186"/>
      <c r="E87" s="112"/>
      <c r="F87" s="192">
        <f>P!E4</f>
        <v>100</v>
      </c>
      <c r="G87" s="193"/>
      <c r="H87" s="180"/>
      <c r="I87" s="181"/>
      <c r="J87" s="182"/>
    </row>
    <row r="88" spans="1:10" s="30" customFormat="1" hidden="1" x14ac:dyDescent="0.35">
      <c r="A88" s="180"/>
      <c r="B88" s="182"/>
      <c r="C88" s="111" t="s">
        <v>38</v>
      </c>
      <c r="D88" s="186"/>
      <c r="E88" s="112"/>
      <c r="F88" s="192">
        <f>P!E6</f>
        <v>100</v>
      </c>
      <c r="G88" s="193"/>
      <c r="H88" s="180"/>
      <c r="I88" s="181"/>
      <c r="J88" s="182"/>
    </row>
    <row r="89" spans="1:10" s="30" customFormat="1" hidden="1" x14ac:dyDescent="0.35">
      <c r="A89" s="180"/>
      <c r="B89" s="182"/>
      <c r="C89" s="111" t="s">
        <v>39</v>
      </c>
      <c r="D89" s="186"/>
      <c r="E89" s="112"/>
      <c r="F89" s="192">
        <f>P!E8</f>
        <v>100</v>
      </c>
      <c r="G89" s="193"/>
      <c r="H89" s="180"/>
      <c r="I89" s="181"/>
      <c r="J89" s="182"/>
    </row>
    <row r="90" spans="1:10" s="30" customFormat="1" hidden="1" x14ac:dyDescent="0.35">
      <c r="A90" s="180"/>
      <c r="B90" s="182"/>
      <c r="C90" s="111" t="s">
        <v>40</v>
      </c>
      <c r="D90" s="186"/>
      <c r="E90" s="112"/>
      <c r="F90" s="192">
        <f>P!E10</f>
        <v>100</v>
      </c>
      <c r="G90" s="193"/>
      <c r="H90" s="180"/>
      <c r="I90" s="181"/>
      <c r="J90" s="182"/>
    </row>
    <row r="91" spans="1:10" s="30" customFormat="1" hidden="1" x14ac:dyDescent="0.35">
      <c r="A91" s="180"/>
      <c r="B91" s="182"/>
      <c r="C91" s="111" t="s">
        <v>48</v>
      </c>
      <c r="D91" s="186"/>
      <c r="E91" s="112"/>
      <c r="F91" s="192">
        <f>P!E12</f>
        <v>100</v>
      </c>
      <c r="G91" s="193"/>
      <c r="H91" s="180"/>
      <c r="I91" s="181"/>
      <c r="J91" s="182"/>
    </row>
    <row r="92" spans="1:10" s="30" customFormat="1" hidden="1" x14ac:dyDescent="0.35">
      <c r="A92" s="180"/>
      <c r="B92" s="182"/>
      <c r="C92" s="111" t="s">
        <v>49</v>
      </c>
      <c r="D92" s="186"/>
      <c r="E92" s="112"/>
      <c r="F92" s="192">
        <f>P!E14</f>
        <v>100</v>
      </c>
      <c r="G92" s="193"/>
      <c r="H92" s="180"/>
      <c r="I92" s="181"/>
      <c r="J92" s="182"/>
    </row>
    <row r="93" spans="1:10" s="30" customFormat="1" hidden="1" x14ac:dyDescent="0.35">
      <c r="A93" s="183"/>
      <c r="B93" s="185"/>
      <c r="C93" s="111" t="s">
        <v>50</v>
      </c>
      <c r="D93" s="186"/>
      <c r="E93" s="112"/>
      <c r="F93" s="195">
        <f>P!E16</f>
        <v>25</v>
      </c>
      <c r="G93" s="196"/>
      <c r="H93" s="183"/>
      <c r="I93" s="184"/>
      <c r="J93" s="185"/>
    </row>
    <row r="94" spans="1:10" s="30" customFormat="1" hidden="1" x14ac:dyDescent="0.35">
      <c r="A94" s="108" t="s">
        <v>33</v>
      </c>
      <c r="B94" s="109"/>
      <c r="C94" s="110"/>
      <c r="D94" s="106">
        <f>P!K20</f>
        <v>91.25</v>
      </c>
      <c r="E94" s="107"/>
      <c r="F94" s="108" t="s">
        <v>34</v>
      </c>
      <c r="G94" s="109"/>
      <c r="H94" s="110"/>
      <c r="I94" s="106">
        <f>P!L20</f>
        <v>96.25</v>
      </c>
      <c r="J94" s="107"/>
    </row>
    <row r="95" spans="1:10" s="30" customFormat="1" ht="34.5" hidden="1" customHeight="1" x14ac:dyDescent="0.35">
      <c r="A95" s="166" t="s">
        <v>238</v>
      </c>
      <c r="B95" s="167"/>
      <c r="C95" s="167"/>
      <c r="D95" s="167"/>
      <c r="E95" s="167"/>
      <c r="F95" s="167"/>
      <c r="G95" s="167"/>
      <c r="H95" s="167"/>
      <c r="I95" s="167"/>
      <c r="J95" s="168"/>
    </row>
    <row r="96" spans="1:10" s="30" customFormat="1" hidden="1" x14ac:dyDescent="0.35">
      <c r="A96" s="177"/>
      <c r="B96" s="179"/>
      <c r="C96" s="111" t="s">
        <v>35</v>
      </c>
      <c r="D96" s="186"/>
      <c r="E96" s="112"/>
      <c r="F96" s="111" t="s">
        <v>36</v>
      </c>
      <c r="G96" s="112"/>
      <c r="H96" s="177"/>
      <c r="I96" s="178"/>
      <c r="J96" s="179"/>
    </row>
    <row r="97" spans="1:10" s="30" customFormat="1" hidden="1" x14ac:dyDescent="0.35">
      <c r="A97" s="180"/>
      <c r="B97" s="182"/>
      <c r="C97" s="111" t="s">
        <v>37</v>
      </c>
      <c r="D97" s="186"/>
      <c r="E97" s="112"/>
      <c r="F97" s="192">
        <f>Q!E4</f>
        <v>100</v>
      </c>
      <c r="G97" s="193"/>
      <c r="H97" s="180"/>
      <c r="I97" s="181"/>
      <c r="J97" s="182"/>
    </row>
    <row r="98" spans="1:10" s="30" customFormat="1" hidden="1" x14ac:dyDescent="0.35">
      <c r="A98" s="180"/>
      <c r="B98" s="182"/>
      <c r="C98" s="111" t="s">
        <v>38</v>
      </c>
      <c r="D98" s="186"/>
      <c r="E98" s="112"/>
      <c r="F98" s="192">
        <f>Q!E6</f>
        <v>100</v>
      </c>
      <c r="G98" s="193"/>
      <c r="H98" s="180"/>
      <c r="I98" s="181"/>
      <c r="J98" s="182"/>
    </row>
    <row r="99" spans="1:10" s="30" customFormat="1" hidden="1" x14ac:dyDescent="0.35">
      <c r="A99" s="180"/>
      <c r="B99" s="182"/>
      <c r="C99" s="111" t="s">
        <v>39</v>
      </c>
      <c r="D99" s="186"/>
      <c r="E99" s="112"/>
      <c r="F99" s="192">
        <f>Q!E8</f>
        <v>100</v>
      </c>
      <c r="G99" s="193"/>
      <c r="H99" s="180"/>
      <c r="I99" s="181"/>
      <c r="J99" s="182"/>
    </row>
    <row r="100" spans="1:10" s="30" customFormat="1" hidden="1" x14ac:dyDescent="0.35">
      <c r="A100" s="180"/>
      <c r="B100" s="182"/>
      <c r="C100" s="111" t="s">
        <v>40</v>
      </c>
      <c r="D100" s="186"/>
      <c r="E100" s="112"/>
      <c r="F100" s="192">
        <f>Q!E10</f>
        <v>100</v>
      </c>
      <c r="G100" s="193"/>
      <c r="H100" s="180"/>
      <c r="I100" s="181"/>
      <c r="J100" s="182"/>
    </row>
    <row r="101" spans="1:10" s="30" customFormat="1" hidden="1" x14ac:dyDescent="0.35">
      <c r="A101" s="180"/>
      <c r="B101" s="182"/>
      <c r="C101" s="111" t="s">
        <v>48</v>
      </c>
      <c r="D101" s="186"/>
      <c r="E101" s="112"/>
      <c r="F101" s="192">
        <f>Q!E12</f>
        <v>100</v>
      </c>
      <c r="G101" s="193"/>
      <c r="H101" s="180"/>
      <c r="I101" s="181"/>
      <c r="J101" s="182"/>
    </row>
    <row r="102" spans="1:10" s="30" customFormat="1" hidden="1" x14ac:dyDescent="0.35">
      <c r="A102" s="180"/>
      <c r="B102" s="182"/>
      <c r="C102" s="111" t="s">
        <v>49</v>
      </c>
      <c r="D102" s="186"/>
      <c r="E102" s="112"/>
      <c r="F102" s="192">
        <f>Q!E14</f>
        <v>100</v>
      </c>
      <c r="G102" s="193"/>
      <c r="H102" s="180"/>
      <c r="I102" s="181"/>
      <c r="J102" s="182"/>
    </row>
    <row r="103" spans="1:10" s="30" customFormat="1" hidden="1" x14ac:dyDescent="0.35">
      <c r="A103" s="183"/>
      <c r="B103" s="185"/>
      <c r="C103" s="111" t="s">
        <v>50</v>
      </c>
      <c r="D103" s="186"/>
      <c r="E103" s="112"/>
      <c r="F103" s="195">
        <f>Q!E16</f>
        <v>12.5</v>
      </c>
      <c r="G103" s="196"/>
      <c r="H103" s="183"/>
      <c r="I103" s="184"/>
      <c r="J103" s="185"/>
    </row>
    <row r="104" spans="1:10" s="30" customFormat="1" hidden="1" x14ac:dyDescent="0.35">
      <c r="A104" s="108" t="s">
        <v>33</v>
      </c>
      <c r="B104" s="109"/>
      <c r="C104" s="110"/>
      <c r="D104" s="106">
        <f>Q!K20</f>
        <v>90.625</v>
      </c>
      <c r="E104" s="107"/>
      <c r="F104" s="108" t="s">
        <v>34</v>
      </c>
      <c r="G104" s="109"/>
      <c r="H104" s="110"/>
      <c r="I104" s="106">
        <f>Q!L20</f>
        <v>95.625</v>
      </c>
      <c r="J104" s="107"/>
    </row>
    <row r="105" spans="1:10" s="30" customFormat="1" x14ac:dyDescent="0.35">
      <c r="A105" s="116" t="s">
        <v>243</v>
      </c>
      <c r="B105" s="117"/>
      <c r="C105" s="117"/>
      <c r="D105" s="117"/>
      <c r="E105" s="117"/>
      <c r="F105" s="117"/>
      <c r="G105" s="117"/>
      <c r="H105" s="117"/>
      <c r="I105" s="117"/>
      <c r="J105" s="118"/>
    </row>
    <row r="106" spans="1:10" x14ac:dyDescent="0.35">
      <c r="A106" s="49" t="s">
        <v>56</v>
      </c>
      <c r="B106" s="52"/>
      <c r="C106" s="52"/>
      <c r="D106" s="52"/>
      <c r="E106" s="52"/>
      <c r="F106" s="52"/>
      <c r="G106" s="52"/>
      <c r="H106" s="52"/>
      <c r="I106" s="52"/>
      <c r="J106" s="53"/>
    </row>
    <row r="107" spans="1:10" ht="15" customHeight="1" x14ac:dyDescent="0.35">
      <c r="A107" s="201" t="s">
        <v>78</v>
      </c>
      <c r="B107" s="202"/>
      <c r="C107" s="202"/>
      <c r="D107" s="202"/>
      <c r="E107" s="202"/>
      <c r="F107" s="202"/>
      <c r="G107" s="202"/>
      <c r="H107" s="202"/>
      <c r="I107" s="202"/>
      <c r="J107" s="203"/>
    </row>
    <row r="108" spans="1:10" x14ac:dyDescent="0.35">
      <c r="A108" s="204"/>
      <c r="B108" s="205"/>
      <c r="C108" s="205"/>
      <c r="D108" s="205"/>
      <c r="E108" s="205"/>
      <c r="F108" s="205"/>
      <c r="G108" s="205"/>
      <c r="H108" s="205"/>
      <c r="I108" s="205"/>
      <c r="J108" s="206"/>
    </row>
    <row r="109" spans="1:10" s="23" customFormat="1" x14ac:dyDescent="0.35">
      <c r="A109" s="198" t="s">
        <v>23</v>
      </c>
      <c r="B109" s="199"/>
      <c r="C109" s="199"/>
      <c r="D109" s="199"/>
      <c r="E109" s="199"/>
      <c r="F109" s="199"/>
      <c r="G109" s="199"/>
      <c r="H109" s="199"/>
      <c r="I109" s="199"/>
      <c r="J109" s="200"/>
    </row>
    <row r="110" spans="1:10" x14ac:dyDescent="0.35">
      <c r="A110" s="116" t="s">
        <v>156</v>
      </c>
      <c r="B110" s="117"/>
      <c r="C110" s="117"/>
      <c r="D110" s="117"/>
      <c r="E110" s="117"/>
      <c r="F110" s="118"/>
      <c r="G110" s="207">
        <v>3000</v>
      </c>
      <c r="H110" s="208"/>
      <c r="I110" s="208"/>
      <c r="J110" s="209"/>
    </row>
    <row r="111" spans="1:10" x14ac:dyDescent="0.35">
      <c r="A111" s="116" t="s">
        <v>208</v>
      </c>
      <c r="B111" s="117"/>
      <c r="C111" s="117"/>
      <c r="D111" s="117"/>
      <c r="E111" s="117"/>
      <c r="F111" s="118"/>
      <c r="G111" s="215">
        <v>4000</v>
      </c>
      <c r="H111" s="216"/>
      <c r="I111" s="216"/>
      <c r="J111" s="217"/>
    </row>
    <row r="112" spans="1:10" x14ac:dyDescent="0.35">
      <c r="A112" s="98" t="s">
        <v>207</v>
      </c>
      <c r="B112" s="99"/>
      <c r="C112" s="99"/>
      <c r="D112" s="99"/>
      <c r="E112" s="99"/>
      <c r="F112" s="100"/>
      <c r="G112" s="70" t="s">
        <v>194</v>
      </c>
      <c r="H112" s="71"/>
      <c r="I112" s="71"/>
      <c r="J112" s="72"/>
    </row>
    <row r="113" spans="1:10" x14ac:dyDescent="0.35">
      <c r="A113" s="49" t="s">
        <v>80</v>
      </c>
      <c r="B113" s="52"/>
      <c r="C113" s="52"/>
      <c r="D113" s="52"/>
      <c r="E113" s="52"/>
      <c r="F113" s="53"/>
      <c r="G113" s="76" t="s">
        <v>194</v>
      </c>
      <c r="H113" s="77"/>
      <c r="I113" s="77"/>
      <c r="J113" s="78"/>
    </row>
    <row r="114" spans="1:10" x14ac:dyDescent="0.35">
      <c r="A114" s="49" t="s">
        <v>210</v>
      </c>
      <c r="B114" s="50"/>
      <c r="C114" s="50"/>
      <c r="D114" s="50"/>
      <c r="E114" s="50"/>
      <c r="F114" s="51"/>
      <c r="G114" s="70" t="s">
        <v>249</v>
      </c>
      <c r="H114" s="71"/>
      <c r="I114" s="71"/>
      <c r="J114" s="72"/>
    </row>
    <row r="115" spans="1:10" x14ac:dyDescent="0.35">
      <c r="A115" s="49" t="s">
        <v>144</v>
      </c>
      <c r="B115" s="52"/>
      <c r="C115" s="52"/>
      <c r="D115" s="52"/>
      <c r="E115" s="52"/>
      <c r="F115" s="53"/>
      <c r="G115" s="76" t="s">
        <v>250</v>
      </c>
      <c r="H115" s="77"/>
      <c r="I115" s="77"/>
      <c r="J115" s="78"/>
    </row>
    <row r="116" spans="1:10" x14ac:dyDescent="0.35">
      <c r="A116" s="49" t="s">
        <v>247</v>
      </c>
      <c r="B116" s="52"/>
      <c r="C116" s="52"/>
      <c r="D116" s="52"/>
      <c r="E116" s="52"/>
      <c r="F116" s="53"/>
      <c r="G116" s="76" t="s">
        <v>248</v>
      </c>
      <c r="H116" s="77"/>
      <c r="I116" s="77"/>
      <c r="J116" s="78"/>
    </row>
    <row r="117" spans="1:10" s="22" customFormat="1" x14ac:dyDescent="0.35">
      <c r="A117" s="210" t="s">
        <v>111</v>
      </c>
      <c r="B117" s="199"/>
      <c r="C117" s="199"/>
      <c r="D117" s="199"/>
      <c r="E117" s="199"/>
      <c r="F117" s="200"/>
      <c r="G117" s="211">
        <f>G110*0.8</f>
        <v>2400</v>
      </c>
      <c r="H117" s="212"/>
      <c r="I117" s="212"/>
      <c r="J117" s="213"/>
    </row>
    <row r="118" spans="1:10" s="22" customFormat="1" x14ac:dyDescent="0.35">
      <c r="A118" s="73" t="s">
        <v>216</v>
      </c>
      <c r="B118" s="74"/>
      <c r="C118" s="74"/>
      <c r="D118" s="74"/>
      <c r="E118" s="74"/>
      <c r="F118" s="74"/>
      <c r="G118" s="74"/>
      <c r="H118" s="74"/>
      <c r="I118" s="74"/>
      <c r="J118" s="75"/>
    </row>
    <row r="119" spans="1:10" x14ac:dyDescent="0.35">
      <c r="A119" s="66" t="s">
        <v>212</v>
      </c>
      <c r="B119" s="66"/>
      <c r="C119" s="32" t="s">
        <v>213</v>
      </c>
      <c r="D119" s="66" t="s">
        <v>214</v>
      </c>
      <c r="E119" s="66"/>
      <c r="F119" s="66"/>
      <c r="G119" s="66" t="s">
        <v>215</v>
      </c>
      <c r="H119" s="66"/>
      <c r="I119" s="66"/>
      <c r="J119" s="66"/>
    </row>
    <row r="120" spans="1:10" x14ac:dyDescent="0.35">
      <c r="A120" s="68" t="s">
        <v>217</v>
      </c>
      <c r="B120" s="68"/>
      <c r="C120" s="31">
        <f>COUNT(D146:E153)+COUNT(D155:E162)+COUNT(D164:E171)*2</f>
        <v>56</v>
      </c>
      <c r="D120" s="69">
        <f>SUM(D146:E153)+SUM(D155:E162)+SUM(D164:E171)*2</f>
        <v>19061.666207999995</v>
      </c>
      <c r="E120" s="69"/>
      <c r="F120" s="69"/>
      <c r="G120" s="69">
        <f>SUM(G146:G153)+SUM(G155:G162)+SUM(G164:G171)*2</f>
        <v>20900</v>
      </c>
      <c r="H120" s="69"/>
      <c r="I120" s="69"/>
      <c r="J120" s="69"/>
    </row>
    <row r="121" spans="1:10" x14ac:dyDescent="0.35">
      <c r="A121" s="68" t="s">
        <v>218</v>
      </c>
      <c r="B121" s="68"/>
      <c r="C121" s="33">
        <f>COUNT(B185:B190)+COUNT(B192:B197)+COUNT(B199:B204)+COUNT(B206:B211)</f>
        <v>24</v>
      </c>
      <c r="D121" s="69">
        <f>SUM(D185:E190)+SUM(D192:E197)+SUM(D199:E204)+SUM(D206:E211)</f>
        <v>15546.143807999999</v>
      </c>
      <c r="E121" s="69"/>
      <c r="F121" s="69"/>
      <c r="G121" s="69">
        <f>SUM(G185:G190)+SUM(G192:G197)+SUM(G199:G204)+SUM(G206:G211)</f>
        <v>17333</v>
      </c>
      <c r="H121" s="69"/>
      <c r="I121" s="69"/>
      <c r="J121" s="69"/>
    </row>
    <row r="122" spans="1:10" x14ac:dyDescent="0.35">
      <c r="A122" s="68" t="s">
        <v>219</v>
      </c>
      <c r="B122" s="68"/>
      <c r="C122" s="31">
        <f>COUNT(B215:B218)*2+COUNT(B220:B223)+COUNT(B225:B228)</f>
        <v>16</v>
      </c>
      <c r="D122" s="69">
        <f>SUM(D215:E218)*2+SUM(D220:E223)+SUM(D225:E228)</f>
        <v>9346.8117599999987</v>
      </c>
      <c r="E122" s="69"/>
      <c r="F122" s="69"/>
      <c r="G122" s="69">
        <f>SUM(G215:G218)*2+SUM(G220:G223)+SUM(G225:G228)</f>
        <v>10022</v>
      </c>
      <c r="H122" s="69"/>
      <c r="I122" s="69"/>
      <c r="J122" s="69"/>
    </row>
    <row r="123" spans="1:10" x14ac:dyDescent="0.35">
      <c r="A123" s="68" t="s">
        <v>220</v>
      </c>
      <c r="B123" s="68"/>
      <c r="C123" s="31">
        <f>COUNT(B240:B251)*2+COUNT(B253:B264)*2+COUNT(B266:B277)*4</f>
        <v>96</v>
      </c>
      <c r="D123" s="69">
        <f>SUM(D231:E238)+SUM(D240:E251)+SUM(D253:E264)+SUM(D266:E277)*2</f>
        <v>27240.810012000002</v>
      </c>
      <c r="E123" s="69"/>
      <c r="F123" s="69"/>
      <c r="G123" s="69">
        <f>SUM(G231:G238)+SUM(G240:G251)+SUM(G253:G264)+SUM(G266:G277)*2</f>
        <v>25180.689109160001</v>
      </c>
      <c r="H123" s="69"/>
      <c r="I123" s="69"/>
      <c r="J123" s="69"/>
    </row>
    <row r="124" spans="1:10" x14ac:dyDescent="0.35">
      <c r="A124" s="68" t="s">
        <v>221</v>
      </c>
      <c r="B124" s="68"/>
      <c r="C124" s="31">
        <f>COUNT(B280:B286)+COUNT(B288:B297)*2+COUNT(B299:B308)*2</f>
        <v>47</v>
      </c>
      <c r="D124" s="69">
        <f>SUM(D280:E286)+SUM(D288:E297)*2+SUM(D299:E308)*2</f>
        <v>20739.257136</v>
      </c>
      <c r="E124" s="69"/>
      <c r="F124" s="69"/>
      <c r="G124" s="69">
        <f>SUM(G280:G286)+SUM(G288:G297)*2+SUM(G299:G308)*2</f>
        <v>20444</v>
      </c>
      <c r="H124" s="69"/>
      <c r="I124" s="69"/>
      <c r="J124" s="69"/>
    </row>
    <row r="125" spans="1:10" x14ac:dyDescent="0.35">
      <c r="A125" s="66" t="s">
        <v>99</v>
      </c>
      <c r="B125" s="66"/>
      <c r="C125" s="32">
        <f>SUM(C120:C124)</f>
        <v>239</v>
      </c>
      <c r="D125" s="67">
        <f>SUM(D120:F124)</f>
        <v>91934.688923999987</v>
      </c>
      <c r="E125" s="67"/>
      <c r="F125" s="67"/>
      <c r="G125" s="67">
        <f>SUM(G120:J124)</f>
        <v>93879.689109159997</v>
      </c>
      <c r="H125" s="67"/>
      <c r="I125" s="67"/>
      <c r="J125" s="67"/>
    </row>
    <row r="126" spans="1:10" x14ac:dyDescent="0.35">
      <c r="A126" s="79" t="s">
        <v>222</v>
      </c>
      <c r="B126" s="80"/>
      <c r="C126" s="80"/>
      <c r="D126" s="80"/>
      <c r="E126" s="80"/>
      <c r="F126" s="80"/>
      <c r="G126" s="80"/>
      <c r="H126" s="80"/>
      <c r="I126" s="80"/>
      <c r="J126" s="81"/>
    </row>
    <row r="127" spans="1:10" x14ac:dyDescent="0.35">
      <c r="A127" s="66" t="s">
        <v>212</v>
      </c>
      <c r="B127" s="66"/>
      <c r="C127" s="32" t="s">
        <v>223</v>
      </c>
      <c r="D127" s="66" t="s">
        <v>214</v>
      </c>
      <c r="E127" s="66"/>
      <c r="F127" s="66"/>
      <c r="G127" s="66" t="s">
        <v>215</v>
      </c>
      <c r="H127" s="66"/>
      <c r="I127" s="66"/>
      <c r="J127" s="66"/>
    </row>
    <row r="128" spans="1:10" x14ac:dyDescent="0.35">
      <c r="A128" s="68" t="s">
        <v>217</v>
      </c>
      <c r="B128" s="68"/>
      <c r="C128" s="31">
        <f>COUNT(B137:B144)</f>
        <v>8</v>
      </c>
      <c r="D128" s="69">
        <f>SUM(D137:E144)</f>
        <v>3041.8633439999999</v>
      </c>
      <c r="E128" s="69"/>
      <c r="F128" s="69"/>
      <c r="G128" s="69">
        <f>SUM(G137:G144)</f>
        <v>3442</v>
      </c>
      <c r="H128" s="69"/>
      <c r="I128" s="69"/>
      <c r="J128" s="69"/>
    </row>
    <row r="129" spans="1:12" x14ac:dyDescent="0.35">
      <c r="A129" s="68" t="s">
        <v>218</v>
      </c>
      <c r="B129" s="68"/>
      <c r="C129" s="33">
        <f>COUNT(G174:G183)</f>
        <v>10</v>
      </c>
      <c r="D129" s="69">
        <f>SUM(D174:E183)</f>
        <v>3870.5729399999996</v>
      </c>
      <c r="E129" s="69"/>
      <c r="F129" s="69"/>
      <c r="G129" s="69">
        <f>SUM(G174:G183)</f>
        <v>4450</v>
      </c>
      <c r="H129" s="69"/>
      <c r="I129" s="69"/>
      <c r="J129" s="69"/>
    </row>
    <row r="130" spans="1:12" x14ac:dyDescent="0.35">
      <c r="A130" s="66" t="s">
        <v>99</v>
      </c>
      <c r="B130" s="66"/>
      <c r="C130" s="32">
        <f>SUM(C128:C129)</f>
        <v>18</v>
      </c>
      <c r="D130" s="67">
        <f>SUM(D128:F129)</f>
        <v>6912.4362839999994</v>
      </c>
      <c r="E130" s="67"/>
      <c r="F130" s="67"/>
      <c r="G130" s="67">
        <f>SUM(G128:J129)</f>
        <v>7892</v>
      </c>
      <c r="H130" s="67"/>
      <c r="I130" s="67"/>
      <c r="J130" s="67"/>
    </row>
    <row r="131" spans="1:12" x14ac:dyDescent="0.35">
      <c r="A131" s="66" t="s">
        <v>255</v>
      </c>
      <c r="B131" s="66"/>
      <c r="C131" s="32">
        <f>C130+C125</f>
        <v>257</v>
      </c>
      <c r="D131" s="67">
        <f>D125+D130</f>
        <v>98847.125207999983</v>
      </c>
      <c r="E131" s="67"/>
      <c r="F131" s="67"/>
      <c r="G131" s="67">
        <f>G130+G125</f>
        <v>101771.68910916</v>
      </c>
      <c r="H131" s="67"/>
      <c r="I131" s="67"/>
      <c r="J131" s="67"/>
    </row>
    <row r="132" spans="1:12" s="1" customFormat="1" ht="17.5" x14ac:dyDescent="0.35">
      <c r="A132" s="214" t="s">
        <v>112</v>
      </c>
      <c r="B132" s="214"/>
      <c r="C132" s="214"/>
      <c r="D132" s="214"/>
      <c r="E132" s="214"/>
      <c r="F132" s="214"/>
      <c r="G132" s="214"/>
      <c r="H132" s="214"/>
      <c r="I132" s="214"/>
      <c r="J132" s="214"/>
    </row>
    <row r="133" spans="1:12" x14ac:dyDescent="0.35">
      <c r="A133" s="66" t="s">
        <v>53</v>
      </c>
      <c r="B133" s="66"/>
      <c r="C133" s="66"/>
      <c r="D133" s="66"/>
      <c r="E133" s="66"/>
      <c r="F133" s="66"/>
      <c r="G133" s="66"/>
      <c r="H133" s="66"/>
      <c r="I133" s="66"/>
      <c r="J133" s="66"/>
    </row>
    <row r="134" spans="1:12" ht="45.75" customHeight="1" x14ac:dyDescent="0.35">
      <c r="A134" s="47" t="s">
        <v>171</v>
      </c>
      <c r="B134" s="47" t="s">
        <v>31</v>
      </c>
      <c r="C134" s="47" t="s">
        <v>28</v>
      </c>
      <c r="D134" s="103" t="s">
        <v>158</v>
      </c>
      <c r="E134" s="103"/>
      <c r="F134" s="20" t="s">
        <v>29</v>
      </c>
      <c r="G134" s="47" t="s">
        <v>172</v>
      </c>
      <c r="H134" s="47" t="s">
        <v>30</v>
      </c>
      <c r="I134" s="103" t="s">
        <v>113</v>
      </c>
      <c r="J134" s="103"/>
    </row>
    <row r="135" spans="1:12" ht="15" x14ac:dyDescent="0.35">
      <c r="A135" s="97" t="s">
        <v>170</v>
      </c>
      <c r="B135" s="97"/>
      <c r="C135" s="97"/>
      <c r="D135" s="97"/>
      <c r="E135" s="97"/>
      <c r="F135" s="97"/>
      <c r="G135" s="97"/>
      <c r="H135" s="97"/>
      <c r="I135" s="97"/>
      <c r="J135" s="97"/>
    </row>
    <row r="136" spans="1:12" ht="15" x14ac:dyDescent="0.35">
      <c r="A136" s="97" t="s">
        <v>151</v>
      </c>
      <c r="B136" s="97"/>
      <c r="C136" s="97"/>
      <c r="D136" s="97"/>
      <c r="E136" s="97"/>
      <c r="F136" s="97"/>
      <c r="G136" s="97"/>
      <c r="H136" s="97"/>
      <c r="I136" s="97"/>
      <c r="J136" s="97"/>
    </row>
    <row r="137" spans="1:12" ht="15.5" x14ac:dyDescent="0.35">
      <c r="A137" s="48" t="s">
        <v>87</v>
      </c>
      <c r="B137" s="48">
        <v>11</v>
      </c>
      <c r="C137" s="48" t="s">
        <v>157</v>
      </c>
      <c r="D137" s="62">
        <f>(20.9)*10.764</f>
        <v>224.96759999999998</v>
      </c>
      <c r="E137" s="62"/>
      <c r="F137" s="48">
        <v>0</v>
      </c>
      <c r="G137" s="48">
        <v>474</v>
      </c>
      <c r="H137" s="48" t="s">
        <v>153</v>
      </c>
      <c r="I137" s="62" t="s">
        <v>149</v>
      </c>
      <c r="J137" s="62"/>
    </row>
    <row r="138" spans="1:12" ht="15.5" x14ac:dyDescent="0.35">
      <c r="A138" s="48" t="s">
        <v>87</v>
      </c>
      <c r="B138" s="48">
        <v>12</v>
      </c>
      <c r="C138" s="48" t="s">
        <v>157</v>
      </c>
      <c r="D138" s="62">
        <f t="shared" ref="D138:E141" si="0">(20.9)*10.764</f>
        <v>224.96759999999998</v>
      </c>
      <c r="E138" s="62">
        <f t="shared" si="0"/>
        <v>224.96759999999998</v>
      </c>
      <c r="F138" s="48">
        <v>0</v>
      </c>
      <c r="G138" s="48">
        <v>473</v>
      </c>
      <c r="H138" s="48" t="s">
        <v>153</v>
      </c>
      <c r="I138" s="62"/>
      <c r="J138" s="62"/>
      <c r="L138" s="21"/>
    </row>
    <row r="139" spans="1:12" ht="15.5" x14ac:dyDescent="0.35">
      <c r="A139" s="48" t="s">
        <v>87</v>
      </c>
      <c r="B139" s="48">
        <v>13</v>
      </c>
      <c r="C139" s="48" t="s">
        <v>157</v>
      </c>
      <c r="D139" s="62">
        <f>(15.96)*10.764</f>
        <v>171.79344</v>
      </c>
      <c r="E139" s="62">
        <f>(15.96)*10.764</f>
        <v>171.79344</v>
      </c>
      <c r="F139" s="48">
        <v>0</v>
      </c>
      <c r="G139" s="48">
        <v>361</v>
      </c>
      <c r="H139" s="48" t="s">
        <v>153</v>
      </c>
      <c r="I139" s="62"/>
      <c r="J139" s="62"/>
    </row>
    <row r="140" spans="1:12" ht="15.5" x14ac:dyDescent="0.35">
      <c r="A140" s="48" t="s">
        <v>87</v>
      </c>
      <c r="B140" s="48">
        <v>14</v>
      </c>
      <c r="C140" s="48" t="s">
        <v>157</v>
      </c>
      <c r="D140" s="62">
        <f t="shared" si="0"/>
        <v>224.96759999999998</v>
      </c>
      <c r="E140" s="62">
        <f t="shared" si="0"/>
        <v>224.96759999999998</v>
      </c>
      <c r="F140" s="48">
        <v>0</v>
      </c>
      <c r="G140" s="48">
        <v>473</v>
      </c>
      <c r="H140" s="48" t="s">
        <v>153</v>
      </c>
      <c r="I140" s="62"/>
      <c r="J140" s="62"/>
    </row>
    <row r="141" spans="1:12" ht="15.5" x14ac:dyDescent="0.35">
      <c r="A141" s="48" t="s">
        <v>87</v>
      </c>
      <c r="B141" s="48">
        <v>15</v>
      </c>
      <c r="C141" s="48" t="s">
        <v>157</v>
      </c>
      <c r="D141" s="62">
        <f t="shared" si="0"/>
        <v>224.96759999999998</v>
      </c>
      <c r="E141" s="62">
        <f t="shared" si="0"/>
        <v>224.96759999999998</v>
      </c>
      <c r="F141" s="48">
        <v>0</v>
      </c>
      <c r="G141" s="48">
        <v>473</v>
      </c>
      <c r="H141" s="48" t="s">
        <v>153</v>
      </c>
      <c r="I141" s="62"/>
      <c r="J141" s="62"/>
    </row>
    <row r="142" spans="1:12" ht="15.5" x14ac:dyDescent="0.35">
      <c r="A142" s="48" t="s">
        <v>87</v>
      </c>
      <c r="B142" s="48">
        <v>16</v>
      </c>
      <c r="C142" s="48" t="s">
        <v>157</v>
      </c>
      <c r="D142" s="62">
        <f>(14.595)*10.764</f>
        <v>157.10058000000001</v>
      </c>
      <c r="E142" s="62">
        <f>(14.595)*10.764</f>
        <v>157.10058000000001</v>
      </c>
      <c r="F142" s="48">
        <v>0</v>
      </c>
      <c r="G142" s="48">
        <v>332</v>
      </c>
      <c r="H142" s="48" t="s">
        <v>153</v>
      </c>
      <c r="I142" s="62"/>
      <c r="J142" s="62"/>
    </row>
    <row r="143" spans="1:12" ht="15.5" x14ac:dyDescent="0.35">
      <c r="A143" s="48" t="s">
        <v>87</v>
      </c>
      <c r="B143" s="48">
        <v>17</v>
      </c>
      <c r="C143" s="48" t="s">
        <v>157</v>
      </c>
      <c r="D143" s="62">
        <f>(19.113)*10.764</f>
        <v>205.73233199999999</v>
      </c>
      <c r="E143" s="62">
        <f>(19.113)*10.764</f>
        <v>205.73233199999999</v>
      </c>
      <c r="F143" s="48">
        <v>0</v>
      </c>
      <c r="G143" s="48">
        <v>434</v>
      </c>
      <c r="H143" s="48" t="s">
        <v>153</v>
      </c>
      <c r="I143" s="62"/>
      <c r="J143" s="62"/>
    </row>
    <row r="144" spans="1:12" ht="15.5" x14ac:dyDescent="0.35">
      <c r="A144" s="48" t="s">
        <v>87</v>
      </c>
      <c r="B144" s="48">
        <v>18</v>
      </c>
      <c r="C144" s="48" t="s">
        <v>157</v>
      </c>
      <c r="D144" s="62">
        <f>(18.48)*10.764</f>
        <v>198.91871999999998</v>
      </c>
      <c r="E144" s="62">
        <f>(18.48)*10.764</f>
        <v>198.91871999999998</v>
      </c>
      <c r="F144" s="48">
        <v>0</v>
      </c>
      <c r="G144" s="48">
        <v>422</v>
      </c>
      <c r="H144" s="48" t="s">
        <v>153</v>
      </c>
      <c r="I144" s="62"/>
      <c r="J144" s="62"/>
    </row>
    <row r="145" spans="1:10" ht="15" x14ac:dyDescent="0.35">
      <c r="A145" s="63" t="s">
        <v>197</v>
      </c>
      <c r="B145" s="64"/>
      <c r="C145" s="64"/>
      <c r="D145" s="64"/>
      <c r="E145" s="64"/>
      <c r="F145" s="64"/>
      <c r="G145" s="64"/>
      <c r="H145" s="64"/>
      <c r="I145" s="64"/>
      <c r="J145" s="65"/>
    </row>
    <row r="146" spans="1:10" ht="15.5" x14ac:dyDescent="0.35">
      <c r="A146" s="12" t="s">
        <v>87</v>
      </c>
      <c r="B146" s="12">
        <v>1</v>
      </c>
      <c r="C146" s="12" t="s">
        <v>152</v>
      </c>
      <c r="D146" s="54">
        <f>(19.534+0.99+(0.75+2.05))*10.764</f>
        <v>251.05953599999995</v>
      </c>
      <c r="E146" s="55"/>
      <c r="F146" s="12">
        <f>(1.725*1.5)*10.764</f>
        <v>27.851850000000002</v>
      </c>
      <c r="G146" s="12">
        <v>410</v>
      </c>
      <c r="H146" s="12" t="s">
        <v>153</v>
      </c>
      <c r="I146" s="56" t="s">
        <v>199</v>
      </c>
      <c r="J146" s="57"/>
    </row>
    <row r="147" spans="1:10" ht="15.5" x14ac:dyDescent="0.35">
      <c r="A147" s="12" t="s">
        <v>87</v>
      </c>
      <c r="B147" s="12">
        <v>2</v>
      </c>
      <c r="C147" s="12" t="s">
        <v>136</v>
      </c>
      <c r="D147" s="54">
        <f>(27.385+2.04+(0.75+2.425)+(0.75+2.75))*10.764</f>
        <v>388.5804</v>
      </c>
      <c r="E147" s="55">
        <f t="shared" ref="E147:E152" si="1">(20.9)*10.764</f>
        <v>224.96759999999998</v>
      </c>
      <c r="F147" s="12">
        <f>(1.65*1.5)*10.764</f>
        <v>26.640899999999995</v>
      </c>
      <c r="G147" s="12">
        <v>591</v>
      </c>
      <c r="H147" s="12" t="s">
        <v>153</v>
      </c>
      <c r="I147" s="58" t="s">
        <v>199</v>
      </c>
      <c r="J147" s="59"/>
    </row>
    <row r="148" spans="1:10" ht="15.5" x14ac:dyDescent="0.35">
      <c r="A148" s="12" t="s">
        <v>87</v>
      </c>
      <c r="B148" s="12">
        <v>3</v>
      </c>
      <c r="C148" s="12" t="s">
        <v>146</v>
      </c>
      <c r="D148" s="54">
        <f>(46.225+1.08+(0.75+2.8)+(0.65+2.1)+(0.75+5.7))*10.764</f>
        <v>646.43201999999997</v>
      </c>
      <c r="E148" s="55">
        <f>(15.96)*10.764</f>
        <v>171.79344</v>
      </c>
      <c r="F148" s="12">
        <v>0</v>
      </c>
      <c r="G148" s="12">
        <v>927</v>
      </c>
      <c r="H148" s="12" t="s">
        <v>153</v>
      </c>
      <c r="I148" s="58" t="s">
        <v>199</v>
      </c>
      <c r="J148" s="59"/>
    </row>
    <row r="149" spans="1:10" ht="15.5" x14ac:dyDescent="0.35">
      <c r="A149" s="12" t="s">
        <v>87</v>
      </c>
      <c r="B149" s="12">
        <v>4</v>
      </c>
      <c r="C149" s="12" t="s">
        <v>136</v>
      </c>
      <c r="D149" s="54">
        <f>(31.315+1.08+(0.75+2.75)+(0.75+2.25)+(0.75+2.75))*10.764</f>
        <v>456.33978000000002</v>
      </c>
      <c r="E149" s="55">
        <f t="shared" si="1"/>
        <v>224.96759999999998</v>
      </c>
      <c r="F149" s="12">
        <v>0</v>
      </c>
      <c r="G149" s="12">
        <v>740</v>
      </c>
      <c r="H149" s="12" t="s">
        <v>153</v>
      </c>
      <c r="I149" s="58" t="s">
        <v>199</v>
      </c>
      <c r="J149" s="59"/>
    </row>
    <row r="150" spans="1:10" ht="15.5" x14ac:dyDescent="0.35">
      <c r="A150" s="12" t="s">
        <v>87</v>
      </c>
      <c r="B150" s="12">
        <v>5</v>
      </c>
      <c r="C150" s="12" t="s">
        <v>136</v>
      </c>
      <c r="D150" s="54">
        <f>(31.315+1.08+(0.75+2.75)+(0.75+5))*10.764</f>
        <v>448.26677999999998</v>
      </c>
      <c r="E150" s="55">
        <f t="shared" si="1"/>
        <v>224.96759999999998</v>
      </c>
      <c r="F150" s="12">
        <v>0</v>
      </c>
      <c r="G150" s="12">
        <v>845</v>
      </c>
      <c r="H150" s="12" t="s">
        <v>153</v>
      </c>
      <c r="I150" s="58" t="s">
        <v>199</v>
      </c>
      <c r="J150" s="59"/>
    </row>
    <row r="151" spans="1:10" ht="15.5" x14ac:dyDescent="0.35">
      <c r="A151" s="12" t="s">
        <v>87</v>
      </c>
      <c r="B151" s="12">
        <v>6</v>
      </c>
      <c r="C151" s="12" t="s">
        <v>146</v>
      </c>
      <c r="D151" s="54">
        <f>(46.225+1.08+(0.75+2.8)+(0.65+2.1)+(0.75+5.65))*10.764</f>
        <v>645.89381999999989</v>
      </c>
      <c r="E151" s="55">
        <f>(15.96)*10.764</f>
        <v>171.79344</v>
      </c>
      <c r="F151" s="12">
        <v>0</v>
      </c>
      <c r="G151" s="12">
        <v>1170</v>
      </c>
      <c r="H151" s="12" t="s">
        <v>153</v>
      </c>
      <c r="I151" s="58" t="s">
        <v>199</v>
      </c>
      <c r="J151" s="59"/>
    </row>
    <row r="152" spans="1:10" ht="15.5" x14ac:dyDescent="0.35">
      <c r="A152" s="12" t="s">
        <v>87</v>
      </c>
      <c r="B152" s="12">
        <v>7</v>
      </c>
      <c r="C152" s="12" t="s">
        <v>136</v>
      </c>
      <c r="D152" s="54">
        <f>(27.385+2.04+(0.75+2.75)+(0.75+1.975))*10.764</f>
        <v>383.73659999999995</v>
      </c>
      <c r="E152" s="55">
        <f t="shared" si="1"/>
        <v>224.96759999999998</v>
      </c>
      <c r="F152" s="12">
        <f>(1.65*1.5)*10.764</f>
        <v>26.640899999999995</v>
      </c>
      <c r="G152" s="12">
        <v>590</v>
      </c>
      <c r="H152" s="12" t="s">
        <v>153</v>
      </c>
      <c r="I152" s="58" t="s">
        <v>199</v>
      </c>
      <c r="J152" s="59"/>
    </row>
    <row r="153" spans="1:10" ht="15.5" x14ac:dyDescent="0.35">
      <c r="A153" s="12" t="s">
        <v>87</v>
      </c>
      <c r="B153" s="12">
        <v>8</v>
      </c>
      <c r="C153" s="12" t="s">
        <v>152</v>
      </c>
      <c r="D153" s="54">
        <f>(19.534+0.99+(0.75+2.05))*10.764</f>
        <v>251.05953599999995</v>
      </c>
      <c r="E153" s="55"/>
      <c r="F153" s="12">
        <f>(1.725*1.5)*10.764</f>
        <v>27.851850000000002</v>
      </c>
      <c r="G153" s="12">
        <v>410</v>
      </c>
      <c r="H153" s="12" t="s">
        <v>153</v>
      </c>
      <c r="I153" s="60" t="s">
        <v>199</v>
      </c>
      <c r="J153" s="61"/>
    </row>
    <row r="154" spans="1:10" ht="15" x14ac:dyDescent="0.35">
      <c r="A154" s="63" t="s">
        <v>198</v>
      </c>
      <c r="B154" s="64"/>
      <c r="C154" s="64"/>
      <c r="D154" s="64"/>
      <c r="E154" s="64"/>
      <c r="F154" s="64"/>
      <c r="G154" s="64"/>
      <c r="H154" s="64"/>
      <c r="I154" s="64"/>
      <c r="J154" s="65"/>
    </row>
    <row r="155" spans="1:10" ht="15.5" x14ac:dyDescent="0.35">
      <c r="A155" s="12" t="s">
        <v>87</v>
      </c>
      <c r="B155" s="12">
        <v>1</v>
      </c>
      <c r="C155" s="12" t="s">
        <v>152</v>
      </c>
      <c r="D155" s="54">
        <f>(19.534+0.99+(0.75+2.05))*10.764</f>
        <v>251.05953599999995</v>
      </c>
      <c r="E155" s="55"/>
      <c r="F155" s="12">
        <f>(1.725*1.5)*10.764</f>
        <v>27.851850000000002</v>
      </c>
      <c r="G155" s="12">
        <v>410</v>
      </c>
      <c r="H155" s="12" t="s">
        <v>153</v>
      </c>
      <c r="I155" s="56" t="str">
        <f>A154</f>
        <v>3rd Floor</v>
      </c>
      <c r="J155" s="57"/>
    </row>
    <row r="156" spans="1:10" ht="15.5" x14ac:dyDescent="0.35">
      <c r="A156" s="12" t="s">
        <v>87</v>
      </c>
      <c r="B156" s="12">
        <v>2</v>
      </c>
      <c r="C156" s="12" t="s">
        <v>136</v>
      </c>
      <c r="D156" s="54">
        <f>(27.385+2.04+(0.75+2.425)+(0.75+2.75))*10.764</f>
        <v>388.5804</v>
      </c>
      <c r="E156" s="55">
        <f t="shared" ref="E156:E161" si="2">(20.9)*10.764</f>
        <v>224.96759999999998</v>
      </c>
      <c r="F156" s="12">
        <f>(1.65*1.5)*10.764</f>
        <v>26.640899999999995</v>
      </c>
      <c r="G156" s="12">
        <v>591</v>
      </c>
      <c r="H156" s="12" t="s">
        <v>153</v>
      </c>
      <c r="I156" s="58"/>
      <c r="J156" s="59"/>
    </row>
    <row r="157" spans="1:10" ht="15.5" x14ac:dyDescent="0.35">
      <c r="A157" s="12" t="s">
        <v>87</v>
      </c>
      <c r="B157" s="12">
        <v>3</v>
      </c>
      <c r="C157" s="12" t="s">
        <v>146</v>
      </c>
      <c r="D157" s="54">
        <f>(46.225+1.08+(0.75+2.8)+(0.65+2.1)+(0.75+5.7))*10.764</f>
        <v>646.43201999999997</v>
      </c>
      <c r="E157" s="55">
        <f>(15.96)*10.764</f>
        <v>171.79344</v>
      </c>
      <c r="F157" s="12">
        <v>0</v>
      </c>
      <c r="G157" s="12">
        <v>927</v>
      </c>
      <c r="H157" s="12" t="s">
        <v>153</v>
      </c>
      <c r="I157" s="58"/>
      <c r="J157" s="59"/>
    </row>
    <row r="158" spans="1:10" ht="15.5" x14ac:dyDescent="0.35">
      <c r="A158" s="12" t="s">
        <v>87</v>
      </c>
      <c r="B158" s="12">
        <v>4</v>
      </c>
      <c r="C158" s="12" t="s">
        <v>136</v>
      </c>
      <c r="D158" s="54">
        <f>(31.315+1.08+(0.75+2.75)+(0.75+2.25)+(0.75+2.75))*10.764</f>
        <v>456.33978000000002</v>
      </c>
      <c r="E158" s="55">
        <f t="shared" si="2"/>
        <v>224.96759999999998</v>
      </c>
      <c r="F158" s="12">
        <v>0</v>
      </c>
      <c r="G158" s="12">
        <v>636</v>
      </c>
      <c r="H158" s="12" t="s">
        <v>153</v>
      </c>
      <c r="I158" s="58"/>
      <c r="J158" s="59"/>
    </row>
    <row r="159" spans="1:10" ht="15.5" x14ac:dyDescent="0.35">
      <c r="A159" s="12" t="s">
        <v>87</v>
      </c>
      <c r="B159" s="12">
        <v>5</v>
      </c>
      <c r="C159" s="12" t="s">
        <v>136</v>
      </c>
      <c r="D159" s="54">
        <f>(31.315+1.08+(0.75+2.75)+(0.75+5))*10.764</f>
        <v>448.26677999999998</v>
      </c>
      <c r="E159" s="55">
        <f t="shared" si="2"/>
        <v>224.96759999999998</v>
      </c>
      <c r="F159" s="12">
        <v>0</v>
      </c>
      <c r="G159" s="12">
        <v>636</v>
      </c>
      <c r="H159" s="12" t="s">
        <v>153</v>
      </c>
      <c r="I159" s="58"/>
      <c r="J159" s="59"/>
    </row>
    <row r="160" spans="1:10" ht="15.5" x14ac:dyDescent="0.35">
      <c r="A160" s="12" t="s">
        <v>87</v>
      </c>
      <c r="B160" s="12">
        <v>6</v>
      </c>
      <c r="C160" s="12" t="s">
        <v>146</v>
      </c>
      <c r="D160" s="54">
        <f>(46.225+1.08+(0.75+2.8)+(0.65+2.1)+(0.75+5.65))*10.764</f>
        <v>645.89381999999989</v>
      </c>
      <c r="E160" s="55">
        <f>(15.96)*10.764</f>
        <v>171.79344</v>
      </c>
      <c r="F160" s="12">
        <v>0</v>
      </c>
      <c r="G160" s="12">
        <v>927</v>
      </c>
      <c r="H160" s="12" t="s">
        <v>153</v>
      </c>
      <c r="I160" s="58"/>
      <c r="J160" s="59"/>
    </row>
    <row r="161" spans="1:10" ht="15.5" x14ac:dyDescent="0.35">
      <c r="A161" s="12" t="s">
        <v>87</v>
      </c>
      <c r="B161" s="12">
        <v>7</v>
      </c>
      <c r="C161" s="12" t="s">
        <v>136</v>
      </c>
      <c r="D161" s="54">
        <f>(27.385+2.04+(0.75+2.75)+(0.75+1.975))*10.764</f>
        <v>383.73659999999995</v>
      </c>
      <c r="E161" s="55">
        <f t="shared" si="2"/>
        <v>224.96759999999998</v>
      </c>
      <c r="F161" s="12">
        <f>(1.65*1.5)*10.764</f>
        <v>26.640899999999995</v>
      </c>
      <c r="G161" s="12">
        <v>590</v>
      </c>
      <c r="H161" s="12" t="s">
        <v>153</v>
      </c>
      <c r="I161" s="58"/>
      <c r="J161" s="59"/>
    </row>
    <row r="162" spans="1:10" ht="15.5" x14ac:dyDescent="0.35">
      <c r="A162" s="12" t="s">
        <v>87</v>
      </c>
      <c r="B162" s="12">
        <v>8</v>
      </c>
      <c r="C162" s="12" t="s">
        <v>152</v>
      </c>
      <c r="D162" s="54">
        <f>(19.534+0.99+(0.75+2.05))*10.764</f>
        <v>251.05953599999995</v>
      </c>
      <c r="E162" s="55"/>
      <c r="F162" s="12">
        <f>(1.725*1.5)*10.764</f>
        <v>27.851850000000002</v>
      </c>
      <c r="G162" s="12">
        <v>410</v>
      </c>
      <c r="H162" s="12" t="s">
        <v>153</v>
      </c>
      <c r="I162" s="60"/>
      <c r="J162" s="61"/>
    </row>
    <row r="163" spans="1:10" ht="15" x14ac:dyDescent="0.35">
      <c r="A163" s="63" t="s">
        <v>205</v>
      </c>
      <c r="B163" s="64"/>
      <c r="C163" s="64"/>
      <c r="D163" s="64"/>
      <c r="E163" s="64"/>
      <c r="F163" s="64"/>
      <c r="G163" s="64"/>
      <c r="H163" s="64"/>
      <c r="I163" s="64"/>
      <c r="J163" s="65"/>
    </row>
    <row r="164" spans="1:10" ht="15.5" x14ac:dyDescent="0.35">
      <c r="A164" s="12" t="s">
        <v>87</v>
      </c>
      <c r="B164" s="12">
        <v>1</v>
      </c>
      <c r="C164" s="12" t="s">
        <v>152</v>
      </c>
      <c r="D164" s="54">
        <f>(19.534+0.99+(0.75+2.05)+(0.75+1.6))*10.764</f>
        <v>276.35493599999995</v>
      </c>
      <c r="E164" s="55"/>
      <c r="F164" s="12">
        <v>0</v>
      </c>
      <c r="G164" s="12">
        <v>389</v>
      </c>
      <c r="H164" s="12" t="s">
        <v>153</v>
      </c>
      <c r="I164" s="56" t="s">
        <v>176</v>
      </c>
      <c r="J164" s="57"/>
    </row>
    <row r="165" spans="1:10" ht="15.5" x14ac:dyDescent="0.35">
      <c r="A165" s="12" t="s">
        <v>87</v>
      </c>
      <c r="B165" s="12">
        <v>2</v>
      </c>
      <c r="C165" s="12" t="s">
        <v>136</v>
      </c>
      <c r="D165" s="54">
        <f>(27.385+2.04+(0.75+2.425)+(0.75+2.75)+(0.75+1.6))*10.764</f>
        <v>413.87580000000003</v>
      </c>
      <c r="E165" s="55">
        <f t="shared" ref="E165:E170" si="3">(20.9)*10.764</f>
        <v>224.96759999999998</v>
      </c>
      <c r="F165" s="12">
        <v>0</v>
      </c>
      <c r="G165" s="12">
        <v>571</v>
      </c>
      <c r="H165" s="12" t="s">
        <v>153</v>
      </c>
      <c r="I165" s="58" t="s">
        <v>176</v>
      </c>
      <c r="J165" s="59"/>
    </row>
    <row r="166" spans="1:10" ht="15.5" x14ac:dyDescent="0.35">
      <c r="A166" s="12" t="s">
        <v>87</v>
      </c>
      <c r="B166" s="12">
        <v>3</v>
      </c>
      <c r="C166" s="12" t="s">
        <v>146</v>
      </c>
      <c r="D166" s="54">
        <f>(46.225+1.08+(0.75+2.8)+(0.65+2.1)+(0.75+5.7))*10.764</f>
        <v>646.43201999999997</v>
      </c>
      <c r="E166" s="55">
        <f>(15.96)*10.764</f>
        <v>171.79344</v>
      </c>
      <c r="F166" s="12">
        <v>0</v>
      </c>
      <c r="G166" s="12">
        <v>927</v>
      </c>
      <c r="H166" s="12" t="s">
        <v>153</v>
      </c>
      <c r="I166" s="58" t="s">
        <v>176</v>
      </c>
      <c r="J166" s="59"/>
    </row>
    <row r="167" spans="1:10" ht="15.5" x14ac:dyDescent="0.35">
      <c r="A167" s="12" t="s">
        <v>87</v>
      </c>
      <c r="B167" s="12">
        <v>4</v>
      </c>
      <c r="C167" s="12" t="s">
        <v>136</v>
      </c>
      <c r="D167" s="54">
        <f>(31.315+1.08+(0.75+2.75)+(0.75+2.25)+(0.75+2.75))*10.764</f>
        <v>456.33978000000002</v>
      </c>
      <c r="E167" s="55">
        <f t="shared" si="3"/>
        <v>224.96759999999998</v>
      </c>
      <c r="F167" s="12">
        <v>0</v>
      </c>
      <c r="G167" s="12">
        <v>636</v>
      </c>
      <c r="H167" s="12" t="s">
        <v>153</v>
      </c>
      <c r="I167" s="58" t="s">
        <v>176</v>
      </c>
      <c r="J167" s="59"/>
    </row>
    <row r="168" spans="1:10" ht="15.5" x14ac:dyDescent="0.35">
      <c r="A168" s="12" t="s">
        <v>87</v>
      </c>
      <c r="B168" s="12">
        <v>5</v>
      </c>
      <c r="C168" s="12" t="s">
        <v>136</v>
      </c>
      <c r="D168" s="54">
        <f>(31.315+1.08+(0.75+2.75)+(0.75+5))*10.764</f>
        <v>448.26677999999998</v>
      </c>
      <c r="E168" s="55">
        <f t="shared" si="3"/>
        <v>224.96759999999998</v>
      </c>
      <c r="F168" s="12">
        <v>0</v>
      </c>
      <c r="G168" s="12">
        <v>636</v>
      </c>
      <c r="H168" s="12" t="s">
        <v>153</v>
      </c>
      <c r="I168" s="58" t="s">
        <v>176</v>
      </c>
      <c r="J168" s="59"/>
    </row>
    <row r="169" spans="1:10" ht="15.5" x14ac:dyDescent="0.35">
      <c r="A169" s="12" t="s">
        <v>87</v>
      </c>
      <c r="B169" s="12">
        <v>6</v>
      </c>
      <c r="C169" s="12" t="s">
        <v>146</v>
      </c>
      <c r="D169" s="54">
        <f>(46.225+1.08+(0.75+2.8)+(0.65+2.1)+(0.75+5.65))*10.764</f>
        <v>645.89381999999989</v>
      </c>
      <c r="E169" s="55">
        <f>(15.96)*10.764</f>
        <v>171.79344</v>
      </c>
      <c r="F169" s="12">
        <v>0</v>
      </c>
      <c r="G169" s="12">
        <v>927</v>
      </c>
      <c r="H169" s="12" t="s">
        <v>153</v>
      </c>
      <c r="I169" s="58" t="s">
        <v>176</v>
      </c>
      <c r="J169" s="59"/>
    </row>
    <row r="170" spans="1:10" ht="15.5" x14ac:dyDescent="0.35">
      <c r="A170" s="12" t="s">
        <v>87</v>
      </c>
      <c r="B170" s="12">
        <v>7</v>
      </c>
      <c r="C170" s="12" t="s">
        <v>136</v>
      </c>
      <c r="D170" s="54">
        <f>(27.385+2.04+(0.75+2.75)+(0.75+1.975)+(0.75+1.6))*10.764</f>
        <v>409.03199999999998</v>
      </c>
      <c r="E170" s="55">
        <f t="shared" si="3"/>
        <v>224.96759999999998</v>
      </c>
      <c r="F170" s="12">
        <v>0</v>
      </c>
      <c r="G170" s="12">
        <v>570</v>
      </c>
      <c r="H170" s="12" t="s">
        <v>153</v>
      </c>
      <c r="I170" s="58" t="s">
        <v>176</v>
      </c>
      <c r="J170" s="59"/>
    </row>
    <row r="171" spans="1:10" ht="15.5" x14ac:dyDescent="0.35">
      <c r="A171" s="12" t="s">
        <v>87</v>
      </c>
      <c r="B171" s="12">
        <v>8</v>
      </c>
      <c r="C171" s="12" t="s">
        <v>152</v>
      </c>
      <c r="D171" s="54">
        <f>(19.534+0.99+(0.75+2.05)+(0.75+1.6))*10.764</f>
        <v>276.35493599999995</v>
      </c>
      <c r="E171" s="55"/>
      <c r="F171" s="12">
        <v>0</v>
      </c>
      <c r="G171" s="12">
        <v>389</v>
      </c>
      <c r="H171" s="12" t="s">
        <v>153</v>
      </c>
      <c r="I171" s="60" t="s">
        <v>176</v>
      </c>
      <c r="J171" s="61"/>
    </row>
    <row r="172" spans="1:10" ht="15" x14ac:dyDescent="0.35">
      <c r="A172" s="63" t="s">
        <v>177</v>
      </c>
      <c r="B172" s="64"/>
      <c r="C172" s="64"/>
      <c r="D172" s="64"/>
      <c r="E172" s="64"/>
      <c r="F172" s="64"/>
      <c r="G172" s="64"/>
      <c r="H172" s="64"/>
      <c r="I172" s="64"/>
      <c r="J172" s="65"/>
    </row>
    <row r="173" spans="1:10" ht="15" x14ac:dyDescent="0.35">
      <c r="A173" s="97" t="s">
        <v>151</v>
      </c>
      <c r="B173" s="97"/>
      <c r="C173" s="97"/>
      <c r="D173" s="97"/>
      <c r="E173" s="97"/>
      <c r="F173" s="97"/>
      <c r="G173" s="97"/>
      <c r="H173" s="97"/>
      <c r="I173" s="97"/>
      <c r="J173" s="97"/>
    </row>
    <row r="174" spans="1:10" ht="15.5" x14ac:dyDescent="0.35">
      <c r="A174" s="48" t="s">
        <v>178</v>
      </c>
      <c r="B174" s="48">
        <v>1</v>
      </c>
      <c r="C174" s="48" t="s">
        <v>157</v>
      </c>
      <c r="D174" s="62">
        <f>(26.714)*10.764</f>
        <v>287.54949599999998</v>
      </c>
      <c r="E174" s="62"/>
      <c r="F174" s="48">
        <v>0</v>
      </c>
      <c r="G174" s="48">
        <v>619</v>
      </c>
      <c r="H174" s="48" t="s">
        <v>153</v>
      </c>
      <c r="I174" s="62" t="s">
        <v>149</v>
      </c>
      <c r="J174" s="62"/>
    </row>
    <row r="175" spans="1:10" ht="15.5" x14ac:dyDescent="0.35">
      <c r="A175" s="48" t="s">
        <v>178</v>
      </c>
      <c r="B175" s="48">
        <v>2</v>
      </c>
      <c r="C175" s="48" t="s">
        <v>157</v>
      </c>
      <c r="D175" s="62">
        <f>(21.502)*10.764</f>
        <v>231.44752799999998</v>
      </c>
      <c r="E175" s="62">
        <f>(20.9)*10.764</f>
        <v>224.96759999999998</v>
      </c>
      <c r="F175" s="48">
        <v>0</v>
      </c>
      <c r="G175" s="48">
        <v>489</v>
      </c>
      <c r="H175" s="48" t="s">
        <v>153</v>
      </c>
      <c r="I175" s="62"/>
      <c r="J175" s="62"/>
    </row>
    <row r="176" spans="1:10" ht="15.5" x14ac:dyDescent="0.35">
      <c r="A176" s="48" t="s">
        <v>178</v>
      </c>
      <c r="B176" s="48">
        <v>3</v>
      </c>
      <c r="C176" s="48" t="s">
        <v>157</v>
      </c>
      <c r="D176" s="62">
        <f>(26.261)*10.764</f>
        <v>282.67340399999995</v>
      </c>
      <c r="E176" s="62">
        <f>(15.96)*10.764</f>
        <v>171.79344</v>
      </c>
      <c r="F176" s="48">
        <v>0</v>
      </c>
      <c r="G176" s="48">
        <v>596</v>
      </c>
      <c r="H176" s="48" t="s">
        <v>153</v>
      </c>
      <c r="I176" s="62"/>
      <c r="J176" s="62"/>
    </row>
    <row r="177" spans="1:13" ht="15.5" x14ac:dyDescent="0.35">
      <c r="A177" s="48" t="s">
        <v>178</v>
      </c>
      <c r="B177" s="48">
        <v>4</v>
      </c>
      <c r="C177" s="48" t="s">
        <v>157</v>
      </c>
      <c r="D177" s="62">
        <f>(19.387)*10.764</f>
        <v>208.681668</v>
      </c>
      <c r="E177" s="62">
        <f>(20.9)*10.764</f>
        <v>224.96759999999998</v>
      </c>
      <c r="F177" s="48">
        <v>0</v>
      </c>
      <c r="G177" s="48">
        <v>440</v>
      </c>
      <c r="H177" s="48" t="s">
        <v>153</v>
      </c>
      <c r="I177" s="62"/>
      <c r="J177" s="62"/>
    </row>
    <row r="178" spans="1:13" ht="15.5" x14ac:dyDescent="0.35">
      <c r="A178" s="48" t="s">
        <v>178</v>
      </c>
      <c r="B178" s="48">
        <v>5</v>
      </c>
      <c r="C178" s="48" t="s">
        <v>157</v>
      </c>
      <c r="D178" s="62">
        <f>(14.805)*10.764</f>
        <v>159.36102</v>
      </c>
      <c r="E178" s="62">
        <f>(20.9)*10.764</f>
        <v>224.96759999999998</v>
      </c>
      <c r="F178" s="48">
        <v>0</v>
      </c>
      <c r="G178" s="48">
        <v>336</v>
      </c>
      <c r="H178" s="48" t="s">
        <v>153</v>
      </c>
      <c r="I178" s="62"/>
      <c r="J178" s="62"/>
    </row>
    <row r="179" spans="1:13" ht="15.5" x14ac:dyDescent="0.35">
      <c r="A179" s="48" t="s">
        <v>178</v>
      </c>
      <c r="B179" s="48">
        <v>6</v>
      </c>
      <c r="C179" s="48" t="s">
        <v>157</v>
      </c>
      <c r="D179" s="62">
        <f>(14.3)*10.764</f>
        <v>153.92519999999999</v>
      </c>
      <c r="E179" s="62">
        <f>(14.595)*10.764</f>
        <v>157.10058000000001</v>
      </c>
      <c r="F179" s="48">
        <v>0</v>
      </c>
      <c r="G179" s="48">
        <v>331</v>
      </c>
      <c r="H179" s="48" t="s">
        <v>153</v>
      </c>
      <c r="I179" s="62"/>
      <c r="J179" s="62"/>
    </row>
    <row r="180" spans="1:13" ht="15.5" x14ac:dyDescent="0.35">
      <c r="A180" s="48" t="s">
        <v>178</v>
      </c>
      <c r="B180" s="48">
        <v>7</v>
      </c>
      <c r="C180" s="48" t="s">
        <v>157</v>
      </c>
      <c r="D180" s="62">
        <f>(14.3)*10.764</f>
        <v>153.92519999999999</v>
      </c>
      <c r="E180" s="62">
        <f>(14.595)*10.764</f>
        <v>157.10058000000001</v>
      </c>
      <c r="F180" s="48">
        <v>0</v>
      </c>
      <c r="G180" s="48">
        <v>331</v>
      </c>
      <c r="H180" s="48" t="s">
        <v>153</v>
      </c>
      <c r="I180" s="62"/>
      <c r="J180" s="62"/>
    </row>
    <row r="181" spans="1:13" ht="15.5" x14ac:dyDescent="0.35">
      <c r="A181" s="48" t="s">
        <v>178</v>
      </c>
      <c r="B181" s="48">
        <v>8</v>
      </c>
      <c r="C181" s="48" t="s">
        <v>157</v>
      </c>
      <c r="D181" s="62">
        <f>(15.96)*10.764</f>
        <v>171.79344</v>
      </c>
      <c r="E181" s="62">
        <f>(18.48)*10.764</f>
        <v>198.91871999999998</v>
      </c>
      <c r="F181" s="48">
        <v>0</v>
      </c>
      <c r="G181" s="48">
        <v>361</v>
      </c>
      <c r="H181" s="48" t="s">
        <v>153</v>
      </c>
      <c r="I181" s="62"/>
      <c r="J181" s="62"/>
    </row>
    <row r="182" spans="1:13" ht="15.5" x14ac:dyDescent="0.35">
      <c r="A182" s="48" t="s">
        <v>178</v>
      </c>
      <c r="B182" s="48">
        <v>9</v>
      </c>
      <c r="C182" s="48" t="s">
        <v>157</v>
      </c>
      <c r="D182" s="62">
        <f>(20.9)*10.764</f>
        <v>224.96759999999998</v>
      </c>
      <c r="E182" s="62">
        <f>(19.113)*10.764</f>
        <v>205.73233199999999</v>
      </c>
      <c r="F182" s="48">
        <v>0</v>
      </c>
      <c r="G182" s="48">
        <v>473</v>
      </c>
      <c r="H182" s="48" t="s">
        <v>153</v>
      </c>
      <c r="I182" s="62"/>
      <c r="J182" s="62"/>
    </row>
    <row r="183" spans="1:13" ht="15.5" x14ac:dyDescent="0.35">
      <c r="A183" s="48" t="s">
        <v>178</v>
      </c>
      <c r="B183" s="48">
        <v>10</v>
      </c>
      <c r="C183" s="48" t="s">
        <v>157</v>
      </c>
      <c r="D183" s="62">
        <f>(20.9)*10.764</f>
        <v>224.96759999999998</v>
      </c>
      <c r="E183" s="62">
        <f>(19.113)*10.764</f>
        <v>205.73233199999999</v>
      </c>
      <c r="F183" s="48">
        <v>0</v>
      </c>
      <c r="G183" s="48">
        <v>474</v>
      </c>
      <c r="H183" s="48" t="s">
        <v>153</v>
      </c>
      <c r="I183" s="62"/>
      <c r="J183" s="62"/>
    </row>
    <row r="184" spans="1:13" ht="15" x14ac:dyDescent="0.35">
      <c r="A184" s="97" t="s">
        <v>197</v>
      </c>
      <c r="B184" s="97"/>
      <c r="C184" s="97"/>
      <c r="D184" s="97"/>
      <c r="E184" s="97"/>
      <c r="F184" s="97"/>
      <c r="G184" s="97"/>
      <c r="H184" s="97"/>
      <c r="I184" s="97"/>
      <c r="J184" s="97"/>
      <c r="L184" s="21"/>
    </row>
    <row r="185" spans="1:13" ht="15.5" x14ac:dyDescent="0.35">
      <c r="A185" s="48" t="s">
        <v>178</v>
      </c>
      <c r="B185" s="48">
        <v>1</v>
      </c>
      <c r="C185" s="48" t="s">
        <v>136</v>
      </c>
      <c r="D185" s="62">
        <f>(27.269+2.07+(0.75+2.1)+(0.75+2.75))*10.764</f>
        <v>384.15639599999997</v>
      </c>
      <c r="E185" s="62"/>
      <c r="F185" s="48">
        <f>(1.575*1.5)*10.764</f>
        <v>25.429949999999998</v>
      </c>
      <c r="G185" s="48">
        <v>688</v>
      </c>
      <c r="H185" s="48" t="s">
        <v>153</v>
      </c>
      <c r="I185" s="62" t="s">
        <v>199</v>
      </c>
      <c r="J185" s="62"/>
      <c r="M185" s="21"/>
    </row>
    <row r="186" spans="1:13" ht="15.5" x14ac:dyDescent="0.35">
      <c r="A186" s="48" t="s">
        <v>178</v>
      </c>
      <c r="B186" s="48">
        <v>2</v>
      </c>
      <c r="C186" s="48" t="s">
        <v>146</v>
      </c>
      <c r="D186" s="62">
        <f>(46.225+1.08+(0.75+4.7)+(0.75+5.8))*10.764</f>
        <v>638.35901999999999</v>
      </c>
      <c r="E186" s="62">
        <f>(20.9)*10.764</f>
        <v>224.96759999999998</v>
      </c>
      <c r="F186" s="48">
        <v>0</v>
      </c>
      <c r="G186" s="48">
        <v>963</v>
      </c>
      <c r="H186" s="48" t="s">
        <v>153</v>
      </c>
      <c r="I186" s="62"/>
      <c r="J186" s="62"/>
    </row>
    <row r="187" spans="1:13" ht="15.5" x14ac:dyDescent="0.35">
      <c r="A187" s="48" t="s">
        <v>178</v>
      </c>
      <c r="B187" s="48">
        <v>3</v>
      </c>
      <c r="C187" s="48" t="s">
        <v>136</v>
      </c>
      <c r="D187" s="62">
        <f>(30.625+(0.75+2.75)+(0.75+5.3))*10.764</f>
        <v>432.44369999999992</v>
      </c>
      <c r="E187" s="62">
        <f>(15.96)*10.764</f>
        <v>171.79344</v>
      </c>
      <c r="F187" s="48">
        <v>0</v>
      </c>
      <c r="G187" s="48">
        <v>691</v>
      </c>
      <c r="H187" s="48" t="s">
        <v>153</v>
      </c>
      <c r="I187" s="62"/>
      <c r="J187" s="62"/>
    </row>
    <row r="188" spans="1:13" ht="15.5" x14ac:dyDescent="0.35">
      <c r="A188" s="48" t="s">
        <v>178</v>
      </c>
      <c r="B188" s="48">
        <v>4</v>
      </c>
      <c r="C188" s="48" t="s">
        <v>146</v>
      </c>
      <c r="D188" s="62">
        <f>(43.681+2.058+(0.75+3)+(0.75+4.9))*10.764</f>
        <v>593.51619599999992</v>
      </c>
      <c r="E188" s="62">
        <f>(20.9)*10.764</f>
        <v>224.96759999999998</v>
      </c>
      <c r="F188" s="48">
        <f>(2.1*1.5)*10.764</f>
        <v>33.906600000000005</v>
      </c>
      <c r="G188" s="48">
        <v>1507</v>
      </c>
      <c r="H188" s="48" t="s">
        <v>153</v>
      </c>
      <c r="I188" s="62"/>
      <c r="J188" s="62"/>
    </row>
    <row r="189" spans="1:13" ht="15.5" x14ac:dyDescent="0.35">
      <c r="A189" s="48" t="s">
        <v>178</v>
      </c>
      <c r="B189" s="48">
        <v>5</v>
      </c>
      <c r="C189" s="48" t="s">
        <v>136</v>
      </c>
      <c r="D189" s="62">
        <f>(28.22+2.61+(0.75+4.9))*10.764</f>
        <v>392.67071999999996</v>
      </c>
      <c r="E189" s="62">
        <f>(20.9)*10.764</f>
        <v>224.96759999999998</v>
      </c>
      <c r="F189" s="48">
        <f>(1.8*1.5)*10.764</f>
        <v>29.062799999999999</v>
      </c>
      <c r="G189" s="48">
        <v>611</v>
      </c>
      <c r="H189" s="48" t="s">
        <v>153</v>
      </c>
      <c r="I189" s="62"/>
      <c r="J189" s="62"/>
    </row>
    <row r="190" spans="1:13" ht="15.5" x14ac:dyDescent="0.35">
      <c r="A190" s="48" t="s">
        <v>178</v>
      </c>
      <c r="B190" s="48">
        <v>6</v>
      </c>
      <c r="C190" s="48" t="s">
        <v>136</v>
      </c>
      <c r="D190" s="62">
        <f>(26.685+2.25+(0.75+4.9))*10.764</f>
        <v>372.27294000000001</v>
      </c>
      <c r="E190" s="62">
        <f>(15.96)*10.764</f>
        <v>171.79344</v>
      </c>
      <c r="F190" s="48">
        <f>(1.75*1.5)*10.764</f>
        <v>28.255499999999998</v>
      </c>
      <c r="G190" s="48">
        <v>579</v>
      </c>
      <c r="H190" s="48" t="s">
        <v>153</v>
      </c>
      <c r="I190" s="62"/>
      <c r="J190" s="62"/>
    </row>
    <row r="191" spans="1:13" ht="15" x14ac:dyDescent="0.35">
      <c r="A191" s="63" t="s">
        <v>198</v>
      </c>
      <c r="B191" s="64"/>
      <c r="C191" s="64"/>
      <c r="D191" s="64"/>
      <c r="E191" s="64"/>
      <c r="F191" s="64"/>
      <c r="G191" s="64"/>
      <c r="H191" s="64"/>
      <c r="I191" s="64"/>
      <c r="J191" s="65"/>
    </row>
    <row r="192" spans="1:13" ht="15.5" x14ac:dyDescent="0.35">
      <c r="A192" s="12" t="s">
        <v>178</v>
      </c>
      <c r="B192" s="12">
        <v>1</v>
      </c>
      <c r="C192" s="12" t="s">
        <v>136</v>
      </c>
      <c r="D192" s="54">
        <f>(27.269+2.07+(0.75+2.1)+(0.75+2.75))*10.764</f>
        <v>384.15639599999997</v>
      </c>
      <c r="E192" s="55"/>
      <c r="F192" s="12">
        <f>(1.575*1.5)*10.764</f>
        <v>25.429949999999998</v>
      </c>
      <c r="G192" s="12">
        <v>578</v>
      </c>
      <c r="H192" s="12" t="s">
        <v>153</v>
      </c>
      <c r="I192" s="56" t="s">
        <v>200</v>
      </c>
      <c r="J192" s="57"/>
    </row>
    <row r="193" spans="1:10" ht="15.5" x14ac:dyDescent="0.35">
      <c r="A193" s="12" t="s">
        <v>178</v>
      </c>
      <c r="B193" s="12">
        <v>2</v>
      </c>
      <c r="C193" s="12" t="s">
        <v>146</v>
      </c>
      <c r="D193" s="54">
        <f>(46.225+1.08+(0.75+4.7)+(0.75+5.8))*10.764</f>
        <v>638.35901999999999</v>
      </c>
      <c r="E193" s="55">
        <f>(20.9)*10.764</f>
        <v>224.96759999999998</v>
      </c>
      <c r="F193" s="12">
        <v>0</v>
      </c>
      <c r="G193" s="12">
        <v>928</v>
      </c>
      <c r="H193" s="12" t="s">
        <v>153</v>
      </c>
      <c r="I193" s="58" t="s">
        <v>200</v>
      </c>
      <c r="J193" s="59"/>
    </row>
    <row r="194" spans="1:10" ht="15.5" x14ac:dyDescent="0.35">
      <c r="A194" s="12" t="s">
        <v>178</v>
      </c>
      <c r="B194" s="12">
        <v>3</v>
      </c>
      <c r="C194" s="12" t="s">
        <v>136</v>
      </c>
      <c r="D194" s="54">
        <f>(30.625+(0.75+2.75)+(0.75+5.3))*10.764</f>
        <v>432.44369999999992</v>
      </c>
      <c r="E194" s="55">
        <f>(15.96)*10.764</f>
        <v>171.79344</v>
      </c>
      <c r="F194" s="12">
        <v>0</v>
      </c>
      <c r="G194" s="12">
        <v>607</v>
      </c>
      <c r="H194" s="12" t="s">
        <v>153</v>
      </c>
      <c r="I194" s="58" t="s">
        <v>200</v>
      </c>
      <c r="J194" s="59"/>
    </row>
    <row r="195" spans="1:10" ht="15.5" x14ac:dyDescent="0.35">
      <c r="A195" s="12" t="s">
        <v>178</v>
      </c>
      <c r="B195" s="12">
        <v>4</v>
      </c>
      <c r="C195" s="12" t="s">
        <v>146</v>
      </c>
      <c r="D195" s="54">
        <f>(43.681+2.058+(0.75+3)+(0.75+4.9))*10.764</f>
        <v>593.51619599999992</v>
      </c>
      <c r="E195" s="55">
        <f>(20.9)*10.764</f>
        <v>224.96759999999998</v>
      </c>
      <c r="F195" s="12">
        <f>(2.1*1.5)*10.764</f>
        <v>33.906600000000005</v>
      </c>
      <c r="G195" s="12">
        <v>918</v>
      </c>
      <c r="H195" s="12" t="s">
        <v>153</v>
      </c>
      <c r="I195" s="58" t="s">
        <v>200</v>
      </c>
      <c r="J195" s="59"/>
    </row>
    <row r="196" spans="1:10" ht="15.5" x14ac:dyDescent="0.35">
      <c r="A196" s="12" t="s">
        <v>178</v>
      </c>
      <c r="B196" s="12">
        <v>5</v>
      </c>
      <c r="C196" s="12" t="s">
        <v>136</v>
      </c>
      <c r="D196" s="54">
        <f>(28.22+2.61+(0.75+4.9))*10.764</f>
        <v>392.67071999999996</v>
      </c>
      <c r="E196" s="55">
        <f>(20.9)*10.764</f>
        <v>224.96759999999998</v>
      </c>
      <c r="F196" s="12">
        <f>(1.8*1.5)*10.764</f>
        <v>29.062799999999999</v>
      </c>
      <c r="G196" s="12">
        <v>611</v>
      </c>
      <c r="H196" s="12" t="s">
        <v>153</v>
      </c>
      <c r="I196" s="58" t="s">
        <v>200</v>
      </c>
      <c r="J196" s="59"/>
    </row>
    <row r="197" spans="1:10" ht="15.5" x14ac:dyDescent="0.35">
      <c r="A197" s="12" t="s">
        <v>178</v>
      </c>
      <c r="B197" s="12">
        <v>6</v>
      </c>
      <c r="C197" s="12" t="s">
        <v>136</v>
      </c>
      <c r="D197" s="54">
        <f>(26.685+2.25+(0.75+4.9))*10.764</f>
        <v>372.27294000000001</v>
      </c>
      <c r="E197" s="55">
        <f>(15.96)*10.764</f>
        <v>171.79344</v>
      </c>
      <c r="F197" s="12">
        <f>(1.75*1.5)*10.764</f>
        <v>28.255499999999998</v>
      </c>
      <c r="G197" s="12">
        <v>579</v>
      </c>
      <c r="H197" s="12" t="s">
        <v>153</v>
      </c>
      <c r="I197" s="60" t="s">
        <v>200</v>
      </c>
      <c r="J197" s="61"/>
    </row>
    <row r="198" spans="1:10" ht="15" x14ac:dyDescent="0.35">
      <c r="A198" s="63" t="s">
        <v>201</v>
      </c>
      <c r="B198" s="64"/>
      <c r="C198" s="64"/>
      <c r="D198" s="64"/>
      <c r="E198" s="64"/>
      <c r="F198" s="64"/>
      <c r="G198" s="64"/>
      <c r="H198" s="64"/>
      <c r="I198" s="64"/>
      <c r="J198" s="65"/>
    </row>
    <row r="199" spans="1:10" ht="15.5" x14ac:dyDescent="0.35">
      <c r="A199" s="12" t="s">
        <v>178</v>
      </c>
      <c r="B199" s="12">
        <v>1</v>
      </c>
      <c r="C199" s="12" t="s">
        <v>136</v>
      </c>
      <c r="D199" s="54">
        <f>(27.269+2.07+(0.75+2.1)+(0.75+2.75)+(0.75+1.5))*10.764</f>
        <v>408.37539599999997</v>
      </c>
      <c r="E199" s="55"/>
      <c r="F199" s="12">
        <v>0</v>
      </c>
      <c r="G199" s="12">
        <v>533</v>
      </c>
      <c r="H199" s="12" t="s">
        <v>153</v>
      </c>
      <c r="I199" s="56" t="s">
        <v>202</v>
      </c>
      <c r="J199" s="57"/>
    </row>
    <row r="200" spans="1:10" ht="15.5" x14ac:dyDescent="0.35">
      <c r="A200" s="12" t="s">
        <v>178</v>
      </c>
      <c r="B200" s="12">
        <v>2</v>
      </c>
      <c r="C200" s="12" t="s">
        <v>146</v>
      </c>
      <c r="D200" s="54">
        <f>(46.225+1.08+(0.75+4.7)+(0.75+5.8))*10.764</f>
        <v>638.35901999999999</v>
      </c>
      <c r="E200" s="55">
        <f>(20.9)*10.764</f>
        <v>224.96759999999998</v>
      </c>
      <c r="F200" s="12">
        <v>0</v>
      </c>
      <c r="G200" s="12">
        <v>884</v>
      </c>
      <c r="H200" s="12" t="s">
        <v>153</v>
      </c>
      <c r="I200" s="58"/>
      <c r="J200" s="59"/>
    </row>
    <row r="201" spans="1:10" ht="15.5" x14ac:dyDescent="0.35">
      <c r="A201" s="12" t="s">
        <v>178</v>
      </c>
      <c r="B201" s="12">
        <v>3</v>
      </c>
      <c r="C201" s="12" t="s">
        <v>136</v>
      </c>
      <c r="D201" s="54">
        <f>(30.625+(0.75+2.75)+(0.75+5.3))*10.764</f>
        <v>432.44369999999992</v>
      </c>
      <c r="E201" s="55">
        <f>(15.96)*10.764</f>
        <v>171.79344</v>
      </c>
      <c r="F201" s="12">
        <v>0</v>
      </c>
      <c r="G201" s="12">
        <v>578</v>
      </c>
      <c r="H201" s="12" t="s">
        <v>153</v>
      </c>
      <c r="I201" s="58"/>
      <c r="J201" s="59"/>
    </row>
    <row r="202" spans="1:10" ht="15.5" x14ac:dyDescent="0.35">
      <c r="A202" s="12" t="s">
        <v>178</v>
      </c>
      <c r="B202" s="12">
        <v>4</v>
      </c>
      <c r="C202" s="12" t="s">
        <v>146</v>
      </c>
      <c r="D202" s="54">
        <f>(43.681+2.058+(0.75+3)+(0.75+4.9)+(0.75+2.1))*10.764</f>
        <v>624.19359599999996</v>
      </c>
      <c r="E202" s="55">
        <f>(20.9)*10.764</f>
        <v>224.96759999999998</v>
      </c>
      <c r="F202" s="12">
        <v>0</v>
      </c>
      <c r="G202" s="12">
        <v>850</v>
      </c>
      <c r="H202" s="12" t="s">
        <v>153</v>
      </c>
      <c r="I202" s="58"/>
      <c r="J202" s="59"/>
    </row>
    <row r="203" spans="1:10" ht="15.5" x14ac:dyDescent="0.35">
      <c r="A203" s="12" t="s">
        <v>178</v>
      </c>
      <c r="B203" s="12">
        <v>5</v>
      </c>
      <c r="C203" s="12" t="s">
        <v>136</v>
      </c>
      <c r="D203" s="54">
        <f>(28.22+2.61+(0.75+4.9)+(0.75+1.8))*10.764</f>
        <v>420.11891999999989</v>
      </c>
      <c r="E203" s="55">
        <f>(20.9)*10.764</f>
        <v>224.96759999999998</v>
      </c>
      <c r="F203" s="12">
        <v>0</v>
      </c>
      <c r="G203" s="12">
        <v>561</v>
      </c>
      <c r="H203" s="12" t="s">
        <v>153</v>
      </c>
      <c r="I203" s="58"/>
      <c r="J203" s="59"/>
    </row>
    <row r="204" spans="1:10" ht="15.5" x14ac:dyDescent="0.35">
      <c r="A204" s="12" t="s">
        <v>178</v>
      </c>
      <c r="B204" s="12">
        <v>6</v>
      </c>
      <c r="C204" s="12" t="s">
        <v>136</v>
      </c>
      <c r="D204" s="54">
        <f>(26.685+2.25+(0.75+4.9)+(0.75+1.75))*10.764</f>
        <v>399.18293999999997</v>
      </c>
      <c r="E204" s="55">
        <f>(15.96)*10.764</f>
        <v>171.79344</v>
      </c>
      <c r="F204" s="12">
        <v>0</v>
      </c>
      <c r="G204" s="12">
        <v>532</v>
      </c>
      <c r="H204" s="12" t="s">
        <v>153</v>
      </c>
      <c r="I204" s="60"/>
      <c r="J204" s="61"/>
    </row>
    <row r="205" spans="1:10" ht="15" x14ac:dyDescent="0.35">
      <c r="A205" s="63" t="s">
        <v>203</v>
      </c>
      <c r="B205" s="64"/>
      <c r="C205" s="64"/>
      <c r="D205" s="64"/>
      <c r="E205" s="64"/>
      <c r="F205" s="64"/>
      <c r="G205" s="64"/>
      <c r="H205" s="64"/>
      <c r="I205" s="64"/>
      <c r="J205" s="65"/>
    </row>
    <row r="206" spans="1:10" ht="15.5" x14ac:dyDescent="0.35">
      <c r="A206" s="12" t="s">
        <v>178</v>
      </c>
      <c r="B206" s="12">
        <v>1</v>
      </c>
      <c r="C206" s="12" t="s">
        <v>136</v>
      </c>
      <c r="D206" s="54">
        <f>(27.269+2.07+(0.75+2.1)+(0.75+2.75)+(0.75+1.5))*10.764</f>
        <v>408.37539599999997</v>
      </c>
      <c r="E206" s="55"/>
      <c r="F206" s="12">
        <v>0</v>
      </c>
      <c r="G206" s="12">
        <v>560</v>
      </c>
      <c r="H206" s="12" t="s">
        <v>153</v>
      </c>
      <c r="I206" s="56" t="s">
        <v>204</v>
      </c>
      <c r="J206" s="57"/>
    </row>
    <row r="207" spans="1:10" ht="15.5" x14ac:dyDescent="0.35">
      <c r="A207" s="12" t="s">
        <v>178</v>
      </c>
      <c r="B207" s="12">
        <v>2</v>
      </c>
      <c r="C207" s="12" t="s">
        <v>146</v>
      </c>
      <c r="D207" s="54">
        <f>(46.225+1.08+(0.75+4.7)+(0.75+5.8))*10.764</f>
        <v>638.35901999999999</v>
      </c>
      <c r="E207" s="55">
        <f>(20.9)*10.764</f>
        <v>224.96759999999998</v>
      </c>
      <c r="F207" s="12">
        <v>0</v>
      </c>
      <c r="G207" s="12">
        <v>928</v>
      </c>
      <c r="H207" s="12" t="s">
        <v>153</v>
      </c>
      <c r="I207" s="58" t="s">
        <v>204</v>
      </c>
      <c r="J207" s="59"/>
    </row>
    <row r="208" spans="1:10" ht="15.5" x14ac:dyDescent="0.35">
      <c r="A208" s="12" t="s">
        <v>178</v>
      </c>
      <c r="B208" s="12">
        <v>3</v>
      </c>
      <c r="C208" s="12" t="s">
        <v>136</v>
      </c>
      <c r="D208" s="54">
        <f>(30.625+(0.75+2.75)+(0.75+5.3))*10.764</f>
        <v>432.44369999999992</v>
      </c>
      <c r="E208" s="55">
        <f>(15.96)*10.764</f>
        <v>171.79344</v>
      </c>
      <c r="F208" s="12">
        <v>0</v>
      </c>
      <c r="G208" s="12">
        <v>607</v>
      </c>
      <c r="H208" s="12" t="s">
        <v>153</v>
      </c>
      <c r="I208" s="58" t="s">
        <v>204</v>
      </c>
      <c r="J208" s="59"/>
    </row>
    <row r="209" spans="1:10" ht="15.5" x14ac:dyDescent="0.35">
      <c r="A209" s="12" t="s">
        <v>178</v>
      </c>
      <c r="B209" s="12">
        <v>4</v>
      </c>
      <c r="C209" s="12" t="s">
        <v>146</v>
      </c>
      <c r="D209" s="54">
        <f>(43.681+2.058+(0.75+3)+(0.75+4.9)+(0.75+2.1))*10.764</f>
        <v>624.19359599999996</v>
      </c>
      <c r="E209" s="55">
        <f>(20.9)*10.764</f>
        <v>224.96759999999998</v>
      </c>
      <c r="F209" s="12">
        <v>0</v>
      </c>
      <c r="G209" s="12">
        <v>893</v>
      </c>
      <c r="H209" s="12" t="s">
        <v>153</v>
      </c>
      <c r="I209" s="58" t="s">
        <v>204</v>
      </c>
      <c r="J209" s="59"/>
    </row>
    <row r="210" spans="1:10" ht="15.5" x14ac:dyDescent="0.35">
      <c r="A210" s="12" t="s">
        <v>178</v>
      </c>
      <c r="B210" s="12">
        <v>5</v>
      </c>
      <c r="C210" s="12" t="s">
        <v>136</v>
      </c>
      <c r="D210" s="54">
        <f>(28.22+2.61+(0.75+4.9)+(0.75+1.8))*10.764</f>
        <v>420.11891999999989</v>
      </c>
      <c r="E210" s="55">
        <f>(20.9)*10.764</f>
        <v>224.96759999999998</v>
      </c>
      <c r="F210" s="12">
        <v>0</v>
      </c>
      <c r="G210" s="12">
        <v>589</v>
      </c>
      <c r="H210" s="12" t="s">
        <v>153</v>
      </c>
      <c r="I210" s="58" t="s">
        <v>204</v>
      </c>
      <c r="J210" s="59"/>
    </row>
    <row r="211" spans="1:10" ht="15.5" x14ac:dyDescent="0.35">
      <c r="A211" s="12" t="s">
        <v>178</v>
      </c>
      <c r="B211" s="12">
        <v>6</v>
      </c>
      <c r="C211" s="12" t="s">
        <v>136</v>
      </c>
      <c r="D211" s="54">
        <f>(26.685+2.25+(0.75+4.9)+(0.75+1.75))*10.764</f>
        <v>399.18293999999997</v>
      </c>
      <c r="E211" s="55">
        <f>(15.96)*10.764</f>
        <v>171.79344</v>
      </c>
      <c r="F211" s="12">
        <v>0</v>
      </c>
      <c r="G211" s="12">
        <v>558</v>
      </c>
      <c r="H211" s="12" t="s">
        <v>153</v>
      </c>
      <c r="I211" s="60" t="s">
        <v>204</v>
      </c>
      <c r="J211" s="61"/>
    </row>
    <row r="212" spans="1:10" ht="15" x14ac:dyDescent="0.35">
      <c r="A212" s="63" t="s">
        <v>179</v>
      </c>
      <c r="B212" s="64"/>
      <c r="C212" s="64"/>
      <c r="D212" s="64"/>
      <c r="E212" s="64"/>
      <c r="F212" s="64"/>
      <c r="G212" s="64"/>
      <c r="H212" s="64"/>
      <c r="I212" s="64"/>
      <c r="J212" s="65"/>
    </row>
    <row r="213" spans="1:10" ht="15" x14ac:dyDescent="0.35">
      <c r="A213" s="63" t="s">
        <v>180</v>
      </c>
      <c r="B213" s="64"/>
      <c r="C213" s="64"/>
      <c r="D213" s="64"/>
      <c r="E213" s="64"/>
      <c r="F213" s="64"/>
      <c r="G213" s="64"/>
      <c r="H213" s="64"/>
      <c r="I213" s="64"/>
      <c r="J213" s="65"/>
    </row>
    <row r="214" spans="1:10" ht="15" x14ac:dyDescent="0.35">
      <c r="A214" s="63" t="s">
        <v>206</v>
      </c>
      <c r="B214" s="64"/>
      <c r="C214" s="64"/>
      <c r="D214" s="64"/>
      <c r="E214" s="64"/>
      <c r="F214" s="64"/>
      <c r="G214" s="64"/>
      <c r="H214" s="64"/>
      <c r="I214" s="64"/>
      <c r="J214" s="65"/>
    </row>
    <row r="215" spans="1:10" ht="15.5" x14ac:dyDescent="0.35">
      <c r="A215" s="12" t="s">
        <v>181</v>
      </c>
      <c r="B215" s="12">
        <v>1</v>
      </c>
      <c r="C215" s="12" t="s">
        <v>136</v>
      </c>
      <c r="D215" s="54">
        <f>(26.685+2.25+(0.75+4.9))*10.764</f>
        <v>372.27294000000001</v>
      </c>
      <c r="E215" s="55"/>
      <c r="F215" s="12">
        <f>(1.9*1.5)*10.764</f>
        <v>30.677399999999995</v>
      </c>
      <c r="G215" s="12">
        <v>587</v>
      </c>
      <c r="H215" s="12" t="s">
        <v>153</v>
      </c>
      <c r="I215" s="56" t="s">
        <v>174</v>
      </c>
      <c r="J215" s="57"/>
    </row>
    <row r="216" spans="1:10" ht="15.5" x14ac:dyDescent="0.35">
      <c r="A216" s="12" t="s">
        <v>181</v>
      </c>
      <c r="B216" s="12">
        <v>2</v>
      </c>
      <c r="C216" s="12" t="s">
        <v>136</v>
      </c>
      <c r="D216" s="54">
        <f>(36.613+2.632+(0.75+4.9))*10.764</f>
        <v>483.24977999999993</v>
      </c>
      <c r="E216" s="55">
        <f>(20.9)*10.764</f>
        <v>224.96759999999998</v>
      </c>
      <c r="F216" s="12">
        <f>(1.85*1.5)*10.764</f>
        <v>29.870100000000001</v>
      </c>
      <c r="G216" s="12">
        <v>785</v>
      </c>
      <c r="H216" s="12" t="s">
        <v>153</v>
      </c>
      <c r="I216" s="58"/>
      <c r="J216" s="59"/>
    </row>
    <row r="217" spans="1:10" ht="15.5" x14ac:dyDescent="0.35">
      <c r="A217" s="12" t="s">
        <v>181</v>
      </c>
      <c r="B217" s="12">
        <v>3</v>
      </c>
      <c r="C217" s="12" t="s">
        <v>136</v>
      </c>
      <c r="D217" s="54">
        <f>(29.615+0.45+(0.75+4.9))*10.764</f>
        <v>384.43625999999995</v>
      </c>
      <c r="E217" s="55">
        <f>(20.9)*10.764</f>
        <v>224.96759999999998</v>
      </c>
      <c r="F217" s="12">
        <f>(1.85*1.5)*10.764</f>
        <v>29.870100000000001</v>
      </c>
      <c r="G217" s="12">
        <v>605</v>
      </c>
      <c r="H217" s="12" t="s">
        <v>153</v>
      </c>
      <c r="I217" s="58"/>
      <c r="J217" s="59"/>
    </row>
    <row r="218" spans="1:10" ht="15.5" x14ac:dyDescent="0.35">
      <c r="A218" s="12" t="s">
        <v>181</v>
      </c>
      <c r="B218" s="12">
        <v>4</v>
      </c>
      <c r="C218" s="12" t="s">
        <v>136</v>
      </c>
      <c r="D218" s="54">
        <f>(27.84+0.45+(0.75+4.9))*10.764</f>
        <v>365.33015999999998</v>
      </c>
      <c r="E218" s="55">
        <f>(20.9)*10.764</f>
        <v>224.96759999999998</v>
      </c>
      <c r="F218" s="12">
        <f>(1.9*1.5)*10.764</f>
        <v>30.677399999999995</v>
      </c>
      <c r="G218" s="12">
        <v>573</v>
      </c>
      <c r="H218" s="12" t="s">
        <v>153</v>
      </c>
      <c r="I218" s="60"/>
      <c r="J218" s="61"/>
    </row>
    <row r="219" spans="1:10" ht="15" x14ac:dyDescent="0.35">
      <c r="A219" s="63" t="s">
        <v>201</v>
      </c>
      <c r="B219" s="64"/>
      <c r="C219" s="64"/>
      <c r="D219" s="64"/>
      <c r="E219" s="64"/>
      <c r="F219" s="64"/>
      <c r="G219" s="64"/>
      <c r="H219" s="64"/>
      <c r="I219" s="64"/>
      <c r="J219" s="65"/>
    </row>
    <row r="220" spans="1:10" ht="15.5" x14ac:dyDescent="0.35">
      <c r="A220" s="12" t="s">
        <v>181</v>
      </c>
      <c r="B220" s="12">
        <v>1</v>
      </c>
      <c r="C220" s="12" t="s">
        <v>136</v>
      </c>
      <c r="D220" s="54">
        <f>(26.685+2.25+(0.75+4.9)+(0.75+1.9))*10.764</f>
        <v>400.79753999999997</v>
      </c>
      <c r="E220" s="55"/>
      <c r="F220" s="12">
        <v>0</v>
      </c>
      <c r="G220" s="12">
        <v>564</v>
      </c>
      <c r="H220" s="12" t="s">
        <v>153</v>
      </c>
      <c r="I220" s="56" t="s">
        <v>202</v>
      </c>
      <c r="J220" s="57"/>
    </row>
    <row r="221" spans="1:10" ht="15.5" x14ac:dyDescent="0.35">
      <c r="A221" s="12" t="s">
        <v>181</v>
      </c>
      <c r="B221" s="12">
        <v>2</v>
      </c>
      <c r="C221" s="12" t="s">
        <v>136</v>
      </c>
      <c r="D221" s="54">
        <f>(36.613+2.632+(0.75+4.9)+(0.75+1.85))*10.764</f>
        <v>511.23617999999993</v>
      </c>
      <c r="E221" s="55">
        <f>(20.9)*10.764</f>
        <v>224.96759999999998</v>
      </c>
      <c r="F221" s="12">
        <v>0</v>
      </c>
      <c r="G221" s="12">
        <v>764</v>
      </c>
      <c r="H221" s="12" t="s">
        <v>153</v>
      </c>
      <c r="I221" s="58" t="s">
        <v>202</v>
      </c>
      <c r="J221" s="59"/>
    </row>
    <row r="222" spans="1:10" ht="15.5" x14ac:dyDescent="0.35">
      <c r="A222" s="12" t="s">
        <v>181</v>
      </c>
      <c r="B222" s="12">
        <v>3</v>
      </c>
      <c r="C222" s="12" t="s">
        <v>136</v>
      </c>
      <c r="D222" s="54">
        <f>(29.615+0.45+(0.75+4.9)+(0.75+1.85))*10.764</f>
        <v>412.42265999999995</v>
      </c>
      <c r="E222" s="55">
        <f>(20.9)*10.764</f>
        <v>224.96759999999998</v>
      </c>
      <c r="F222" s="12">
        <v>0</v>
      </c>
      <c r="G222" s="12">
        <v>583</v>
      </c>
      <c r="H222" s="12" t="s">
        <v>153</v>
      </c>
      <c r="I222" s="58" t="s">
        <v>202</v>
      </c>
      <c r="J222" s="59"/>
    </row>
    <row r="223" spans="1:10" ht="15.5" x14ac:dyDescent="0.35">
      <c r="A223" s="12" t="s">
        <v>181</v>
      </c>
      <c r="B223" s="12">
        <v>4</v>
      </c>
      <c r="C223" s="12" t="s">
        <v>136</v>
      </c>
      <c r="D223" s="54">
        <f>(27.84+0.45+(0.75+4.9)+(0.75+1.9))*10.764</f>
        <v>393.85475999999994</v>
      </c>
      <c r="E223" s="55">
        <f>(20.9)*10.764</f>
        <v>224.96759999999998</v>
      </c>
      <c r="F223" s="12">
        <v>0</v>
      </c>
      <c r="G223" s="12">
        <v>550</v>
      </c>
      <c r="H223" s="12" t="s">
        <v>153</v>
      </c>
      <c r="I223" s="58" t="s">
        <v>202</v>
      </c>
      <c r="J223" s="59"/>
    </row>
    <row r="224" spans="1:10" ht="15" x14ac:dyDescent="0.35">
      <c r="A224" s="63" t="s">
        <v>203</v>
      </c>
      <c r="B224" s="64"/>
      <c r="C224" s="64"/>
      <c r="D224" s="64"/>
      <c r="E224" s="64"/>
      <c r="F224" s="64"/>
      <c r="G224" s="64"/>
      <c r="H224" s="64"/>
      <c r="I224" s="64"/>
      <c r="J224" s="65"/>
    </row>
    <row r="225" spans="1:11" ht="15.5" x14ac:dyDescent="0.35">
      <c r="A225" s="12" t="s">
        <v>181</v>
      </c>
      <c r="B225" s="12">
        <v>1</v>
      </c>
      <c r="C225" s="12" t="s">
        <v>136</v>
      </c>
      <c r="D225" s="54">
        <f>(26.685+2.25+(0.75+4.9)+(0.75+1.9))*10.764</f>
        <v>400.79753999999997</v>
      </c>
      <c r="E225" s="55"/>
      <c r="F225" s="12">
        <v>0</v>
      </c>
      <c r="G225" s="12">
        <v>564</v>
      </c>
      <c r="H225" s="12" t="s">
        <v>153</v>
      </c>
      <c r="I225" s="56" t="s">
        <v>204</v>
      </c>
      <c r="J225" s="57"/>
    </row>
    <row r="226" spans="1:11" ht="15.5" x14ac:dyDescent="0.35">
      <c r="A226" s="12" t="s">
        <v>181</v>
      </c>
      <c r="B226" s="12">
        <v>2</v>
      </c>
      <c r="C226" s="12" t="s">
        <v>136</v>
      </c>
      <c r="D226" s="54">
        <f>(36.613+2.632+(0.75+4.9)+(0.75+1.85))*10.764</f>
        <v>511.23617999999993</v>
      </c>
      <c r="E226" s="55">
        <f>(20.9)*10.764</f>
        <v>224.96759999999998</v>
      </c>
      <c r="F226" s="12">
        <v>0</v>
      </c>
      <c r="G226" s="12">
        <v>764</v>
      </c>
      <c r="H226" s="12" t="s">
        <v>153</v>
      </c>
      <c r="I226" s="58" t="s">
        <v>204</v>
      </c>
      <c r="J226" s="59"/>
    </row>
    <row r="227" spans="1:11" ht="15.5" x14ac:dyDescent="0.35">
      <c r="A227" s="12" t="s">
        <v>181</v>
      </c>
      <c r="B227" s="12">
        <v>3</v>
      </c>
      <c r="C227" s="12" t="s">
        <v>136</v>
      </c>
      <c r="D227" s="54">
        <f>(29.615+0.45+(0.75+4.9)+(0.75+1.85))*10.764</f>
        <v>412.42265999999995</v>
      </c>
      <c r="E227" s="55">
        <f>(20.9)*10.764</f>
        <v>224.96759999999998</v>
      </c>
      <c r="F227" s="12">
        <v>0</v>
      </c>
      <c r="G227" s="12">
        <v>583</v>
      </c>
      <c r="H227" s="12" t="s">
        <v>153</v>
      </c>
      <c r="I227" s="58" t="s">
        <v>204</v>
      </c>
      <c r="J227" s="59"/>
    </row>
    <row r="228" spans="1:11" ht="15.5" x14ac:dyDescent="0.35">
      <c r="A228" s="12" t="s">
        <v>181</v>
      </c>
      <c r="B228" s="12">
        <v>4</v>
      </c>
      <c r="C228" s="12" t="s">
        <v>136</v>
      </c>
      <c r="D228" s="54">
        <f>(27.84+0.45+(0.75+4.9)+(0.75+1.9))*10.764</f>
        <v>393.85475999999994</v>
      </c>
      <c r="E228" s="55">
        <f>(20.9)*10.764</f>
        <v>224.96759999999998</v>
      </c>
      <c r="F228" s="12">
        <v>0</v>
      </c>
      <c r="G228" s="12">
        <v>550</v>
      </c>
      <c r="H228" s="12" t="s">
        <v>153</v>
      </c>
      <c r="I228" s="58" t="s">
        <v>204</v>
      </c>
      <c r="J228" s="59"/>
    </row>
    <row r="229" spans="1:11" ht="15" x14ac:dyDescent="0.35">
      <c r="A229" s="97" t="s">
        <v>189</v>
      </c>
      <c r="B229" s="97"/>
      <c r="C229" s="97"/>
      <c r="D229" s="97"/>
      <c r="E229" s="97"/>
      <c r="F229" s="97"/>
      <c r="G229" s="97"/>
      <c r="H229" s="97"/>
      <c r="I229" s="97"/>
      <c r="J229" s="97"/>
    </row>
    <row r="230" spans="1:11" ht="15" x14ac:dyDescent="0.35">
      <c r="A230" s="97" t="s">
        <v>182</v>
      </c>
      <c r="B230" s="97"/>
      <c r="C230" s="97"/>
      <c r="D230" s="97"/>
      <c r="E230" s="97"/>
      <c r="F230" s="97"/>
      <c r="G230" s="97"/>
      <c r="H230" s="97"/>
      <c r="I230" s="97"/>
      <c r="J230" s="97"/>
    </row>
    <row r="231" spans="1:11" ht="15.5" x14ac:dyDescent="0.35">
      <c r="A231" s="48" t="s">
        <v>190</v>
      </c>
      <c r="B231" s="48">
        <v>1</v>
      </c>
      <c r="C231" s="48" t="s">
        <v>152</v>
      </c>
      <c r="D231" s="62">
        <f>(25.367)*10.764</f>
        <v>273.050388</v>
      </c>
      <c r="E231" s="62"/>
      <c r="F231" s="48">
        <v>0</v>
      </c>
      <c r="G231" s="48">
        <f>D231*1.57</f>
        <v>428.68910915999999</v>
      </c>
      <c r="H231" s="48" t="s">
        <v>153</v>
      </c>
      <c r="I231" s="62" t="s">
        <v>149</v>
      </c>
      <c r="J231" s="62"/>
      <c r="K231" t="s">
        <v>256</v>
      </c>
    </row>
    <row r="232" spans="1:11" ht="15.5" x14ac:dyDescent="0.35">
      <c r="A232" s="48" t="s">
        <v>190</v>
      </c>
      <c r="B232" s="48">
        <v>2</v>
      </c>
      <c r="C232" s="48" t="s">
        <v>152</v>
      </c>
      <c r="D232" s="62">
        <f>(25.367)*10.764</f>
        <v>273.050388</v>
      </c>
      <c r="E232" s="62"/>
      <c r="F232" s="48">
        <v>0</v>
      </c>
      <c r="G232" s="48">
        <v>409</v>
      </c>
      <c r="H232" s="48" t="s">
        <v>153</v>
      </c>
      <c r="I232" s="62"/>
      <c r="J232" s="62"/>
    </row>
    <row r="233" spans="1:11" ht="15.5" x14ac:dyDescent="0.35">
      <c r="A233" s="48" t="s">
        <v>190</v>
      </c>
      <c r="B233" s="48">
        <v>3</v>
      </c>
      <c r="C233" s="48" t="s">
        <v>152</v>
      </c>
      <c r="D233" s="62">
        <f>(20.34)*10.764</f>
        <v>218.93975999999998</v>
      </c>
      <c r="E233" s="62">
        <f t="shared" ref="E233:E238" si="4">(20.9)*10.764</f>
        <v>224.96759999999998</v>
      </c>
      <c r="F233" s="48">
        <v>0</v>
      </c>
      <c r="G233" s="48">
        <v>329</v>
      </c>
      <c r="H233" s="48" t="s">
        <v>153</v>
      </c>
      <c r="I233" s="62"/>
      <c r="J233" s="62"/>
    </row>
    <row r="234" spans="1:11" ht="15.5" x14ac:dyDescent="0.35">
      <c r="A234" s="48" t="s">
        <v>190</v>
      </c>
      <c r="B234" s="48">
        <v>4</v>
      </c>
      <c r="C234" s="48" t="s">
        <v>152</v>
      </c>
      <c r="D234" s="62">
        <f>(20.34)*10.764</f>
        <v>218.93975999999998</v>
      </c>
      <c r="E234" s="62">
        <f t="shared" si="4"/>
        <v>224.96759999999998</v>
      </c>
      <c r="F234" s="48">
        <v>0</v>
      </c>
      <c r="G234" s="48">
        <v>329</v>
      </c>
      <c r="H234" s="48" t="s">
        <v>153</v>
      </c>
      <c r="I234" s="62"/>
      <c r="J234" s="62"/>
    </row>
    <row r="235" spans="1:11" ht="15.5" x14ac:dyDescent="0.35">
      <c r="A235" s="48" t="s">
        <v>190</v>
      </c>
      <c r="B235" s="48">
        <v>5</v>
      </c>
      <c r="C235" s="48" t="s">
        <v>152</v>
      </c>
      <c r="D235" s="62">
        <f>(20.34)*10.764</f>
        <v>218.93975999999998</v>
      </c>
      <c r="E235" s="62">
        <f t="shared" si="4"/>
        <v>224.96759999999998</v>
      </c>
      <c r="F235" s="48">
        <v>0</v>
      </c>
      <c r="G235" s="48">
        <v>327</v>
      </c>
      <c r="H235" s="48" t="s">
        <v>153</v>
      </c>
      <c r="I235" s="62"/>
      <c r="J235" s="62"/>
    </row>
    <row r="236" spans="1:11" ht="15.5" x14ac:dyDescent="0.35">
      <c r="A236" s="48" t="s">
        <v>190</v>
      </c>
      <c r="B236" s="48">
        <v>6</v>
      </c>
      <c r="C236" s="48" t="s">
        <v>152</v>
      </c>
      <c r="D236" s="62">
        <f>(19.313)*10.764</f>
        <v>207.88513199999997</v>
      </c>
      <c r="E236" s="62">
        <f t="shared" si="4"/>
        <v>224.96759999999998</v>
      </c>
      <c r="F236" s="48">
        <v>0</v>
      </c>
      <c r="G236" s="48">
        <v>312</v>
      </c>
      <c r="H236" s="48" t="s">
        <v>153</v>
      </c>
      <c r="I236" s="62"/>
      <c r="J236" s="62"/>
    </row>
    <row r="237" spans="1:11" ht="15.5" x14ac:dyDescent="0.35">
      <c r="A237" s="48" t="s">
        <v>190</v>
      </c>
      <c r="B237" s="48">
        <v>7</v>
      </c>
      <c r="C237" s="48" t="s">
        <v>152</v>
      </c>
      <c r="D237" s="62">
        <f>(21.353)*10.764</f>
        <v>229.843692</v>
      </c>
      <c r="E237" s="62">
        <f t="shared" si="4"/>
        <v>224.96759999999998</v>
      </c>
      <c r="F237" s="48">
        <v>0</v>
      </c>
      <c r="G237" s="48">
        <v>346</v>
      </c>
      <c r="H237" s="48" t="s">
        <v>153</v>
      </c>
      <c r="I237" s="62"/>
      <c r="J237" s="62"/>
    </row>
    <row r="238" spans="1:11" ht="15.5" x14ac:dyDescent="0.35">
      <c r="A238" s="48" t="s">
        <v>190</v>
      </c>
      <c r="B238" s="48">
        <v>8</v>
      </c>
      <c r="C238" s="48" t="s">
        <v>152</v>
      </c>
      <c r="D238" s="62">
        <f>(21.353)*10.764</f>
        <v>229.843692</v>
      </c>
      <c r="E238" s="62">
        <f t="shared" si="4"/>
        <v>224.96759999999998</v>
      </c>
      <c r="F238" s="48">
        <v>0</v>
      </c>
      <c r="G238" s="48">
        <v>346</v>
      </c>
      <c r="H238" s="48" t="s">
        <v>153</v>
      </c>
      <c r="I238" s="62"/>
      <c r="J238" s="62"/>
    </row>
    <row r="239" spans="1:11" ht="15" x14ac:dyDescent="0.35">
      <c r="A239" s="97" t="s">
        <v>197</v>
      </c>
      <c r="B239" s="97"/>
      <c r="C239" s="97"/>
      <c r="D239" s="97"/>
      <c r="E239" s="97"/>
      <c r="F239" s="97"/>
      <c r="G239" s="97"/>
      <c r="H239" s="97"/>
      <c r="I239" s="97"/>
      <c r="J239" s="97"/>
    </row>
    <row r="240" spans="1:11" ht="15.5" x14ac:dyDescent="0.35">
      <c r="A240" s="48" t="s">
        <v>190</v>
      </c>
      <c r="B240" s="48">
        <v>1</v>
      </c>
      <c r="C240" s="48" t="s">
        <v>152</v>
      </c>
      <c r="D240" s="62">
        <f>(24.692+1.102+(0.75+2.5))*10.764</f>
        <v>312.629616</v>
      </c>
      <c r="E240" s="62"/>
      <c r="F240" s="48">
        <f>(2.7*1.5)*10.764</f>
        <v>43.594200000000008</v>
      </c>
      <c r="G240" s="48">
        <v>528</v>
      </c>
      <c r="H240" s="48" t="s">
        <v>153</v>
      </c>
      <c r="I240" s="62" t="s">
        <v>199</v>
      </c>
      <c r="J240" s="62"/>
    </row>
    <row r="241" spans="1:10" ht="15.5" x14ac:dyDescent="0.35">
      <c r="A241" s="48" t="s">
        <v>190</v>
      </c>
      <c r="B241" s="48">
        <v>2</v>
      </c>
      <c r="C241" s="48" t="s">
        <v>152</v>
      </c>
      <c r="D241" s="62">
        <f>(24.243+1.755+(0.75+2.5))*10.764</f>
        <v>314.82547199999993</v>
      </c>
      <c r="E241" s="62">
        <f>(20.9)*10.764</f>
        <v>224.96759999999998</v>
      </c>
      <c r="F241" s="48">
        <f>(2.7*1.5)*10.764</f>
        <v>43.594200000000008</v>
      </c>
      <c r="G241" s="48">
        <v>531</v>
      </c>
      <c r="H241" s="48" t="s">
        <v>153</v>
      </c>
      <c r="I241" s="62"/>
      <c r="J241" s="62"/>
    </row>
    <row r="242" spans="1:10" ht="15.5" x14ac:dyDescent="0.35">
      <c r="A242" s="48" t="s">
        <v>190</v>
      </c>
      <c r="B242" s="48">
        <v>3</v>
      </c>
      <c r="C242" s="48" t="s">
        <v>152</v>
      </c>
      <c r="D242" s="62">
        <f>(21.235+(0.75+2.8))*10.764</f>
        <v>266.78573999999998</v>
      </c>
      <c r="E242" s="62">
        <f>(20.9)*10.764</f>
        <v>224.96759999999998</v>
      </c>
      <c r="F242" s="48">
        <v>0</v>
      </c>
      <c r="G242" s="48">
        <v>413</v>
      </c>
      <c r="H242" s="48" t="s">
        <v>153</v>
      </c>
      <c r="I242" s="62"/>
      <c r="J242" s="62"/>
    </row>
    <row r="243" spans="1:10" ht="15.5" x14ac:dyDescent="0.35">
      <c r="A243" s="48" t="s">
        <v>190</v>
      </c>
      <c r="B243" s="48">
        <v>4</v>
      </c>
      <c r="C243" s="48" t="s">
        <v>152</v>
      </c>
      <c r="D243" s="62">
        <f>(19.605+1.012+(0.75+2.25))*10.764</f>
        <v>254.21338799999998</v>
      </c>
      <c r="E243" s="62">
        <f>(20.9)*10.764</f>
        <v>224.96759999999998</v>
      </c>
      <c r="F243" s="48">
        <v>0</v>
      </c>
      <c r="G243" s="48">
        <v>402</v>
      </c>
      <c r="H243" s="48" t="s">
        <v>153</v>
      </c>
      <c r="I243" s="62"/>
      <c r="J243" s="62"/>
    </row>
    <row r="244" spans="1:10" ht="15.5" x14ac:dyDescent="0.35">
      <c r="A244" s="48" t="s">
        <v>190</v>
      </c>
      <c r="B244" s="48">
        <v>5</v>
      </c>
      <c r="C244" s="48" t="s">
        <v>152</v>
      </c>
      <c r="D244" s="62">
        <f>(20.025+0.54+(0.75+2.25))*10.764</f>
        <v>253.65365999999997</v>
      </c>
      <c r="E244" s="62">
        <f>(20.9)*10.764</f>
        <v>224.96759999999998</v>
      </c>
      <c r="F244" s="48">
        <v>0</v>
      </c>
      <c r="G244" s="48">
        <v>401</v>
      </c>
      <c r="H244" s="48" t="s">
        <v>153</v>
      </c>
      <c r="I244" s="62"/>
      <c r="J244" s="62"/>
    </row>
    <row r="245" spans="1:10" ht="15.5" x14ac:dyDescent="0.35">
      <c r="A245" s="48" t="s">
        <v>190</v>
      </c>
      <c r="B245" s="48">
        <v>6</v>
      </c>
      <c r="C245" s="48" t="s">
        <v>152</v>
      </c>
      <c r="D245" s="62">
        <f>(20.025+0.54+(0.75+2.25))*10.764</f>
        <v>253.65365999999997</v>
      </c>
      <c r="E245" s="62">
        <f>(20.9)*10.764</f>
        <v>224.96759999999998</v>
      </c>
      <c r="F245" s="48">
        <v>0</v>
      </c>
      <c r="G245" s="48">
        <v>398</v>
      </c>
      <c r="H245" s="48" t="s">
        <v>153</v>
      </c>
      <c r="I245" s="62"/>
      <c r="J245" s="62"/>
    </row>
    <row r="246" spans="1:10" ht="15.5" x14ac:dyDescent="0.35">
      <c r="A246" s="48" t="s">
        <v>190</v>
      </c>
      <c r="B246" s="48">
        <v>7</v>
      </c>
      <c r="C246" s="48" t="s">
        <v>152</v>
      </c>
      <c r="D246" s="62">
        <f>(18.638+1.08+(0.75+5.25))*10.764</f>
        <v>276.828552</v>
      </c>
      <c r="E246" s="62"/>
      <c r="F246" s="48">
        <v>0</v>
      </c>
      <c r="G246" s="48">
        <v>392</v>
      </c>
      <c r="H246" s="48" t="s">
        <v>153</v>
      </c>
      <c r="I246" s="62"/>
      <c r="J246" s="62"/>
    </row>
    <row r="247" spans="1:10" ht="15.5" x14ac:dyDescent="0.35">
      <c r="A247" s="48" t="s">
        <v>190</v>
      </c>
      <c r="B247" s="48">
        <v>8</v>
      </c>
      <c r="C247" s="48" t="s">
        <v>152</v>
      </c>
      <c r="D247" s="62">
        <f>(21.173+0.338+(0.75+2.75)+(0.75+2.35))*10.764</f>
        <v>302.58680399999997</v>
      </c>
      <c r="E247" s="62">
        <f>(20.9)*10.764</f>
        <v>224.96759999999998</v>
      </c>
      <c r="F247" s="48">
        <v>0</v>
      </c>
      <c r="G247" s="48">
        <v>419</v>
      </c>
      <c r="H247" s="48" t="s">
        <v>153</v>
      </c>
      <c r="I247" s="62"/>
      <c r="J247" s="62"/>
    </row>
    <row r="248" spans="1:10" ht="15.5" x14ac:dyDescent="0.35">
      <c r="A248" s="48" t="s">
        <v>190</v>
      </c>
      <c r="B248" s="48">
        <v>9</v>
      </c>
      <c r="C248" s="48" t="s">
        <v>152</v>
      </c>
      <c r="D248" s="62">
        <f>(21.173+0.338+(0.75+2.75)+(0.75+2.35))*10.764</f>
        <v>302.58680399999997</v>
      </c>
      <c r="E248" s="62">
        <f>(20.9)*10.764</f>
        <v>224.96759999999998</v>
      </c>
      <c r="F248" s="48">
        <v>0</v>
      </c>
      <c r="G248" s="48">
        <v>419</v>
      </c>
      <c r="H248" s="48" t="s">
        <v>153</v>
      </c>
      <c r="I248" s="62"/>
      <c r="J248" s="62"/>
    </row>
    <row r="249" spans="1:10" ht="15.5" x14ac:dyDescent="0.35">
      <c r="A249" s="48" t="s">
        <v>190</v>
      </c>
      <c r="B249" s="48">
        <v>10</v>
      </c>
      <c r="C249" s="48" t="s">
        <v>136</v>
      </c>
      <c r="D249" s="62">
        <f>(28.348+0.833+(0.75+2.75)+(0.75+4.9))*10.764</f>
        <v>412.59488399999992</v>
      </c>
      <c r="E249" s="62">
        <f>(20.9)*10.764</f>
        <v>224.96759999999998</v>
      </c>
      <c r="F249" s="48">
        <v>0</v>
      </c>
      <c r="G249" s="48">
        <v>582</v>
      </c>
      <c r="H249" s="48" t="s">
        <v>153</v>
      </c>
      <c r="I249" s="62"/>
      <c r="J249" s="62"/>
    </row>
    <row r="250" spans="1:10" ht="15.5" x14ac:dyDescent="0.35">
      <c r="A250" s="48" t="s">
        <v>190</v>
      </c>
      <c r="B250" s="48">
        <v>11</v>
      </c>
      <c r="C250" s="48" t="s">
        <v>136</v>
      </c>
      <c r="D250" s="62">
        <f>(26.955+1.755+(0.75+5.15))*10.764</f>
        <v>372.54203999999999</v>
      </c>
      <c r="E250" s="62">
        <f>(20.9)*10.764</f>
        <v>224.96759999999998</v>
      </c>
      <c r="F250" s="48">
        <f>(1.8*1.5)*10.764</f>
        <v>29.062799999999999</v>
      </c>
      <c r="G250" s="48">
        <v>580</v>
      </c>
      <c r="H250" s="48" t="s">
        <v>153</v>
      </c>
      <c r="I250" s="62"/>
      <c r="J250" s="62"/>
    </row>
    <row r="251" spans="1:10" ht="15.5" x14ac:dyDescent="0.35">
      <c r="A251" s="48" t="s">
        <v>190</v>
      </c>
      <c r="B251" s="48">
        <v>12</v>
      </c>
      <c r="C251" s="48" t="s">
        <v>136</v>
      </c>
      <c r="D251" s="62">
        <f>(27.405+1.08+(0.75+5.15))*10.764</f>
        <v>370.12013999999994</v>
      </c>
      <c r="E251" s="62">
        <f>(20.9)*10.764</f>
        <v>224.96759999999998</v>
      </c>
      <c r="F251" s="48">
        <f>(1.8*1.5)*10.764</f>
        <v>29.062799999999999</v>
      </c>
      <c r="G251" s="48">
        <v>577</v>
      </c>
      <c r="H251" s="48" t="s">
        <v>153</v>
      </c>
      <c r="I251" s="62"/>
      <c r="J251" s="62"/>
    </row>
    <row r="252" spans="1:10" ht="15" x14ac:dyDescent="0.35">
      <c r="A252" s="63" t="s">
        <v>198</v>
      </c>
      <c r="B252" s="64"/>
      <c r="C252" s="64"/>
      <c r="D252" s="64"/>
      <c r="E252" s="64"/>
      <c r="F252" s="64"/>
      <c r="G252" s="64"/>
      <c r="H252" s="64"/>
      <c r="I252" s="64"/>
      <c r="J252" s="65"/>
    </row>
    <row r="253" spans="1:10" ht="15.5" x14ac:dyDescent="0.35">
      <c r="A253" s="12" t="s">
        <v>190</v>
      </c>
      <c r="B253" s="12">
        <v>1</v>
      </c>
      <c r="C253" s="12" t="s">
        <v>152</v>
      </c>
      <c r="D253" s="54">
        <f>(24.692+1.102+(0.75+2.5))*10.764</f>
        <v>312.629616</v>
      </c>
      <c r="E253" s="55"/>
      <c r="F253" s="12">
        <f>(2.7*1.5)*10.764</f>
        <v>43.594200000000008</v>
      </c>
      <c r="G253" s="12">
        <v>528</v>
      </c>
      <c r="H253" s="12" t="s">
        <v>153</v>
      </c>
      <c r="I253" s="56" t="s">
        <v>200</v>
      </c>
      <c r="J253" s="57"/>
    </row>
    <row r="254" spans="1:10" ht="15.5" x14ac:dyDescent="0.35">
      <c r="A254" s="12" t="s">
        <v>190</v>
      </c>
      <c r="B254" s="12">
        <v>2</v>
      </c>
      <c r="C254" s="12" t="s">
        <v>152</v>
      </c>
      <c r="D254" s="54">
        <f>(24.243+1.755+(0.75+2.5))*10.764</f>
        <v>314.82547199999993</v>
      </c>
      <c r="E254" s="55">
        <f>(20.9)*10.764</f>
        <v>224.96759999999998</v>
      </c>
      <c r="F254" s="12">
        <f>(2.7*1.5)*10.764</f>
        <v>43.594200000000008</v>
      </c>
      <c r="G254" s="12">
        <v>531</v>
      </c>
      <c r="H254" s="12" t="s">
        <v>153</v>
      </c>
      <c r="I254" s="58"/>
      <c r="J254" s="59"/>
    </row>
    <row r="255" spans="1:10" ht="15.5" x14ac:dyDescent="0.35">
      <c r="A255" s="12" t="s">
        <v>190</v>
      </c>
      <c r="B255" s="12">
        <v>3</v>
      </c>
      <c r="C255" s="12" t="s">
        <v>152</v>
      </c>
      <c r="D255" s="54">
        <f>(21.235+(0.75+2.8))*10.764</f>
        <v>266.78573999999998</v>
      </c>
      <c r="E255" s="55">
        <f>(20.9)*10.764</f>
        <v>224.96759999999998</v>
      </c>
      <c r="F255" s="12">
        <v>0</v>
      </c>
      <c r="G255" s="12">
        <v>413</v>
      </c>
      <c r="H255" s="12" t="s">
        <v>153</v>
      </c>
      <c r="I255" s="58"/>
      <c r="J255" s="59"/>
    </row>
    <row r="256" spans="1:10" ht="15.5" x14ac:dyDescent="0.35">
      <c r="A256" s="12" t="s">
        <v>190</v>
      </c>
      <c r="B256" s="12">
        <v>4</v>
      </c>
      <c r="C256" s="12" t="s">
        <v>152</v>
      </c>
      <c r="D256" s="54">
        <f>(19.605+1.012+(0.75+2.25))*10.764</f>
        <v>254.21338799999998</v>
      </c>
      <c r="E256" s="55">
        <f>(20.9)*10.764</f>
        <v>224.96759999999998</v>
      </c>
      <c r="F256" s="12">
        <v>0</v>
      </c>
      <c r="G256" s="12">
        <v>402</v>
      </c>
      <c r="H256" s="12" t="s">
        <v>153</v>
      </c>
      <c r="I256" s="58"/>
      <c r="J256" s="59"/>
    </row>
    <row r="257" spans="1:10" ht="15.5" x14ac:dyDescent="0.35">
      <c r="A257" s="12" t="s">
        <v>190</v>
      </c>
      <c r="B257" s="12">
        <v>5</v>
      </c>
      <c r="C257" s="12" t="s">
        <v>152</v>
      </c>
      <c r="D257" s="54">
        <f>(20.025+0.54+(0.75+2.25))*10.764</f>
        <v>253.65365999999997</v>
      </c>
      <c r="E257" s="55">
        <f>(20.9)*10.764</f>
        <v>224.96759999999998</v>
      </c>
      <c r="F257" s="12">
        <v>0</v>
      </c>
      <c r="G257" s="12">
        <v>401</v>
      </c>
      <c r="H257" s="12" t="s">
        <v>153</v>
      </c>
      <c r="I257" s="58"/>
      <c r="J257" s="59"/>
    </row>
    <row r="258" spans="1:10" ht="15.5" x14ac:dyDescent="0.35">
      <c r="A258" s="12" t="s">
        <v>190</v>
      </c>
      <c r="B258" s="12">
        <v>6</v>
      </c>
      <c r="C258" s="12" t="s">
        <v>152</v>
      </c>
      <c r="D258" s="54">
        <f>(20.025+0.54+(0.75+2.25))*10.764</f>
        <v>253.65365999999997</v>
      </c>
      <c r="E258" s="55">
        <f>(20.9)*10.764</f>
        <v>224.96759999999998</v>
      </c>
      <c r="F258" s="12">
        <v>0</v>
      </c>
      <c r="G258" s="12">
        <v>398</v>
      </c>
      <c r="H258" s="12" t="s">
        <v>153</v>
      </c>
      <c r="I258" s="58"/>
      <c r="J258" s="59"/>
    </row>
    <row r="259" spans="1:10" ht="15.5" x14ac:dyDescent="0.35">
      <c r="A259" s="12" t="s">
        <v>190</v>
      </c>
      <c r="B259" s="12">
        <v>7</v>
      </c>
      <c r="C259" s="12" t="s">
        <v>152</v>
      </c>
      <c r="D259" s="54">
        <f>(18.638+1.08+(0.75+5.25))*10.764</f>
        <v>276.828552</v>
      </c>
      <c r="E259" s="55"/>
      <c r="F259" s="12">
        <v>0</v>
      </c>
      <c r="G259" s="12">
        <v>392</v>
      </c>
      <c r="H259" s="12" t="s">
        <v>153</v>
      </c>
      <c r="I259" s="58"/>
      <c r="J259" s="59"/>
    </row>
    <row r="260" spans="1:10" ht="15.5" x14ac:dyDescent="0.35">
      <c r="A260" s="12" t="s">
        <v>190</v>
      </c>
      <c r="B260" s="12">
        <v>8</v>
      </c>
      <c r="C260" s="12" t="s">
        <v>152</v>
      </c>
      <c r="D260" s="54">
        <f>(21.173+0.338+(0.75+2.75)+(0.75+2.35))*10.764</f>
        <v>302.58680399999997</v>
      </c>
      <c r="E260" s="55">
        <f>(20.9)*10.764</f>
        <v>224.96759999999998</v>
      </c>
      <c r="F260" s="12">
        <v>0</v>
      </c>
      <c r="G260" s="12">
        <v>419</v>
      </c>
      <c r="H260" s="12" t="s">
        <v>153</v>
      </c>
      <c r="I260" s="58"/>
      <c r="J260" s="59"/>
    </row>
    <row r="261" spans="1:10" ht="15.5" x14ac:dyDescent="0.35">
      <c r="A261" s="12" t="s">
        <v>190</v>
      </c>
      <c r="B261" s="12">
        <v>9</v>
      </c>
      <c r="C261" s="12" t="s">
        <v>152</v>
      </c>
      <c r="D261" s="54">
        <f>(21.173+0.338+(0.75+2.75)+(0.75+2.35))*10.764</f>
        <v>302.58680399999997</v>
      </c>
      <c r="E261" s="55">
        <f>(20.9)*10.764</f>
        <v>224.96759999999998</v>
      </c>
      <c r="F261" s="12">
        <v>0</v>
      </c>
      <c r="G261" s="12">
        <v>419</v>
      </c>
      <c r="H261" s="12" t="s">
        <v>153</v>
      </c>
      <c r="I261" s="58"/>
      <c r="J261" s="59"/>
    </row>
    <row r="262" spans="1:10" ht="15.5" x14ac:dyDescent="0.35">
      <c r="A262" s="12" t="s">
        <v>190</v>
      </c>
      <c r="B262" s="12">
        <v>10</v>
      </c>
      <c r="C262" s="12" t="s">
        <v>136</v>
      </c>
      <c r="D262" s="54">
        <f>(28.348+0.833+(0.75+2.75)+(0.75+4.9))*10.764</f>
        <v>412.59488399999992</v>
      </c>
      <c r="E262" s="55">
        <f>(20.9)*10.764</f>
        <v>224.96759999999998</v>
      </c>
      <c r="F262" s="12">
        <v>0</v>
      </c>
      <c r="G262" s="12">
        <v>582</v>
      </c>
      <c r="H262" s="12" t="s">
        <v>153</v>
      </c>
      <c r="I262" s="58"/>
      <c r="J262" s="59"/>
    </row>
    <row r="263" spans="1:10" ht="15.5" x14ac:dyDescent="0.35">
      <c r="A263" s="12" t="s">
        <v>190</v>
      </c>
      <c r="B263" s="12">
        <v>11</v>
      </c>
      <c r="C263" s="12" t="s">
        <v>136</v>
      </c>
      <c r="D263" s="54">
        <f>(26.955+1.755+(0.75+5.15))*10.764</f>
        <v>372.54203999999999</v>
      </c>
      <c r="E263" s="55">
        <f>(20.9)*10.764</f>
        <v>224.96759999999998</v>
      </c>
      <c r="F263" s="12">
        <f>(1.8*1.5)*10.764</f>
        <v>29.062799999999999</v>
      </c>
      <c r="G263" s="12">
        <v>580</v>
      </c>
      <c r="H263" s="12" t="s">
        <v>153</v>
      </c>
      <c r="I263" s="58"/>
      <c r="J263" s="59"/>
    </row>
    <row r="264" spans="1:10" ht="15.5" x14ac:dyDescent="0.35">
      <c r="A264" s="12" t="s">
        <v>190</v>
      </c>
      <c r="B264" s="12">
        <v>12</v>
      </c>
      <c r="C264" s="12" t="s">
        <v>136</v>
      </c>
      <c r="D264" s="54">
        <f>(27.405+1.08+(0.75+5.15))*10.764</f>
        <v>370.12013999999994</v>
      </c>
      <c r="E264" s="55">
        <f>(20.9)*10.764</f>
        <v>224.96759999999998</v>
      </c>
      <c r="F264" s="12">
        <f>(1.8*1.5)*10.764</f>
        <v>29.062799999999999</v>
      </c>
      <c r="G264" s="12">
        <v>577</v>
      </c>
      <c r="H264" s="12" t="s">
        <v>153</v>
      </c>
      <c r="I264" s="60"/>
      <c r="J264" s="61"/>
    </row>
    <row r="265" spans="1:10" ht="15" x14ac:dyDescent="0.35">
      <c r="A265" s="63" t="s">
        <v>205</v>
      </c>
      <c r="B265" s="64"/>
      <c r="C265" s="64"/>
      <c r="D265" s="64"/>
      <c r="E265" s="64"/>
      <c r="F265" s="64"/>
      <c r="G265" s="64"/>
      <c r="H265" s="64"/>
      <c r="I265" s="64"/>
      <c r="J265" s="65"/>
    </row>
    <row r="266" spans="1:10" ht="15.5" x14ac:dyDescent="0.35">
      <c r="A266" s="12" t="s">
        <v>190</v>
      </c>
      <c r="B266" s="12">
        <v>1</v>
      </c>
      <c r="C266" s="12" t="s">
        <v>152</v>
      </c>
      <c r="D266" s="54">
        <f>(24.692+1.102+(0.75+2.5)+(0.75+2.5))*10.764</f>
        <v>347.61261599999995</v>
      </c>
      <c r="E266" s="55"/>
      <c r="F266" s="12">
        <v>0</v>
      </c>
      <c r="G266" s="12">
        <v>496</v>
      </c>
      <c r="H266" s="12" t="s">
        <v>153</v>
      </c>
      <c r="I266" s="56" t="s">
        <v>176</v>
      </c>
      <c r="J266" s="57"/>
    </row>
    <row r="267" spans="1:10" ht="15.5" x14ac:dyDescent="0.35">
      <c r="A267" s="12" t="s">
        <v>190</v>
      </c>
      <c r="B267" s="12">
        <v>2</v>
      </c>
      <c r="C267" s="12" t="s">
        <v>152</v>
      </c>
      <c r="D267" s="54">
        <f>(24.243+1.755+(0.75+2.5)+(0.75+2.5))*10.764</f>
        <v>349.80847199999994</v>
      </c>
      <c r="E267" s="55">
        <f>(20.9)*10.764</f>
        <v>224.96759999999998</v>
      </c>
      <c r="F267" s="12">
        <v>0</v>
      </c>
      <c r="G267" s="12">
        <v>499</v>
      </c>
      <c r="H267" s="12" t="s">
        <v>153</v>
      </c>
      <c r="I267" s="58"/>
      <c r="J267" s="59"/>
    </row>
    <row r="268" spans="1:10" ht="15.5" x14ac:dyDescent="0.35">
      <c r="A268" s="12" t="s">
        <v>190</v>
      </c>
      <c r="B268" s="12">
        <v>3</v>
      </c>
      <c r="C268" s="12" t="s">
        <v>152</v>
      </c>
      <c r="D268" s="54">
        <f>(21.235+(0.75+2.8))*10.764</f>
        <v>266.78573999999998</v>
      </c>
      <c r="E268" s="55">
        <f>(20.9)*10.764</f>
        <v>224.96759999999998</v>
      </c>
      <c r="F268" s="12">
        <v>0</v>
      </c>
      <c r="G268" s="12">
        <v>413</v>
      </c>
      <c r="H268" s="12" t="s">
        <v>153</v>
      </c>
      <c r="I268" s="58"/>
      <c r="J268" s="59"/>
    </row>
    <row r="269" spans="1:10" ht="15.5" x14ac:dyDescent="0.35">
      <c r="A269" s="12" t="s">
        <v>190</v>
      </c>
      <c r="B269" s="12">
        <v>4</v>
      </c>
      <c r="C269" s="12" t="s">
        <v>152</v>
      </c>
      <c r="D269" s="54">
        <f>(19.605+1.012+(0.75+2.25))*10.764</f>
        <v>254.21338799999998</v>
      </c>
      <c r="E269" s="55">
        <f>(20.9)*10.764</f>
        <v>224.96759999999998</v>
      </c>
      <c r="F269" s="12">
        <v>0</v>
      </c>
      <c r="G269" s="12">
        <v>402</v>
      </c>
      <c r="H269" s="12" t="s">
        <v>153</v>
      </c>
      <c r="I269" s="58"/>
      <c r="J269" s="59"/>
    </row>
    <row r="270" spans="1:10" ht="15.5" x14ac:dyDescent="0.35">
      <c r="A270" s="12" t="s">
        <v>190</v>
      </c>
      <c r="B270" s="12">
        <v>5</v>
      </c>
      <c r="C270" s="12" t="s">
        <v>152</v>
      </c>
      <c r="D270" s="54">
        <f>(20.025+0.54+(0.75+2.25))*10.764</f>
        <v>253.65365999999997</v>
      </c>
      <c r="E270" s="55">
        <f>(20.9)*10.764</f>
        <v>224.96759999999998</v>
      </c>
      <c r="F270" s="12">
        <v>0</v>
      </c>
      <c r="G270" s="12">
        <v>401</v>
      </c>
      <c r="H270" s="12" t="s">
        <v>153</v>
      </c>
      <c r="I270" s="58"/>
      <c r="J270" s="59"/>
    </row>
    <row r="271" spans="1:10" ht="15.5" x14ac:dyDescent="0.35">
      <c r="A271" s="12" t="s">
        <v>190</v>
      </c>
      <c r="B271" s="12">
        <v>6</v>
      </c>
      <c r="C271" s="12" t="s">
        <v>152</v>
      </c>
      <c r="D271" s="54">
        <f>(20.025+0.54+(0.75+2.25))*10.764</f>
        <v>253.65365999999997</v>
      </c>
      <c r="E271" s="55">
        <f>(20.9)*10.764</f>
        <v>224.96759999999998</v>
      </c>
      <c r="F271" s="12">
        <v>0</v>
      </c>
      <c r="G271" s="12">
        <v>398</v>
      </c>
      <c r="H271" s="12" t="s">
        <v>153</v>
      </c>
      <c r="I271" s="58"/>
      <c r="J271" s="59"/>
    </row>
    <row r="272" spans="1:10" ht="15.5" x14ac:dyDescent="0.35">
      <c r="A272" s="12" t="s">
        <v>190</v>
      </c>
      <c r="B272" s="12">
        <v>7</v>
      </c>
      <c r="C272" s="12" t="s">
        <v>152</v>
      </c>
      <c r="D272" s="54">
        <f>(18.638+1.08+(0.75+5.25))*10.764</f>
        <v>276.828552</v>
      </c>
      <c r="E272" s="55"/>
      <c r="F272" s="12">
        <v>0</v>
      </c>
      <c r="G272" s="12">
        <v>392</v>
      </c>
      <c r="H272" s="12" t="s">
        <v>153</v>
      </c>
      <c r="I272" s="58"/>
      <c r="J272" s="59"/>
    </row>
    <row r="273" spans="1:10" ht="15.5" x14ac:dyDescent="0.35">
      <c r="A273" s="12" t="s">
        <v>190</v>
      </c>
      <c r="B273" s="12">
        <v>8</v>
      </c>
      <c r="C273" s="12" t="s">
        <v>152</v>
      </c>
      <c r="D273" s="54">
        <f>(21.173+0.338+(0.75+2.75)+(0.75+2.35))*10.764</f>
        <v>302.58680399999997</v>
      </c>
      <c r="E273" s="55">
        <f>(20.9)*10.764</f>
        <v>224.96759999999998</v>
      </c>
      <c r="F273" s="12">
        <v>0</v>
      </c>
      <c r="G273" s="12">
        <v>419</v>
      </c>
      <c r="H273" s="12" t="s">
        <v>153</v>
      </c>
      <c r="I273" s="58"/>
      <c r="J273" s="59"/>
    </row>
    <row r="274" spans="1:10" ht="15.5" x14ac:dyDescent="0.35">
      <c r="A274" s="12" t="s">
        <v>190</v>
      </c>
      <c r="B274" s="12">
        <v>9</v>
      </c>
      <c r="C274" s="12" t="s">
        <v>152</v>
      </c>
      <c r="D274" s="54">
        <f>(21.173+0.338+(0.75+2.75)+(0.75+2.35))*10.764</f>
        <v>302.58680399999997</v>
      </c>
      <c r="E274" s="55">
        <f>(20.9)*10.764</f>
        <v>224.96759999999998</v>
      </c>
      <c r="F274" s="12">
        <v>0</v>
      </c>
      <c r="G274" s="12">
        <v>419</v>
      </c>
      <c r="H274" s="12" t="s">
        <v>153</v>
      </c>
      <c r="I274" s="58"/>
      <c r="J274" s="59"/>
    </row>
    <row r="275" spans="1:10" ht="15.5" x14ac:dyDescent="0.35">
      <c r="A275" s="12" t="s">
        <v>190</v>
      </c>
      <c r="B275" s="12">
        <v>10</v>
      </c>
      <c r="C275" s="12" t="s">
        <v>136</v>
      </c>
      <c r="D275" s="54">
        <f>(28.348+0.833+(0.75+2.75)+(0.75+4.9))*10.764</f>
        <v>412.59488399999992</v>
      </c>
      <c r="E275" s="55">
        <f>(20.9)*10.764</f>
        <v>224.96759999999998</v>
      </c>
      <c r="F275" s="12">
        <v>0</v>
      </c>
      <c r="G275" s="12">
        <v>582</v>
      </c>
      <c r="H275" s="12" t="s">
        <v>153</v>
      </c>
      <c r="I275" s="58"/>
      <c r="J275" s="59"/>
    </row>
    <row r="276" spans="1:10" ht="15.5" x14ac:dyDescent="0.35">
      <c r="A276" s="12" t="s">
        <v>190</v>
      </c>
      <c r="B276" s="12">
        <v>11</v>
      </c>
      <c r="C276" s="12" t="s">
        <v>136</v>
      </c>
      <c r="D276" s="54">
        <f>(26.955+1.755+(0.75+5.15)+(0.75+1.8))*10.764</f>
        <v>399.99023999999991</v>
      </c>
      <c r="E276" s="55">
        <f>(20.9)*10.764</f>
        <v>224.96759999999998</v>
      </c>
      <c r="F276" s="12">
        <v>0</v>
      </c>
      <c r="G276" s="12">
        <v>559</v>
      </c>
      <c r="H276" s="12" t="s">
        <v>153</v>
      </c>
      <c r="I276" s="58"/>
      <c r="J276" s="59"/>
    </row>
    <row r="277" spans="1:10" ht="15.5" x14ac:dyDescent="0.35">
      <c r="A277" s="12" t="s">
        <v>190</v>
      </c>
      <c r="B277" s="12">
        <v>12</v>
      </c>
      <c r="C277" s="12" t="s">
        <v>136</v>
      </c>
      <c r="D277" s="54">
        <f>(27.405+1.08+(0.75+5.15)+(0.75+1.8))*10.764</f>
        <v>397.56833999999992</v>
      </c>
      <c r="E277" s="55">
        <f>(20.9)*10.764</f>
        <v>224.96759999999998</v>
      </c>
      <c r="F277" s="12">
        <v>0</v>
      </c>
      <c r="G277" s="12">
        <v>555</v>
      </c>
      <c r="H277" s="12" t="s">
        <v>153</v>
      </c>
      <c r="I277" s="60"/>
      <c r="J277" s="61"/>
    </row>
    <row r="278" spans="1:10" ht="15" x14ac:dyDescent="0.35">
      <c r="A278" s="97" t="s">
        <v>183</v>
      </c>
      <c r="B278" s="97"/>
      <c r="C278" s="97"/>
      <c r="D278" s="97"/>
      <c r="E278" s="97"/>
      <c r="F278" s="97"/>
      <c r="G278" s="97"/>
      <c r="H278" s="97"/>
      <c r="I278" s="97"/>
      <c r="J278" s="97"/>
    </row>
    <row r="279" spans="1:10" ht="15" x14ac:dyDescent="0.35">
      <c r="A279" s="97" t="s">
        <v>182</v>
      </c>
      <c r="B279" s="97"/>
      <c r="C279" s="97"/>
      <c r="D279" s="97"/>
      <c r="E279" s="97"/>
      <c r="F279" s="97"/>
      <c r="G279" s="97"/>
      <c r="H279" s="97"/>
      <c r="I279" s="97"/>
      <c r="J279" s="97"/>
    </row>
    <row r="280" spans="1:10" ht="15.5" x14ac:dyDescent="0.35">
      <c r="A280" s="48" t="s">
        <v>184</v>
      </c>
      <c r="B280" s="48">
        <v>1</v>
      </c>
      <c r="C280" s="48" t="s">
        <v>152</v>
      </c>
      <c r="D280" s="62">
        <f>(25.613)*10.764</f>
        <v>275.69833199999999</v>
      </c>
      <c r="E280" s="62"/>
      <c r="F280" s="48">
        <v>0</v>
      </c>
      <c r="G280" s="48">
        <v>413</v>
      </c>
      <c r="H280" s="48" t="s">
        <v>153</v>
      </c>
      <c r="I280" s="62" t="s">
        <v>149</v>
      </c>
      <c r="J280" s="62"/>
    </row>
    <row r="281" spans="1:10" ht="15.5" x14ac:dyDescent="0.35">
      <c r="A281" s="48" t="s">
        <v>184</v>
      </c>
      <c r="B281" s="48">
        <v>2</v>
      </c>
      <c r="C281" s="48" t="s">
        <v>152</v>
      </c>
      <c r="D281" s="62">
        <f>(21.353)*10.764</f>
        <v>229.843692</v>
      </c>
      <c r="E281" s="62"/>
      <c r="F281" s="48">
        <v>0</v>
      </c>
      <c r="G281" s="48">
        <v>346</v>
      </c>
      <c r="H281" s="48" t="s">
        <v>153</v>
      </c>
      <c r="I281" s="62"/>
      <c r="J281" s="62"/>
    </row>
    <row r="282" spans="1:10" ht="15.5" x14ac:dyDescent="0.35">
      <c r="A282" s="48" t="s">
        <v>184</v>
      </c>
      <c r="B282" s="48">
        <v>3</v>
      </c>
      <c r="C282" s="48" t="s">
        <v>152</v>
      </c>
      <c r="D282" s="62">
        <f>(21.353)*10.764</f>
        <v>229.843692</v>
      </c>
      <c r="E282" s="62">
        <f>(20.9)*10.764</f>
        <v>224.96759999999998</v>
      </c>
      <c r="F282" s="48">
        <v>0</v>
      </c>
      <c r="G282" s="48">
        <v>346</v>
      </c>
      <c r="H282" s="48" t="s">
        <v>153</v>
      </c>
      <c r="I282" s="62"/>
      <c r="J282" s="62"/>
    </row>
    <row r="283" spans="1:10" ht="15.5" x14ac:dyDescent="0.35">
      <c r="A283" s="48" t="s">
        <v>184</v>
      </c>
      <c r="B283" s="48">
        <v>4</v>
      </c>
      <c r="C283" s="48" t="s">
        <v>152</v>
      </c>
      <c r="D283" s="62">
        <f>(19.313)*10.764</f>
        <v>207.88513199999997</v>
      </c>
      <c r="E283" s="62">
        <f>(20.9)*10.764</f>
        <v>224.96759999999998</v>
      </c>
      <c r="F283" s="48">
        <v>0</v>
      </c>
      <c r="G283" s="48">
        <v>312</v>
      </c>
      <c r="H283" s="48" t="s">
        <v>153</v>
      </c>
      <c r="I283" s="62"/>
      <c r="J283" s="62"/>
    </row>
    <row r="284" spans="1:10" ht="15.5" x14ac:dyDescent="0.35">
      <c r="A284" s="48" t="s">
        <v>184</v>
      </c>
      <c r="B284" s="48">
        <v>5</v>
      </c>
      <c r="C284" s="48" t="s">
        <v>152</v>
      </c>
      <c r="D284" s="62">
        <f>(20.34)*10.764</f>
        <v>218.93975999999998</v>
      </c>
      <c r="E284" s="62">
        <f>(20.9)*10.764</f>
        <v>224.96759999999998</v>
      </c>
      <c r="F284" s="48">
        <v>0</v>
      </c>
      <c r="G284" s="48">
        <v>329</v>
      </c>
      <c r="H284" s="48" t="s">
        <v>153</v>
      </c>
      <c r="I284" s="62"/>
      <c r="J284" s="62"/>
    </row>
    <row r="285" spans="1:10" ht="15.5" x14ac:dyDescent="0.35">
      <c r="A285" s="48" t="s">
        <v>184</v>
      </c>
      <c r="B285" s="48">
        <v>6</v>
      </c>
      <c r="C285" s="48" t="s">
        <v>152</v>
      </c>
      <c r="D285" s="62">
        <f>(20.34)*10.764</f>
        <v>218.93975999999998</v>
      </c>
      <c r="E285" s="62">
        <f>(20.9)*10.764</f>
        <v>224.96759999999998</v>
      </c>
      <c r="F285" s="48">
        <v>0</v>
      </c>
      <c r="G285" s="48">
        <v>329</v>
      </c>
      <c r="H285" s="48" t="s">
        <v>153</v>
      </c>
      <c r="I285" s="62"/>
      <c r="J285" s="62"/>
    </row>
    <row r="286" spans="1:10" ht="15.5" x14ac:dyDescent="0.35">
      <c r="A286" s="48" t="s">
        <v>184</v>
      </c>
      <c r="B286" s="48">
        <v>7</v>
      </c>
      <c r="C286" s="48" t="s">
        <v>152</v>
      </c>
      <c r="D286" s="62">
        <f>(20.34)*10.764</f>
        <v>218.93975999999998</v>
      </c>
      <c r="E286" s="62">
        <f>(20.9)*10.764</f>
        <v>224.96759999999998</v>
      </c>
      <c r="F286" s="48">
        <v>0</v>
      </c>
      <c r="G286" s="48">
        <v>329</v>
      </c>
      <c r="H286" s="48" t="s">
        <v>153</v>
      </c>
      <c r="I286" s="62"/>
      <c r="J286" s="62"/>
    </row>
    <row r="287" spans="1:10" ht="15" x14ac:dyDescent="0.35">
      <c r="A287" s="63" t="s">
        <v>173</v>
      </c>
      <c r="B287" s="64"/>
      <c r="C287" s="64"/>
      <c r="D287" s="64"/>
      <c r="E287" s="64"/>
      <c r="F287" s="64"/>
      <c r="G287" s="64"/>
      <c r="H287" s="64"/>
      <c r="I287" s="64"/>
      <c r="J287" s="65"/>
    </row>
    <row r="288" spans="1:10" ht="15.5" x14ac:dyDescent="0.35">
      <c r="A288" s="12" t="s">
        <v>184</v>
      </c>
      <c r="B288" s="12">
        <v>1</v>
      </c>
      <c r="C288" s="12" t="s">
        <v>152</v>
      </c>
      <c r="D288" s="54">
        <f>(24.915+1.046+(0.75+2.8))*10.764</f>
        <v>317.65640399999995</v>
      </c>
      <c r="E288" s="55"/>
      <c r="F288" s="12">
        <f>(2.75*1.5)*10.764</f>
        <v>44.401499999999999</v>
      </c>
      <c r="G288" s="12">
        <v>535</v>
      </c>
      <c r="H288" s="12" t="s">
        <v>153</v>
      </c>
      <c r="I288" s="56" t="s">
        <v>174</v>
      </c>
      <c r="J288" s="57"/>
    </row>
    <row r="289" spans="1:10" ht="15.5" x14ac:dyDescent="0.35">
      <c r="A289" s="12" t="s">
        <v>184</v>
      </c>
      <c r="B289" s="12">
        <v>2</v>
      </c>
      <c r="C289" s="12" t="s">
        <v>136</v>
      </c>
      <c r="D289" s="54">
        <f>(27.285+1.193+(0.75+5.2))*10.764</f>
        <v>370.58299200000005</v>
      </c>
      <c r="E289" s="55">
        <f>(20.9)*10.764</f>
        <v>224.96759999999998</v>
      </c>
      <c r="F289" s="12">
        <f>(1.8*1.5)*10.764</f>
        <v>29.062799999999999</v>
      </c>
      <c r="G289" s="12">
        <v>586</v>
      </c>
      <c r="H289" s="12" t="s">
        <v>153</v>
      </c>
      <c r="I289" s="58"/>
      <c r="J289" s="59"/>
    </row>
    <row r="290" spans="1:10" ht="15.5" x14ac:dyDescent="0.35">
      <c r="A290" s="12" t="s">
        <v>184</v>
      </c>
      <c r="B290" s="12">
        <v>3</v>
      </c>
      <c r="C290" s="12" t="s">
        <v>136</v>
      </c>
      <c r="D290" s="54">
        <f>(27.54+0.81+(0.75+5.2))*10.764</f>
        <v>369.20519999999993</v>
      </c>
      <c r="E290" s="55">
        <f>(20.9)*10.764</f>
        <v>224.96759999999998</v>
      </c>
      <c r="F290" s="12">
        <f>(1.8*1.5)*10.764</f>
        <v>29.062799999999999</v>
      </c>
      <c r="G290" s="12">
        <v>584</v>
      </c>
      <c r="H290" s="12" t="s">
        <v>153</v>
      </c>
      <c r="I290" s="58"/>
      <c r="J290" s="59"/>
    </row>
    <row r="291" spans="1:10" ht="15.5" x14ac:dyDescent="0.35">
      <c r="A291" s="12" t="s">
        <v>184</v>
      </c>
      <c r="B291" s="12">
        <v>4</v>
      </c>
      <c r="C291" s="12" t="s">
        <v>152</v>
      </c>
      <c r="D291" s="54">
        <f>(21.353+(0.75+2.85)+(0.75+2.4))*10.764</f>
        <v>302.50069200000002</v>
      </c>
      <c r="E291" s="55">
        <f>(20.9)*10.764</f>
        <v>224.96759999999998</v>
      </c>
      <c r="F291" s="12">
        <v>0</v>
      </c>
      <c r="G291" s="12">
        <v>420</v>
      </c>
      <c r="H291" s="12" t="s">
        <v>153</v>
      </c>
      <c r="I291" s="58"/>
      <c r="J291" s="59"/>
    </row>
    <row r="292" spans="1:10" ht="15.5" x14ac:dyDescent="0.35">
      <c r="A292" s="12" t="s">
        <v>184</v>
      </c>
      <c r="B292" s="12">
        <v>5</v>
      </c>
      <c r="C292" s="12" t="s">
        <v>152</v>
      </c>
      <c r="D292" s="54">
        <f>(21.353+(0.75+2.75)+(0.75+2.4))*10.764</f>
        <v>301.42429199999998</v>
      </c>
      <c r="E292" s="55">
        <f>(20.9)*10.764</f>
        <v>224.96759999999998</v>
      </c>
      <c r="F292" s="12">
        <v>0</v>
      </c>
      <c r="G292" s="12">
        <v>417</v>
      </c>
      <c r="H292" s="12" t="s">
        <v>153</v>
      </c>
      <c r="I292" s="58"/>
      <c r="J292" s="59"/>
    </row>
    <row r="293" spans="1:10" ht="15.5" x14ac:dyDescent="0.35">
      <c r="A293" s="12" t="s">
        <v>184</v>
      </c>
      <c r="B293" s="12">
        <v>6</v>
      </c>
      <c r="C293" s="12" t="s">
        <v>152</v>
      </c>
      <c r="D293" s="54">
        <f>(18.638+1.08+(0.75+5.25))*10.764</f>
        <v>276.828552</v>
      </c>
      <c r="E293" s="55">
        <f>(20.9)*10.764</f>
        <v>224.96759999999998</v>
      </c>
      <c r="F293" s="12">
        <v>0</v>
      </c>
      <c r="G293" s="12">
        <v>392</v>
      </c>
      <c r="H293" s="12" t="s">
        <v>153</v>
      </c>
      <c r="I293" s="58"/>
      <c r="J293" s="59"/>
    </row>
    <row r="294" spans="1:10" ht="15.5" x14ac:dyDescent="0.35">
      <c r="A294" s="12" t="s">
        <v>184</v>
      </c>
      <c r="B294" s="12">
        <v>7</v>
      </c>
      <c r="C294" s="12" t="s">
        <v>152</v>
      </c>
      <c r="D294" s="54">
        <f>(20.025+0.54+(0.75+2.7)+(0.75+2.2))*10.764</f>
        <v>290.25125999999995</v>
      </c>
      <c r="E294" s="55"/>
      <c r="F294" s="12">
        <v>0</v>
      </c>
      <c r="G294" s="12">
        <v>400</v>
      </c>
      <c r="H294" s="12" t="s">
        <v>153</v>
      </c>
      <c r="I294" s="58"/>
      <c r="J294" s="59"/>
    </row>
    <row r="295" spans="1:10" ht="15.5" x14ac:dyDescent="0.35">
      <c r="A295" s="12" t="s">
        <v>184</v>
      </c>
      <c r="B295" s="12">
        <v>8</v>
      </c>
      <c r="C295" s="12" t="s">
        <v>152</v>
      </c>
      <c r="D295" s="54">
        <f>(20.025+0.54+(0.75+2.75)+(0.75+2.2))*10.764</f>
        <v>290.78945999999996</v>
      </c>
      <c r="E295" s="55"/>
      <c r="F295" s="12">
        <v>0</v>
      </c>
      <c r="G295" s="12">
        <v>400</v>
      </c>
      <c r="H295" s="12" t="s">
        <v>153</v>
      </c>
      <c r="I295" s="58"/>
      <c r="J295" s="59"/>
    </row>
    <row r="296" spans="1:10" ht="15.5" x14ac:dyDescent="0.35">
      <c r="A296" s="12" t="s">
        <v>184</v>
      </c>
      <c r="B296" s="12">
        <v>9</v>
      </c>
      <c r="C296" s="12" t="s">
        <v>152</v>
      </c>
      <c r="D296" s="54">
        <f>(20.025+0.54+(0.75+2.75)+(0.75+2.2))*10.764</f>
        <v>290.78945999999996</v>
      </c>
      <c r="E296" s="55"/>
      <c r="F296" s="12">
        <v>0</v>
      </c>
      <c r="G296" s="12">
        <v>402</v>
      </c>
      <c r="H296" s="12" t="s">
        <v>153</v>
      </c>
      <c r="I296" s="58"/>
      <c r="J296" s="59"/>
    </row>
    <row r="297" spans="1:10" ht="15.5" x14ac:dyDescent="0.35">
      <c r="A297" s="12" t="s">
        <v>184</v>
      </c>
      <c r="B297" s="12">
        <v>10</v>
      </c>
      <c r="C297" s="12" t="s">
        <v>152</v>
      </c>
      <c r="D297" s="54">
        <f>(21.235+(0.75+2.8)+(0.75+2.1))*10.764</f>
        <v>297.46314000000001</v>
      </c>
      <c r="E297" s="55">
        <f>(20.9)*10.764</f>
        <v>224.96759999999998</v>
      </c>
      <c r="F297" s="12">
        <v>0</v>
      </c>
      <c r="G297" s="12">
        <v>412</v>
      </c>
      <c r="H297" s="12" t="s">
        <v>153</v>
      </c>
      <c r="I297" s="60"/>
      <c r="J297" s="61"/>
    </row>
    <row r="298" spans="1:10" ht="15" x14ac:dyDescent="0.35">
      <c r="A298" s="63" t="s">
        <v>175</v>
      </c>
      <c r="B298" s="64"/>
      <c r="C298" s="64"/>
      <c r="D298" s="64"/>
      <c r="E298" s="64"/>
      <c r="F298" s="64"/>
      <c r="G298" s="64"/>
      <c r="H298" s="64"/>
      <c r="I298" s="64"/>
      <c r="J298" s="65"/>
    </row>
    <row r="299" spans="1:10" ht="15.5" x14ac:dyDescent="0.35">
      <c r="A299" s="12" t="s">
        <v>184</v>
      </c>
      <c r="B299" s="12">
        <v>1</v>
      </c>
      <c r="C299" s="12" t="s">
        <v>152</v>
      </c>
      <c r="D299" s="62">
        <f>(24.915+1.046+(0.75+2.8)+(0.75+2.75))*10.764</f>
        <v>355.33040399999993</v>
      </c>
      <c r="E299" s="62"/>
      <c r="F299" s="12">
        <v>0</v>
      </c>
      <c r="G299" s="12">
        <v>501</v>
      </c>
      <c r="H299" s="12" t="s">
        <v>153</v>
      </c>
      <c r="I299" s="62" t="s">
        <v>176</v>
      </c>
      <c r="J299" s="62"/>
    </row>
    <row r="300" spans="1:10" ht="15.5" x14ac:dyDescent="0.35">
      <c r="A300" s="12" t="s">
        <v>184</v>
      </c>
      <c r="B300" s="12">
        <v>2</v>
      </c>
      <c r="C300" s="12" t="s">
        <v>136</v>
      </c>
      <c r="D300" s="62">
        <f>(27.285+1.193+(0.75+5.2)+(0.75+1.8))*10.764</f>
        <v>398.03119199999998</v>
      </c>
      <c r="E300" s="62">
        <f>(20.9)*10.764</f>
        <v>224.96759999999998</v>
      </c>
      <c r="F300" s="12">
        <v>0</v>
      </c>
      <c r="G300" s="12">
        <v>565</v>
      </c>
      <c r="H300" s="12" t="s">
        <v>153</v>
      </c>
      <c r="I300" s="62"/>
      <c r="J300" s="62"/>
    </row>
    <row r="301" spans="1:10" ht="15.5" x14ac:dyDescent="0.35">
      <c r="A301" s="12" t="s">
        <v>184</v>
      </c>
      <c r="B301" s="12">
        <v>3</v>
      </c>
      <c r="C301" s="12" t="s">
        <v>136</v>
      </c>
      <c r="D301" s="62">
        <f>(27.54+0.81+(0.75+5.2)+(0.75+1.8))*10.764</f>
        <v>396.65339999999992</v>
      </c>
      <c r="E301" s="62">
        <f>(20.9)*10.764</f>
        <v>224.96759999999998</v>
      </c>
      <c r="F301" s="12">
        <v>0</v>
      </c>
      <c r="G301" s="12">
        <v>563</v>
      </c>
      <c r="H301" s="12" t="s">
        <v>153</v>
      </c>
      <c r="I301" s="62"/>
      <c r="J301" s="62"/>
    </row>
    <row r="302" spans="1:10" ht="15.5" x14ac:dyDescent="0.35">
      <c r="A302" s="12" t="s">
        <v>184</v>
      </c>
      <c r="B302" s="12">
        <v>4</v>
      </c>
      <c r="C302" s="12" t="s">
        <v>152</v>
      </c>
      <c r="D302" s="62">
        <f>(21.353+(0.75+2.85)+(0.75+2.4))*10.764</f>
        <v>302.50069200000002</v>
      </c>
      <c r="E302" s="62">
        <f>(20.9)*10.764</f>
        <v>224.96759999999998</v>
      </c>
      <c r="F302" s="12">
        <v>0</v>
      </c>
      <c r="G302" s="12">
        <v>420</v>
      </c>
      <c r="H302" s="12" t="s">
        <v>153</v>
      </c>
      <c r="I302" s="62"/>
      <c r="J302" s="62"/>
    </row>
    <row r="303" spans="1:10" ht="15.5" x14ac:dyDescent="0.35">
      <c r="A303" s="12" t="s">
        <v>184</v>
      </c>
      <c r="B303" s="12">
        <v>5</v>
      </c>
      <c r="C303" s="12" t="s">
        <v>152</v>
      </c>
      <c r="D303" s="62">
        <f>(21.353+(0.75+2.75)+(0.75+2.4))*10.764</f>
        <v>301.42429199999998</v>
      </c>
      <c r="E303" s="62">
        <f>(20.9)*10.764</f>
        <v>224.96759999999998</v>
      </c>
      <c r="F303" s="12">
        <v>0</v>
      </c>
      <c r="G303" s="12">
        <v>417</v>
      </c>
      <c r="H303" s="12" t="s">
        <v>153</v>
      </c>
      <c r="I303" s="62"/>
      <c r="J303" s="62"/>
    </row>
    <row r="304" spans="1:10" ht="15.5" x14ac:dyDescent="0.35">
      <c r="A304" s="12" t="s">
        <v>184</v>
      </c>
      <c r="B304" s="12">
        <v>6</v>
      </c>
      <c r="C304" s="12" t="s">
        <v>152</v>
      </c>
      <c r="D304" s="62">
        <f>(18.638+1.08+(0.75+5.25))*10.764</f>
        <v>276.828552</v>
      </c>
      <c r="E304" s="62">
        <f>(20.9)*10.764</f>
        <v>224.96759999999998</v>
      </c>
      <c r="F304" s="12">
        <v>0</v>
      </c>
      <c r="G304" s="12">
        <v>392</v>
      </c>
      <c r="H304" s="12" t="s">
        <v>153</v>
      </c>
      <c r="I304" s="62"/>
      <c r="J304" s="62"/>
    </row>
    <row r="305" spans="1:10" ht="15.5" x14ac:dyDescent="0.35">
      <c r="A305" s="12" t="s">
        <v>184</v>
      </c>
      <c r="B305" s="12">
        <v>7</v>
      </c>
      <c r="C305" s="12" t="s">
        <v>152</v>
      </c>
      <c r="D305" s="62">
        <f>(20.025+0.54+(0.75+2.7)+(0.75+2.2))*10.764</f>
        <v>290.25125999999995</v>
      </c>
      <c r="E305" s="62"/>
      <c r="F305" s="12">
        <v>0</v>
      </c>
      <c r="G305" s="12">
        <v>400</v>
      </c>
      <c r="H305" s="12" t="s">
        <v>153</v>
      </c>
      <c r="I305" s="62"/>
      <c r="J305" s="62"/>
    </row>
    <row r="306" spans="1:10" ht="15.5" x14ac:dyDescent="0.35">
      <c r="A306" s="12" t="s">
        <v>184</v>
      </c>
      <c r="B306" s="12">
        <v>8</v>
      </c>
      <c r="C306" s="12" t="s">
        <v>152</v>
      </c>
      <c r="D306" s="62">
        <f>(20.025+0.54+(0.75+2.75)+(0.75+2.2))*10.764</f>
        <v>290.78945999999996</v>
      </c>
      <c r="E306" s="62"/>
      <c r="F306" s="12">
        <v>0</v>
      </c>
      <c r="G306" s="12">
        <v>400</v>
      </c>
      <c r="H306" s="12" t="s">
        <v>153</v>
      </c>
      <c r="I306" s="62"/>
      <c r="J306" s="62"/>
    </row>
    <row r="307" spans="1:10" ht="15.5" x14ac:dyDescent="0.35">
      <c r="A307" s="12" t="s">
        <v>184</v>
      </c>
      <c r="B307" s="12">
        <v>9</v>
      </c>
      <c r="C307" s="12" t="s">
        <v>152</v>
      </c>
      <c r="D307" s="62">
        <f>(20.025+0.54+(0.75+2.75)+(0.75+2.2))*10.764</f>
        <v>290.78945999999996</v>
      </c>
      <c r="E307" s="62"/>
      <c r="F307" s="12">
        <v>0</v>
      </c>
      <c r="G307" s="12">
        <v>402</v>
      </c>
      <c r="H307" s="12" t="s">
        <v>153</v>
      </c>
      <c r="I307" s="62"/>
      <c r="J307" s="62"/>
    </row>
    <row r="308" spans="1:10" ht="15.5" x14ac:dyDescent="0.35">
      <c r="A308" s="12" t="s">
        <v>184</v>
      </c>
      <c r="B308" s="12">
        <v>10</v>
      </c>
      <c r="C308" s="12" t="s">
        <v>152</v>
      </c>
      <c r="D308" s="62">
        <f>(21.235+(0.75+2.8)+(0.75+2.1))*10.764</f>
        <v>297.46314000000001</v>
      </c>
      <c r="E308" s="62">
        <f>(20.9)*10.764</f>
        <v>224.96759999999998</v>
      </c>
      <c r="F308" s="12">
        <v>0</v>
      </c>
      <c r="G308" s="12">
        <v>412</v>
      </c>
      <c r="H308" s="12" t="s">
        <v>153</v>
      </c>
      <c r="I308" s="62"/>
      <c r="J308" s="62"/>
    </row>
    <row r="309" spans="1:10" ht="15" customHeight="1" x14ac:dyDescent="0.35">
      <c r="A309" s="102" t="s">
        <v>263</v>
      </c>
      <c r="B309" s="102"/>
      <c r="C309" s="102"/>
      <c r="D309" s="102"/>
      <c r="E309" s="102"/>
      <c r="F309" s="102"/>
      <c r="G309" s="102"/>
      <c r="H309" s="102"/>
      <c r="I309" s="102"/>
      <c r="J309" s="102"/>
    </row>
    <row r="310" spans="1:10" ht="100.5" customHeight="1" x14ac:dyDescent="0.35">
      <c r="A310" s="102"/>
      <c r="B310" s="102"/>
      <c r="C310" s="102"/>
      <c r="D310" s="102"/>
      <c r="E310" s="102"/>
      <c r="F310" s="102"/>
      <c r="G310" s="102"/>
      <c r="H310" s="102"/>
      <c r="I310" s="102"/>
      <c r="J310" s="102"/>
    </row>
    <row r="311" spans="1:10" x14ac:dyDescent="0.35">
      <c r="A311" s="94" t="s">
        <v>24</v>
      </c>
      <c r="B311" s="95"/>
      <c r="C311" s="95"/>
      <c r="D311" s="95"/>
      <c r="E311" s="95"/>
      <c r="F311" s="95"/>
      <c r="G311" s="95"/>
      <c r="H311" s="95"/>
      <c r="I311" s="95"/>
      <c r="J311" s="96"/>
    </row>
    <row r="312" spans="1:10" x14ac:dyDescent="0.35">
      <c r="A312" s="101" t="s">
        <v>32</v>
      </c>
      <c r="B312" s="50"/>
      <c r="C312" s="50"/>
      <c r="D312" s="50"/>
      <c r="E312" s="50"/>
      <c r="F312" s="50"/>
      <c r="G312" s="50"/>
      <c r="H312" s="50"/>
      <c r="I312" s="50"/>
      <c r="J312" s="51"/>
    </row>
    <row r="313" spans="1:10" x14ac:dyDescent="0.35">
      <c r="A313" s="94" t="s">
        <v>26</v>
      </c>
      <c r="B313" s="95"/>
      <c r="C313" s="95"/>
      <c r="D313" s="95"/>
      <c r="E313" s="95"/>
      <c r="F313" s="95"/>
      <c r="G313" s="95"/>
      <c r="H313" s="95"/>
      <c r="I313" s="95"/>
      <c r="J313" s="96"/>
    </row>
    <row r="314" spans="1:10" ht="16.5" customHeight="1" x14ac:dyDescent="0.35">
      <c r="A314" s="49" t="s">
        <v>41</v>
      </c>
      <c r="B314" s="52"/>
      <c r="C314" s="52"/>
      <c r="D314" s="52"/>
      <c r="E314" s="52"/>
      <c r="F314" s="52"/>
      <c r="G314" s="52"/>
      <c r="H314" s="52"/>
      <c r="I314" s="52"/>
      <c r="J314" s="53"/>
    </row>
    <row r="315" spans="1:10" x14ac:dyDescent="0.35">
      <c r="A315" s="82" t="s">
        <v>191</v>
      </c>
      <c r="B315" s="83"/>
      <c r="C315" s="83"/>
      <c r="D315" s="83"/>
      <c r="E315" s="83"/>
      <c r="F315" s="83"/>
      <c r="G315" s="83"/>
      <c r="H315" s="83"/>
      <c r="I315" s="83"/>
      <c r="J315" s="84"/>
    </row>
    <row r="316" spans="1:10" x14ac:dyDescent="0.35">
      <c r="A316" s="49" t="s">
        <v>42</v>
      </c>
      <c r="B316" s="52"/>
      <c r="C316" s="52"/>
      <c r="D316" s="52"/>
      <c r="E316" s="52"/>
      <c r="F316" s="52"/>
      <c r="G316" s="52"/>
      <c r="H316" s="52"/>
      <c r="I316" s="52"/>
      <c r="J316" s="53"/>
    </row>
    <row r="317" spans="1:10" x14ac:dyDescent="0.35">
      <c r="A317" s="49" t="s">
        <v>43</v>
      </c>
      <c r="B317" s="52"/>
      <c r="C317" s="52"/>
      <c r="D317" s="52"/>
      <c r="E317" s="52"/>
      <c r="F317" s="52"/>
      <c r="G317" s="52"/>
      <c r="H317" s="52"/>
      <c r="I317" s="52"/>
      <c r="J317" s="53"/>
    </row>
    <row r="318" spans="1:10" ht="15" customHeight="1" x14ac:dyDescent="0.35">
      <c r="A318" s="98" t="s">
        <v>44</v>
      </c>
      <c r="B318" s="99"/>
      <c r="C318" s="99"/>
      <c r="D318" s="99"/>
      <c r="E318" s="99"/>
      <c r="F318" s="99"/>
      <c r="G318" s="99"/>
      <c r="H318" s="99"/>
      <c r="I318" s="99"/>
      <c r="J318" s="100"/>
    </row>
    <row r="319" spans="1:10" x14ac:dyDescent="0.35">
      <c r="A319" s="85" t="s">
        <v>25</v>
      </c>
      <c r="B319" s="86"/>
      <c r="C319" s="86"/>
      <c r="D319" s="86"/>
      <c r="E319" s="86"/>
      <c r="F319" s="86"/>
      <c r="G319" s="86"/>
      <c r="H319" s="86"/>
      <c r="I319" s="86"/>
      <c r="J319" s="87"/>
    </row>
    <row r="320" spans="1:10" x14ac:dyDescent="0.35">
      <c r="A320" s="88"/>
      <c r="B320" s="89"/>
      <c r="C320" s="89"/>
      <c r="D320" s="89"/>
      <c r="E320" s="89"/>
      <c r="F320" s="89"/>
      <c r="G320" s="89"/>
      <c r="H320" s="89"/>
      <c r="I320" s="89"/>
      <c r="J320" s="90"/>
    </row>
    <row r="321" spans="1:10" x14ac:dyDescent="0.35">
      <c r="A321" s="88"/>
      <c r="B321" s="89"/>
      <c r="C321" s="89"/>
      <c r="D321" s="89"/>
      <c r="E321" s="89"/>
      <c r="F321" s="89"/>
      <c r="G321" s="89"/>
      <c r="H321" s="89"/>
      <c r="I321" s="89"/>
      <c r="J321" s="90"/>
    </row>
    <row r="322" spans="1:10" x14ac:dyDescent="0.35">
      <c r="A322" s="91"/>
      <c r="B322" s="92"/>
      <c r="C322" s="92"/>
      <c r="D322" s="92"/>
      <c r="E322" s="92"/>
      <c r="F322" s="92"/>
      <c r="G322" s="92"/>
      <c r="H322" s="92"/>
      <c r="I322" s="92"/>
      <c r="J322" s="93"/>
    </row>
    <row r="323" spans="1:10" x14ac:dyDescent="0.35">
      <c r="A323" s="27" t="s">
        <v>150</v>
      </c>
      <c r="B323" s="17"/>
      <c r="C323" s="17"/>
      <c r="D323" s="26" t="str">
        <f>F8</f>
        <v>Maple Greens</v>
      </c>
      <c r="E323" s="17"/>
      <c r="F323" s="17"/>
      <c r="G323" s="17"/>
      <c r="H323" s="17"/>
      <c r="I323" s="17"/>
      <c r="J323" s="17"/>
    </row>
    <row r="324" spans="1:10" x14ac:dyDescent="0.35">
      <c r="A324" s="17"/>
      <c r="B324" s="17"/>
      <c r="C324" s="17"/>
      <c r="D324" s="17"/>
      <c r="E324" s="17"/>
      <c r="F324" s="17"/>
      <c r="G324" s="17"/>
      <c r="H324" s="17"/>
      <c r="I324" s="17"/>
      <c r="J324" s="17"/>
    </row>
    <row r="325" spans="1:10" x14ac:dyDescent="0.35">
      <c r="A325" s="17"/>
      <c r="B325" s="17"/>
      <c r="C325" s="17"/>
      <c r="D325" s="17"/>
      <c r="E325" s="17"/>
      <c r="F325" s="17"/>
      <c r="G325" s="17"/>
      <c r="H325" s="17"/>
      <c r="I325" s="17"/>
      <c r="J325" s="17"/>
    </row>
    <row r="326" spans="1:10" x14ac:dyDescent="0.35">
      <c r="A326" s="17"/>
      <c r="B326" s="17"/>
      <c r="C326" s="17"/>
      <c r="D326" s="17"/>
      <c r="E326" s="17"/>
      <c r="F326" s="17"/>
      <c r="G326" s="17"/>
      <c r="H326" s="17"/>
      <c r="I326" s="17"/>
      <c r="J326" s="17"/>
    </row>
    <row r="327" spans="1:10" x14ac:dyDescent="0.35">
      <c r="A327" s="17"/>
      <c r="B327" s="17"/>
      <c r="C327" s="17"/>
      <c r="D327" s="17"/>
      <c r="E327" s="17"/>
      <c r="F327" s="17"/>
      <c r="G327" s="17"/>
      <c r="H327" s="17"/>
      <c r="I327" s="17"/>
      <c r="J327" s="17"/>
    </row>
    <row r="328" spans="1:10" x14ac:dyDescent="0.35">
      <c r="A328" s="17"/>
      <c r="B328" s="17"/>
      <c r="C328" s="17"/>
      <c r="D328" s="17"/>
      <c r="E328" s="17"/>
      <c r="F328" s="17"/>
      <c r="G328" s="17"/>
      <c r="H328" s="17"/>
      <c r="I328" s="17"/>
      <c r="J328" s="17"/>
    </row>
    <row r="329" spans="1:10" x14ac:dyDescent="0.35">
      <c r="A329" s="17"/>
      <c r="B329" s="17"/>
      <c r="C329" s="17"/>
      <c r="D329" s="17"/>
      <c r="E329" s="17"/>
      <c r="F329" s="17"/>
      <c r="G329" s="17"/>
      <c r="H329" s="17"/>
      <c r="I329" s="17"/>
      <c r="J329" s="17"/>
    </row>
    <row r="330" spans="1:10" x14ac:dyDescent="0.35">
      <c r="A330" s="17"/>
      <c r="B330" s="17"/>
      <c r="C330" s="17"/>
      <c r="D330" s="17"/>
      <c r="E330" s="17"/>
      <c r="F330" s="17"/>
      <c r="G330" s="17"/>
      <c r="H330" s="17"/>
      <c r="I330" s="17"/>
      <c r="J330" s="17"/>
    </row>
    <row r="331" spans="1:10" x14ac:dyDescent="0.35">
      <c r="A331" s="17"/>
      <c r="B331" s="17"/>
      <c r="C331" s="17"/>
      <c r="D331" s="17"/>
      <c r="E331" s="17"/>
      <c r="F331" s="17"/>
      <c r="G331" s="17"/>
      <c r="H331" s="17"/>
      <c r="I331" s="17"/>
      <c r="J331" s="17"/>
    </row>
    <row r="332" spans="1:10" x14ac:dyDescent="0.35">
      <c r="A332" s="17"/>
      <c r="B332" s="17"/>
      <c r="C332" s="17"/>
      <c r="D332" s="17"/>
      <c r="E332" s="17"/>
      <c r="F332" s="17"/>
      <c r="G332" s="17"/>
      <c r="H332" s="17"/>
      <c r="I332" s="17"/>
      <c r="J332" s="17"/>
    </row>
    <row r="333" spans="1:10" x14ac:dyDescent="0.35">
      <c r="A333" s="17"/>
      <c r="B333" s="17"/>
      <c r="C333" s="17"/>
      <c r="D333" s="17"/>
      <c r="E333" s="17"/>
      <c r="F333" s="17"/>
      <c r="G333" s="17"/>
      <c r="H333" s="17"/>
      <c r="I333" s="17"/>
      <c r="J333" s="17"/>
    </row>
    <row r="334" spans="1:10" x14ac:dyDescent="0.35">
      <c r="A334" s="17"/>
      <c r="B334" s="17"/>
      <c r="C334" s="17"/>
      <c r="D334" s="17"/>
      <c r="E334" s="17"/>
      <c r="F334" s="17"/>
      <c r="G334" s="17"/>
      <c r="H334" s="17"/>
      <c r="I334" s="17"/>
      <c r="J334" s="17"/>
    </row>
    <row r="335" spans="1:10" x14ac:dyDescent="0.35">
      <c r="A335" s="17"/>
      <c r="B335" s="17"/>
      <c r="C335" s="17"/>
      <c r="D335" s="17"/>
      <c r="E335" s="17"/>
      <c r="F335" s="17"/>
      <c r="G335" s="17"/>
      <c r="H335" s="17"/>
      <c r="I335" s="17"/>
      <c r="J335" s="17"/>
    </row>
    <row r="337" spans="1:10" x14ac:dyDescent="0.35">
      <c r="A337" s="17"/>
      <c r="B337" s="17"/>
      <c r="C337" s="17"/>
      <c r="D337" s="17"/>
      <c r="E337" s="17"/>
      <c r="F337" s="17"/>
      <c r="G337" s="17"/>
      <c r="H337" s="17"/>
      <c r="I337" s="17"/>
      <c r="J337" s="17"/>
    </row>
    <row r="338" spans="1:10" x14ac:dyDescent="0.35">
      <c r="A338" s="17"/>
      <c r="B338" s="17"/>
      <c r="C338" s="17"/>
      <c r="D338" s="17"/>
      <c r="E338" s="17"/>
      <c r="F338" s="17"/>
      <c r="G338" s="17"/>
      <c r="H338" s="17"/>
      <c r="I338" s="17"/>
      <c r="J338" s="17"/>
    </row>
    <row r="339" spans="1:10" x14ac:dyDescent="0.35">
      <c r="A339" s="17"/>
      <c r="B339" s="17"/>
      <c r="C339" s="17"/>
      <c r="D339" s="17"/>
      <c r="E339" s="17"/>
      <c r="F339" s="17"/>
      <c r="G339" s="17"/>
      <c r="H339" s="17"/>
      <c r="I339" s="17"/>
      <c r="J339" s="17"/>
    </row>
    <row r="340" spans="1:10" x14ac:dyDescent="0.35">
      <c r="A340" s="17"/>
      <c r="B340" s="17"/>
      <c r="C340" s="17"/>
      <c r="D340" s="17"/>
      <c r="E340" s="17"/>
      <c r="F340" s="17"/>
      <c r="G340" s="17"/>
      <c r="H340" s="17"/>
      <c r="I340" s="17"/>
      <c r="J340" s="17"/>
    </row>
    <row r="341" spans="1:10" x14ac:dyDescent="0.35">
      <c r="A341" s="17"/>
      <c r="B341" s="17"/>
      <c r="C341" s="17"/>
      <c r="D341" s="17"/>
      <c r="E341" s="17"/>
      <c r="F341" s="17"/>
      <c r="G341" s="17"/>
      <c r="H341" s="17"/>
      <c r="I341" s="17"/>
      <c r="J341" s="17"/>
    </row>
    <row r="342" spans="1:10" x14ac:dyDescent="0.35">
      <c r="A342" s="17"/>
      <c r="B342" s="17"/>
      <c r="C342" s="17"/>
      <c r="D342" s="17"/>
      <c r="E342" s="17"/>
      <c r="F342" s="17"/>
      <c r="G342" s="17"/>
      <c r="H342" s="17"/>
      <c r="I342" s="17"/>
      <c r="J342" s="17"/>
    </row>
    <row r="343" spans="1:10" x14ac:dyDescent="0.35">
      <c r="A343" s="17"/>
      <c r="B343" s="17"/>
      <c r="C343" s="17"/>
      <c r="D343" s="17"/>
      <c r="E343" s="17"/>
      <c r="F343" s="17"/>
      <c r="G343" s="17"/>
      <c r="H343" s="17"/>
      <c r="I343" s="17"/>
      <c r="J343" s="17"/>
    </row>
    <row r="344" spans="1:10" x14ac:dyDescent="0.35">
      <c r="A344" s="17"/>
      <c r="B344" s="17"/>
      <c r="C344" s="17"/>
      <c r="D344" s="17"/>
      <c r="E344" s="17"/>
      <c r="F344" s="17"/>
      <c r="G344" s="17"/>
      <c r="H344" s="17"/>
      <c r="I344" s="17"/>
      <c r="J344" s="17"/>
    </row>
    <row r="345" spans="1:10" x14ac:dyDescent="0.35">
      <c r="A345" s="17"/>
      <c r="B345" s="17"/>
      <c r="C345" s="17"/>
      <c r="D345" s="17"/>
      <c r="E345" s="17"/>
      <c r="F345" s="17"/>
      <c r="G345" s="17"/>
      <c r="H345" s="17"/>
      <c r="I345" s="17"/>
      <c r="J345" s="17"/>
    </row>
    <row r="346" spans="1:10" x14ac:dyDescent="0.35">
      <c r="A346" s="17"/>
      <c r="B346" s="17"/>
      <c r="C346" s="17"/>
      <c r="D346" s="17"/>
      <c r="E346" s="17"/>
      <c r="F346" s="17"/>
      <c r="G346" s="17"/>
      <c r="H346" s="17"/>
      <c r="I346" s="17"/>
      <c r="J346" s="17"/>
    </row>
    <row r="347" spans="1:10" x14ac:dyDescent="0.35">
      <c r="A347" s="17"/>
      <c r="B347" s="17"/>
      <c r="C347" s="17"/>
      <c r="D347" s="17"/>
      <c r="E347" s="17"/>
      <c r="F347" s="17"/>
      <c r="G347" s="17"/>
      <c r="H347" s="17"/>
      <c r="I347" s="17"/>
      <c r="J347" s="17"/>
    </row>
    <row r="348" spans="1:10" x14ac:dyDescent="0.35">
      <c r="A348" s="17"/>
      <c r="B348" s="17"/>
      <c r="C348" s="17"/>
      <c r="D348" s="17"/>
      <c r="E348" s="17"/>
      <c r="F348" s="17"/>
      <c r="G348" s="17"/>
      <c r="H348" s="17"/>
      <c r="I348" s="17"/>
      <c r="J348" s="17"/>
    </row>
    <row r="349" spans="1:10" x14ac:dyDescent="0.35">
      <c r="A349" s="17"/>
      <c r="B349" s="17"/>
      <c r="C349" s="17"/>
      <c r="D349" s="17"/>
      <c r="E349" s="17"/>
      <c r="F349" s="17"/>
      <c r="G349" s="17"/>
      <c r="H349" s="17"/>
      <c r="I349" s="17"/>
      <c r="J349" s="17"/>
    </row>
    <row r="350" spans="1:10" x14ac:dyDescent="0.35">
      <c r="A350" s="17"/>
      <c r="B350" s="17"/>
      <c r="C350" s="17"/>
      <c r="D350" s="17"/>
      <c r="E350" s="17"/>
      <c r="F350" s="17"/>
      <c r="G350" s="17"/>
      <c r="H350" s="17"/>
      <c r="I350" s="17"/>
      <c r="J350" s="17"/>
    </row>
    <row r="351" spans="1:10" x14ac:dyDescent="0.35">
      <c r="A351" s="17"/>
      <c r="B351" s="17"/>
      <c r="C351" s="17"/>
      <c r="D351" s="17"/>
      <c r="E351" s="17"/>
      <c r="F351" s="17"/>
      <c r="G351" s="17"/>
      <c r="H351" s="17"/>
      <c r="I351" s="17"/>
      <c r="J351" s="17"/>
    </row>
    <row r="352" spans="1:10" x14ac:dyDescent="0.35">
      <c r="A352" s="17"/>
      <c r="B352" s="17"/>
      <c r="C352" s="17"/>
      <c r="D352" s="17"/>
      <c r="E352" s="17"/>
      <c r="F352" s="17"/>
      <c r="G352" s="17"/>
      <c r="H352" s="17"/>
      <c r="I352" s="17"/>
      <c r="J352" s="17"/>
    </row>
    <row r="353" spans="1:10" x14ac:dyDescent="0.35">
      <c r="A353" s="17"/>
      <c r="B353" s="17"/>
      <c r="C353" s="17"/>
      <c r="D353" s="17"/>
      <c r="E353" s="17"/>
      <c r="F353" s="17"/>
      <c r="G353" s="17"/>
      <c r="H353" s="17"/>
      <c r="I353" s="17"/>
      <c r="J353" s="17"/>
    </row>
    <row r="354" spans="1:10" x14ac:dyDescent="0.35">
      <c r="A354" s="17"/>
      <c r="B354" s="17"/>
      <c r="C354" s="17"/>
      <c r="D354" s="17"/>
      <c r="E354" s="17"/>
      <c r="F354" s="17"/>
      <c r="G354" s="17"/>
      <c r="H354" s="17"/>
      <c r="I354" s="17"/>
      <c r="J354" s="17"/>
    </row>
    <row r="355" spans="1:10" x14ac:dyDescent="0.35">
      <c r="A355" s="17"/>
      <c r="B355" s="17"/>
      <c r="C355" s="17"/>
      <c r="D355" s="17"/>
      <c r="E355" s="17"/>
      <c r="F355" s="17"/>
      <c r="G355" s="17"/>
      <c r="H355" s="17"/>
      <c r="I355" s="17"/>
      <c r="J355" s="17"/>
    </row>
    <row r="356" spans="1:10" x14ac:dyDescent="0.35">
      <c r="A356" s="17"/>
      <c r="B356" s="17"/>
      <c r="C356" s="17"/>
      <c r="D356" s="17"/>
      <c r="E356" s="17"/>
      <c r="F356" s="17"/>
      <c r="G356" s="17"/>
      <c r="H356" s="17"/>
      <c r="I356" s="17"/>
      <c r="J356" s="17"/>
    </row>
    <row r="357" spans="1:10" x14ac:dyDescent="0.35">
      <c r="A357" s="17"/>
      <c r="B357" s="17"/>
      <c r="C357" s="17"/>
      <c r="D357" s="17"/>
      <c r="E357" s="17"/>
      <c r="F357" s="17"/>
      <c r="G357" s="17"/>
      <c r="H357" s="17"/>
      <c r="I357" s="17"/>
      <c r="J357" s="17"/>
    </row>
    <row r="358" spans="1:10" x14ac:dyDescent="0.35">
      <c r="A358" s="17"/>
      <c r="B358" s="17"/>
      <c r="C358" s="17"/>
      <c r="D358" s="17"/>
      <c r="E358" s="17"/>
      <c r="F358" s="17"/>
      <c r="G358" s="17"/>
      <c r="H358" s="17"/>
      <c r="I358" s="17"/>
      <c r="J358" s="17"/>
    </row>
    <row r="359" spans="1:10" x14ac:dyDescent="0.35">
      <c r="A359" s="17"/>
      <c r="B359" s="17"/>
      <c r="C359" s="17"/>
      <c r="D359" s="17"/>
      <c r="E359" s="17"/>
      <c r="F359" s="17"/>
      <c r="G359" s="17"/>
      <c r="H359" s="17"/>
      <c r="I359" s="17"/>
      <c r="J359" s="17"/>
    </row>
    <row r="360" spans="1:10" x14ac:dyDescent="0.35">
      <c r="A360" s="17"/>
      <c r="B360" s="17"/>
      <c r="C360" s="17"/>
      <c r="D360" s="17"/>
      <c r="E360" s="17"/>
      <c r="F360" s="17"/>
      <c r="G360" s="17"/>
      <c r="H360" s="17"/>
      <c r="I360" s="17"/>
      <c r="J360" s="17"/>
    </row>
    <row r="361" spans="1:10" x14ac:dyDescent="0.35">
      <c r="A361" s="17"/>
      <c r="B361" s="17"/>
      <c r="C361" s="17"/>
      <c r="D361" s="17"/>
      <c r="E361" s="17"/>
      <c r="F361" s="17"/>
      <c r="G361" s="17"/>
      <c r="H361" s="17"/>
      <c r="I361" s="17"/>
      <c r="J361" s="17"/>
    </row>
    <row r="362" spans="1:10" x14ac:dyDescent="0.35">
      <c r="A362" s="17"/>
      <c r="B362" s="17"/>
      <c r="C362" s="17"/>
      <c r="D362" s="17"/>
      <c r="E362" s="17"/>
      <c r="F362" s="17"/>
      <c r="G362" s="17"/>
      <c r="H362" s="17"/>
      <c r="I362" s="17"/>
      <c r="J362" s="17"/>
    </row>
    <row r="363" spans="1:10" x14ac:dyDescent="0.35">
      <c r="A363" s="17"/>
      <c r="B363" s="17"/>
      <c r="C363" s="17"/>
      <c r="D363" s="17"/>
      <c r="E363" s="17"/>
      <c r="F363" s="17"/>
      <c r="G363" s="17"/>
      <c r="H363" s="17"/>
      <c r="I363" s="17"/>
      <c r="J363" s="17"/>
    </row>
    <row r="364" spans="1:10" x14ac:dyDescent="0.35">
      <c r="A364" s="17"/>
      <c r="B364" s="17"/>
      <c r="C364" s="17"/>
      <c r="D364" s="17"/>
      <c r="E364" s="17"/>
      <c r="F364" s="17"/>
      <c r="G364" s="17"/>
      <c r="H364" s="17"/>
      <c r="I364" s="17"/>
      <c r="J364" s="17"/>
    </row>
    <row r="365" spans="1:10" x14ac:dyDescent="0.35">
      <c r="A365" s="17"/>
      <c r="B365" s="17"/>
      <c r="C365" s="17"/>
      <c r="D365" s="17"/>
      <c r="E365" s="17"/>
      <c r="F365" s="17"/>
      <c r="G365" s="17"/>
      <c r="H365" s="17"/>
      <c r="I365" s="17"/>
      <c r="J365" s="17"/>
    </row>
    <row r="366" spans="1:10" x14ac:dyDescent="0.35">
      <c r="A366" s="17"/>
      <c r="B366" s="17"/>
      <c r="C366" s="17"/>
      <c r="D366" s="17"/>
      <c r="E366" s="17"/>
      <c r="F366" s="17"/>
      <c r="G366" s="17"/>
      <c r="H366" s="17"/>
      <c r="I366" s="17"/>
      <c r="J366" s="17"/>
    </row>
    <row r="367" spans="1:10" x14ac:dyDescent="0.35">
      <c r="A367" s="17"/>
      <c r="B367" s="17"/>
      <c r="C367" s="17"/>
      <c r="D367" s="17"/>
      <c r="E367" s="17"/>
      <c r="F367" s="17"/>
      <c r="G367" s="17"/>
      <c r="H367" s="17"/>
      <c r="I367" s="17"/>
      <c r="J367" s="17"/>
    </row>
    <row r="368" spans="1:10" x14ac:dyDescent="0.35">
      <c r="A368" s="17"/>
      <c r="B368" s="17"/>
      <c r="C368" s="17"/>
      <c r="D368" s="17"/>
      <c r="E368" s="17"/>
      <c r="F368" s="17"/>
      <c r="G368" s="17"/>
      <c r="H368" s="17"/>
      <c r="I368" s="17"/>
      <c r="J368" s="17"/>
    </row>
    <row r="369" spans="1:10" x14ac:dyDescent="0.35">
      <c r="A369" s="17"/>
      <c r="B369" s="17"/>
      <c r="C369" s="17"/>
      <c r="D369" s="17"/>
      <c r="E369" s="17"/>
      <c r="F369" s="17"/>
      <c r="G369" s="17"/>
      <c r="H369" s="17"/>
      <c r="I369" s="17"/>
      <c r="J369" s="17"/>
    </row>
    <row r="370" spans="1:10" x14ac:dyDescent="0.35">
      <c r="A370" s="25" t="s">
        <v>141</v>
      </c>
    </row>
  </sheetData>
  <mergeCells count="496">
    <mergeCell ref="D225:E225"/>
    <mergeCell ref="D222:E222"/>
    <mergeCell ref="D220:E220"/>
    <mergeCell ref="D237:E237"/>
    <mergeCell ref="A230:J230"/>
    <mergeCell ref="D227:E227"/>
    <mergeCell ref="D228:E228"/>
    <mergeCell ref="I220:J223"/>
    <mergeCell ref="I225:J228"/>
    <mergeCell ref="D231:E231"/>
    <mergeCell ref="A229:J229"/>
    <mergeCell ref="D84:E84"/>
    <mergeCell ref="D153:E153"/>
    <mergeCell ref="D151:E151"/>
    <mergeCell ref="D141:E141"/>
    <mergeCell ref="D142:E142"/>
    <mergeCell ref="D148:E148"/>
    <mergeCell ref="D149:E149"/>
    <mergeCell ref="D150:E150"/>
    <mergeCell ref="A132:J132"/>
    <mergeCell ref="G120:J120"/>
    <mergeCell ref="D143:E143"/>
    <mergeCell ref="D144:E144"/>
    <mergeCell ref="F96:G96"/>
    <mergeCell ref="I137:J144"/>
    <mergeCell ref="I146:J153"/>
    <mergeCell ref="F100:G100"/>
    <mergeCell ref="C101:E101"/>
    <mergeCell ref="F101:G101"/>
    <mergeCell ref="A111:F111"/>
    <mergeCell ref="G111:J111"/>
    <mergeCell ref="C102:E102"/>
    <mergeCell ref="A104:C104"/>
    <mergeCell ref="F98:G98"/>
    <mergeCell ref="I84:J84"/>
    <mergeCell ref="A109:J109"/>
    <mergeCell ref="C96:E96"/>
    <mergeCell ref="D137:E137"/>
    <mergeCell ref="A145:J145"/>
    <mergeCell ref="D152:E152"/>
    <mergeCell ref="F97:G97"/>
    <mergeCell ref="A163:J163"/>
    <mergeCell ref="D146:E146"/>
    <mergeCell ref="D138:E138"/>
    <mergeCell ref="A96:B103"/>
    <mergeCell ref="D139:E139"/>
    <mergeCell ref="D140:E140"/>
    <mergeCell ref="A107:J108"/>
    <mergeCell ref="A112:F112"/>
    <mergeCell ref="G110:J110"/>
    <mergeCell ref="A110:F110"/>
    <mergeCell ref="A117:F117"/>
    <mergeCell ref="G117:J117"/>
    <mergeCell ref="D120:F120"/>
    <mergeCell ref="F102:G102"/>
    <mergeCell ref="A105:J105"/>
    <mergeCell ref="A106:J106"/>
    <mergeCell ref="C100:E100"/>
    <mergeCell ref="A120:B120"/>
    <mergeCell ref="H96:J103"/>
    <mergeCell ref="C97:E97"/>
    <mergeCell ref="A85:J85"/>
    <mergeCell ref="A86:B93"/>
    <mergeCell ref="C86:E86"/>
    <mergeCell ref="F86:G86"/>
    <mergeCell ref="A95:J95"/>
    <mergeCell ref="C89:E89"/>
    <mergeCell ref="F87:G87"/>
    <mergeCell ref="C99:E99"/>
    <mergeCell ref="F99:G99"/>
    <mergeCell ref="I94:J94"/>
    <mergeCell ref="C103:E103"/>
    <mergeCell ref="F103:G103"/>
    <mergeCell ref="F78:G78"/>
    <mergeCell ref="F77:G77"/>
    <mergeCell ref="H76:J83"/>
    <mergeCell ref="C82:E82"/>
    <mergeCell ref="C71:E71"/>
    <mergeCell ref="A84:C84"/>
    <mergeCell ref="F84:H84"/>
    <mergeCell ref="C98:E98"/>
    <mergeCell ref="C88:E88"/>
    <mergeCell ref="F88:G88"/>
    <mergeCell ref="F89:G89"/>
    <mergeCell ref="C90:E90"/>
    <mergeCell ref="F90:G90"/>
    <mergeCell ref="C91:E91"/>
    <mergeCell ref="F91:G91"/>
    <mergeCell ref="C92:E92"/>
    <mergeCell ref="F92:G92"/>
    <mergeCell ref="C93:E93"/>
    <mergeCell ref="F93:G93"/>
    <mergeCell ref="A94:C94"/>
    <mergeCell ref="D94:E94"/>
    <mergeCell ref="F94:H94"/>
    <mergeCell ref="H86:J93"/>
    <mergeCell ref="C87:E87"/>
    <mergeCell ref="H66:J73"/>
    <mergeCell ref="I64:J64"/>
    <mergeCell ref="F51:J51"/>
    <mergeCell ref="A66:B73"/>
    <mergeCell ref="F68:G68"/>
    <mergeCell ref="D74:E74"/>
    <mergeCell ref="A74:C74"/>
    <mergeCell ref="F70:G70"/>
    <mergeCell ref="C81:E81"/>
    <mergeCell ref="C77:E77"/>
    <mergeCell ref="A75:J75"/>
    <mergeCell ref="A76:B83"/>
    <mergeCell ref="F74:H74"/>
    <mergeCell ref="F82:G82"/>
    <mergeCell ref="C72:E72"/>
    <mergeCell ref="F80:G80"/>
    <mergeCell ref="C79:E79"/>
    <mergeCell ref="C76:E76"/>
    <mergeCell ref="C80:E80"/>
    <mergeCell ref="F81:G81"/>
    <mergeCell ref="I74:J74"/>
    <mergeCell ref="F83:G83"/>
    <mergeCell ref="C83:E83"/>
    <mergeCell ref="F76:G76"/>
    <mergeCell ref="C78:E78"/>
    <mergeCell ref="F79:G79"/>
    <mergeCell ref="F67:G67"/>
    <mergeCell ref="F61:G61"/>
    <mergeCell ref="C73:E73"/>
    <mergeCell ref="C69:E69"/>
    <mergeCell ref="F66:G66"/>
    <mergeCell ref="C70:E70"/>
    <mergeCell ref="F59:G59"/>
    <mergeCell ref="A64:C64"/>
    <mergeCell ref="F60:G60"/>
    <mergeCell ref="C60:E60"/>
    <mergeCell ref="C66:E66"/>
    <mergeCell ref="C59:E59"/>
    <mergeCell ref="A65:J65"/>
    <mergeCell ref="C68:E68"/>
    <mergeCell ref="F69:G69"/>
    <mergeCell ref="F73:G73"/>
    <mergeCell ref="C67:E67"/>
    <mergeCell ref="D64:E64"/>
    <mergeCell ref="F63:G63"/>
    <mergeCell ref="C61:E61"/>
    <mergeCell ref="F72:G72"/>
    <mergeCell ref="F71:G71"/>
    <mergeCell ref="H56:J63"/>
    <mergeCell ref="C62:E62"/>
    <mergeCell ref="F64:H64"/>
    <mergeCell ref="I50:J50"/>
    <mergeCell ref="F50:H50"/>
    <mergeCell ref="H45:J45"/>
    <mergeCell ref="H44:J44"/>
    <mergeCell ref="C51:E51"/>
    <mergeCell ref="A47:B47"/>
    <mergeCell ref="C47:F47"/>
    <mergeCell ref="H47:J47"/>
    <mergeCell ref="C56:E56"/>
    <mergeCell ref="A56:B63"/>
    <mergeCell ref="F62:G62"/>
    <mergeCell ref="D50:E50"/>
    <mergeCell ref="F57:G57"/>
    <mergeCell ref="C58:E58"/>
    <mergeCell ref="A53:J53"/>
    <mergeCell ref="F56:G56"/>
    <mergeCell ref="C57:E57"/>
    <mergeCell ref="F58:G58"/>
    <mergeCell ref="C63:E63"/>
    <mergeCell ref="A51:B51"/>
    <mergeCell ref="A1:J1"/>
    <mergeCell ref="A52:E52"/>
    <mergeCell ref="F52:J52"/>
    <mergeCell ref="A55:J55"/>
    <mergeCell ref="I29:J29"/>
    <mergeCell ref="A30:J30"/>
    <mergeCell ref="A29:B29"/>
    <mergeCell ref="A11:E11"/>
    <mergeCell ref="F48:G48"/>
    <mergeCell ref="C45:F45"/>
    <mergeCell ref="A50:C50"/>
    <mergeCell ref="A45:B45"/>
    <mergeCell ref="A54:J54"/>
    <mergeCell ref="A49:J49"/>
    <mergeCell ref="H46:J46"/>
    <mergeCell ref="A46:B46"/>
    <mergeCell ref="D48:E48"/>
    <mergeCell ref="C46:F46"/>
    <mergeCell ref="A31:J31"/>
    <mergeCell ref="C44:F44"/>
    <mergeCell ref="A43:J43"/>
    <mergeCell ref="A48:C48"/>
    <mergeCell ref="A44:B44"/>
    <mergeCell ref="F39:J39"/>
    <mergeCell ref="A35:J36"/>
    <mergeCell ref="F38:J38"/>
    <mergeCell ref="C32:D32"/>
    <mergeCell ref="F42:J42"/>
    <mergeCell ref="F41:J41"/>
    <mergeCell ref="A38:E38"/>
    <mergeCell ref="A40:E40"/>
    <mergeCell ref="A37:E37"/>
    <mergeCell ref="A39:E39"/>
    <mergeCell ref="I32:J32"/>
    <mergeCell ref="A42:E42"/>
    <mergeCell ref="A34:J34"/>
    <mergeCell ref="G32:H32"/>
    <mergeCell ref="E32:F32"/>
    <mergeCell ref="A32:B32"/>
    <mergeCell ref="A33:B33"/>
    <mergeCell ref="C33:J33"/>
    <mergeCell ref="F37:J37"/>
    <mergeCell ref="F40:J40"/>
    <mergeCell ref="A41:E41"/>
    <mergeCell ref="E28:F28"/>
    <mergeCell ref="G28:H28"/>
    <mergeCell ref="A28:B28"/>
    <mergeCell ref="C28:D28"/>
    <mergeCell ref="F25:J25"/>
    <mergeCell ref="I28:J28"/>
    <mergeCell ref="I27:J27"/>
    <mergeCell ref="F26:J26"/>
    <mergeCell ref="B16:E16"/>
    <mergeCell ref="A27:B27"/>
    <mergeCell ref="A26:E26"/>
    <mergeCell ref="A23:E23"/>
    <mergeCell ref="A21:E22"/>
    <mergeCell ref="E27:F27"/>
    <mergeCell ref="A24:E24"/>
    <mergeCell ref="F24:J24"/>
    <mergeCell ref="F21:J22"/>
    <mergeCell ref="F23:J23"/>
    <mergeCell ref="A25:E25"/>
    <mergeCell ref="F10:J10"/>
    <mergeCell ref="A13:E13"/>
    <mergeCell ref="F11:J11"/>
    <mergeCell ref="A14:B14"/>
    <mergeCell ref="F18:G18"/>
    <mergeCell ref="I15:J15"/>
    <mergeCell ref="F19:J20"/>
    <mergeCell ref="E15:G15"/>
    <mergeCell ref="H18:J18"/>
    <mergeCell ref="A19:E20"/>
    <mergeCell ref="C15:D15"/>
    <mergeCell ref="A18:B18"/>
    <mergeCell ref="G17:J17"/>
    <mergeCell ref="B17:E17"/>
    <mergeCell ref="A12:E12"/>
    <mergeCell ref="E29:F29"/>
    <mergeCell ref="G29:H29"/>
    <mergeCell ref="C29:D29"/>
    <mergeCell ref="A2:J2"/>
    <mergeCell ref="A3:E3"/>
    <mergeCell ref="F3:J3"/>
    <mergeCell ref="A4:E4"/>
    <mergeCell ref="F4:J4"/>
    <mergeCell ref="C14:J14"/>
    <mergeCell ref="F13:J13"/>
    <mergeCell ref="C27:D27"/>
    <mergeCell ref="G27:H27"/>
    <mergeCell ref="A6:E6"/>
    <mergeCell ref="F6:J6"/>
    <mergeCell ref="A5:E5"/>
    <mergeCell ref="F5:J5"/>
    <mergeCell ref="A7:E7"/>
    <mergeCell ref="F7:J7"/>
    <mergeCell ref="F8:J8"/>
    <mergeCell ref="F12:J12"/>
    <mergeCell ref="G16:J16"/>
    <mergeCell ref="A10:E10"/>
    <mergeCell ref="A8:E8"/>
    <mergeCell ref="C18:E18"/>
    <mergeCell ref="D271:E271"/>
    <mergeCell ref="D193:E193"/>
    <mergeCell ref="A219:J219"/>
    <mergeCell ref="D251:E251"/>
    <mergeCell ref="A252:J252"/>
    <mergeCell ref="I192:J197"/>
    <mergeCell ref="D245:E245"/>
    <mergeCell ref="H48:J48"/>
    <mergeCell ref="D238:E238"/>
    <mergeCell ref="D242:E242"/>
    <mergeCell ref="D240:E240"/>
    <mergeCell ref="A212:J212"/>
    <mergeCell ref="A213:J213"/>
    <mergeCell ref="A214:J214"/>
    <mergeCell ref="D215:E215"/>
    <mergeCell ref="D216:E216"/>
    <mergeCell ref="D217:E217"/>
    <mergeCell ref="I215:J218"/>
    <mergeCell ref="D261:E261"/>
    <mergeCell ref="D104:E104"/>
    <mergeCell ref="F104:H104"/>
    <mergeCell ref="I104:J104"/>
    <mergeCell ref="D249:E249"/>
    <mergeCell ref="A133:J133"/>
    <mergeCell ref="D134:E134"/>
    <mergeCell ref="D178:E178"/>
    <mergeCell ref="A136:J136"/>
    <mergeCell ref="D147:E147"/>
    <mergeCell ref="I134:J134"/>
    <mergeCell ref="A135:J135"/>
    <mergeCell ref="A224:J224"/>
    <mergeCell ref="D223:E223"/>
    <mergeCell ref="D183:E183"/>
    <mergeCell ref="A184:J184"/>
    <mergeCell ref="A172:J172"/>
    <mergeCell ref="A173:J173"/>
    <mergeCell ref="D181:E181"/>
    <mergeCell ref="D179:E179"/>
    <mergeCell ref="D180:E180"/>
    <mergeCell ref="D177:E177"/>
    <mergeCell ref="D176:E176"/>
    <mergeCell ref="D174:E174"/>
    <mergeCell ref="D175:E175"/>
    <mergeCell ref="D218:E218"/>
    <mergeCell ref="D196:E196"/>
    <mergeCell ref="I185:J190"/>
    <mergeCell ref="A319:J322"/>
    <mergeCell ref="A311:J311"/>
    <mergeCell ref="D280:E280"/>
    <mergeCell ref="A279:J279"/>
    <mergeCell ref="D283:E283"/>
    <mergeCell ref="D284:E284"/>
    <mergeCell ref="D285:E285"/>
    <mergeCell ref="D281:E281"/>
    <mergeCell ref="D282:E282"/>
    <mergeCell ref="D294:E294"/>
    <mergeCell ref="D295:E295"/>
    <mergeCell ref="D305:E305"/>
    <mergeCell ref="D306:E306"/>
    <mergeCell ref="I280:J286"/>
    <mergeCell ref="A317:J317"/>
    <mergeCell ref="A298:J298"/>
    <mergeCell ref="D299:E299"/>
    <mergeCell ref="I288:J297"/>
    <mergeCell ref="D300:E300"/>
    <mergeCell ref="A318:J318"/>
    <mergeCell ref="A312:J312"/>
    <mergeCell ref="A313:J313"/>
    <mergeCell ref="A309:J310"/>
    <mergeCell ref="A314:J314"/>
    <mergeCell ref="A315:J315"/>
    <mergeCell ref="A316:J316"/>
    <mergeCell ref="D266:E266"/>
    <mergeCell ref="D263:E263"/>
    <mergeCell ref="D270:E270"/>
    <mergeCell ref="D269:E269"/>
    <mergeCell ref="D199:E199"/>
    <mergeCell ref="D221:E221"/>
    <mergeCell ref="D226:E226"/>
    <mergeCell ref="D202:E202"/>
    <mergeCell ref="D203:E203"/>
    <mergeCell ref="D204:E204"/>
    <mergeCell ref="D241:E241"/>
    <mergeCell ref="D233:E233"/>
    <mergeCell ref="D234:E234"/>
    <mergeCell ref="D235:E235"/>
    <mergeCell ref="D232:E232"/>
    <mergeCell ref="D301:E301"/>
    <mergeCell ref="D290:E290"/>
    <mergeCell ref="D291:E291"/>
    <mergeCell ref="D292:E292"/>
    <mergeCell ref="D293:E293"/>
    <mergeCell ref="D276:E276"/>
    <mergeCell ref="A239:J239"/>
    <mergeCell ref="A127:B127"/>
    <mergeCell ref="I266:J277"/>
    <mergeCell ref="D187:E187"/>
    <mergeCell ref="D188:E188"/>
    <mergeCell ref="D254:E254"/>
    <mergeCell ref="D250:E250"/>
    <mergeCell ref="A123:B123"/>
    <mergeCell ref="D307:E307"/>
    <mergeCell ref="D308:E308"/>
    <mergeCell ref="D158:E158"/>
    <mergeCell ref="D194:E194"/>
    <mergeCell ref="D195:E195"/>
    <mergeCell ref="D200:E200"/>
    <mergeCell ref="D197:E197"/>
    <mergeCell ref="D262:E262"/>
    <mergeCell ref="D246:E246"/>
    <mergeCell ref="D247:E247"/>
    <mergeCell ref="D257:E257"/>
    <mergeCell ref="D258:E258"/>
    <mergeCell ref="D190:E190"/>
    <mergeCell ref="D185:E185"/>
    <mergeCell ref="D210:E210"/>
    <mergeCell ref="D211:E211"/>
    <mergeCell ref="D207:E207"/>
    <mergeCell ref="D304:E304"/>
    <mergeCell ref="I240:J251"/>
    <mergeCell ref="D289:E289"/>
    <mergeCell ref="I299:J308"/>
    <mergeCell ref="D302:E302"/>
    <mergeCell ref="D303:E303"/>
    <mergeCell ref="D296:E296"/>
    <mergeCell ref="D297:E297"/>
    <mergeCell ref="D286:E286"/>
    <mergeCell ref="A287:J287"/>
    <mergeCell ref="D288:E288"/>
    <mergeCell ref="D272:E272"/>
    <mergeCell ref="A265:J265"/>
    <mergeCell ref="A278:J278"/>
    <mergeCell ref="D277:E277"/>
    <mergeCell ref="D255:E255"/>
    <mergeCell ref="D260:E260"/>
    <mergeCell ref="D259:E259"/>
    <mergeCell ref="D268:E268"/>
    <mergeCell ref="D267:E267"/>
    <mergeCell ref="D274:E274"/>
    <mergeCell ref="D275:E275"/>
    <mergeCell ref="D273:E273"/>
    <mergeCell ref="D256:E256"/>
    <mergeCell ref="G112:J112"/>
    <mergeCell ref="G113:J113"/>
    <mergeCell ref="G115:J115"/>
    <mergeCell ref="A116:F116"/>
    <mergeCell ref="A125:B125"/>
    <mergeCell ref="A113:F113"/>
    <mergeCell ref="A114:F114"/>
    <mergeCell ref="A115:F115"/>
    <mergeCell ref="A121:B121"/>
    <mergeCell ref="G122:J122"/>
    <mergeCell ref="D123:F123"/>
    <mergeCell ref="G123:J123"/>
    <mergeCell ref="D127:F127"/>
    <mergeCell ref="A122:B122"/>
    <mergeCell ref="D122:F122"/>
    <mergeCell ref="G114:J114"/>
    <mergeCell ref="D129:F129"/>
    <mergeCell ref="G129:J129"/>
    <mergeCell ref="A128:B128"/>
    <mergeCell ref="D128:F128"/>
    <mergeCell ref="G128:J128"/>
    <mergeCell ref="D119:F119"/>
    <mergeCell ref="D125:F125"/>
    <mergeCell ref="G119:J119"/>
    <mergeCell ref="D121:F121"/>
    <mergeCell ref="G121:J121"/>
    <mergeCell ref="G127:J127"/>
    <mergeCell ref="G125:J125"/>
    <mergeCell ref="A124:B124"/>
    <mergeCell ref="D124:F124"/>
    <mergeCell ref="G124:J124"/>
    <mergeCell ref="A119:B119"/>
    <mergeCell ref="A118:J118"/>
    <mergeCell ref="G116:J116"/>
    <mergeCell ref="A126:J126"/>
    <mergeCell ref="A129:B129"/>
    <mergeCell ref="D264:E264"/>
    <mergeCell ref="D201:E201"/>
    <mergeCell ref="A130:B130"/>
    <mergeCell ref="D130:F130"/>
    <mergeCell ref="G130:J130"/>
    <mergeCell ref="D169:E169"/>
    <mergeCell ref="I155:J162"/>
    <mergeCell ref="D155:E155"/>
    <mergeCell ref="D156:E156"/>
    <mergeCell ref="D160:E160"/>
    <mergeCell ref="A154:J154"/>
    <mergeCell ref="A131:B131"/>
    <mergeCell ref="D131:F131"/>
    <mergeCell ref="G131:J131"/>
    <mergeCell ref="I164:J171"/>
    <mergeCell ref="D161:E161"/>
    <mergeCell ref="D164:E164"/>
    <mergeCell ref="D189:E189"/>
    <mergeCell ref="D168:E168"/>
    <mergeCell ref="D165:E165"/>
    <mergeCell ref="I206:J211"/>
    <mergeCell ref="D208:E208"/>
    <mergeCell ref="I199:J204"/>
    <mergeCell ref="I231:J238"/>
    <mergeCell ref="A9:E9"/>
    <mergeCell ref="F9:J9"/>
    <mergeCell ref="D192:E192"/>
    <mergeCell ref="I253:J264"/>
    <mergeCell ref="D186:E186"/>
    <mergeCell ref="I174:J183"/>
    <mergeCell ref="D182:E182"/>
    <mergeCell ref="D170:E170"/>
    <mergeCell ref="D166:E166"/>
    <mergeCell ref="D157:E157"/>
    <mergeCell ref="D162:E162"/>
    <mergeCell ref="D159:E159"/>
    <mergeCell ref="D236:E236"/>
    <mergeCell ref="D248:E248"/>
    <mergeCell ref="D243:E243"/>
    <mergeCell ref="D171:E171"/>
    <mergeCell ref="D167:E167"/>
    <mergeCell ref="A191:J191"/>
    <mergeCell ref="D209:E209"/>
    <mergeCell ref="A205:J205"/>
    <mergeCell ref="D206:E206"/>
    <mergeCell ref="A198:J198"/>
    <mergeCell ref="D244:E244"/>
    <mergeCell ref="D253:E253"/>
  </mergeCells>
  <phoneticPr fontId="0" type="noConversion"/>
  <hyperlinks>
    <hyperlink ref="C33" r:id="rId1"/>
  </hyperlinks>
  <pageMargins left="0.55118110236220474" right="0.55118110236220474" top="0.86614173228346458" bottom="1.1811023622047245" header="0.19685039370078741" footer="0.19685039370078741"/>
  <pageSetup paperSize="9" scale="88" fitToHeight="0" orientation="portrait" r:id="rId2"/>
  <headerFooter>
    <oddHeader>&amp;C&amp;G</oddHeader>
    <oddFooter>&amp;L&amp;"Times New Roman,Bold"Ref No: &amp;F&amp;C&amp;G&amp;R&amp;P</oddFooter>
  </headerFooter>
  <rowBreaks count="2" manualBreakCount="2">
    <brk id="322" max="16383" man="1"/>
    <brk id="36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C17" sqref="C17"/>
    </sheetView>
  </sheetViews>
  <sheetFormatPr defaultRowHeight="14.5" x14ac:dyDescent="0.35"/>
  <cols>
    <col min="2" max="2" width="11.7265625" customWidth="1"/>
  </cols>
  <sheetData>
    <row r="2" spans="1:16" x14ac:dyDescent="0.35">
      <c r="A2" t="s">
        <v>114</v>
      </c>
      <c r="B2" s="13" t="s">
        <v>134</v>
      </c>
      <c r="C2" s="13">
        <v>4</v>
      </c>
    </row>
    <row r="3" spans="1:16" x14ac:dyDescent="0.35">
      <c r="B3" t="s">
        <v>115</v>
      </c>
      <c r="C3" t="s">
        <v>116</v>
      </c>
    </row>
    <row r="4" spans="1:16" x14ac:dyDescent="0.35">
      <c r="A4" t="s">
        <v>117</v>
      </c>
      <c r="B4" s="7">
        <v>10</v>
      </c>
      <c r="C4" s="19">
        <v>10</v>
      </c>
      <c r="E4">
        <f>C4*10</f>
        <v>100</v>
      </c>
    </row>
    <row r="5" spans="1:16" x14ac:dyDescent="0.35">
      <c r="A5" t="s">
        <v>118</v>
      </c>
      <c r="B5" t="s">
        <v>119</v>
      </c>
      <c r="C5" t="s">
        <v>120</v>
      </c>
      <c r="J5" s="7" t="s">
        <v>121</v>
      </c>
      <c r="K5" s="7" t="s">
        <v>122</v>
      </c>
      <c r="L5" s="7" t="s">
        <v>123</v>
      </c>
      <c r="M5" s="7" t="s">
        <v>40</v>
      </c>
      <c r="N5" s="7" t="s">
        <v>48</v>
      </c>
      <c r="O5" s="7" t="s">
        <v>124</v>
      </c>
      <c r="P5" s="7" t="s">
        <v>50</v>
      </c>
    </row>
    <row r="6" spans="1:16" x14ac:dyDescent="0.35">
      <c r="B6" s="7">
        <f>C2+1</f>
        <v>5</v>
      </c>
      <c r="C6" s="19">
        <v>5</v>
      </c>
      <c r="E6">
        <f>(100/B6)*C6</f>
        <v>100</v>
      </c>
      <c r="G6" s="14" t="s">
        <v>125</v>
      </c>
      <c r="J6" s="14">
        <f>C4</f>
        <v>10</v>
      </c>
      <c r="K6" s="14">
        <f>40/B6*C6</f>
        <v>40</v>
      </c>
      <c r="L6" s="14">
        <f>15/B8*C8</f>
        <v>15</v>
      </c>
      <c r="M6" s="14">
        <f>10/B10*C10</f>
        <v>10</v>
      </c>
      <c r="N6" s="14">
        <f>10/B12*C12</f>
        <v>10</v>
      </c>
      <c r="O6" s="14">
        <f>5/B14*C14</f>
        <v>5</v>
      </c>
      <c r="P6" s="14">
        <f>5/B16*C16</f>
        <v>5</v>
      </c>
    </row>
    <row r="7" spans="1:16" x14ac:dyDescent="0.35">
      <c r="A7" t="s">
        <v>126</v>
      </c>
      <c r="B7" t="s">
        <v>127</v>
      </c>
      <c r="C7" t="s">
        <v>128</v>
      </c>
      <c r="G7" s="7" t="s">
        <v>129</v>
      </c>
      <c r="H7" s="7"/>
      <c r="I7" s="7"/>
      <c r="J7" s="7">
        <f>J6+20</f>
        <v>30</v>
      </c>
      <c r="K7" s="7">
        <f>30/B6*C6</f>
        <v>30</v>
      </c>
      <c r="L7" s="7">
        <f>15/B8*C8</f>
        <v>15</v>
      </c>
      <c r="M7" s="7">
        <f>10/B10*C10</f>
        <v>10</v>
      </c>
      <c r="N7" s="7">
        <f>5/B12*C12</f>
        <v>5</v>
      </c>
      <c r="O7" s="7">
        <f>5/B14*C14</f>
        <v>5</v>
      </c>
      <c r="P7" s="7">
        <f>5/B16*C16</f>
        <v>5</v>
      </c>
    </row>
    <row r="8" spans="1:16" x14ac:dyDescent="0.35">
      <c r="B8" s="7">
        <f>C2</f>
        <v>4</v>
      </c>
      <c r="C8" s="19">
        <v>4</v>
      </c>
      <c r="E8">
        <f>(100/B8)*C8</f>
        <v>100</v>
      </c>
    </row>
    <row r="9" spans="1:16" x14ac:dyDescent="0.35">
      <c r="A9" t="s">
        <v>130</v>
      </c>
      <c r="B9" t="s">
        <v>127</v>
      </c>
      <c r="C9" t="s">
        <v>128</v>
      </c>
    </row>
    <row r="10" spans="1:16" x14ac:dyDescent="0.35">
      <c r="B10" s="7">
        <f>C2</f>
        <v>4</v>
      </c>
      <c r="C10" s="19">
        <v>4</v>
      </c>
      <c r="E10">
        <f>(100/B10)*C10</f>
        <v>100</v>
      </c>
    </row>
    <row r="11" spans="1:16" x14ac:dyDescent="0.35">
      <c r="A11" t="s">
        <v>48</v>
      </c>
      <c r="B11" t="s">
        <v>127</v>
      </c>
      <c r="C11" t="s">
        <v>128</v>
      </c>
    </row>
    <row r="12" spans="1:16" x14ac:dyDescent="0.35">
      <c r="B12" s="7">
        <f>C2</f>
        <v>4</v>
      </c>
      <c r="C12" s="19">
        <v>4</v>
      </c>
      <c r="E12">
        <f>(100/B12)*C12</f>
        <v>100</v>
      </c>
      <c r="J12" s="7"/>
      <c r="K12" s="7" t="s">
        <v>125</v>
      </c>
      <c r="L12" s="7" t="s">
        <v>131</v>
      </c>
      <c r="M12" t="s">
        <v>132</v>
      </c>
    </row>
    <row r="13" spans="1:16" ht="29" x14ac:dyDescent="0.35">
      <c r="A13" s="15" t="s">
        <v>124</v>
      </c>
      <c r="B13" t="s">
        <v>127</v>
      </c>
      <c r="C13" t="s">
        <v>128</v>
      </c>
      <c r="J13" s="7" t="s">
        <v>37</v>
      </c>
      <c r="K13" s="7">
        <f>J6</f>
        <v>10</v>
      </c>
      <c r="L13" s="7">
        <f>J7</f>
        <v>30</v>
      </c>
      <c r="M13" t="s">
        <v>132</v>
      </c>
    </row>
    <row r="14" spans="1:16" x14ac:dyDescent="0.35">
      <c r="B14" s="7">
        <f>C2</f>
        <v>4</v>
      </c>
      <c r="C14" s="19">
        <v>4</v>
      </c>
      <c r="E14">
        <f>(100/B14)*C14</f>
        <v>100</v>
      </c>
      <c r="J14" s="7" t="s">
        <v>38</v>
      </c>
      <c r="K14" s="7">
        <f>K6</f>
        <v>40</v>
      </c>
      <c r="L14" s="7">
        <f>K7</f>
        <v>30</v>
      </c>
    </row>
    <row r="15" spans="1:16" x14ac:dyDescent="0.35">
      <c r="A15" t="s">
        <v>50</v>
      </c>
      <c r="B15" t="s">
        <v>127</v>
      </c>
      <c r="C15" t="s">
        <v>128</v>
      </c>
      <c r="J15" s="7" t="s">
        <v>123</v>
      </c>
      <c r="K15" s="7">
        <f>L6</f>
        <v>15</v>
      </c>
      <c r="L15" s="7">
        <f>L7</f>
        <v>15</v>
      </c>
    </row>
    <row r="16" spans="1:16" x14ac:dyDescent="0.35">
      <c r="B16" s="7">
        <f>C2</f>
        <v>4</v>
      </c>
      <c r="C16" s="19">
        <v>4</v>
      </c>
      <c r="E16">
        <f>(100/B16)*C16</f>
        <v>100</v>
      </c>
      <c r="J16" s="7" t="s">
        <v>40</v>
      </c>
      <c r="K16" s="7">
        <f>M6</f>
        <v>10</v>
      </c>
      <c r="L16" s="7">
        <f>M7</f>
        <v>10</v>
      </c>
    </row>
    <row r="17" spans="10:12" x14ac:dyDescent="0.35">
      <c r="J17" s="7" t="s">
        <v>48</v>
      </c>
      <c r="K17" s="7">
        <f>N6</f>
        <v>10</v>
      </c>
      <c r="L17" s="7">
        <f>N7</f>
        <v>5</v>
      </c>
    </row>
    <row r="18" spans="10:12" ht="29" x14ac:dyDescent="0.35">
      <c r="J18" s="16" t="s">
        <v>124</v>
      </c>
      <c r="K18" s="7">
        <f>O6</f>
        <v>5</v>
      </c>
      <c r="L18" s="7">
        <f>O7</f>
        <v>5</v>
      </c>
    </row>
    <row r="19" spans="10:12" x14ac:dyDescent="0.35">
      <c r="J19" s="7" t="s">
        <v>50</v>
      </c>
      <c r="K19" s="7">
        <f>P6</f>
        <v>5</v>
      </c>
      <c r="L19" s="7">
        <f>P7</f>
        <v>5</v>
      </c>
    </row>
    <row r="20" spans="10:12" x14ac:dyDescent="0.35">
      <c r="J20" s="7" t="s">
        <v>133</v>
      </c>
      <c r="K20" s="7">
        <f>K13+K14+K15+K16+K17+K18+K19</f>
        <v>95</v>
      </c>
      <c r="L20" s="7">
        <f>L13+L14+L15+L16+L17+L18+L19</f>
        <v>100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C15" sqref="C15"/>
    </sheetView>
  </sheetViews>
  <sheetFormatPr defaultRowHeight="14.5" x14ac:dyDescent="0.35"/>
  <cols>
    <col min="2" max="2" width="11.7265625" customWidth="1"/>
  </cols>
  <sheetData>
    <row r="2" spans="1:16" x14ac:dyDescent="0.35">
      <c r="A2" t="s">
        <v>114</v>
      </c>
      <c r="B2" s="18" t="s">
        <v>134</v>
      </c>
      <c r="C2" s="13">
        <v>4</v>
      </c>
    </row>
    <row r="3" spans="1:16" x14ac:dyDescent="0.35">
      <c r="B3" t="s">
        <v>115</v>
      </c>
      <c r="C3" t="s">
        <v>116</v>
      </c>
    </row>
    <row r="4" spans="1:16" x14ac:dyDescent="0.35">
      <c r="A4" t="s">
        <v>117</v>
      </c>
      <c r="B4" s="7">
        <v>10</v>
      </c>
      <c r="C4" s="19">
        <v>10</v>
      </c>
      <c r="E4">
        <f>C4*10</f>
        <v>100</v>
      </c>
    </row>
    <row r="5" spans="1:16" x14ac:dyDescent="0.35">
      <c r="A5" t="s">
        <v>118</v>
      </c>
      <c r="B5" t="s">
        <v>119</v>
      </c>
      <c r="C5" t="s">
        <v>120</v>
      </c>
      <c r="J5" s="7" t="s">
        <v>121</v>
      </c>
      <c r="K5" s="7" t="s">
        <v>122</v>
      </c>
      <c r="L5" s="7" t="s">
        <v>123</v>
      </c>
      <c r="M5" s="7" t="s">
        <v>40</v>
      </c>
      <c r="N5" s="7" t="s">
        <v>48</v>
      </c>
      <c r="O5" s="7" t="s">
        <v>124</v>
      </c>
      <c r="P5" s="7" t="s">
        <v>50</v>
      </c>
    </row>
    <row r="6" spans="1:16" x14ac:dyDescent="0.35">
      <c r="B6" s="7">
        <f>C2+1</f>
        <v>5</v>
      </c>
      <c r="C6" s="19">
        <v>5</v>
      </c>
      <c r="E6">
        <f>(100/B6)*C6</f>
        <v>100</v>
      </c>
      <c r="G6" s="14" t="s">
        <v>125</v>
      </c>
      <c r="J6" s="14">
        <f>C4</f>
        <v>10</v>
      </c>
      <c r="K6" s="14">
        <f>40/B6*C6</f>
        <v>40</v>
      </c>
      <c r="L6" s="14">
        <f>15/B8*C8</f>
        <v>15</v>
      </c>
      <c r="M6" s="14">
        <f>10/B10*C10</f>
        <v>10</v>
      </c>
      <c r="N6" s="14">
        <f>10/B12*C12</f>
        <v>10</v>
      </c>
      <c r="O6" s="14">
        <f>5/B14*C14</f>
        <v>3.75</v>
      </c>
      <c r="P6" s="14">
        <f>5/B16*C16</f>
        <v>0</v>
      </c>
    </row>
    <row r="7" spans="1:16" x14ac:dyDescent="0.35">
      <c r="A7" t="s">
        <v>126</v>
      </c>
      <c r="B7" t="s">
        <v>127</v>
      </c>
      <c r="C7" t="s">
        <v>128</v>
      </c>
      <c r="G7" s="7" t="s">
        <v>129</v>
      </c>
      <c r="H7" s="7"/>
      <c r="I7" s="7"/>
      <c r="J7" s="7">
        <f>J6+20</f>
        <v>30</v>
      </c>
      <c r="K7" s="7">
        <f>30/B6*C6</f>
        <v>30</v>
      </c>
      <c r="L7" s="7">
        <f>15/B8*C8</f>
        <v>15</v>
      </c>
      <c r="M7" s="7">
        <f>10/B10*C10</f>
        <v>10</v>
      </c>
      <c r="N7" s="7">
        <f>5/B12*C12</f>
        <v>5</v>
      </c>
      <c r="O7" s="7">
        <f>5/B14*C14</f>
        <v>3.75</v>
      </c>
      <c r="P7" s="7">
        <f>5/B16*C16</f>
        <v>0</v>
      </c>
    </row>
    <row r="8" spans="1:16" x14ac:dyDescent="0.35">
      <c r="B8" s="7">
        <f>C2</f>
        <v>4</v>
      </c>
      <c r="C8" s="19">
        <v>4</v>
      </c>
      <c r="E8">
        <f>(100/B8)*C8</f>
        <v>100</v>
      </c>
    </row>
    <row r="9" spans="1:16" x14ac:dyDescent="0.35">
      <c r="A9" t="s">
        <v>130</v>
      </c>
      <c r="B9" t="s">
        <v>127</v>
      </c>
      <c r="C9" t="s">
        <v>128</v>
      </c>
    </row>
    <row r="10" spans="1:16" x14ac:dyDescent="0.35">
      <c r="B10" s="7">
        <f>C2</f>
        <v>4</v>
      </c>
      <c r="C10" s="19">
        <v>4</v>
      </c>
      <c r="E10">
        <f>(100/B10)*C10</f>
        <v>100</v>
      </c>
    </row>
    <row r="11" spans="1:16" x14ac:dyDescent="0.35">
      <c r="A11" t="s">
        <v>48</v>
      </c>
      <c r="B11" t="s">
        <v>127</v>
      </c>
      <c r="C11" t="s">
        <v>128</v>
      </c>
    </row>
    <row r="12" spans="1:16" x14ac:dyDescent="0.35">
      <c r="B12" s="7">
        <f>C2</f>
        <v>4</v>
      </c>
      <c r="C12" s="19">
        <v>4</v>
      </c>
      <c r="E12" s="21">
        <f>(100/B12)*C12</f>
        <v>100</v>
      </c>
      <c r="J12" s="7"/>
      <c r="K12" s="7" t="s">
        <v>125</v>
      </c>
      <c r="L12" s="7" t="s">
        <v>131</v>
      </c>
      <c r="M12" t="s">
        <v>132</v>
      </c>
    </row>
    <row r="13" spans="1:16" ht="29" x14ac:dyDescent="0.35">
      <c r="A13" s="15" t="s">
        <v>124</v>
      </c>
      <c r="B13" t="s">
        <v>127</v>
      </c>
      <c r="C13" t="s">
        <v>128</v>
      </c>
      <c r="J13" s="7" t="s">
        <v>37</v>
      </c>
      <c r="K13" s="7">
        <f>J6</f>
        <v>10</v>
      </c>
      <c r="L13" s="7">
        <f>J7</f>
        <v>30</v>
      </c>
      <c r="M13" t="s">
        <v>132</v>
      </c>
    </row>
    <row r="14" spans="1:16" x14ac:dyDescent="0.35">
      <c r="B14" s="7">
        <f>C2</f>
        <v>4</v>
      </c>
      <c r="C14" s="19">
        <v>3</v>
      </c>
      <c r="E14">
        <f>(100/B14)*C14</f>
        <v>75</v>
      </c>
      <c r="J14" s="7" t="s">
        <v>38</v>
      </c>
      <c r="K14" s="7">
        <f>K6</f>
        <v>40</v>
      </c>
      <c r="L14" s="7">
        <f>K7</f>
        <v>30</v>
      </c>
    </row>
    <row r="15" spans="1:16" x14ac:dyDescent="0.35">
      <c r="A15" t="s">
        <v>50</v>
      </c>
      <c r="B15" t="s">
        <v>127</v>
      </c>
      <c r="C15" t="s">
        <v>128</v>
      </c>
      <c r="J15" s="7" t="s">
        <v>123</v>
      </c>
      <c r="K15" s="7">
        <f>L6</f>
        <v>15</v>
      </c>
      <c r="L15" s="7">
        <f>L7</f>
        <v>15</v>
      </c>
    </row>
    <row r="16" spans="1:16" x14ac:dyDescent="0.35">
      <c r="B16" s="7">
        <f>C2</f>
        <v>4</v>
      </c>
      <c r="C16" s="19">
        <v>0</v>
      </c>
      <c r="E16">
        <f>(100/B16)*C16</f>
        <v>0</v>
      </c>
      <c r="J16" s="7" t="s">
        <v>40</v>
      </c>
      <c r="K16" s="7">
        <f>M6</f>
        <v>10</v>
      </c>
      <c r="L16" s="7">
        <f>M7</f>
        <v>10</v>
      </c>
    </row>
    <row r="17" spans="10:12" x14ac:dyDescent="0.35">
      <c r="J17" s="7" t="s">
        <v>48</v>
      </c>
      <c r="K17" s="7">
        <f>N6</f>
        <v>10</v>
      </c>
      <c r="L17" s="7">
        <f>N7</f>
        <v>5</v>
      </c>
    </row>
    <row r="18" spans="10:12" ht="29" x14ac:dyDescent="0.35">
      <c r="J18" s="16" t="s">
        <v>124</v>
      </c>
      <c r="K18" s="7">
        <f>O6</f>
        <v>3.75</v>
      </c>
      <c r="L18" s="7">
        <f>O7</f>
        <v>3.75</v>
      </c>
    </row>
    <row r="19" spans="10:12" x14ac:dyDescent="0.35">
      <c r="J19" s="7" t="s">
        <v>50</v>
      </c>
      <c r="K19" s="7">
        <f>P6</f>
        <v>0</v>
      </c>
      <c r="L19" s="7">
        <f>P7</f>
        <v>0</v>
      </c>
    </row>
    <row r="20" spans="10:12" x14ac:dyDescent="0.35">
      <c r="J20" s="7" t="s">
        <v>133</v>
      </c>
      <c r="K20" s="7">
        <f>K13+K14+K15+K16+K17+K18+K19</f>
        <v>88.75</v>
      </c>
      <c r="L20" s="7">
        <f>L13+L14+L15+L16+L17+L18+L19</f>
        <v>93.75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C15" sqref="C15"/>
    </sheetView>
  </sheetViews>
  <sheetFormatPr defaultRowHeight="14.5" x14ac:dyDescent="0.35"/>
  <cols>
    <col min="2" max="2" width="11.7265625" customWidth="1"/>
  </cols>
  <sheetData>
    <row r="2" spans="1:16" x14ac:dyDescent="0.35">
      <c r="A2" t="s">
        <v>114</v>
      </c>
      <c r="B2" s="13" t="s">
        <v>134</v>
      </c>
      <c r="C2" s="13">
        <v>4</v>
      </c>
    </row>
    <row r="3" spans="1:16" x14ac:dyDescent="0.35">
      <c r="B3" t="s">
        <v>115</v>
      </c>
      <c r="C3" t="s">
        <v>116</v>
      </c>
    </row>
    <row r="4" spans="1:16" x14ac:dyDescent="0.35">
      <c r="A4" t="s">
        <v>117</v>
      </c>
      <c r="B4" s="7">
        <v>10</v>
      </c>
      <c r="C4" s="19">
        <v>10</v>
      </c>
      <c r="E4">
        <f>C4*10</f>
        <v>100</v>
      </c>
    </row>
    <row r="5" spans="1:16" x14ac:dyDescent="0.35">
      <c r="A5" t="s">
        <v>118</v>
      </c>
      <c r="B5" t="s">
        <v>119</v>
      </c>
      <c r="C5" t="s">
        <v>120</v>
      </c>
      <c r="J5" s="7" t="s">
        <v>121</v>
      </c>
      <c r="K5" s="7" t="s">
        <v>122</v>
      </c>
      <c r="L5" s="7" t="s">
        <v>123</v>
      </c>
      <c r="M5" s="7" t="s">
        <v>40</v>
      </c>
      <c r="N5" s="7" t="s">
        <v>48</v>
      </c>
      <c r="O5" s="7" t="s">
        <v>124</v>
      </c>
      <c r="P5" s="7" t="s">
        <v>50</v>
      </c>
    </row>
    <row r="6" spans="1:16" x14ac:dyDescent="0.35">
      <c r="B6" s="7">
        <f>C2+1</f>
        <v>5</v>
      </c>
      <c r="C6" s="19">
        <v>5</v>
      </c>
      <c r="E6">
        <f>(100/B6)*C6</f>
        <v>100</v>
      </c>
      <c r="G6" s="14" t="s">
        <v>125</v>
      </c>
      <c r="J6" s="14">
        <f>C4</f>
        <v>10</v>
      </c>
      <c r="K6" s="14">
        <f>40/B6*C6</f>
        <v>40</v>
      </c>
      <c r="L6" s="14">
        <f>15/B8*C8</f>
        <v>15</v>
      </c>
      <c r="M6" s="14">
        <f>10/B10*C10</f>
        <v>10</v>
      </c>
      <c r="N6" s="14">
        <f>10/B12*C12</f>
        <v>10</v>
      </c>
      <c r="O6" s="14">
        <f>5/B14*C14</f>
        <v>2.5</v>
      </c>
      <c r="P6" s="14">
        <f>5/B16*C16</f>
        <v>0</v>
      </c>
    </row>
    <row r="7" spans="1:16" x14ac:dyDescent="0.35">
      <c r="A7" t="s">
        <v>126</v>
      </c>
      <c r="B7" t="s">
        <v>127</v>
      </c>
      <c r="C7" t="s">
        <v>128</v>
      </c>
      <c r="G7" s="7" t="s">
        <v>129</v>
      </c>
      <c r="H7" s="7"/>
      <c r="I7" s="7"/>
      <c r="J7" s="7">
        <f>J6+20</f>
        <v>30</v>
      </c>
      <c r="K7" s="7">
        <f>30/B6*C6</f>
        <v>30</v>
      </c>
      <c r="L7" s="7">
        <f>15/B8*C8</f>
        <v>15</v>
      </c>
      <c r="M7" s="7">
        <f>10/B10*C10</f>
        <v>10</v>
      </c>
      <c r="N7" s="7">
        <f>5/B12*C12</f>
        <v>5</v>
      </c>
      <c r="O7" s="7">
        <f>5/B14*C14</f>
        <v>2.5</v>
      </c>
      <c r="P7" s="7">
        <f>5/B16*C16</f>
        <v>0</v>
      </c>
    </row>
    <row r="8" spans="1:16" x14ac:dyDescent="0.35">
      <c r="B8" s="7">
        <f>C2</f>
        <v>4</v>
      </c>
      <c r="C8" s="19">
        <v>4</v>
      </c>
      <c r="E8">
        <f>(100/B8)*C8</f>
        <v>100</v>
      </c>
    </row>
    <row r="9" spans="1:16" x14ac:dyDescent="0.35">
      <c r="A9" t="s">
        <v>130</v>
      </c>
      <c r="B9" t="s">
        <v>127</v>
      </c>
      <c r="C9" t="s">
        <v>128</v>
      </c>
    </row>
    <row r="10" spans="1:16" x14ac:dyDescent="0.35">
      <c r="B10" s="7">
        <f>C2</f>
        <v>4</v>
      </c>
      <c r="C10" s="19">
        <v>4</v>
      </c>
      <c r="E10">
        <f>(100/B10)*C10</f>
        <v>100</v>
      </c>
    </row>
    <row r="11" spans="1:16" x14ac:dyDescent="0.35">
      <c r="A11" t="s">
        <v>48</v>
      </c>
      <c r="B11" t="s">
        <v>127</v>
      </c>
      <c r="C11" t="s">
        <v>128</v>
      </c>
    </row>
    <row r="12" spans="1:16" x14ac:dyDescent="0.35">
      <c r="B12" s="7">
        <f>C2</f>
        <v>4</v>
      </c>
      <c r="C12" s="19">
        <v>4</v>
      </c>
      <c r="E12">
        <f>(100/B12)*C12</f>
        <v>100</v>
      </c>
      <c r="J12" s="7"/>
      <c r="K12" s="7" t="s">
        <v>125</v>
      </c>
      <c r="L12" s="7" t="s">
        <v>131</v>
      </c>
      <c r="M12" t="s">
        <v>132</v>
      </c>
    </row>
    <row r="13" spans="1:16" ht="29" x14ac:dyDescent="0.35">
      <c r="A13" s="15" t="s">
        <v>124</v>
      </c>
      <c r="B13" t="s">
        <v>127</v>
      </c>
      <c r="C13" t="s">
        <v>128</v>
      </c>
      <c r="J13" s="7" t="s">
        <v>37</v>
      </c>
      <c r="K13" s="7">
        <f>J6</f>
        <v>10</v>
      </c>
      <c r="L13" s="7">
        <f>J7</f>
        <v>30</v>
      </c>
      <c r="M13" t="s">
        <v>132</v>
      </c>
    </row>
    <row r="14" spans="1:16" x14ac:dyDescent="0.35">
      <c r="B14" s="7">
        <f>C2</f>
        <v>4</v>
      </c>
      <c r="C14" s="19">
        <v>2</v>
      </c>
      <c r="E14">
        <f>(100/B14)*C14</f>
        <v>50</v>
      </c>
      <c r="J14" s="7" t="s">
        <v>38</v>
      </c>
      <c r="K14" s="7">
        <f>K6</f>
        <v>40</v>
      </c>
      <c r="L14" s="7">
        <f>K7</f>
        <v>30</v>
      </c>
    </row>
    <row r="15" spans="1:16" x14ac:dyDescent="0.35">
      <c r="A15" t="s">
        <v>50</v>
      </c>
      <c r="B15" t="s">
        <v>127</v>
      </c>
      <c r="C15" t="s">
        <v>128</v>
      </c>
      <c r="J15" s="7" t="s">
        <v>123</v>
      </c>
      <c r="K15" s="7">
        <f>L6</f>
        <v>15</v>
      </c>
      <c r="L15" s="7">
        <f>L7</f>
        <v>15</v>
      </c>
    </row>
    <row r="16" spans="1:16" x14ac:dyDescent="0.35">
      <c r="B16" s="7">
        <f>C2</f>
        <v>4</v>
      </c>
      <c r="C16" s="19">
        <v>0</v>
      </c>
      <c r="E16">
        <f>(100/B16)*C16</f>
        <v>0</v>
      </c>
      <c r="J16" s="7" t="s">
        <v>40</v>
      </c>
      <c r="K16" s="7">
        <f>M6</f>
        <v>10</v>
      </c>
      <c r="L16" s="7">
        <f>M7</f>
        <v>10</v>
      </c>
    </row>
    <row r="17" spans="10:12" x14ac:dyDescent="0.35">
      <c r="J17" s="7" t="s">
        <v>48</v>
      </c>
      <c r="K17" s="7">
        <f>N6</f>
        <v>10</v>
      </c>
      <c r="L17" s="7">
        <f>N7</f>
        <v>5</v>
      </c>
    </row>
    <row r="18" spans="10:12" ht="29" x14ac:dyDescent="0.35">
      <c r="J18" s="16" t="s">
        <v>124</v>
      </c>
      <c r="K18" s="7">
        <f>O6</f>
        <v>2.5</v>
      </c>
      <c r="L18" s="7">
        <f>O7</f>
        <v>2.5</v>
      </c>
    </row>
    <row r="19" spans="10:12" x14ac:dyDescent="0.35">
      <c r="J19" s="7" t="s">
        <v>50</v>
      </c>
      <c r="K19" s="7">
        <f>P6</f>
        <v>0</v>
      </c>
      <c r="L19" s="7">
        <f>P7</f>
        <v>0</v>
      </c>
    </row>
    <row r="20" spans="10:12" x14ac:dyDescent="0.35">
      <c r="J20" s="7" t="s">
        <v>133</v>
      </c>
      <c r="K20" s="7">
        <f>K13+K14+K15+K16+K17+K18+K19</f>
        <v>87.5</v>
      </c>
      <c r="L20" s="7">
        <f>L13+L14+L15+L16+L17+L18+L19</f>
        <v>92.5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C18" sqref="C18"/>
    </sheetView>
  </sheetViews>
  <sheetFormatPr defaultRowHeight="14.5" x14ac:dyDescent="0.35"/>
  <cols>
    <col min="2" max="2" width="11.7265625" customWidth="1"/>
  </cols>
  <sheetData>
    <row r="2" spans="1:16" x14ac:dyDescent="0.35">
      <c r="A2" t="s">
        <v>114</v>
      </c>
      <c r="B2" s="13" t="s">
        <v>134</v>
      </c>
      <c r="C2" s="13">
        <v>4</v>
      </c>
    </row>
    <row r="3" spans="1:16" x14ac:dyDescent="0.35">
      <c r="B3" t="s">
        <v>115</v>
      </c>
      <c r="C3" t="s">
        <v>116</v>
      </c>
    </row>
    <row r="4" spans="1:16" x14ac:dyDescent="0.35">
      <c r="A4" t="s">
        <v>117</v>
      </c>
      <c r="B4" s="7">
        <v>10</v>
      </c>
      <c r="C4" s="19">
        <v>10</v>
      </c>
      <c r="E4">
        <f>C4*10</f>
        <v>100</v>
      </c>
    </row>
    <row r="5" spans="1:16" x14ac:dyDescent="0.35">
      <c r="A5" t="s">
        <v>118</v>
      </c>
      <c r="B5" t="s">
        <v>119</v>
      </c>
      <c r="C5" t="s">
        <v>120</v>
      </c>
      <c r="J5" s="7" t="s">
        <v>121</v>
      </c>
      <c r="K5" s="7" t="s">
        <v>122</v>
      </c>
      <c r="L5" s="7" t="s">
        <v>123</v>
      </c>
      <c r="M5" s="7" t="s">
        <v>40</v>
      </c>
      <c r="N5" s="7" t="s">
        <v>48</v>
      </c>
      <c r="O5" s="7" t="s">
        <v>124</v>
      </c>
      <c r="P5" s="7" t="s">
        <v>50</v>
      </c>
    </row>
    <row r="6" spans="1:16" x14ac:dyDescent="0.35">
      <c r="B6" s="7">
        <f>C2+1</f>
        <v>5</v>
      </c>
      <c r="C6" s="19">
        <v>5</v>
      </c>
      <c r="E6">
        <f>(100/B6)*C6</f>
        <v>100</v>
      </c>
      <c r="G6" s="14" t="s">
        <v>125</v>
      </c>
      <c r="J6" s="14">
        <f>C4</f>
        <v>10</v>
      </c>
      <c r="K6" s="14">
        <f>40/B6*C6</f>
        <v>40</v>
      </c>
      <c r="L6" s="14">
        <f>15/B8*C8</f>
        <v>15</v>
      </c>
      <c r="M6" s="14">
        <f>10/B10*C10</f>
        <v>10</v>
      </c>
      <c r="N6" s="14">
        <f>10/B12*C12</f>
        <v>10</v>
      </c>
      <c r="O6" s="14">
        <f>5/B14*C14</f>
        <v>5</v>
      </c>
      <c r="P6" s="14">
        <f>5/B16*C16</f>
        <v>1.25</v>
      </c>
    </row>
    <row r="7" spans="1:16" x14ac:dyDescent="0.35">
      <c r="A7" t="s">
        <v>126</v>
      </c>
      <c r="B7" t="s">
        <v>127</v>
      </c>
      <c r="G7" s="7" t="s">
        <v>129</v>
      </c>
      <c r="H7" s="7"/>
      <c r="I7" s="7"/>
      <c r="J7" s="7">
        <f>J6+20</f>
        <v>30</v>
      </c>
      <c r="K7" s="7">
        <f>30/B6*C6</f>
        <v>30</v>
      </c>
      <c r="L7" s="7">
        <f>15/B8*C8</f>
        <v>15</v>
      </c>
      <c r="M7" s="7">
        <f>10/B10*C10</f>
        <v>10</v>
      </c>
      <c r="N7" s="7">
        <f>5/B12*C12</f>
        <v>5</v>
      </c>
      <c r="O7" s="7">
        <f>5/B14*C14</f>
        <v>5</v>
      </c>
      <c r="P7" s="7">
        <f>5/B16*C16</f>
        <v>1.25</v>
      </c>
    </row>
    <row r="8" spans="1:16" x14ac:dyDescent="0.35">
      <c r="B8" s="7">
        <f>C2</f>
        <v>4</v>
      </c>
      <c r="C8" s="19">
        <v>4</v>
      </c>
      <c r="E8">
        <f>(100/B8)*C8</f>
        <v>100</v>
      </c>
    </row>
    <row r="9" spans="1:16" x14ac:dyDescent="0.35">
      <c r="A9" t="s">
        <v>130</v>
      </c>
      <c r="B9" t="s">
        <v>127</v>
      </c>
      <c r="C9" t="s">
        <v>128</v>
      </c>
    </row>
    <row r="10" spans="1:16" x14ac:dyDescent="0.35">
      <c r="B10" s="7">
        <f>C2</f>
        <v>4</v>
      </c>
      <c r="C10" s="19">
        <v>4</v>
      </c>
      <c r="E10">
        <f>(100/B10)*C10</f>
        <v>100</v>
      </c>
    </row>
    <row r="11" spans="1:16" x14ac:dyDescent="0.35">
      <c r="A11" t="s">
        <v>48</v>
      </c>
      <c r="B11" t="s">
        <v>127</v>
      </c>
      <c r="C11" t="s">
        <v>128</v>
      </c>
    </row>
    <row r="12" spans="1:16" x14ac:dyDescent="0.35">
      <c r="B12" s="7">
        <f>C2</f>
        <v>4</v>
      </c>
      <c r="C12" s="19">
        <v>4</v>
      </c>
      <c r="E12">
        <f>(100/B12)*C12</f>
        <v>100</v>
      </c>
      <c r="J12" s="7"/>
      <c r="K12" s="7" t="s">
        <v>125</v>
      </c>
      <c r="L12" s="7" t="s">
        <v>131</v>
      </c>
      <c r="M12" t="s">
        <v>132</v>
      </c>
    </row>
    <row r="13" spans="1:16" ht="29" x14ac:dyDescent="0.35">
      <c r="A13" s="15" t="s">
        <v>124</v>
      </c>
      <c r="B13" t="s">
        <v>127</v>
      </c>
      <c r="C13" t="s">
        <v>128</v>
      </c>
      <c r="J13" s="7" t="s">
        <v>37</v>
      </c>
      <c r="K13" s="7">
        <f>J6</f>
        <v>10</v>
      </c>
      <c r="L13" s="7">
        <f>J7</f>
        <v>30</v>
      </c>
      <c r="M13" t="s">
        <v>132</v>
      </c>
    </row>
    <row r="14" spans="1:16" x14ac:dyDescent="0.35">
      <c r="B14" s="7">
        <f>C2</f>
        <v>4</v>
      </c>
      <c r="C14" s="19">
        <v>4</v>
      </c>
      <c r="E14">
        <f>(100/B14)*C14</f>
        <v>100</v>
      </c>
      <c r="J14" s="7" t="s">
        <v>38</v>
      </c>
      <c r="K14" s="7">
        <f>K6</f>
        <v>40</v>
      </c>
      <c r="L14" s="7">
        <f>K7</f>
        <v>30</v>
      </c>
    </row>
    <row r="15" spans="1:16" x14ac:dyDescent="0.35">
      <c r="A15" t="s">
        <v>50</v>
      </c>
      <c r="B15" t="s">
        <v>127</v>
      </c>
      <c r="C15" t="s">
        <v>128</v>
      </c>
      <c r="J15" s="7" t="s">
        <v>123</v>
      </c>
      <c r="K15" s="7">
        <f>L6</f>
        <v>15</v>
      </c>
      <c r="L15" s="7">
        <f>L7</f>
        <v>15</v>
      </c>
    </row>
    <row r="16" spans="1:16" x14ac:dyDescent="0.35">
      <c r="B16" s="7">
        <f>C2</f>
        <v>4</v>
      </c>
      <c r="C16" s="19">
        <v>1</v>
      </c>
      <c r="E16">
        <f>(100/B16)*C16</f>
        <v>25</v>
      </c>
      <c r="J16" s="7" t="s">
        <v>40</v>
      </c>
      <c r="K16" s="7">
        <f>M6</f>
        <v>10</v>
      </c>
      <c r="L16" s="7">
        <f>M7</f>
        <v>10</v>
      </c>
    </row>
    <row r="17" spans="10:12" x14ac:dyDescent="0.35">
      <c r="J17" s="7" t="s">
        <v>48</v>
      </c>
      <c r="K17" s="7">
        <f>N6</f>
        <v>10</v>
      </c>
      <c r="L17" s="7">
        <f>N7</f>
        <v>5</v>
      </c>
    </row>
    <row r="18" spans="10:12" ht="29" x14ac:dyDescent="0.35">
      <c r="J18" s="16" t="s">
        <v>124</v>
      </c>
      <c r="K18" s="7">
        <f>O6</f>
        <v>5</v>
      </c>
      <c r="L18" s="7">
        <f>O7</f>
        <v>5</v>
      </c>
    </row>
    <row r="19" spans="10:12" x14ac:dyDescent="0.35">
      <c r="J19" s="7" t="s">
        <v>50</v>
      </c>
      <c r="K19" s="7">
        <f>P6</f>
        <v>1.25</v>
      </c>
      <c r="L19" s="7">
        <f>P7</f>
        <v>1.25</v>
      </c>
    </row>
    <row r="20" spans="10:12" x14ac:dyDescent="0.35">
      <c r="J20" s="7" t="s">
        <v>133</v>
      </c>
      <c r="K20" s="7">
        <f>K13+K14+K15+K16+K17+K18+K19</f>
        <v>91.25</v>
      </c>
      <c r="L20" s="7">
        <f>L13+L14+L15+L16+L17+L18+L19</f>
        <v>96.25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C16" sqref="C16"/>
    </sheetView>
  </sheetViews>
  <sheetFormatPr defaultRowHeight="14.5" x14ac:dyDescent="0.35"/>
  <cols>
    <col min="2" max="2" width="11.7265625" customWidth="1"/>
  </cols>
  <sheetData>
    <row r="2" spans="1:16" x14ac:dyDescent="0.35">
      <c r="A2" t="s">
        <v>114</v>
      </c>
      <c r="B2" s="13" t="s">
        <v>134</v>
      </c>
      <c r="C2" s="13">
        <v>4</v>
      </c>
    </row>
    <row r="3" spans="1:16" x14ac:dyDescent="0.35">
      <c r="B3" t="s">
        <v>115</v>
      </c>
      <c r="C3" t="s">
        <v>116</v>
      </c>
    </row>
    <row r="4" spans="1:16" x14ac:dyDescent="0.35">
      <c r="A4" t="s">
        <v>117</v>
      </c>
      <c r="B4" s="7">
        <v>10</v>
      </c>
      <c r="C4" s="19">
        <v>10</v>
      </c>
      <c r="E4">
        <f>C4*10</f>
        <v>100</v>
      </c>
    </row>
    <row r="5" spans="1:16" x14ac:dyDescent="0.35">
      <c r="A5" t="s">
        <v>118</v>
      </c>
      <c r="B5" t="s">
        <v>119</v>
      </c>
      <c r="C5" t="s">
        <v>120</v>
      </c>
      <c r="J5" s="7" t="s">
        <v>121</v>
      </c>
      <c r="K5" s="7" t="s">
        <v>122</v>
      </c>
      <c r="L5" s="7" t="s">
        <v>123</v>
      </c>
      <c r="M5" s="7" t="s">
        <v>40</v>
      </c>
      <c r="N5" s="7" t="s">
        <v>48</v>
      </c>
      <c r="O5" s="7" t="s">
        <v>124</v>
      </c>
      <c r="P5" s="7" t="s">
        <v>50</v>
      </c>
    </row>
    <row r="6" spans="1:16" x14ac:dyDescent="0.35">
      <c r="B6" s="7">
        <f>C2+1</f>
        <v>5</v>
      </c>
      <c r="C6" s="19">
        <v>5</v>
      </c>
      <c r="E6">
        <f>(100/B6)*C6</f>
        <v>100</v>
      </c>
      <c r="G6" s="14" t="s">
        <v>125</v>
      </c>
      <c r="J6" s="14">
        <f>C4</f>
        <v>10</v>
      </c>
      <c r="K6" s="14">
        <f>40/B6*C6</f>
        <v>40</v>
      </c>
      <c r="L6" s="14">
        <f>15/B8*C8</f>
        <v>15</v>
      </c>
      <c r="M6" s="14">
        <f>10/B10*C10</f>
        <v>10</v>
      </c>
      <c r="N6" s="14">
        <f>10/B12*C12</f>
        <v>10</v>
      </c>
      <c r="O6" s="14">
        <f>5/B14*C14</f>
        <v>5</v>
      </c>
      <c r="P6" s="14">
        <f>5/B16*C16</f>
        <v>1.25</v>
      </c>
    </row>
    <row r="7" spans="1:16" x14ac:dyDescent="0.35">
      <c r="A7" t="s">
        <v>126</v>
      </c>
      <c r="B7" t="s">
        <v>127</v>
      </c>
      <c r="C7" t="s">
        <v>128</v>
      </c>
      <c r="G7" s="7" t="s">
        <v>129</v>
      </c>
      <c r="H7" s="7"/>
      <c r="I7" s="7"/>
      <c r="J7" s="7">
        <f>J6+20</f>
        <v>30</v>
      </c>
      <c r="K7" s="7">
        <f>30/B6*C6</f>
        <v>30</v>
      </c>
      <c r="L7" s="7">
        <f>15/B8*C8</f>
        <v>15</v>
      </c>
      <c r="M7" s="7">
        <f>10/B10*C10</f>
        <v>10</v>
      </c>
      <c r="N7" s="7">
        <f>5/B12*C12</f>
        <v>5</v>
      </c>
      <c r="O7" s="7">
        <f>5/B14*C14</f>
        <v>5</v>
      </c>
      <c r="P7" s="7">
        <f>5/B16*C16</f>
        <v>1.25</v>
      </c>
    </row>
    <row r="8" spans="1:16" x14ac:dyDescent="0.35">
      <c r="B8" s="7">
        <f>C2</f>
        <v>4</v>
      </c>
      <c r="C8" s="19">
        <v>4</v>
      </c>
      <c r="E8">
        <f>(100/B8)*C8</f>
        <v>100</v>
      </c>
    </row>
    <row r="9" spans="1:16" x14ac:dyDescent="0.35">
      <c r="A9" t="s">
        <v>130</v>
      </c>
      <c r="B9" t="s">
        <v>127</v>
      </c>
      <c r="C9" t="s">
        <v>128</v>
      </c>
    </row>
    <row r="10" spans="1:16" x14ac:dyDescent="0.35">
      <c r="B10" s="7">
        <f>C2</f>
        <v>4</v>
      </c>
      <c r="C10" s="19">
        <v>4</v>
      </c>
      <c r="E10">
        <f>(100/B10)*C10</f>
        <v>100</v>
      </c>
    </row>
    <row r="11" spans="1:16" x14ac:dyDescent="0.35">
      <c r="A11" t="s">
        <v>48</v>
      </c>
      <c r="B11" t="s">
        <v>127</v>
      </c>
      <c r="C11" t="s">
        <v>128</v>
      </c>
    </row>
    <row r="12" spans="1:16" x14ac:dyDescent="0.35">
      <c r="B12" s="7">
        <f>C2</f>
        <v>4</v>
      </c>
      <c r="C12" s="19">
        <v>4</v>
      </c>
      <c r="E12">
        <f>(100/B12)*C12</f>
        <v>100</v>
      </c>
      <c r="J12" s="7"/>
      <c r="K12" s="7" t="s">
        <v>125</v>
      </c>
      <c r="L12" s="7" t="s">
        <v>131</v>
      </c>
      <c r="M12" t="s">
        <v>132</v>
      </c>
    </row>
    <row r="13" spans="1:16" ht="29" x14ac:dyDescent="0.35">
      <c r="A13" s="15" t="s">
        <v>124</v>
      </c>
      <c r="B13" t="s">
        <v>127</v>
      </c>
      <c r="C13" t="s">
        <v>128</v>
      </c>
      <c r="J13" s="7" t="s">
        <v>37</v>
      </c>
      <c r="K13" s="7">
        <f>J6</f>
        <v>10</v>
      </c>
      <c r="L13" s="7">
        <f>J7</f>
        <v>30</v>
      </c>
      <c r="M13" t="s">
        <v>132</v>
      </c>
    </row>
    <row r="14" spans="1:16" x14ac:dyDescent="0.35">
      <c r="B14" s="7">
        <f>C2</f>
        <v>4</v>
      </c>
      <c r="C14" s="19">
        <v>4</v>
      </c>
      <c r="E14">
        <f>(100/B14)*C14</f>
        <v>100</v>
      </c>
      <c r="J14" s="7" t="s">
        <v>38</v>
      </c>
      <c r="K14" s="7">
        <f>K6</f>
        <v>40</v>
      </c>
      <c r="L14" s="7">
        <f>K7</f>
        <v>30</v>
      </c>
    </row>
    <row r="15" spans="1:16" x14ac:dyDescent="0.35">
      <c r="A15" t="s">
        <v>50</v>
      </c>
      <c r="B15" t="s">
        <v>127</v>
      </c>
      <c r="C15" t="s">
        <v>128</v>
      </c>
      <c r="J15" s="7" t="s">
        <v>123</v>
      </c>
      <c r="K15" s="7">
        <f>L6</f>
        <v>15</v>
      </c>
      <c r="L15" s="7">
        <f>L7</f>
        <v>15</v>
      </c>
    </row>
    <row r="16" spans="1:16" x14ac:dyDescent="0.35">
      <c r="B16" s="7">
        <f>C2</f>
        <v>4</v>
      </c>
      <c r="C16" s="19">
        <v>1</v>
      </c>
      <c r="E16">
        <f>(100/B16)*C16</f>
        <v>25</v>
      </c>
      <c r="J16" s="7" t="s">
        <v>40</v>
      </c>
      <c r="K16" s="7">
        <f>M6</f>
        <v>10</v>
      </c>
      <c r="L16" s="7">
        <f>M7</f>
        <v>10</v>
      </c>
    </row>
    <row r="17" spans="10:12" x14ac:dyDescent="0.35">
      <c r="J17" s="7" t="s">
        <v>48</v>
      </c>
      <c r="K17" s="7">
        <f>N6</f>
        <v>10</v>
      </c>
      <c r="L17" s="7">
        <f>N7</f>
        <v>5</v>
      </c>
    </row>
    <row r="18" spans="10:12" ht="29" x14ac:dyDescent="0.35">
      <c r="J18" s="16" t="s">
        <v>124</v>
      </c>
      <c r="K18" s="7">
        <f>O6</f>
        <v>5</v>
      </c>
      <c r="L18" s="7">
        <f>O7</f>
        <v>5</v>
      </c>
    </row>
    <row r="19" spans="10:12" x14ac:dyDescent="0.35">
      <c r="J19" s="7" t="s">
        <v>50</v>
      </c>
      <c r="K19" s="7">
        <f>P6</f>
        <v>1.25</v>
      </c>
      <c r="L19" s="7">
        <f>P7</f>
        <v>1.25</v>
      </c>
    </row>
    <row r="20" spans="10:12" x14ac:dyDescent="0.35">
      <c r="J20" s="7" t="s">
        <v>133</v>
      </c>
      <c r="K20" s="7">
        <f>K13+K14+K15+K16+K17+K18+K19</f>
        <v>91.25</v>
      </c>
      <c r="L20" s="7">
        <f>L13+L14+L15+L16+L17+L18+L19</f>
        <v>96.25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C18" sqref="C18"/>
    </sheetView>
  </sheetViews>
  <sheetFormatPr defaultRowHeight="14.5" x14ac:dyDescent="0.35"/>
  <cols>
    <col min="2" max="2" width="11.7265625" customWidth="1"/>
  </cols>
  <sheetData>
    <row r="2" spans="1:16" x14ac:dyDescent="0.35">
      <c r="A2" t="s">
        <v>114</v>
      </c>
      <c r="B2" s="13" t="s">
        <v>134</v>
      </c>
      <c r="C2" s="13">
        <v>4</v>
      </c>
    </row>
    <row r="3" spans="1:16" x14ac:dyDescent="0.35">
      <c r="B3" t="s">
        <v>115</v>
      </c>
      <c r="C3" t="s">
        <v>116</v>
      </c>
    </row>
    <row r="4" spans="1:16" x14ac:dyDescent="0.35">
      <c r="A4" t="s">
        <v>117</v>
      </c>
      <c r="B4" s="7">
        <v>10</v>
      </c>
      <c r="C4" s="19">
        <v>10</v>
      </c>
      <c r="E4">
        <f>C4*10</f>
        <v>100</v>
      </c>
    </row>
    <row r="5" spans="1:16" x14ac:dyDescent="0.35">
      <c r="A5" t="s">
        <v>118</v>
      </c>
      <c r="B5" t="s">
        <v>119</v>
      </c>
      <c r="C5" t="s">
        <v>120</v>
      </c>
      <c r="J5" s="7" t="s">
        <v>121</v>
      </c>
      <c r="K5" s="7" t="s">
        <v>122</v>
      </c>
      <c r="L5" s="7" t="s">
        <v>123</v>
      </c>
      <c r="M5" s="7" t="s">
        <v>40</v>
      </c>
      <c r="N5" s="7" t="s">
        <v>48</v>
      </c>
      <c r="O5" s="7" t="s">
        <v>124</v>
      </c>
      <c r="P5" s="7" t="s">
        <v>50</v>
      </c>
    </row>
    <row r="6" spans="1:16" x14ac:dyDescent="0.35">
      <c r="B6" s="7">
        <f>C2+1</f>
        <v>5</v>
      </c>
      <c r="C6" s="19">
        <v>5</v>
      </c>
      <c r="E6">
        <f>(100/B6)*C6</f>
        <v>100</v>
      </c>
      <c r="G6" s="14" t="s">
        <v>125</v>
      </c>
      <c r="J6" s="14">
        <f>C4</f>
        <v>10</v>
      </c>
      <c r="K6" s="14">
        <f>40/B6*C6</f>
        <v>40</v>
      </c>
      <c r="L6" s="14">
        <f>15/B8*C8</f>
        <v>15</v>
      </c>
      <c r="M6" s="14">
        <f>10/B10*C10</f>
        <v>10</v>
      </c>
      <c r="N6" s="14">
        <f>10/B12*C12</f>
        <v>10</v>
      </c>
      <c r="O6" s="14">
        <f>5/B14*C14</f>
        <v>5</v>
      </c>
      <c r="P6" s="14">
        <f>5/B16*C16</f>
        <v>0.625</v>
      </c>
    </row>
    <row r="7" spans="1:16" x14ac:dyDescent="0.35">
      <c r="A7" t="s">
        <v>126</v>
      </c>
      <c r="B7" t="s">
        <v>127</v>
      </c>
      <c r="C7" t="s">
        <v>128</v>
      </c>
      <c r="G7" s="7" t="s">
        <v>129</v>
      </c>
      <c r="H7" s="7"/>
      <c r="I7" s="7"/>
      <c r="J7" s="7">
        <f>J6+20</f>
        <v>30</v>
      </c>
      <c r="K7" s="7">
        <f>30/B6*C6</f>
        <v>30</v>
      </c>
      <c r="L7" s="7">
        <f>15/B8*C8</f>
        <v>15</v>
      </c>
      <c r="M7" s="7">
        <f>10/B10*C10</f>
        <v>10</v>
      </c>
      <c r="N7" s="7">
        <f>5/B12*C12</f>
        <v>5</v>
      </c>
      <c r="O7" s="7">
        <f>5/B14*C14</f>
        <v>5</v>
      </c>
      <c r="P7" s="7">
        <f>5/B16*C16</f>
        <v>0.625</v>
      </c>
    </row>
    <row r="8" spans="1:16" x14ac:dyDescent="0.35">
      <c r="B8" s="7">
        <f>C2</f>
        <v>4</v>
      </c>
      <c r="C8" s="19">
        <v>4</v>
      </c>
      <c r="E8">
        <f>(100/B8)*C8</f>
        <v>100</v>
      </c>
    </row>
    <row r="9" spans="1:16" x14ac:dyDescent="0.35">
      <c r="A9" t="s">
        <v>130</v>
      </c>
      <c r="B9" t="s">
        <v>127</v>
      </c>
      <c r="C9" t="s">
        <v>128</v>
      </c>
    </row>
    <row r="10" spans="1:16" x14ac:dyDescent="0.35">
      <c r="B10" s="7">
        <f>C2</f>
        <v>4</v>
      </c>
      <c r="C10" s="19">
        <v>4</v>
      </c>
      <c r="E10">
        <f>(100/B10)*C10</f>
        <v>100</v>
      </c>
    </row>
    <row r="11" spans="1:16" x14ac:dyDescent="0.35">
      <c r="A11" t="s">
        <v>48</v>
      </c>
      <c r="B11" t="s">
        <v>127</v>
      </c>
      <c r="C11" t="s">
        <v>128</v>
      </c>
    </row>
    <row r="12" spans="1:16" x14ac:dyDescent="0.35">
      <c r="B12" s="7">
        <f>C2</f>
        <v>4</v>
      </c>
      <c r="C12" s="19">
        <v>4</v>
      </c>
      <c r="E12">
        <f>(100/B12)*C12</f>
        <v>100</v>
      </c>
      <c r="J12" s="7"/>
      <c r="K12" s="7" t="s">
        <v>125</v>
      </c>
      <c r="L12" s="7" t="s">
        <v>131</v>
      </c>
      <c r="M12" t="s">
        <v>132</v>
      </c>
    </row>
    <row r="13" spans="1:16" ht="29" x14ac:dyDescent="0.35">
      <c r="A13" s="15" t="s">
        <v>124</v>
      </c>
      <c r="B13" t="s">
        <v>127</v>
      </c>
      <c r="C13" t="s">
        <v>128</v>
      </c>
      <c r="J13" s="7" t="s">
        <v>37</v>
      </c>
      <c r="K13" s="7">
        <f>J6</f>
        <v>10</v>
      </c>
      <c r="L13" s="7">
        <f>J7</f>
        <v>30</v>
      </c>
      <c r="M13" t="s">
        <v>132</v>
      </c>
    </row>
    <row r="14" spans="1:16" x14ac:dyDescent="0.35">
      <c r="B14" s="7">
        <f>C2</f>
        <v>4</v>
      </c>
      <c r="C14" s="19">
        <v>4</v>
      </c>
      <c r="E14">
        <f>(100/B14)*C14</f>
        <v>100</v>
      </c>
      <c r="J14" s="7" t="s">
        <v>38</v>
      </c>
      <c r="K14" s="7">
        <f>K6</f>
        <v>40</v>
      </c>
      <c r="L14" s="7">
        <f>K7</f>
        <v>30</v>
      </c>
    </row>
    <row r="15" spans="1:16" x14ac:dyDescent="0.35">
      <c r="A15" t="s">
        <v>50</v>
      </c>
      <c r="B15" t="s">
        <v>127</v>
      </c>
      <c r="C15" t="s">
        <v>128</v>
      </c>
      <c r="J15" s="7" t="s">
        <v>123</v>
      </c>
      <c r="K15" s="7">
        <f>L6</f>
        <v>15</v>
      </c>
      <c r="L15" s="7">
        <f>L7</f>
        <v>15</v>
      </c>
    </row>
    <row r="16" spans="1:16" x14ac:dyDescent="0.35">
      <c r="B16" s="7">
        <f>C2</f>
        <v>4</v>
      </c>
      <c r="C16" s="19">
        <v>0.5</v>
      </c>
      <c r="E16">
        <f>(100/B16)*C16</f>
        <v>12.5</v>
      </c>
      <c r="J16" s="7" t="s">
        <v>40</v>
      </c>
      <c r="K16" s="7">
        <f>M6</f>
        <v>10</v>
      </c>
      <c r="L16" s="7">
        <f>M7</f>
        <v>10</v>
      </c>
    </row>
    <row r="17" spans="10:12" x14ac:dyDescent="0.35">
      <c r="J17" s="7" t="s">
        <v>48</v>
      </c>
      <c r="K17" s="7">
        <f>N6</f>
        <v>10</v>
      </c>
      <c r="L17" s="7">
        <f>N7</f>
        <v>5</v>
      </c>
    </row>
    <row r="18" spans="10:12" ht="29" x14ac:dyDescent="0.35">
      <c r="J18" s="16" t="s">
        <v>124</v>
      </c>
      <c r="K18" s="7">
        <f>O6</f>
        <v>5</v>
      </c>
      <c r="L18" s="7">
        <f>O7</f>
        <v>5</v>
      </c>
    </row>
    <row r="19" spans="10:12" x14ac:dyDescent="0.35">
      <c r="J19" s="7" t="s">
        <v>50</v>
      </c>
      <c r="K19" s="7">
        <f>P6</f>
        <v>0.625</v>
      </c>
      <c r="L19" s="7">
        <f>P7</f>
        <v>0.625</v>
      </c>
    </row>
    <row r="20" spans="10:12" x14ac:dyDescent="0.35">
      <c r="J20" s="7" t="s">
        <v>133</v>
      </c>
      <c r="K20" s="7">
        <f>K13+K14+K15+K16+K17+K18+K19</f>
        <v>90.625</v>
      </c>
      <c r="L20" s="7">
        <f>L13+L14+L15+L16+L17+L18+L19</f>
        <v>95.625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6"/>
  <sheetViews>
    <sheetView topLeftCell="A7" workbookViewId="0">
      <selection activeCell="I17" sqref="I17"/>
    </sheetView>
  </sheetViews>
  <sheetFormatPr defaultRowHeight="14.5" x14ac:dyDescent="0.35"/>
  <sheetData>
    <row r="2" spans="2:13" x14ac:dyDescent="0.35">
      <c r="C2" s="10" t="s">
        <v>100</v>
      </c>
      <c r="D2" s="218"/>
      <c r="E2" s="218"/>
    </row>
    <row r="3" spans="2:13" x14ac:dyDescent="0.35">
      <c r="E3" s="9"/>
      <c r="F3" s="9"/>
      <c r="G3" s="9"/>
      <c r="H3" s="9"/>
      <c r="I3" s="9"/>
      <c r="J3" s="9"/>
    </row>
    <row r="4" spans="2:13" x14ac:dyDescent="0.35">
      <c r="B4" s="10" t="s">
        <v>101</v>
      </c>
      <c r="C4" s="8" t="s">
        <v>81</v>
      </c>
      <c r="D4" s="219" t="s">
        <v>82</v>
      </c>
      <c r="E4" s="219"/>
      <c r="F4" s="219"/>
      <c r="G4" s="11"/>
      <c r="H4" s="219" t="s">
        <v>83</v>
      </c>
      <c r="I4" s="219"/>
      <c r="J4" s="219"/>
      <c r="K4" s="219" t="s">
        <v>84</v>
      </c>
      <c r="L4" s="219"/>
      <c r="M4" s="219"/>
    </row>
    <row r="5" spans="2:13" x14ac:dyDescent="0.35">
      <c r="B5" s="10">
        <v>103</v>
      </c>
      <c r="C5" s="8"/>
      <c r="D5" s="8" t="s">
        <v>85</v>
      </c>
      <c r="E5" s="8" t="s">
        <v>86</v>
      </c>
      <c r="F5" s="8" t="s">
        <v>87</v>
      </c>
      <c r="G5" s="8"/>
      <c r="H5" s="8" t="s">
        <v>85</v>
      </c>
      <c r="I5" s="8" t="s">
        <v>86</v>
      </c>
      <c r="J5" s="8" t="s">
        <v>87</v>
      </c>
      <c r="K5" s="8" t="s">
        <v>85</v>
      </c>
      <c r="L5" s="8" t="s">
        <v>86</v>
      </c>
      <c r="M5" s="8" t="s">
        <v>87</v>
      </c>
    </row>
    <row r="6" spans="2:13" x14ac:dyDescent="0.35">
      <c r="C6" s="7" t="s">
        <v>88</v>
      </c>
      <c r="D6" s="7">
        <v>2.4</v>
      </c>
      <c r="E6" s="7">
        <v>4</v>
      </c>
      <c r="F6" s="7">
        <f>D6*E6</f>
        <v>9.6</v>
      </c>
      <c r="G6" s="7" t="s">
        <v>102</v>
      </c>
      <c r="H6" s="7"/>
      <c r="I6" s="7"/>
      <c r="J6" s="7">
        <f>H6*I6</f>
        <v>0</v>
      </c>
      <c r="K6" s="7"/>
      <c r="L6" s="7"/>
      <c r="M6" s="7">
        <f>K6*L6</f>
        <v>0</v>
      </c>
    </row>
    <row r="7" spans="2:13" x14ac:dyDescent="0.35">
      <c r="C7" s="7"/>
      <c r="D7" s="7">
        <v>0.5</v>
      </c>
      <c r="E7" s="7">
        <v>1.65</v>
      </c>
      <c r="F7" s="7">
        <f>D7*E7</f>
        <v>0.82499999999999996</v>
      </c>
      <c r="G7" s="7" t="s">
        <v>103</v>
      </c>
      <c r="H7" s="7"/>
      <c r="I7" s="7"/>
      <c r="J7" s="7">
        <f t="shared" ref="J7:J29" si="0">H7*I7</f>
        <v>0</v>
      </c>
      <c r="K7" s="7"/>
      <c r="L7" s="7"/>
      <c r="M7" s="7">
        <f t="shared" ref="M7:M29" si="1">K7*L7</f>
        <v>0</v>
      </c>
    </row>
    <row r="8" spans="2:13" x14ac:dyDescent="0.35">
      <c r="C8" s="7"/>
      <c r="D8" s="7"/>
      <c r="E8" s="7"/>
      <c r="F8" s="7">
        <f t="shared" ref="F8:F33" si="2">D8*E8</f>
        <v>0</v>
      </c>
      <c r="G8" s="7"/>
      <c r="H8" s="7"/>
      <c r="I8" s="7"/>
      <c r="J8" s="7">
        <f t="shared" si="0"/>
        <v>0</v>
      </c>
      <c r="K8" s="7"/>
      <c r="L8" s="7"/>
      <c r="M8" s="7">
        <f t="shared" si="1"/>
        <v>0</v>
      </c>
    </row>
    <row r="9" spans="2:13" x14ac:dyDescent="0.35">
      <c r="C9" s="7" t="s">
        <v>91</v>
      </c>
      <c r="D9" s="7">
        <v>1.65</v>
      </c>
      <c r="E9" s="7">
        <v>1.9</v>
      </c>
      <c r="F9" s="7">
        <f t="shared" si="2"/>
        <v>3.1349999999999998</v>
      </c>
      <c r="G9" s="7" t="s">
        <v>102</v>
      </c>
      <c r="H9" s="7"/>
      <c r="I9" s="7"/>
      <c r="J9" s="7">
        <f t="shared" si="0"/>
        <v>0</v>
      </c>
      <c r="K9" s="7"/>
      <c r="L9" s="7"/>
      <c r="M9" s="7">
        <f t="shared" si="1"/>
        <v>0</v>
      </c>
    </row>
    <row r="10" spans="2:13" x14ac:dyDescent="0.35">
      <c r="C10" s="7"/>
      <c r="D10" s="7">
        <v>0.55000000000000004</v>
      </c>
      <c r="E10" s="7">
        <v>0.3</v>
      </c>
      <c r="F10" s="7">
        <f t="shared" si="2"/>
        <v>0.16500000000000001</v>
      </c>
      <c r="G10" s="7" t="s">
        <v>103</v>
      </c>
      <c r="H10" s="7"/>
      <c r="I10" s="7"/>
      <c r="J10" s="7">
        <f t="shared" si="0"/>
        <v>0</v>
      </c>
      <c r="K10" s="7"/>
      <c r="L10" s="7"/>
      <c r="M10" s="7">
        <f t="shared" si="1"/>
        <v>0</v>
      </c>
    </row>
    <row r="11" spans="2:13" x14ac:dyDescent="0.35">
      <c r="C11" s="7"/>
      <c r="D11" s="7">
        <v>2.2000000000000002</v>
      </c>
      <c r="E11" s="7">
        <v>0.4</v>
      </c>
      <c r="F11" s="7">
        <f t="shared" si="2"/>
        <v>0.88000000000000012</v>
      </c>
      <c r="G11" s="7"/>
      <c r="H11" s="7"/>
      <c r="I11" s="7"/>
      <c r="J11" s="7">
        <f t="shared" si="0"/>
        <v>0</v>
      </c>
      <c r="K11" s="7"/>
      <c r="L11" s="7"/>
      <c r="M11" s="7">
        <f t="shared" si="1"/>
        <v>0</v>
      </c>
    </row>
    <row r="12" spans="2:13" x14ac:dyDescent="0.35">
      <c r="C12" s="7"/>
      <c r="D12" s="7">
        <v>2.0499999999999998</v>
      </c>
      <c r="E12" s="7">
        <v>1.1000000000000001</v>
      </c>
      <c r="F12" s="7">
        <f t="shared" si="2"/>
        <v>2.2549999999999999</v>
      </c>
      <c r="G12" s="7"/>
      <c r="H12" s="7"/>
      <c r="I12" s="7"/>
      <c r="J12" s="7">
        <f t="shared" si="0"/>
        <v>0</v>
      </c>
      <c r="K12" s="7"/>
      <c r="L12" s="7"/>
      <c r="M12" s="7">
        <f t="shared" si="1"/>
        <v>0</v>
      </c>
    </row>
    <row r="13" spans="2:13" x14ac:dyDescent="0.35">
      <c r="C13" s="7" t="s">
        <v>89</v>
      </c>
      <c r="D13" s="7"/>
      <c r="E13" s="7"/>
      <c r="F13" s="7">
        <f t="shared" si="2"/>
        <v>0</v>
      </c>
      <c r="G13" s="7" t="s">
        <v>102</v>
      </c>
      <c r="H13" s="7"/>
      <c r="I13" s="7"/>
      <c r="J13" s="7">
        <f t="shared" si="0"/>
        <v>0</v>
      </c>
      <c r="K13" s="7"/>
      <c r="L13" s="7"/>
      <c r="M13" s="7">
        <f t="shared" si="1"/>
        <v>0</v>
      </c>
    </row>
    <row r="14" spans="2:13" x14ac:dyDescent="0.35">
      <c r="C14" s="7"/>
      <c r="D14" s="7"/>
      <c r="E14" s="7"/>
      <c r="F14" s="7">
        <f t="shared" si="2"/>
        <v>0</v>
      </c>
      <c r="G14" s="7" t="s">
        <v>103</v>
      </c>
      <c r="H14" s="7"/>
      <c r="I14" s="7"/>
      <c r="J14" s="7">
        <f t="shared" si="0"/>
        <v>0</v>
      </c>
      <c r="K14" s="7"/>
      <c r="L14" s="7"/>
      <c r="M14" s="7">
        <f t="shared" si="1"/>
        <v>0</v>
      </c>
    </row>
    <row r="15" spans="2:13" x14ac:dyDescent="0.35">
      <c r="C15" s="7"/>
      <c r="D15" s="7"/>
      <c r="E15" s="7"/>
      <c r="F15" s="7">
        <f t="shared" si="2"/>
        <v>0</v>
      </c>
      <c r="G15" s="7"/>
      <c r="H15" s="7"/>
      <c r="I15" s="7"/>
      <c r="J15" s="7">
        <f t="shared" si="0"/>
        <v>0</v>
      </c>
      <c r="K15" s="7"/>
      <c r="L15" s="7"/>
      <c r="M15" s="7">
        <f t="shared" si="1"/>
        <v>0</v>
      </c>
    </row>
    <row r="16" spans="2:13" x14ac:dyDescent="0.35">
      <c r="C16" s="7"/>
      <c r="D16" s="7"/>
      <c r="E16" s="7"/>
      <c r="F16" s="7">
        <f t="shared" si="2"/>
        <v>0</v>
      </c>
      <c r="G16" s="7"/>
      <c r="H16" s="7"/>
      <c r="I16" s="7"/>
      <c r="J16" s="7">
        <f t="shared" si="0"/>
        <v>0</v>
      </c>
      <c r="K16" s="7"/>
      <c r="L16" s="7"/>
      <c r="M16" s="7">
        <f t="shared" si="1"/>
        <v>0</v>
      </c>
    </row>
    <row r="17" spans="3:13" x14ac:dyDescent="0.35">
      <c r="C17" s="7" t="s">
        <v>90</v>
      </c>
      <c r="D17" s="7"/>
      <c r="E17" s="7"/>
      <c r="F17" s="7">
        <f t="shared" si="2"/>
        <v>0</v>
      </c>
      <c r="G17" s="7" t="s">
        <v>102</v>
      </c>
      <c r="H17" s="7"/>
      <c r="I17" s="7"/>
      <c r="J17" s="7">
        <f t="shared" si="0"/>
        <v>0</v>
      </c>
      <c r="K17" s="7"/>
      <c r="L17" s="7"/>
      <c r="M17" s="7">
        <f t="shared" si="1"/>
        <v>0</v>
      </c>
    </row>
    <row r="18" spans="3:13" x14ac:dyDescent="0.35">
      <c r="C18" s="7"/>
      <c r="D18" s="7"/>
      <c r="E18" s="7"/>
      <c r="F18" s="7">
        <f t="shared" si="2"/>
        <v>0</v>
      </c>
      <c r="G18" s="7" t="s">
        <v>103</v>
      </c>
      <c r="H18" s="7"/>
      <c r="I18" s="7"/>
      <c r="J18" s="7">
        <f t="shared" si="0"/>
        <v>0</v>
      </c>
      <c r="K18" s="7"/>
      <c r="L18" s="7"/>
      <c r="M18" s="7">
        <f t="shared" si="1"/>
        <v>0</v>
      </c>
    </row>
    <row r="19" spans="3:13" x14ac:dyDescent="0.35">
      <c r="C19" s="7"/>
      <c r="D19" s="7"/>
      <c r="E19" s="7"/>
      <c r="F19" s="7">
        <f t="shared" si="2"/>
        <v>0</v>
      </c>
      <c r="G19" s="7"/>
      <c r="H19" s="7"/>
      <c r="I19" s="7"/>
      <c r="J19" s="7">
        <f t="shared" si="0"/>
        <v>0</v>
      </c>
      <c r="K19" s="7"/>
      <c r="L19" s="7"/>
      <c r="M19" s="7">
        <f t="shared" si="1"/>
        <v>0</v>
      </c>
    </row>
    <row r="20" spans="3:13" x14ac:dyDescent="0.35">
      <c r="C20" s="7" t="s">
        <v>90</v>
      </c>
      <c r="D20" s="7"/>
      <c r="E20" s="7"/>
      <c r="F20" s="7">
        <f t="shared" si="2"/>
        <v>0</v>
      </c>
      <c r="G20" s="7" t="s">
        <v>102</v>
      </c>
      <c r="H20" s="7"/>
      <c r="I20" s="7"/>
      <c r="J20" s="7">
        <f t="shared" si="0"/>
        <v>0</v>
      </c>
      <c r="K20" s="7"/>
      <c r="L20" s="7"/>
      <c r="M20" s="7">
        <f t="shared" si="1"/>
        <v>0</v>
      </c>
    </row>
    <row r="21" spans="3:13" x14ac:dyDescent="0.35">
      <c r="C21" s="7"/>
      <c r="D21" s="7"/>
      <c r="E21" s="7"/>
      <c r="F21" s="7">
        <f t="shared" si="2"/>
        <v>0</v>
      </c>
      <c r="G21" s="7" t="s">
        <v>103</v>
      </c>
      <c r="H21" s="7"/>
      <c r="I21" s="7"/>
      <c r="J21" s="7">
        <f t="shared" si="0"/>
        <v>0</v>
      </c>
      <c r="K21" s="7"/>
      <c r="L21" s="7"/>
      <c r="M21" s="7">
        <f t="shared" si="1"/>
        <v>0</v>
      </c>
    </row>
    <row r="22" spans="3:13" x14ac:dyDescent="0.35">
      <c r="C22" s="7"/>
      <c r="D22" s="7"/>
      <c r="E22" s="7"/>
      <c r="F22" s="7">
        <f t="shared" si="2"/>
        <v>0</v>
      </c>
      <c r="G22" s="7"/>
      <c r="H22" s="7"/>
      <c r="I22" s="7"/>
      <c r="J22" s="7">
        <f t="shared" si="0"/>
        <v>0</v>
      </c>
      <c r="K22" s="7"/>
      <c r="L22" s="7"/>
      <c r="M22" s="7">
        <f t="shared" si="1"/>
        <v>0</v>
      </c>
    </row>
    <row r="23" spans="3:13" x14ac:dyDescent="0.35">
      <c r="C23" s="7" t="s">
        <v>96</v>
      </c>
      <c r="D23" s="7">
        <v>2.1</v>
      </c>
      <c r="E23" s="7">
        <v>1.2</v>
      </c>
      <c r="F23" s="7">
        <f t="shared" si="2"/>
        <v>2.52</v>
      </c>
      <c r="G23" s="7" t="s">
        <v>104</v>
      </c>
      <c r="H23" s="7"/>
      <c r="I23" s="7"/>
      <c r="J23" s="7">
        <f t="shared" si="0"/>
        <v>0</v>
      </c>
      <c r="K23" s="7"/>
      <c r="L23" s="7"/>
      <c r="M23" s="7">
        <f t="shared" si="1"/>
        <v>0</v>
      </c>
    </row>
    <row r="24" spans="3:13" x14ac:dyDescent="0.35">
      <c r="C24" s="7" t="s">
        <v>97</v>
      </c>
      <c r="D24" s="7"/>
      <c r="E24" s="7"/>
      <c r="F24" s="7">
        <f t="shared" si="2"/>
        <v>0</v>
      </c>
      <c r="G24" s="7" t="s">
        <v>104</v>
      </c>
      <c r="H24" s="7"/>
      <c r="I24" s="7"/>
      <c r="J24" s="7">
        <f t="shared" si="0"/>
        <v>0</v>
      </c>
      <c r="K24" s="7"/>
      <c r="L24" s="7"/>
      <c r="M24" s="7">
        <f t="shared" si="1"/>
        <v>0</v>
      </c>
    </row>
    <row r="25" spans="3:13" x14ac:dyDescent="0.35">
      <c r="C25" s="7" t="s">
        <v>98</v>
      </c>
      <c r="D25" s="7"/>
      <c r="E25" s="7"/>
      <c r="F25" s="7">
        <f t="shared" si="2"/>
        <v>0</v>
      </c>
      <c r="G25" s="7" t="s">
        <v>104</v>
      </c>
      <c r="H25" s="7"/>
      <c r="I25" s="7"/>
      <c r="J25" s="7">
        <f t="shared" si="0"/>
        <v>0</v>
      </c>
      <c r="K25" s="7"/>
      <c r="L25" s="7"/>
      <c r="M25" s="7">
        <f t="shared" si="1"/>
        <v>0</v>
      </c>
    </row>
    <row r="26" spans="3:13" x14ac:dyDescent="0.35">
      <c r="C26" s="7"/>
      <c r="D26" s="7"/>
      <c r="E26" s="7"/>
      <c r="F26" s="7">
        <f t="shared" si="2"/>
        <v>0</v>
      </c>
      <c r="G26" s="7"/>
      <c r="H26" s="7"/>
      <c r="I26" s="7"/>
      <c r="J26" s="7">
        <f t="shared" si="0"/>
        <v>0</v>
      </c>
      <c r="K26" s="7"/>
      <c r="L26" s="7"/>
      <c r="M26" s="7">
        <f t="shared" si="1"/>
        <v>0</v>
      </c>
    </row>
    <row r="27" spans="3:13" x14ac:dyDescent="0.35">
      <c r="C27" s="7" t="s">
        <v>92</v>
      </c>
      <c r="D27" s="7">
        <v>1.2</v>
      </c>
      <c r="E27" s="7">
        <v>0.8</v>
      </c>
      <c r="F27" s="7">
        <f t="shared" si="2"/>
        <v>0.96</v>
      </c>
      <c r="G27" s="7"/>
      <c r="H27" s="7"/>
      <c r="I27" s="7"/>
      <c r="J27" s="7">
        <f t="shared" si="0"/>
        <v>0</v>
      </c>
      <c r="K27" s="7"/>
      <c r="L27" s="7"/>
      <c r="M27" s="7">
        <f t="shared" si="1"/>
        <v>0</v>
      </c>
    </row>
    <row r="28" spans="3:13" x14ac:dyDescent="0.35">
      <c r="C28" s="7" t="s">
        <v>93</v>
      </c>
      <c r="D28" s="7"/>
      <c r="E28" s="7"/>
      <c r="F28" s="7">
        <f t="shared" si="2"/>
        <v>0</v>
      </c>
      <c r="G28" s="7"/>
      <c r="H28" s="7"/>
      <c r="I28" s="7"/>
      <c r="J28" s="7">
        <f t="shared" si="0"/>
        <v>0</v>
      </c>
      <c r="K28" s="7"/>
      <c r="L28" s="7"/>
      <c r="M28" s="7">
        <f t="shared" si="1"/>
        <v>0</v>
      </c>
    </row>
    <row r="29" spans="3:13" x14ac:dyDescent="0.35">
      <c r="C29" s="7" t="s">
        <v>94</v>
      </c>
      <c r="D29" s="7"/>
      <c r="E29" s="7"/>
      <c r="F29" s="7">
        <f t="shared" si="2"/>
        <v>0</v>
      </c>
      <c r="G29" s="7"/>
      <c r="H29" s="7"/>
      <c r="I29" s="7"/>
      <c r="J29" s="7">
        <f t="shared" si="0"/>
        <v>0</v>
      </c>
      <c r="K29" s="7"/>
      <c r="L29" s="7"/>
      <c r="M29" s="7">
        <f t="shared" si="1"/>
        <v>0</v>
      </c>
    </row>
    <row r="30" spans="3:13" x14ac:dyDescent="0.35">
      <c r="C30" s="7" t="s">
        <v>95</v>
      </c>
      <c r="D30" s="7"/>
      <c r="E30" s="7"/>
      <c r="F30" s="7">
        <f t="shared" si="2"/>
        <v>0</v>
      </c>
      <c r="G30" s="7"/>
      <c r="H30" s="7"/>
      <c r="I30" s="7"/>
      <c r="J30" s="7">
        <f>H30*I30</f>
        <v>0</v>
      </c>
      <c r="K30" s="7"/>
      <c r="L30" s="7"/>
      <c r="M30" s="7">
        <f>K30*L30</f>
        <v>0</v>
      </c>
    </row>
    <row r="31" spans="3:13" x14ac:dyDescent="0.35">
      <c r="C31" s="7"/>
      <c r="D31" s="7"/>
      <c r="E31" s="7"/>
      <c r="F31" s="7">
        <f t="shared" si="2"/>
        <v>0</v>
      </c>
      <c r="G31" s="7"/>
      <c r="H31" s="7"/>
      <c r="I31" s="7"/>
      <c r="J31" s="7">
        <f>H31*I31</f>
        <v>0</v>
      </c>
      <c r="K31" s="7"/>
      <c r="L31" s="7"/>
      <c r="M31" s="7">
        <f>K31*L31</f>
        <v>0</v>
      </c>
    </row>
    <row r="32" spans="3:13" x14ac:dyDescent="0.35">
      <c r="C32" s="7"/>
      <c r="D32" s="7"/>
      <c r="E32" s="7"/>
      <c r="F32" s="7">
        <f t="shared" si="2"/>
        <v>0</v>
      </c>
      <c r="G32" s="7"/>
      <c r="H32" s="7"/>
      <c r="I32" s="7"/>
      <c r="J32" s="7">
        <f>H32*I32</f>
        <v>0</v>
      </c>
      <c r="K32" s="7"/>
      <c r="L32" s="7"/>
      <c r="M32" s="7">
        <f>K32*L32</f>
        <v>0</v>
      </c>
    </row>
    <row r="33" spans="3:13" x14ac:dyDescent="0.35">
      <c r="C33" s="7"/>
      <c r="D33" s="7"/>
      <c r="E33" s="7"/>
      <c r="F33" s="7">
        <f t="shared" si="2"/>
        <v>0</v>
      </c>
      <c r="G33" s="7"/>
      <c r="H33" s="7"/>
      <c r="I33" s="7"/>
      <c r="J33" s="7">
        <f>H33*I33</f>
        <v>0</v>
      </c>
      <c r="K33" s="7"/>
      <c r="L33" s="7"/>
      <c r="M33" s="7">
        <f>K33*L33</f>
        <v>0</v>
      </c>
    </row>
    <row r="34" spans="3:13" x14ac:dyDescent="0.35">
      <c r="C34" s="7" t="s">
        <v>99</v>
      </c>
      <c r="D34" s="7"/>
      <c r="E34" s="7">
        <f>F34*10.764</f>
        <v>218.93975999999998</v>
      </c>
      <c r="F34" s="7">
        <f>SUM(F6:F33)</f>
        <v>20.34</v>
      </c>
      <c r="G34" s="7"/>
      <c r="H34" s="7"/>
      <c r="I34" s="7">
        <f>J34*10.764</f>
        <v>0</v>
      </c>
      <c r="J34" s="7">
        <f>SUM(J6:J33)</f>
        <v>0</v>
      </c>
      <c r="K34" s="7"/>
      <c r="L34" s="7">
        <f>M34*10.764</f>
        <v>0</v>
      </c>
      <c r="M34" s="7">
        <f>SUM(M6:M33)</f>
        <v>0</v>
      </c>
    </row>
    <row r="36" spans="3:13" x14ac:dyDescent="0.35">
      <c r="F36" s="28">
        <f>F34+J34</f>
        <v>20.34</v>
      </c>
    </row>
  </sheetData>
  <mergeCells count="4">
    <mergeCell ref="D2:E2"/>
    <mergeCell ref="D4:F4"/>
    <mergeCell ref="H4:J4"/>
    <mergeCell ref="K4:M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12" sqref="D12"/>
    </sheetView>
  </sheetViews>
  <sheetFormatPr defaultRowHeight="14.5" x14ac:dyDescent="0.35"/>
  <cols>
    <col min="2" max="2" width="22.1796875" customWidth="1"/>
    <col min="3" max="3" width="41.81640625" customWidth="1"/>
    <col min="8" max="8" width="24.1796875" customWidth="1"/>
  </cols>
  <sheetData>
    <row r="1" spans="1:9" x14ac:dyDescent="0.35">
      <c r="A1" s="35"/>
      <c r="B1" s="35"/>
      <c r="C1" s="35"/>
      <c r="D1" s="35"/>
      <c r="E1" s="35"/>
      <c r="F1" s="35"/>
      <c r="G1" s="35"/>
      <c r="H1" s="35"/>
      <c r="I1" s="34"/>
    </row>
    <row r="2" spans="1:9" x14ac:dyDescent="0.35">
      <c r="A2" s="36"/>
      <c r="B2" s="36"/>
      <c r="C2" s="36"/>
      <c r="D2" s="36"/>
      <c r="E2" s="36"/>
      <c r="F2" s="36"/>
      <c r="G2" s="36"/>
      <c r="H2" s="36"/>
      <c r="I2" s="34"/>
    </row>
    <row r="3" spans="1:9" x14ac:dyDescent="0.35">
      <c r="A3" s="36"/>
      <c r="B3" s="220" t="s">
        <v>224</v>
      </c>
      <c r="C3" s="220"/>
      <c r="D3" s="220"/>
      <c r="E3" s="220"/>
      <c r="F3" s="220"/>
      <c r="G3" s="220"/>
      <c r="H3" s="220"/>
      <c r="I3" s="34"/>
    </row>
    <row r="4" spans="1:9" ht="29" x14ac:dyDescent="0.35">
      <c r="A4" s="36"/>
      <c r="B4" s="37" t="s">
        <v>225</v>
      </c>
      <c r="C4" s="37" t="s">
        <v>226</v>
      </c>
      <c r="D4" s="37" t="s">
        <v>101</v>
      </c>
      <c r="E4" s="37" t="s">
        <v>227</v>
      </c>
      <c r="F4" s="37" t="s">
        <v>228</v>
      </c>
      <c r="G4" s="37" t="s">
        <v>229</v>
      </c>
      <c r="H4" s="37" t="s">
        <v>230</v>
      </c>
      <c r="I4" s="34"/>
    </row>
    <row r="5" spans="1:9" x14ac:dyDescent="0.35">
      <c r="A5" s="36"/>
      <c r="B5" s="39" t="s">
        <v>233</v>
      </c>
      <c r="C5" s="45" t="s">
        <v>160</v>
      </c>
      <c r="D5" s="39" t="s">
        <v>234</v>
      </c>
      <c r="E5" s="39">
        <v>224</v>
      </c>
      <c r="F5" s="40">
        <f>E5*1.45</f>
        <v>324.8</v>
      </c>
      <c r="G5" s="40">
        <f>H5/F5</f>
        <v>2931.0344827586205</v>
      </c>
      <c r="H5" s="41">
        <v>952000</v>
      </c>
      <c r="I5" s="34"/>
    </row>
    <row r="6" spans="1:9" x14ac:dyDescent="0.35">
      <c r="A6" s="36"/>
      <c r="B6" s="39" t="s">
        <v>233</v>
      </c>
      <c r="C6" s="45" t="s">
        <v>160</v>
      </c>
      <c r="D6" s="39" t="s">
        <v>234</v>
      </c>
      <c r="E6" s="39">
        <v>302</v>
      </c>
      <c r="F6" s="40">
        <f>E6*1.45</f>
        <v>437.9</v>
      </c>
      <c r="G6" s="40">
        <f t="shared" ref="G6:G13" si="0">H6/F6</f>
        <v>2932.1762959579814</v>
      </c>
      <c r="H6" s="41">
        <v>1284000</v>
      </c>
      <c r="I6" s="34"/>
    </row>
    <row r="7" spans="1:9" x14ac:dyDescent="0.35">
      <c r="A7" s="36"/>
      <c r="B7" s="39" t="s">
        <v>233</v>
      </c>
      <c r="C7" s="45" t="s">
        <v>160</v>
      </c>
      <c r="D7" s="39" t="s">
        <v>235</v>
      </c>
      <c r="E7" s="39">
        <v>396</v>
      </c>
      <c r="F7" s="40">
        <f>E7*1.45</f>
        <v>574.19999999999993</v>
      </c>
      <c r="G7" s="40">
        <f t="shared" si="0"/>
        <v>2931.0344827586209</v>
      </c>
      <c r="H7" s="41">
        <v>1683000</v>
      </c>
      <c r="I7" s="34"/>
    </row>
    <row r="8" spans="1:9" x14ac:dyDescent="0.35">
      <c r="A8" s="36"/>
      <c r="B8" s="39" t="s">
        <v>236</v>
      </c>
      <c r="C8" s="45" t="s">
        <v>160</v>
      </c>
      <c r="D8" s="39" t="s">
        <v>234</v>
      </c>
      <c r="E8" s="39">
        <v>0</v>
      </c>
      <c r="F8" s="40">
        <v>500</v>
      </c>
      <c r="G8" s="40">
        <f t="shared" si="0"/>
        <v>2666</v>
      </c>
      <c r="H8" s="41">
        <v>1333000</v>
      </c>
      <c r="I8" s="34"/>
    </row>
    <row r="9" spans="1:9" x14ac:dyDescent="0.35">
      <c r="A9" s="36"/>
      <c r="B9" s="39" t="s">
        <v>236</v>
      </c>
      <c r="C9" s="45" t="s">
        <v>160</v>
      </c>
      <c r="D9" s="39" t="s">
        <v>234</v>
      </c>
      <c r="E9" s="39">
        <v>0</v>
      </c>
      <c r="F9" s="40">
        <v>636</v>
      </c>
      <c r="G9" s="40">
        <f t="shared" si="0"/>
        <v>2666.6666666666665</v>
      </c>
      <c r="H9" s="41">
        <v>1696000</v>
      </c>
      <c r="I9" s="34"/>
    </row>
    <row r="10" spans="1:9" x14ac:dyDescent="0.35">
      <c r="A10" s="36"/>
      <c r="B10" s="39" t="s">
        <v>236</v>
      </c>
      <c r="C10" s="45" t="s">
        <v>160</v>
      </c>
      <c r="D10" s="39" t="s">
        <v>237</v>
      </c>
      <c r="E10" s="39">
        <v>0</v>
      </c>
      <c r="F10" s="40">
        <v>330</v>
      </c>
      <c r="G10" s="40">
        <f t="shared" si="0"/>
        <v>2666.6666666666665</v>
      </c>
      <c r="H10" s="41">
        <v>880000</v>
      </c>
      <c r="I10" s="34"/>
    </row>
    <row r="11" spans="1:9" x14ac:dyDescent="0.35">
      <c r="A11" s="36"/>
      <c r="B11" s="39" t="s">
        <v>236</v>
      </c>
      <c r="C11" s="45" t="s">
        <v>160</v>
      </c>
      <c r="D11" s="39" t="s">
        <v>237</v>
      </c>
      <c r="E11" s="39">
        <v>0</v>
      </c>
      <c r="F11" s="40">
        <v>420</v>
      </c>
      <c r="G11" s="40">
        <f t="shared" si="0"/>
        <v>2666.6666666666665</v>
      </c>
      <c r="H11" s="41">
        <v>1120000</v>
      </c>
      <c r="I11" s="34"/>
    </row>
    <row r="12" spans="1:9" x14ac:dyDescent="0.35">
      <c r="A12" s="36"/>
      <c r="B12" s="39" t="s">
        <v>236</v>
      </c>
      <c r="C12" s="45" t="s">
        <v>160</v>
      </c>
      <c r="D12" s="39" t="s">
        <v>235</v>
      </c>
      <c r="E12" s="39">
        <v>0</v>
      </c>
      <c r="F12" s="40">
        <v>765</v>
      </c>
      <c r="G12" s="40">
        <f t="shared" si="0"/>
        <v>2666.6666666666665</v>
      </c>
      <c r="H12" s="41">
        <v>2040000</v>
      </c>
      <c r="I12" s="34"/>
    </row>
    <row r="13" spans="1:9" x14ac:dyDescent="0.35">
      <c r="A13" s="36"/>
      <c r="B13" s="39" t="s">
        <v>236</v>
      </c>
      <c r="C13" s="45" t="s">
        <v>160</v>
      </c>
      <c r="D13" s="39" t="s">
        <v>235</v>
      </c>
      <c r="E13" s="39">
        <v>0</v>
      </c>
      <c r="F13" s="40">
        <v>1170</v>
      </c>
      <c r="G13" s="40">
        <f t="shared" si="0"/>
        <v>2666.6666666666665</v>
      </c>
      <c r="H13" s="41">
        <v>3120000</v>
      </c>
      <c r="I13" s="34"/>
    </row>
    <row r="14" spans="1:9" x14ac:dyDescent="0.35">
      <c r="A14" s="36"/>
      <c r="B14" s="42" t="s">
        <v>231</v>
      </c>
      <c r="C14" s="39"/>
      <c r="D14" s="39"/>
      <c r="E14" s="39"/>
      <c r="F14" s="39"/>
      <c r="G14" s="43">
        <f>AVERAGE(G5:G13)</f>
        <v>2754.84206608984</v>
      </c>
      <c r="H14" s="39"/>
      <c r="I14" s="34"/>
    </row>
    <row r="15" spans="1:9" x14ac:dyDescent="0.35">
      <c r="A15" s="35"/>
      <c r="B15" s="42" t="s">
        <v>232</v>
      </c>
      <c r="C15" s="39"/>
      <c r="D15" s="39"/>
      <c r="E15" s="39"/>
      <c r="F15" s="44"/>
      <c r="G15" s="42">
        <v>2800</v>
      </c>
      <c r="H15" s="42"/>
      <c r="I15" s="38"/>
    </row>
    <row r="16" spans="1:9" x14ac:dyDescent="0.35">
      <c r="A16" s="34"/>
      <c r="B16" s="35"/>
      <c r="C16" s="35"/>
      <c r="D16" s="35"/>
      <c r="E16" s="35"/>
      <c r="F16" s="34"/>
      <c r="G16" s="34"/>
      <c r="H16" s="34"/>
      <c r="I16" s="34"/>
    </row>
    <row r="17" spans="1:9" x14ac:dyDescent="0.35">
      <c r="A17" s="34"/>
      <c r="B17" s="35"/>
      <c r="C17" s="35"/>
      <c r="D17" s="35"/>
      <c r="E17" s="35"/>
      <c r="F17" s="34"/>
      <c r="G17" s="34"/>
      <c r="H17" s="34"/>
      <c r="I17" s="34"/>
    </row>
    <row r="18" spans="1:9" x14ac:dyDescent="0.35">
      <c r="A18" s="34"/>
      <c r="B18" s="35"/>
      <c r="C18" s="35"/>
      <c r="D18" s="35"/>
      <c r="E18" s="35"/>
      <c r="F18" s="34"/>
      <c r="G18" s="34"/>
      <c r="H18" s="34"/>
      <c r="I18" s="34"/>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A</vt:lpstr>
      <vt:lpstr>B</vt:lpstr>
      <vt:lpstr>C</vt:lpstr>
      <vt:lpstr>O</vt:lpstr>
      <vt:lpstr>P</vt:lpstr>
      <vt:lpstr>Q</vt:lpstr>
      <vt:lpstr>Wing A</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2025-03-25T12:24:00Z</cp:lastPrinted>
  <dcterms:created xsi:type="dcterms:W3CDTF">2013-11-23T05:32:33Z</dcterms:created>
  <dcterms:modified xsi:type="dcterms:W3CDTF">2025-09-13T12:05:23Z</dcterms:modified>
</cp:coreProperties>
</file>