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6-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2" i="1" l="1"/>
  <c r="D199" i="1"/>
  <c r="F199" i="1" s="1"/>
  <c r="H199" i="1" s="1"/>
  <c r="D198" i="1"/>
  <c r="F198" i="1" s="1"/>
  <c r="H198" i="1" s="1"/>
  <c r="D196" i="1"/>
  <c r="F196" i="1" s="1"/>
  <c r="H196" i="1" s="1"/>
  <c r="D195" i="1"/>
  <c r="F195" i="1" s="1"/>
  <c r="H195" i="1" s="1"/>
  <c r="D193" i="1"/>
  <c r="F193" i="1" s="1"/>
  <c r="H193" i="1" s="1"/>
  <c r="D192" i="1"/>
  <c r="F192" i="1" s="1"/>
  <c r="H192" i="1" s="1"/>
  <c r="D190" i="1"/>
  <c r="F190" i="1" s="1"/>
  <c r="H190" i="1" s="1"/>
  <c r="D189" i="1"/>
  <c r="C124" i="1" s="1"/>
  <c r="D187" i="1"/>
  <c r="D186" i="1"/>
  <c r="D184" i="1"/>
  <c r="D183" i="1"/>
  <c r="D181" i="1"/>
  <c r="D180" i="1"/>
  <c r="D174" i="1"/>
  <c r="F174" i="1" s="1"/>
  <c r="H174" i="1" s="1"/>
  <c r="D173" i="1"/>
  <c r="F173" i="1" s="1"/>
  <c r="H173" i="1" s="1"/>
  <c r="K118" i="1" s="1"/>
  <c r="D166" i="1"/>
  <c r="F166" i="1" s="1"/>
  <c r="H166" i="1" s="1"/>
  <c r="D165" i="1"/>
  <c r="F165" i="1" s="1"/>
  <c r="H165" i="1" s="1"/>
  <c r="D164" i="1"/>
  <c r="F164" i="1" s="1"/>
  <c r="H164" i="1" s="1"/>
  <c r="D162" i="1"/>
  <c r="F162" i="1" s="1"/>
  <c r="H162" i="1" s="1"/>
  <c r="D161" i="1"/>
  <c r="D160" i="1"/>
  <c r="F160" i="1" s="1"/>
  <c r="H160" i="1" s="1"/>
  <c r="K119" i="1" s="1"/>
  <c r="D159" i="1"/>
  <c r="F159" i="1" s="1"/>
  <c r="H159" i="1" s="1"/>
  <c r="D158" i="1"/>
  <c r="F158" i="1" s="1"/>
  <c r="H158" i="1" s="1"/>
  <c r="D152" i="1"/>
  <c r="D155" i="1"/>
  <c r="F155" i="1" s="1"/>
  <c r="H155" i="1" s="1"/>
  <c r="D154" i="1"/>
  <c r="F154" i="1" s="1"/>
  <c r="H154" i="1" s="1"/>
  <c r="L120" i="1" s="1"/>
  <c r="D153" i="1"/>
  <c r="F153" i="1" s="1"/>
  <c r="H153" i="1" s="1"/>
  <c r="D149" i="1"/>
  <c r="D148" i="1"/>
  <c r="A196" i="1"/>
  <c r="F202" i="1"/>
  <c r="H202" i="1" s="1"/>
  <c r="A202" i="1"/>
  <c r="A199" i="1"/>
  <c r="A193" i="1"/>
  <c r="A171" i="1"/>
  <c r="A172" i="1" s="1"/>
  <c r="A173" i="1" s="1"/>
  <c r="A174" i="1" s="1"/>
  <c r="A190" i="1"/>
  <c r="F189" i="1"/>
  <c r="H189" i="1" s="1"/>
  <c r="A165" i="1"/>
  <c r="A166" i="1" s="1"/>
  <c r="A167" i="1" s="1"/>
  <c r="A168" i="1" s="1"/>
  <c r="A187" i="1"/>
  <c r="F150" i="1"/>
  <c r="H150" i="1" s="1"/>
  <c r="F161" i="1"/>
  <c r="H161" i="1" s="1"/>
  <c r="L119" i="1" s="1"/>
  <c r="A159" i="1"/>
  <c r="A160" i="1" s="1"/>
  <c r="A161" i="1" s="1"/>
  <c r="A162" i="1" s="1"/>
  <c r="A184" i="1"/>
  <c r="F152" i="1"/>
  <c r="H152" i="1" s="1"/>
  <c r="L118" i="1" s="1"/>
  <c r="I149" i="1"/>
  <c r="C123" i="1" l="1"/>
  <c r="C125" i="1" s="1"/>
  <c r="K120" i="1"/>
  <c r="L121" i="1"/>
  <c r="D140" i="1"/>
  <c r="F140" i="1" s="1"/>
  <c r="H140" i="1" s="1"/>
  <c r="D139" i="1"/>
  <c r="D138" i="1"/>
  <c r="F138" i="1" s="1"/>
  <c r="F139" i="1"/>
  <c r="H139" i="1" s="1"/>
  <c r="A139" i="1"/>
  <c r="A140" i="1" s="1"/>
  <c r="D135" i="1"/>
  <c r="D134" i="1"/>
  <c r="D133" i="1"/>
  <c r="I46" i="1"/>
  <c r="C118" i="1" l="1"/>
  <c r="H138" i="1"/>
  <c r="G119" i="1" s="1"/>
  <c r="E119" i="1"/>
  <c r="C119" i="1"/>
  <c r="F134" i="1"/>
  <c r="H134" i="1" s="1"/>
  <c r="F135" i="1"/>
  <c r="H135" i="1" s="1"/>
  <c r="F133" i="1"/>
  <c r="C120" i="1" l="1"/>
  <c r="H133" i="1"/>
  <c r="G118" i="1" s="1"/>
  <c r="G120" i="1" s="1"/>
  <c r="E118" i="1"/>
  <c r="E120" i="1" s="1"/>
  <c r="B205" i="1"/>
  <c r="G58" i="1" l="1"/>
  <c r="C58" i="1"/>
  <c r="G56" i="1"/>
  <c r="C56" i="1"/>
  <c r="S33" i="1" l="1"/>
  <c r="F11" i="5" l="1"/>
  <c r="G11" i="5" s="1"/>
  <c r="F10" i="5"/>
  <c r="G10" i="5" s="1"/>
  <c r="F9" i="5"/>
  <c r="G9" i="5" s="1"/>
  <c r="G8" i="5"/>
  <c r="F8" i="5"/>
  <c r="F7" i="5"/>
  <c r="G7" i="5" s="1"/>
  <c r="G6" i="5"/>
  <c r="F6" i="5"/>
  <c r="F5" i="5"/>
  <c r="G5" i="5" s="1"/>
  <c r="G12" i="5" s="1"/>
  <c r="D228" i="1"/>
  <c r="B206" i="1"/>
  <c r="F187" i="1"/>
  <c r="H187" i="1" s="1"/>
  <c r="F186" i="1"/>
  <c r="H186" i="1" s="1"/>
  <c r="F184" i="1"/>
  <c r="H184" i="1" s="1"/>
  <c r="F183" i="1"/>
  <c r="H183" i="1" s="1"/>
  <c r="F181" i="1"/>
  <c r="H181" i="1" s="1"/>
  <c r="F180" i="1"/>
  <c r="A178" i="1"/>
  <c r="F149" i="1"/>
  <c r="H149" i="1" s="1"/>
  <c r="F148" i="1"/>
  <c r="F147" i="1"/>
  <c r="H147" i="1" s="1"/>
  <c r="A147" i="1"/>
  <c r="A148" i="1" s="1"/>
  <c r="A149" i="1" s="1"/>
  <c r="A150" i="1" s="1"/>
  <c r="A134" i="1"/>
  <c r="A135" i="1" s="1"/>
  <c r="C126" i="1"/>
  <c r="F115" i="1"/>
  <c r="C89" i="1"/>
  <c r="C75" i="1"/>
  <c r="D69" i="1"/>
  <c r="D62" i="1"/>
  <c r="G51" i="1"/>
  <c r="C51" i="1"/>
  <c r="E44" i="1"/>
  <c r="E45" i="1" s="1"/>
  <c r="E31" i="1"/>
  <c r="E28" i="1"/>
  <c r="E26" i="1"/>
  <c r="C16" i="1"/>
  <c r="I15" i="1"/>
  <c r="Z13" i="1"/>
  <c r="E8" i="1"/>
  <c r="E3" i="1"/>
  <c r="H90" i="1"/>
  <c r="H76" i="1"/>
  <c r="H148" i="1" l="1"/>
  <c r="G123" i="1" s="1"/>
  <c r="E123" i="1"/>
  <c r="H180" i="1"/>
  <c r="G124" i="1" s="1"/>
  <c r="E124" i="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B90" i="1"/>
  <c r="B76" i="1"/>
  <c r="J81" i="1" s="1"/>
  <c r="E125" i="1" l="1"/>
  <c r="E126" i="1" s="1"/>
  <c r="G125" i="1"/>
  <c r="G126" i="1" s="1"/>
  <c r="C93" i="1"/>
  <c r="D93" i="1" s="1"/>
  <c r="I90" i="1" s="1"/>
  <c r="I91" i="1" s="1"/>
  <c r="D79" i="1"/>
  <c r="J100" i="1"/>
  <c r="J97" i="1"/>
  <c r="J99" i="1"/>
  <c r="J98" i="1"/>
  <c r="J95" i="1"/>
  <c r="J96" i="1" s="1"/>
  <c r="J85" i="1"/>
  <c r="J83" i="1"/>
  <c r="J84" i="1"/>
  <c r="J82" i="1"/>
  <c r="J87" i="1" s="1"/>
  <c r="J88" i="1" s="1"/>
  <c r="C80" i="1" s="1"/>
  <c r="J86" i="1"/>
  <c r="G93" i="1" l="1"/>
  <c r="J76" i="1"/>
  <c r="J101" i="1"/>
  <c r="J102" i="1" s="1"/>
  <c r="J90" i="1" s="1"/>
  <c r="I89" i="1" s="1"/>
  <c r="C91" i="1" s="1"/>
  <c r="E79" i="1"/>
  <c r="D80" i="1"/>
  <c r="I76" i="1" s="1"/>
  <c r="G79" i="1"/>
  <c r="D73" i="1" s="1"/>
  <c r="F74" i="1" l="1"/>
  <c r="D74" i="1"/>
  <c r="I77" i="1"/>
  <c r="I75" i="1" s="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<sst xmlns="http://schemas.openxmlformats.org/spreadsheetml/2006/main" count="636" uniqueCount="369">
  <si>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</si>
  <si>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</si>
  <si>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</si>
  <si>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</si>
  <si>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</si>
  <si>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</si>
  <si>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</si>
  <si>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</si>
  <si>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</si>
  <si>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</si>
  <si>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</si>
  <si>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</si>
  <si>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</si>
  <si>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</si>
  <si>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</si>
  <si>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</si>
  <si>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</si>
  <si>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</si>
  <si>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</si>
  <si>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</si>
  <si>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</si>
  <si>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</si>
  <si>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</si>
  <si>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</si>
  <si>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</si>
  <si>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</si>
  <si>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</si>
  <si>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</si>
  <si>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</si>
  <si>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</si>
  <si>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</si>
  <si>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</si>
  <si>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</si>
  <si>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</si>
  <si>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</si>
  <si>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</si>
  <si>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</si>
  <si>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</si>
  <si>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</si>
  <si>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</si>
  <si>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</si>
  <si>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</si>
  <si>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</si>
  <si>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</si>
  <si>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</si>
  <si>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</si>
  <si>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</si>
  <si>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</si>
  <si>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</si>
  <si>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</si>
  <si>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</si>
  <si>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</si>
  <si>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</si>
  <si>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</si>
  <si>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</si>
  <si>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</si>
  <si>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</si>
  <si>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</si>
  <si>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</si>
  <si>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</si>
  <si>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</si>
  <si>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</si>
  <si>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</si>
  <si>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</si>
  <si>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</si>
  <si>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</si>
  <si>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</si>
  <si>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</si>
  <si>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</si>
  <si>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</si>
  <si>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</si>
  <si>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</si>
  <si>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</si>
  <si>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</si>
  <si>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</si>
  <si>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</si>
  <si>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</si>
  <si>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</si>
  <si>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</si>
  <si>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</si>
  <si>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</si>
  <si>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</si>
  <si>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</si>
  <si>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</si>
  <si>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</si>
  <si>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</si>
  <si>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</si>
  <si>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</si>
  <si>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</si>
  <si>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</si>
  <si>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</si>
  <si>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</si>
  <si>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</si>
  <si>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</si>
  <si>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</si>
  <si>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</si>
  <si>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</si>
  <si>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</si>
  <si>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</si>
  <si>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</si>
  <si>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</si>
  <si>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</si>
  <si>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</si>
  <si>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</si>
  <si>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</si>
  <si>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</si>
  <si>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</si>
  <si>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</si>
  <si>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</si>
  <si>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</si>
  <si>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</si>
  <si>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</si>
  <si>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</si>
  <si>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</si>
  <si>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</si>
  <si>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</si>
  <si>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</si>
  <si>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</si>
  <si>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</si>
  <si>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</si>
  <si>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</si>
  <si>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</si>
  <si>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</si>
  <si>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</si>
  <si>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</si>
  <si>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</si>
  <si>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</si>
  <si>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</si>
  <si>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</si>
  <si>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</si>
  <si>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</si>
  <si>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</si>
  <si>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</si>
  <si>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</si>
  <si>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</si>
  <si>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</si>
  <si>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</si>
  <si>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</si>
  <si>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</si>
  <si>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</si>
  <si>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</si>
  <si>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</si>
  <si>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</si>
  <si>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</si>
  <si>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</si>
  <si>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</si>
  <si>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</si>
  <si>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</si>
  <si>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</si>
  <si>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</si>
  <si>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</si>
  <si>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</si>
  <si>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</si>
  <si>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</si>
  <si>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</si>
  <si>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</si>
  <si>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</si>
  <si>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</si>
  <si>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</si>
  <si>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</si>
  <si>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</si>
  <si>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</si>
  <si>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</si>
  <si>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</si>
  <si>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</si>
  <si>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</si>
  <si>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</si>
  <si>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</si>
  <si>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</si>
  <si>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</si>
  <si>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</si>
  <si>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</si>
  <si>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</si>
  <si>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</si>
  <si>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</si>
  <si>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</si>
  <si>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</si>
  <si>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</si>
  <si>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</si>
  <si>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</si>
  <si>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</si>
  <si>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</si>
  <si>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</si>
  <si>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</si>
  <si>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</si>
  <si>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</si>
  <si>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</si>
  <si>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</si>
  <si>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</si>
  <si>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</si>
  <si>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</si>
  <si>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</si>
  <si>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</si>
  <si>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</si>
  <si>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</si>
  <si>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</si>
  <si>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</si>
  <si>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</si>
  <si>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</si>
  <si>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</si>
  <si>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</si>
  <si>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</si>
  <si>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</si>
  <si>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</si>
  <si>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</si>
  <si>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</si>
  <si>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</si>
  <si>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</si>
  <si>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</si>
  <si>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</si>
  <si>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</si>
  <si>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</si>
  <si>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</si>
  <si>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</si>
  <si>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</si>
  <si>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</si>
  <si>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</si>
  <si>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</si>
  <si>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</si>
  <si>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</si>
  <si>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</si>
  <si>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</si>
  <si>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</si>
  <si>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</si>
  <si>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</si>
  <si>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</si>
  <si>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</si>
  <si>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</si>
  <si>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</si>
  <si>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</si>
  <si>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</si>
  <si>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</si>
  <si>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</si>
  <si>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</si>
  <si>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</si>
  <si>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</si>
  <si>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</si>
  <si>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</si>
  <si>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</si>
  <si>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</si>
  <si>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</si>
  <si>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</si>
  <si>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</si>
  <si>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</si>
  <si>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</si>
  <si>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</si>
  <si>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</si>
  <si>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</si>
  <si>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</si>
  <si>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</si>
  <si>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</si>
  <si>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</si>
  <si>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</si>
  <si>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</si>
  <si>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</si>
  <si>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</si>
  <si>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</si>
  <si>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</si>
  <si>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</si>
  <si>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</si>
  <si>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</si>
  <si>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</si>
  <si>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</si>
  <si>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</si>
  <si>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</si>
  <si>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</si>
  <si>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</si>
  <si>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</si>
  <si>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</si>
  <si>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</si>
  <si>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</si>
  <si>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</si>
  <si>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</si>
  <si>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</si>
  <si>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</si>
  <si>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</si>
  <si>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</si>
  <si>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</si>
  <si>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</si>
  <si>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</si>
  <si>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</si>
  <si>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</si>
  <si>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</si>
  <si>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</si>
  <si>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</si>
  <si>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</si>
  <si>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</si>
  <si>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</si>
  <si>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</si>
  <si>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</si>
  <si>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</si>
  <si>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</si>
  <si>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</si>
  <si>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</si>
  <si>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</si>
  <si>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</si>
  <si>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</si>
  <si>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</si>
  <si>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</si>
  <si>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</si>
  <si>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A.M Enterprises</t>
  </si>
  <si>
    <t>Aim Horizon</t>
  </si>
  <si>
    <t>8692902585 / 9702103699</t>
  </si>
  <si>
    <t>P51800047046</t>
  </si>
  <si>
    <t>280, 280/1 to 13, 281, 281/1 to 20</t>
  </si>
  <si>
    <t>Mogra</t>
  </si>
  <si>
    <t>Jogeshwari (East)</t>
  </si>
  <si>
    <t>https://maps.app.goo.gl/FWWDg6LfkoCrVzjV7</t>
  </si>
  <si>
    <t>Anant Nandadeep Co Op Hsg Society</t>
  </si>
  <si>
    <t>Internal Road</t>
  </si>
  <si>
    <t>Laxmi Narayan Apartment</t>
  </si>
  <si>
    <t>Trimurti Society</t>
  </si>
  <si>
    <t>9.15 M Wide Road</t>
  </si>
  <si>
    <t>Other Plot</t>
  </si>
  <si>
    <t>1KM from Jogeshwari Railway Station</t>
  </si>
  <si>
    <t>KE/PVT/0252/20201103/AP/C</t>
  </si>
  <si>
    <t>This CC is further extended for Rehab wing B from 1st floor to 18th floor &amp; 19 th (Pt) Floor including O.H.W.T &amp; L.M.R and for sale wing A from 1st floor to 9th Floor &amp; R.C.C frame work from 10th Floor to 12th Floor &amp; 13th (Pt) Floor as per approved plan dated 25/07/2022</t>
  </si>
  <si>
    <t>Sale Wing A = Gr + 1st to 13th Floor
Rehab Wing B =  Gr + 1st to 19th Floor</t>
  </si>
  <si>
    <t>Rehab Wing B =  Gr + 1st to 19th Floor</t>
  </si>
  <si>
    <t>As per RERA - 31/12/2028</t>
  </si>
  <si>
    <t>Ground Floor for Commercial</t>
  </si>
  <si>
    <t>Sale Wing A</t>
  </si>
  <si>
    <t>Shop</t>
  </si>
  <si>
    <t>Sale / Rehab</t>
  </si>
  <si>
    <t>Sale</t>
  </si>
  <si>
    <t>Rehab Wing B</t>
  </si>
  <si>
    <t>Rehab</t>
  </si>
  <si>
    <t>Sale Wing A &amp; Rehab Wing B</t>
  </si>
  <si>
    <t>02 Building</t>
  </si>
  <si>
    <t>1st Floor for Residential</t>
  </si>
  <si>
    <t>Fitness Center</t>
  </si>
  <si>
    <t>Society Office</t>
  </si>
  <si>
    <t>2BHK</t>
  </si>
  <si>
    <t>Rain Water Harvesting, Sewage treatment plant, Aesthetically designed landscape garden, Fire Fighting Equipment</t>
  </si>
  <si>
    <r>
      <t xml:space="preserve">Proposed Amenities :                                                                                                                                                                                                                         </t>
    </r>
    <r>
      <rPr>
        <b/>
        <sz val="12"/>
        <rFont val="Times New Roman"/>
        <family val="1"/>
      </rPr>
      <t xml:space="preserve">                                               </t>
    </r>
  </si>
  <si>
    <t>Welfare Center</t>
  </si>
  <si>
    <t>Balwadi</t>
  </si>
  <si>
    <t>2nd &amp; 3rd Floor</t>
  </si>
  <si>
    <t>1BHK</t>
  </si>
  <si>
    <t>Other Amenity</t>
  </si>
  <si>
    <t>4th to 7th, 9th to 12th Floor</t>
  </si>
  <si>
    <t>8th Floor for part Refuge Area</t>
  </si>
  <si>
    <t>Refuge Area</t>
  </si>
  <si>
    <t>13th Floor (Part Terrace)</t>
  </si>
  <si>
    <t>Terrace Area</t>
  </si>
  <si>
    <t xml:space="preserve">14th Floor </t>
  </si>
  <si>
    <t xml:space="preserve">16th to 18th Floor </t>
  </si>
  <si>
    <t>19th Floor (Part Terrace Area)</t>
  </si>
  <si>
    <t>8th Floor for (Part Refuge Area)</t>
  </si>
  <si>
    <t>15th Floor for  (Part Refuge Area)</t>
  </si>
  <si>
    <t>13th Floor</t>
  </si>
  <si>
    <t>Flats - 90, Shops - 6</t>
  </si>
  <si>
    <t>We considered Gross carpet area = Net carpet</t>
  </si>
  <si>
    <t>Construction work is in process at the time of Visit.</t>
  </si>
  <si>
    <t>Builder sheet</t>
  </si>
  <si>
    <t>18000 to 20000</t>
  </si>
  <si>
    <t>Sheet</t>
  </si>
  <si>
    <t xml:space="preserve">https://housing.com/in/buy/projects/page/285887-aim-horizon-by-aim-realtors-in-jogeshwari-east </t>
  </si>
  <si>
    <t>Housing</t>
  </si>
  <si>
    <t>Sale Plan</t>
  </si>
  <si>
    <t xml:space="preserve">https://jannathomes.com/uploads/projects/floor_plan////28619c596bb7d21f8c048deb7f744ec7.pdf </t>
  </si>
  <si>
    <t xml:space="preserve">https://www.99acres.com/aim-horizon-jogeshwari-east-mumbai-andheri-dahisar-npxid-r399437 </t>
  </si>
  <si>
    <t>19.130327,72.853136</t>
  </si>
  <si>
    <t xml:space="preserve">https://www.magicbricks.com/aim-horizon-jogeshwari-east-mumbai-pdpid-4d4235333337303237 </t>
  </si>
  <si>
    <t>Mr. Rohan</t>
  </si>
  <si>
    <t>Sale Wing A = Gr + 1st to 19th Floor</t>
  </si>
  <si>
    <t>Please provide revised CC &amp; approved floor plans.</t>
  </si>
  <si>
    <t>Pooja Kawale</t>
  </si>
  <si>
    <t>Pratik Niwate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</si>
</sst>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0" fillId="0" borderId="0" xfId="0" applyFont="1" applyAlignment="1">
      <alignment horizontal="center" vertical="center"/>
    </xf>
    <xf numFmtId="1" fontId="7" fillId="0" borderId="0" xfId="0" applyNumberFormat="1" applyFont="1" applyAlignment="1">
      <alignment horizontal="center" vertical="center"/>
    </xf>
    <xf numFmtId="0" fontId="27" fillId="0" borderId="0" xfId="10"/>
    <xf numFmtId="1" fontId="10" fillId="0" borderId="0" xfId="0" applyNumberFormat="1" applyFont="1" applyAlignment="1">
      <alignment horizontal="center" vertical="center"/>
    </xf>
    <xf numFmtId="0" fontId="27" fillId="0" borderId="0" xfId="10" applyAlignment="1">
      <alignment horizontal="center" vertical="center"/>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12" fillId="0" borderId="1" xfId="1" applyNumberFormat="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5" fillId="0" borderId="16"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1" xfId="1" applyFont="1" applyBorder="1" applyAlignment="1" applyProtection="1">
      <alignment horizontal="center" vertical="center"/>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0" fillId="0" borderId="33" xfId="0"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9" fillId="0" borderId="1" xfId="5" applyFont="1" applyBorder="1" applyAlignment="1">
      <alignment horizontal="left"/>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333</xdr:row>
      <xdr:rowOff>142875</xdr:rowOff>
    </xdr:from>
    <xdr:to>
      <xdr:col>7</xdr:col>
      <xdr:colOff>538897</xdr:colOff>
      <xdr:row>351</xdr:row>
      <xdr:rowOff>142425</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1925" y="69256275"/>
          <a:ext cx="5958622" cy="3600000"/>
        </a:xfrm>
        <a:prstGeom prst="rect">
          <a:avLst/>
        </a:prstGeom>
        <a:ln>
          <a:solidFill>
            <a:schemeClr val="tx1"/>
          </a:solidFill>
        </a:ln>
      </xdr:spPr>
    </xdr:pic>
    <xdr:clientData/>
  </xdr:twoCellAnchor>
  <xdr:twoCellAnchor editAs="oneCell">
    <xdr:from>
      <xdr:col>0</xdr:col>
      <xdr:colOff>177738</xdr:colOff>
      <xdr:row>314</xdr:row>
      <xdr:rowOff>142875</xdr:rowOff>
    </xdr:from>
    <xdr:to>
      <xdr:col>7</xdr:col>
      <xdr:colOff>523085</xdr:colOff>
      <xdr:row>332</xdr:row>
      <xdr:rowOff>142425</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7738" y="65455800"/>
          <a:ext cx="5926997" cy="3600000"/>
        </a:xfrm>
        <a:prstGeom prst="rect">
          <a:avLst/>
        </a:prstGeom>
        <a:ln>
          <a:solidFill>
            <a:schemeClr val="tx1"/>
          </a:solidFill>
        </a:ln>
      </xdr:spPr>
    </xdr:pic>
    <xdr:clientData/>
  </xdr:twoCellAnchor>
  <xdr:twoCellAnchor>
    <xdr:from>
      <xdr:col>1</xdr:col>
      <xdr:colOff>678655</xdr:colOff>
      <xdr:row>338</xdr:row>
      <xdr:rowOff>164784</xdr:rowOff>
    </xdr:from>
    <xdr:to>
      <xdr:col>2</xdr:col>
      <xdr:colOff>660875</xdr:colOff>
      <xdr:row>345</xdr:row>
      <xdr:rowOff>40190</xdr:rowOff>
    </xdr:to>
    <xdr:sp macro="" textlink="">
      <xdr:nvSpPr>
        <xdr:cNvPr id="5" name="Rectangle 4"/>
        <xdr:cNvSpPr/>
      </xdr:nvSpPr>
      <xdr:spPr>
        <a:xfrm rot="2114366">
          <a:off x="1440655" y="70278309"/>
          <a:ext cx="782320" cy="1275581"/>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533400</xdr:colOff>
      <xdr:row>271</xdr:row>
      <xdr:rowOff>180975</xdr:rowOff>
    </xdr:from>
    <xdr:to>
      <xdr:col>7</xdr:col>
      <xdr:colOff>57150</xdr:colOff>
      <xdr:row>290</xdr:row>
      <xdr:rowOff>180975</xdr:rowOff>
    </xdr:to>
    <xdr:pic>
      <xdr:nvPicPr>
        <xdr:cNvPr id="11" name="Picture 10"/>
        <xdr:cNvPicPr>
          <a:picLocks noChangeAspect="1"/>
        </xdr:cNvPicPr>
      </xdr:nvPicPr>
      <xdr:blipFill>
        <a:blip xmlns:r="http://schemas.openxmlformats.org/officeDocument/2006/relationships" r:embed="rId3"/>
        <a:stretch>
          <a:fillRect/>
        </a:stretch>
      </xdr:blipFill>
      <xdr:spPr>
        <a:xfrm>
          <a:off x="533400" y="56692800"/>
          <a:ext cx="5105400" cy="3800475"/>
        </a:xfrm>
        <a:prstGeom prst="rect">
          <a:avLst/>
        </a:prstGeom>
        <a:ln>
          <a:solidFill>
            <a:schemeClr val="tx1"/>
          </a:solidFill>
        </a:ln>
      </xdr:spPr>
    </xdr:pic>
    <xdr:clientData/>
  </xdr:twoCellAnchor>
  <xdr:twoCellAnchor editAs="oneCell">
    <xdr:from>
      <xdr:col>0</xdr:col>
      <xdr:colOff>552450</xdr:colOff>
      <xdr:row>291</xdr:row>
      <xdr:rowOff>85725</xdr:rowOff>
    </xdr:from>
    <xdr:to>
      <xdr:col>7</xdr:col>
      <xdr:colOff>57150</xdr:colOff>
      <xdr:row>312</xdr:row>
      <xdr:rowOff>28575</xdr:rowOff>
    </xdr:to>
    <xdr:pic>
      <xdr:nvPicPr>
        <xdr:cNvPr id="12" name="Picture 11"/>
        <xdr:cNvPicPr>
          <a:picLocks noChangeAspect="1"/>
        </xdr:cNvPicPr>
      </xdr:nvPicPr>
      <xdr:blipFill>
        <a:blip xmlns:r="http://schemas.openxmlformats.org/officeDocument/2006/relationships" r:embed="rId4"/>
        <a:stretch>
          <a:fillRect/>
        </a:stretch>
      </xdr:blipFill>
      <xdr:spPr>
        <a:xfrm>
          <a:off x="552450" y="60598050"/>
          <a:ext cx="5086350" cy="4143375"/>
        </a:xfrm>
        <a:prstGeom prst="rect">
          <a:avLst/>
        </a:prstGeom>
        <a:ln>
          <a:solidFill>
            <a:schemeClr val="tx1"/>
          </a:solidFill>
        </a:ln>
      </xdr:spPr>
    </xdr:pic>
    <xdr:clientData/>
  </xdr:twoCellAnchor>
  <xdr:twoCellAnchor>
    <xdr:from>
      <xdr:col>2</xdr:col>
      <xdr:colOff>238126</xdr:colOff>
      <xdr:row>275</xdr:row>
      <xdr:rowOff>66675</xdr:rowOff>
    </xdr:from>
    <xdr:to>
      <xdr:col>4</xdr:col>
      <xdr:colOff>304801</xdr:colOff>
      <xdr:row>278</xdr:row>
      <xdr:rowOff>152400</xdr:rowOff>
    </xdr:to>
    <xdr:sp macro="" textlink="">
      <xdr:nvSpPr>
        <xdr:cNvPr id="13" name="Rectangle 12"/>
        <xdr:cNvSpPr/>
      </xdr:nvSpPr>
      <xdr:spPr>
        <a:xfrm>
          <a:off x="1800226" y="57378600"/>
          <a:ext cx="1828800" cy="6858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361950</xdr:colOff>
      <xdr:row>275</xdr:row>
      <xdr:rowOff>66675</xdr:rowOff>
    </xdr:from>
    <xdr:to>
      <xdr:col>6</xdr:col>
      <xdr:colOff>180975</xdr:colOff>
      <xdr:row>278</xdr:row>
      <xdr:rowOff>142875</xdr:rowOff>
    </xdr:to>
    <xdr:sp macro="" textlink="">
      <xdr:nvSpPr>
        <xdr:cNvPr id="14" name="Rectangle 13"/>
        <xdr:cNvSpPr/>
      </xdr:nvSpPr>
      <xdr:spPr>
        <a:xfrm>
          <a:off x="3686175" y="55292625"/>
          <a:ext cx="1343025" cy="676275"/>
        </a:xfrm>
        <a:prstGeom prst="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666750</xdr:colOff>
      <xdr:row>273</xdr:row>
      <xdr:rowOff>114299</xdr:rowOff>
    </xdr:from>
    <xdr:to>
      <xdr:col>3</xdr:col>
      <xdr:colOff>752475</xdr:colOff>
      <xdr:row>274</xdr:row>
      <xdr:rowOff>190500</xdr:rowOff>
    </xdr:to>
    <xdr:sp macro="" textlink="">
      <xdr:nvSpPr>
        <xdr:cNvPr id="15" name="TextBox 14"/>
        <xdr:cNvSpPr txBox="1"/>
      </xdr:nvSpPr>
      <xdr:spPr>
        <a:xfrm>
          <a:off x="2228850" y="54940199"/>
          <a:ext cx="933450"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Sale Wing A </a:t>
          </a:r>
        </a:p>
      </xdr:txBody>
    </xdr:sp>
    <xdr:clientData/>
  </xdr:twoCellAnchor>
  <xdr:twoCellAnchor>
    <xdr:from>
      <xdr:col>4</xdr:col>
      <xdr:colOff>533399</xdr:colOff>
      <xdr:row>273</xdr:row>
      <xdr:rowOff>114300</xdr:rowOff>
    </xdr:from>
    <xdr:to>
      <xdr:col>6</xdr:col>
      <xdr:colOff>66674</xdr:colOff>
      <xdr:row>274</xdr:row>
      <xdr:rowOff>171450</xdr:rowOff>
    </xdr:to>
    <xdr:sp macro="" textlink="">
      <xdr:nvSpPr>
        <xdr:cNvPr id="16" name="TextBox 15"/>
        <xdr:cNvSpPr txBox="1"/>
      </xdr:nvSpPr>
      <xdr:spPr>
        <a:xfrm>
          <a:off x="3857624" y="54940200"/>
          <a:ext cx="10572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Rehab Wing  B</a:t>
          </a:r>
        </a:p>
      </xdr:txBody>
    </xdr:sp>
    <xdr:clientData/>
  </xdr:twoCellAnchor>
  <xdr:twoCellAnchor editAs="oneCell">
    <xdr:from>
      <xdr:col>8</xdr:col>
      <xdr:colOff>66675</xdr:colOff>
      <xdr:row>16</xdr:row>
      <xdr:rowOff>19050</xdr:rowOff>
    </xdr:from>
    <xdr:to>
      <xdr:col>15</xdr:col>
      <xdr:colOff>65926</xdr:colOff>
      <xdr:row>19</xdr:row>
      <xdr:rowOff>171356</xdr:rowOff>
    </xdr:to>
    <xdr:pic>
      <xdr:nvPicPr>
        <xdr:cNvPr id="17" name="Picture 16"/>
        <xdr:cNvPicPr>
          <a:picLocks noChangeAspect="1"/>
        </xdr:cNvPicPr>
      </xdr:nvPicPr>
      <xdr:blipFill>
        <a:blip xmlns:r="http://schemas.openxmlformats.org/officeDocument/2006/relationships" r:embed="rId5"/>
        <a:stretch>
          <a:fillRect/>
        </a:stretch>
      </xdr:blipFill>
      <xdr:spPr>
        <a:xfrm>
          <a:off x="6381750" y="4038600"/>
          <a:ext cx="5990476" cy="752381"/>
        </a:xfrm>
        <a:prstGeom prst="rect">
          <a:avLst/>
        </a:prstGeom>
      </xdr:spPr>
    </xdr:pic>
    <xdr:clientData/>
  </xdr:twoCellAnchor>
  <xdr:twoCellAnchor>
    <xdr:from>
      <xdr:col>0</xdr:col>
      <xdr:colOff>88900</xdr:colOff>
      <xdr:row>228</xdr:row>
      <xdr:rowOff>82550</xdr:rowOff>
    </xdr:from>
    <xdr:to>
      <xdr:col>7</xdr:col>
      <xdr:colOff>681614</xdr:colOff>
      <xdr:row>259</xdr:row>
      <xdr:rowOff>97657</xdr:rowOff>
    </xdr:to>
    <xdr:grpSp>
      <xdr:nvGrpSpPr>
        <xdr:cNvPr id="24" name="Group 23"/>
        <xdr:cNvGrpSpPr/>
      </xdr:nvGrpSpPr>
      <xdr:grpSpPr>
        <a:xfrm>
          <a:off x="88900" y="46977300"/>
          <a:ext cx="6447414" cy="6111107"/>
          <a:chOff x="88900" y="46977300"/>
          <a:chExt cx="6447414" cy="6111107"/>
        </a:xfrm>
      </xdr:grpSpPr>
      <xdr:pic>
        <xdr:nvPicPr>
          <xdr:cNvPr id="18" name="Picture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92985" y="46977300"/>
            <a:ext cx="2970000" cy="396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99064" y="46977300"/>
            <a:ext cx="2970000" cy="396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361176" y="51036407"/>
            <a:ext cx="1539000" cy="2052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8900" y="51036407"/>
            <a:ext cx="1539000" cy="2052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725038" y="51036407"/>
            <a:ext cx="1539000" cy="2052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997314" y="51036407"/>
            <a:ext cx="1539000"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123265</xdr:colOff>
      <xdr:row>14</xdr:row>
      <xdr:rowOff>33618</xdr:rowOff>
    </xdr:from>
    <xdr:to>
      <xdr:col>2</xdr:col>
      <xdr:colOff>1264991</xdr:colOff>
      <xdr:row>23</xdr:row>
      <xdr:rowOff>119118</xdr:rowOff>
    </xdr:to>
    <xdr:pic>
      <xdr:nvPicPr>
        <xdr:cNvPr id="3" name="Picture 2"/>
        <xdr:cNvPicPr>
          <a:picLocks noChangeAspect="1"/>
        </xdr:cNvPicPr>
      </xdr:nvPicPr>
      <xdr:blipFill>
        <a:blip xmlns:r="http://schemas.openxmlformats.org/officeDocument/2006/relationships" r:embed="rId2"/>
        <a:stretch>
          <a:fillRect/>
        </a:stretch>
      </xdr:blipFill>
      <xdr:spPr>
        <a:xfrm>
          <a:off x="705971" y="2711824"/>
          <a:ext cx="2620902" cy="1800000"/>
        </a:xfrm>
        <a:prstGeom prst="rect">
          <a:avLst/>
        </a:prstGeom>
      </xdr:spPr>
    </xdr:pic>
    <xdr:clientData/>
  </xdr:twoCellAnchor>
  <xdr:twoCellAnchor editAs="oneCell">
    <xdr:from>
      <xdr:col>2</xdr:col>
      <xdr:colOff>1445559</xdr:colOff>
      <xdr:row>13</xdr:row>
      <xdr:rowOff>179294</xdr:rowOff>
    </xdr:from>
    <xdr:to>
      <xdr:col>7</xdr:col>
      <xdr:colOff>745057</xdr:colOff>
      <xdr:row>35</xdr:row>
      <xdr:rowOff>45437</xdr:rowOff>
    </xdr:to>
    <xdr:pic>
      <xdr:nvPicPr>
        <xdr:cNvPr id="4" name="Picture 3"/>
        <xdr:cNvPicPr>
          <a:picLocks noChangeAspect="1"/>
        </xdr:cNvPicPr>
      </xdr:nvPicPr>
      <xdr:blipFill>
        <a:blip xmlns:r="http://schemas.openxmlformats.org/officeDocument/2006/relationships" r:embed="rId3"/>
        <a:stretch>
          <a:fillRect/>
        </a:stretch>
      </xdr:blipFill>
      <xdr:spPr>
        <a:xfrm>
          <a:off x="3507441" y="2667000"/>
          <a:ext cx="5552381" cy="4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jannathomes.com/uploads/projects/floor_plan/28619c596bb7d21f8c048deb7f744ec7.pdf" TargetMode="External"/><Relationship Id="rId7" Type="http://schemas.openxmlformats.org/officeDocument/2006/relationships/drawing" Target="../drawings/drawing1.xml"/><Relationship Id="rId2" Type="http://schemas.openxmlformats.org/officeDocument/2006/relationships/hyperlink" Target="https://housing.com/in/buy/projects/page/285887-aim-horizon-by-aim-realtors-in-jogeshwari-east" TargetMode="External"/><Relationship Id="rId1" Type="http://schemas.openxmlformats.org/officeDocument/2006/relationships/hyperlink" Target="https://maps.app.goo.gl/FWWDg6LfkoCrVzjV7" TargetMode="External"/><Relationship Id="rId6" Type="http://schemas.openxmlformats.org/officeDocument/2006/relationships/printerSettings" Target="../printerSettings/printerSettings1.bin"/><Relationship Id="rId5" Type="http://schemas.openxmlformats.org/officeDocument/2006/relationships/hyperlink" Target="https://www.magicbricks.com/aim-horizon-jogeshwari-east-mumbai-pdpid-4d4235333337303237" TargetMode="External"/><Relationship Id="rId10" Type="http://schemas.openxmlformats.org/officeDocument/2006/relationships/comments" Target="../comments1.xml"/><Relationship Id="rId4" Type="http://schemas.openxmlformats.org/officeDocument/2006/relationships/hyperlink" Target="https://www.99acres.com/aim-horizon-jogeshwari-east-mumbai-andheri-dahisar-npxid-r399437" TargetMode="External"/><Relationship Id="rId9"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4"/>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3" t="s">
        <v>163</v>
      </c>
      <c r="B1" s="183"/>
      <c r="C1" s="183"/>
      <c r="D1" s="183"/>
      <c r="E1" s="183"/>
      <c r="F1" s="183"/>
      <c r="G1" s="183"/>
      <c r="H1" s="183"/>
    </row>
    <row r="2" spans="1:26" ht="16.5" customHeight="1" x14ac:dyDescent="0.35">
      <c r="A2" s="184" t="s">
        <v>0</v>
      </c>
      <c r="B2" s="184"/>
      <c r="C2" s="184"/>
      <c r="D2" s="184"/>
      <c r="E2" s="184"/>
      <c r="F2" s="184"/>
      <c r="G2" s="184"/>
      <c r="H2" s="184"/>
    </row>
    <row r="3" spans="1:26" x14ac:dyDescent="0.35">
      <c r="A3" s="105" t="s">
        <v>1</v>
      </c>
      <c r="B3" s="105"/>
      <c r="C3" s="105"/>
      <c r="D3" s="105"/>
      <c r="E3" s="105" t="str">
        <f ca="1">TEXT(TODAY(),"DD/MM/YYYY")</f>
        <v>16/09/2025</v>
      </c>
      <c r="F3" s="105"/>
      <c r="G3" s="105"/>
      <c r="H3" s="105"/>
      <c r="K3" s="53" t="s">
        <v>238</v>
      </c>
      <c r="L3" s="49" t="s">
        <v>236</v>
      </c>
      <c r="M3" s="49" t="s">
        <v>241</v>
      </c>
      <c r="N3" s="49" t="s">
        <v>239</v>
      </c>
      <c r="O3" s="49" t="s">
        <v>240</v>
      </c>
      <c r="P3" s="49" t="s">
        <v>242</v>
      </c>
    </row>
    <row r="4" spans="1:26" ht="15" customHeight="1" x14ac:dyDescent="0.35">
      <c r="A4" s="105" t="s">
        <v>235</v>
      </c>
      <c r="B4" s="105"/>
      <c r="C4" s="105"/>
      <c r="D4" s="105"/>
      <c r="E4" s="105" t="s">
        <v>236</v>
      </c>
      <c r="F4" s="105"/>
      <c r="G4" s="105"/>
      <c r="H4" s="105"/>
      <c r="K4" s="48" t="s">
        <v>237</v>
      </c>
      <c r="L4" s="49" t="s">
        <v>170</v>
      </c>
      <c r="M4" s="49" t="s">
        <v>246</v>
      </c>
      <c r="N4" s="49" t="s">
        <v>248</v>
      </c>
      <c r="O4" s="49" t="s">
        <v>250</v>
      </c>
      <c r="P4" s="49"/>
    </row>
    <row r="5" spans="1:26" ht="15" customHeight="1" x14ac:dyDescent="0.35">
      <c r="A5" s="105" t="s">
        <v>2</v>
      </c>
      <c r="B5" s="105"/>
      <c r="C5" s="105"/>
      <c r="D5" s="105"/>
      <c r="E5" s="105" t="s">
        <v>170</v>
      </c>
      <c r="F5" s="105"/>
      <c r="G5" s="105"/>
      <c r="H5" s="105"/>
      <c r="K5" s="48"/>
      <c r="L5" s="49" t="s">
        <v>243</v>
      </c>
      <c r="M5" s="49" t="s">
        <v>247</v>
      </c>
      <c r="N5" s="49" t="s">
        <v>249</v>
      </c>
      <c r="O5" s="49" t="s">
        <v>251</v>
      </c>
      <c r="P5" s="49"/>
    </row>
    <row r="6" spans="1:26" x14ac:dyDescent="0.35">
      <c r="A6" s="105" t="s">
        <v>3</v>
      </c>
      <c r="B6" s="105"/>
      <c r="C6" s="105"/>
      <c r="D6" s="105"/>
      <c r="E6" s="185">
        <v>45915</v>
      </c>
      <c r="F6" s="105"/>
      <c r="G6" s="105"/>
      <c r="H6" s="105"/>
      <c r="K6" s="48"/>
      <c r="L6" s="49" t="s">
        <v>244</v>
      </c>
      <c r="M6" s="49"/>
      <c r="N6" s="49"/>
      <c r="O6" s="49" t="s">
        <v>252</v>
      </c>
      <c r="P6" s="49"/>
    </row>
    <row r="7" spans="1:26" ht="16.5" customHeight="1" x14ac:dyDescent="0.35">
      <c r="A7" s="105" t="s">
        <v>4</v>
      </c>
      <c r="B7" s="105"/>
      <c r="C7" s="105"/>
      <c r="D7" s="105"/>
      <c r="E7" s="105" t="s">
        <v>300</v>
      </c>
      <c r="F7" s="105"/>
      <c r="G7" s="105"/>
      <c r="H7" s="105"/>
      <c r="K7" s="48"/>
      <c r="L7" s="49" t="s">
        <v>245</v>
      </c>
      <c r="M7" s="49"/>
      <c r="N7" s="49"/>
      <c r="O7" s="49" t="s">
        <v>252</v>
      </c>
      <c r="P7" s="49"/>
    </row>
    <row r="8" spans="1:26" ht="15" customHeight="1" x14ac:dyDescent="0.35">
      <c r="A8" s="105" t="s">
        <v>5</v>
      </c>
      <c r="B8" s="105"/>
      <c r="C8" s="105"/>
      <c r="D8" s="105"/>
      <c r="E8" s="105" t="str">
        <f>E7</f>
        <v>A.M Enterprises</v>
      </c>
      <c r="F8" s="105"/>
      <c r="G8" s="105"/>
      <c r="H8" s="105"/>
      <c r="K8" s="48"/>
      <c r="L8" s="49"/>
      <c r="M8" s="49"/>
      <c r="N8" s="49"/>
      <c r="O8" s="49" t="s">
        <v>253</v>
      </c>
      <c r="P8" s="49"/>
    </row>
    <row r="9" spans="1:26" x14ac:dyDescent="0.35">
      <c r="A9" s="105" t="s">
        <v>6</v>
      </c>
      <c r="B9" s="105"/>
      <c r="C9" s="105"/>
      <c r="D9" s="105"/>
      <c r="E9" s="163" t="s">
        <v>301</v>
      </c>
      <c r="F9" s="163"/>
      <c r="G9" s="163"/>
      <c r="H9" s="163"/>
      <c r="K9" s="48"/>
      <c r="L9" s="49"/>
      <c r="M9" s="49"/>
      <c r="N9" s="49"/>
      <c r="O9" s="49" t="s">
        <v>254</v>
      </c>
      <c r="P9" s="49"/>
    </row>
    <row r="10" spans="1:26" x14ac:dyDescent="0.35">
      <c r="A10" s="105" t="s">
        <v>166</v>
      </c>
      <c r="B10" s="105"/>
      <c r="C10" s="105"/>
      <c r="D10" s="105"/>
      <c r="E10" s="105" t="s">
        <v>302</v>
      </c>
      <c r="F10" s="105"/>
      <c r="G10" s="105"/>
      <c r="H10" s="105"/>
      <c r="K10" s="48"/>
      <c r="L10" s="49"/>
      <c r="M10" s="49"/>
      <c r="N10" s="49"/>
      <c r="O10" s="49"/>
      <c r="P10" s="49"/>
    </row>
    <row r="11" spans="1:26" x14ac:dyDescent="0.35">
      <c r="A11" s="105" t="s">
        <v>167</v>
      </c>
      <c r="B11" s="105"/>
      <c r="C11" s="105"/>
      <c r="D11" s="105"/>
      <c r="E11" s="105" t="s">
        <v>364</v>
      </c>
      <c r="F11" s="105"/>
      <c r="G11" s="105"/>
      <c r="H11" s="105"/>
    </row>
    <row r="12" spans="1:26" x14ac:dyDescent="0.35">
      <c r="A12" s="105" t="s">
        <v>7</v>
      </c>
      <c r="B12" s="105"/>
      <c r="C12" s="105"/>
      <c r="D12" s="105"/>
      <c r="E12" s="105" t="s">
        <v>327</v>
      </c>
      <c r="F12" s="105"/>
      <c r="G12" s="105"/>
      <c r="H12" s="105"/>
    </row>
    <row r="13" spans="1:26" x14ac:dyDescent="0.35">
      <c r="A13" s="105" t="s">
        <v>171</v>
      </c>
      <c r="B13" s="105"/>
      <c r="C13" s="105"/>
      <c r="D13" s="105"/>
      <c r="E13" s="105" t="s">
        <v>28</v>
      </c>
      <c r="F13" s="105"/>
      <c r="G13" s="105"/>
      <c r="H13" s="105"/>
      <c r="S13" s="49" t="s">
        <v>179</v>
      </c>
      <c r="T13" s="49" t="s">
        <v>189</v>
      </c>
      <c r="U13" s="49" t="s">
        <v>172</v>
      </c>
      <c r="V13" s="49" t="s">
        <v>194</v>
      </c>
      <c r="W13" s="49" t="s">
        <v>212</v>
      </c>
      <c r="X13"/>
      <c r="Y13" t="s">
        <v>194</v>
      </c>
      <c r="Z13" t="e">
        <f ca="1">OFFSET($S$13,1,MATCH($G20,$S$13:$W$13,0)-1,15,1)</f>
        <v>#VALUE!</v>
      </c>
    </row>
    <row r="14" spans="1:26" x14ac:dyDescent="0.35">
      <c r="A14" s="109" t="s">
        <v>281</v>
      </c>
      <c r="B14" s="109"/>
      <c r="C14" s="109"/>
      <c r="D14" s="109"/>
      <c r="E14" s="128" t="s">
        <v>227</v>
      </c>
      <c r="F14" s="128"/>
      <c r="G14" s="128"/>
      <c r="H14" s="128"/>
      <c r="S14" s="49" t="s">
        <v>180</v>
      </c>
      <c r="T14" s="49" t="s">
        <v>187</v>
      </c>
      <c r="U14" s="49" t="s">
        <v>209</v>
      </c>
      <c r="V14" s="49" t="s">
        <v>195</v>
      </c>
      <c r="W14" s="49" t="s">
        <v>213</v>
      </c>
      <c r="X14"/>
      <c r="Y14"/>
      <c r="Z14"/>
    </row>
    <row r="15" spans="1:26" x14ac:dyDescent="0.35">
      <c r="A15" s="109" t="s">
        <v>8</v>
      </c>
      <c r="B15" s="109"/>
      <c r="C15" s="109"/>
      <c r="D15" s="109"/>
      <c r="E15" s="128" t="s">
        <v>303</v>
      </c>
      <c r="F15" s="105"/>
      <c r="G15" s="105"/>
      <c r="H15" s="105"/>
      <c r="I15" s="100" t="e">
        <f ca="1">OFFSET($D$5,1,MATCH($J13,$D$5:$H$5,0)-1,15,1)</f>
        <v>#N/A</v>
      </c>
      <c r="J15" s="101"/>
      <c r="K15" s="101"/>
      <c r="L15" s="101"/>
      <c r="M15" s="101"/>
      <c r="N15" s="101"/>
      <c r="O15" s="101"/>
      <c r="P15" s="101"/>
      <c r="S15" s="49" t="s">
        <v>181</v>
      </c>
      <c r="T15" s="49" t="s">
        <v>188</v>
      </c>
      <c r="U15" s="49" t="s">
        <v>210</v>
      </c>
      <c r="V15" s="49" t="s">
        <v>196</v>
      </c>
      <c r="W15" s="49" t="s">
        <v>226</v>
      </c>
      <c r="X15"/>
      <c r="Y15"/>
      <c r="Z15"/>
    </row>
    <row r="16" spans="1:26" ht="50.25" customHeight="1" x14ac:dyDescent="0.35">
      <c r="A16" s="128" t="s">
        <v>9</v>
      </c>
      <c r="B16" s="128"/>
      <c r="C16" s="128" t="str">
        <f>CONCATENATE((IF(OR(E9="",E9="NA"),"",E9)),", ",(IF(OR(A17="",A17="NA"),"",A17)),".",(IF(OR(C17="",C17="NA"),"",C17)),", near ",(IF(OR(C22="",C22="NA"),"",C22)),", ",(IF(OR(C19="",C19="NA"),"",C19)),", ",(IF(OR(C18="",C18="NA"),"",C18)),", ",(IF(OR(G19="",G19="NA"),"",G19)),", ",(IF(OR(C20="",C20="NA"),"",C20)),", ",(IF(OR(C21="",C21="NA"),"",C21)),", ",(IF(OR(G20="",G20="NA"),"",G20))," - ",(IF(OR(G21="",G21="NA"),"",G21)),".")</f>
        <v>Aim Horizon, CTS No.280, 280/1 to 13, 281, 281/1 to 20, near Anant Nandadeep Co Op Hsg Society, Internal Road, , Mogra, Jogeshwari (East), Andheri, Mumbai - 400060.</v>
      </c>
      <c r="D16" s="128"/>
      <c r="E16" s="128"/>
      <c r="F16" s="128"/>
      <c r="G16" s="128"/>
      <c r="H16" s="128"/>
      <c r="S16" s="49" t="s">
        <v>182</v>
      </c>
      <c r="T16" s="49" t="s">
        <v>190</v>
      </c>
      <c r="U16" s="49" t="s">
        <v>211</v>
      </c>
      <c r="V16" s="49" t="s">
        <v>197</v>
      </c>
      <c r="W16" s="49" t="s">
        <v>214</v>
      </c>
      <c r="X16"/>
      <c r="Y16"/>
      <c r="Z16"/>
    </row>
    <row r="17" spans="1:26" x14ac:dyDescent="0.35">
      <c r="A17" s="128" t="s">
        <v>176</v>
      </c>
      <c r="B17" s="128"/>
      <c r="C17" s="128" t="s">
        <v>304</v>
      </c>
      <c r="D17" s="128"/>
      <c r="E17" s="128"/>
      <c r="F17" s="128"/>
      <c r="G17" s="128"/>
      <c r="H17" s="128"/>
      <c r="S17" s="49" t="s">
        <v>183</v>
      </c>
      <c r="T17" s="49" t="s">
        <v>191</v>
      </c>
      <c r="U17" s="49" t="s">
        <v>172</v>
      </c>
      <c r="V17" s="49" t="s">
        <v>198</v>
      </c>
      <c r="W17" s="49" t="s">
        <v>215</v>
      </c>
      <c r="X17"/>
      <c r="Y17"/>
      <c r="Z17"/>
    </row>
    <row r="18" spans="1:26" ht="15.75" customHeight="1" x14ac:dyDescent="0.35">
      <c r="A18" s="128" t="s">
        <v>161</v>
      </c>
      <c r="B18" s="128"/>
      <c r="C18" s="128" t="s">
        <v>28</v>
      </c>
      <c r="D18" s="128"/>
      <c r="E18" s="128"/>
      <c r="F18" s="128"/>
      <c r="G18" s="128"/>
      <c r="H18" s="128"/>
      <c r="S18" s="49" t="s">
        <v>184</v>
      </c>
      <c r="T18" s="49" t="s">
        <v>189</v>
      </c>
      <c r="U18" s="49"/>
      <c r="V18" s="49" t="s">
        <v>199</v>
      </c>
      <c r="W18" s="49" t="s">
        <v>216</v>
      </c>
      <c r="X18"/>
      <c r="Y18"/>
      <c r="Z18"/>
    </row>
    <row r="19" spans="1:26" ht="15.75" customHeight="1" x14ac:dyDescent="0.35">
      <c r="A19" s="128" t="s">
        <v>10</v>
      </c>
      <c r="B19" s="128"/>
      <c r="C19" s="105" t="s">
        <v>309</v>
      </c>
      <c r="D19" s="105"/>
      <c r="E19" s="128" t="s">
        <v>70</v>
      </c>
      <c r="F19" s="128"/>
      <c r="G19" s="128" t="s">
        <v>305</v>
      </c>
      <c r="H19" s="128"/>
      <c r="S19" s="49" t="s">
        <v>185</v>
      </c>
      <c r="T19" s="49" t="s">
        <v>192</v>
      </c>
      <c r="U19" s="49"/>
      <c r="V19" s="49" t="s">
        <v>200</v>
      </c>
      <c r="W19" s="49" t="s">
        <v>217</v>
      </c>
      <c r="X19"/>
      <c r="Y19"/>
      <c r="Z19"/>
    </row>
    <row r="20" spans="1:26" x14ac:dyDescent="0.35">
      <c r="A20" s="105" t="s">
        <v>12</v>
      </c>
      <c r="B20" s="105"/>
      <c r="C20" s="128" t="s">
        <v>306</v>
      </c>
      <c r="D20" s="128"/>
      <c r="E20" s="128" t="s">
        <v>11</v>
      </c>
      <c r="F20" s="128"/>
      <c r="G20" s="186" t="s">
        <v>172</v>
      </c>
      <c r="H20" s="186"/>
      <c r="S20" s="49" t="s">
        <v>186</v>
      </c>
      <c r="T20" s="49" t="s">
        <v>193</v>
      </c>
      <c r="U20" s="49"/>
      <c r="V20" s="49" t="s">
        <v>201</v>
      </c>
      <c r="W20" s="49" t="s">
        <v>218</v>
      </c>
      <c r="X20"/>
      <c r="Y20"/>
      <c r="Z20"/>
    </row>
    <row r="21" spans="1:26" x14ac:dyDescent="0.35">
      <c r="A21" s="105" t="s">
        <v>71</v>
      </c>
      <c r="B21" s="105"/>
      <c r="C21" s="128" t="s">
        <v>209</v>
      </c>
      <c r="D21" s="128"/>
      <c r="E21" s="128" t="s">
        <v>13</v>
      </c>
      <c r="F21" s="128"/>
      <c r="G21" s="128">
        <v>400060</v>
      </c>
      <c r="H21" s="128"/>
      <c r="S21" s="49"/>
      <c r="T21" s="49"/>
      <c r="U21" s="49"/>
      <c r="V21" s="49" t="s">
        <v>202</v>
      </c>
      <c r="W21" s="49" t="s">
        <v>219</v>
      </c>
      <c r="X21"/>
      <c r="Y21"/>
      <c r="Z21"/>
    </row>
    <row r="22" spans="1:26" ht="32.25" customHeight="1" x14ac:dyDescent="0.35">
      <c r="A22" s="109" t="s">
        <v>120</v>
      </c>
      <c r="B22" s="109"/>
      <c r="C22" s="128" t="s">
        <v>308</v>
      </c>
      <c r="D22" s="128"/>
      <c r="E22" s="113" t="s">
        <v>14</v>
      </c>
      <c r="F22" s="113"/>
      <c r="G22" s="128" t="s">
        <v>314</v>
      </c>
      <c r="H22" s="128"/>
      <c r="S22" s="49"/>
      <c r="T22" s="49"/>
      <c r="U22" s="49"/>
      <c r="V22" s="49" t="s">
        <v>203</v>
      </c>
      <c r="W22" s="49" t="s">
        <v>220</v>
      </c>
      <c r="X22"/>
      <c r="Y22"/>
      <c r="Z22"/>
    </row>
    <row r="23" spans="1:26" ht="15" customHeight="1" x14ac:dyDescent="0.35">
      <c r="A23" s="113" t="s">
        <v>73</v>
      </c>
      <c r="B23" s="113"/>
      <c r="C23" s="113"/>
      <c r="D23" s="113"/>
      <c r="E23" s="105" t="s">
        <v>15</v>
      </c>
      <c r="F23" s="105"/>
      <c r="G23" s="105"/>
      <c r="H23" s="105"/>
      <c r="S23" s="49"/>
      <c r="T23" s="49"/>
      <c r="U23" s="49"/>
      <c r="V23" s="49" t="s">
        <v>204</v>
      </c>
      <c r="W23" s="49" t="s">
        <v>221</v>
      </c>
      <c r="X23"/>
      <c r="Y23"/>
      <c r="Z23"/>
    </row>
    <row r="24" spans="1:26" ht="18.75" customHeight="1" x14ac:dyDescent="0.35">
      <c r="A24" s="113"/>
      <c r="B24" s="113"/>
      <c r="C24" s="113"/>
      <c r="D24" s="113"/>
      <c r="E24" s="105"/>
      <c r="F24" s="105"/>
      <c r="G24" s="105"/>
      <c r="H24" s="105"/>
      <c r="S24" s="49"/>
      <c r="T24" s="49"/>
      <c r="U24" s="49"/>
      <c r="V24" s="49" t="s">
        <v>205</v>
      </c>
      <c r="W24" s="49" t="s">
        <v>222</v>
      </c>
      <c r="X24"/>
      <c r="Y24"/>
      <c r="Z24"/>
    </row>
    <row r="25" spans="1:26" ht="15" customHeight="1" x14ac:dyDescent="0.35">
      <c r="A25" s="113" t="s">
        <v>16</v>
      </c>
      <c r="B25" s="113"/>
      <c r="C25" s="113"/>
      <c r="D25" s="113"/>
      <c r="E25" s="128" t="s">
        <v>17</v>
      </c>
      <c r="F25" s="128"/>
      <c r="G25" s="128"/>
      <c r="H25" s="128"/>
      <c r="S25" s="49"/>
      <c r="T25" s="49"/>
      <c r="U25" s="49"/>
      <c r="V25" s="49" t="s">
        <v>206</v>
      </c>
      <c r="W25" s="49" t="s">
        <v>223</v>
      </c>
      <c r="X25"/>
      <c r="Y25"/>
      <c r="Z25"/>
    </row>
    <row r="26" spans="1:26" ht="15" customHeight="1" x14ac:dyDescent="0.35">
      <c r="A26" s="109" t="s">
        <v>18</v>
      </c>
      <c r="B26" s="109"/>
      <c r="C26" s="109"/>
      <c r="D26" s="109"/>
      <c r="E26" s="128" t="str">
        <f>IF(AND(G20="Mumbai"),"Upper Class","Middle Class")</f>
        <v>Upper Class</v>
      </c>
      <c r="F26" s="128"/>
      <c r="G26" s="128"/>
      <c r="H26" s="128"/>
      <c r="S26" s="49"/>
      <c r="T26" s="49"/>
      <c r="U26" s="49"/>
      <c r="V26" s="49" t="s">
        <v>207</v>
      </c>
      <c r="W26" s="49" t="s">
        <v>224</v>
      </c>
      <c r="X26"/>
      <c r="Y26"/>
      <c r="Z26"/>
    </row>
    <row r="27" spans="1:26" x14ac:dyDescent="0.35">
      <c r="A27" s="109" t="s">
        <v>19</v>
      </c>
      <c r="B27" s="109"/>
      <c r="C27" s="109"/>
      <c r="D27" s="109"/>
      <c r="E27" s="128" t="s">
        <v>20</v>
      </c>
      <c r="F27" s="128"/>
      <c r="G27" s="128"/>
      <c r="H27" s="128"/>
      <c r="S27" s="49"/>
      <c r="T27" s="49"/>
      <c r="U27" s="49"/>
      <c r="V27" s="49" t="s">
        <v>208</v>
      </c>
      <c r="W27" s="49" t="s">
        <v>225</v>
      </c>
      <c r="X27"/>
      <c r="Y27"/>
      <c r="Z27"/>
    </row>
    <row r="28" spans="1:26" ht="15.75" customHeight="1" x14ac:dyDescent="0.35">
      <c r="A28" s="109" t="s">
        <v>21</v>
      </c>
      <c r="B28" s="109"/>
      <c r="C28" s="109"/>
      <c r="D28" s="109"/>
      <c r="E28" s="128" t="str">
        <f>IF(AND(G20="Mumbai"),"Developed","Developing")</f>
        <v>Developed</v>
      </c>
      <c r="F28" s="128"/>
      <c r="G28" s="128"/>
      <c r="H28" s="128"/>
    </row>
    <row r="29" spans="1:26" x14ac:dyDescent="0.35">
      <c r="A29" s="109" t="s">
        <v>22</v>
      </c>
      <c r="B29" s="109"/>
      <c r="C29" s="109"/>
      <c r="D29" s="109"/>
      <c r="E29" s="128" t="s">
        <v>23</v>
      </c>
      <c r="F29" s="128"/>
      <c r="G29" s="128"/>
      <c r="H29" s="128"/>
    </row>
    <row r="30" spans="1:26" ht="15.75" customHeight="1" x14ac:dyDescent="0.35">
      <c r="A30" s="109" t="s">
        <v>78</v>
      </c>
      <c r="B30" s="109"/>
      <c r="C30" s="109"/>
      <c r="D30" s="109"/>
      <c r="E30" s="128" t="s">
        <v>79</v>
      </c>
      <c r="F30" s="128"/>
      <c r="G30" s="128"/>
      <c r="H30" s="128"/>
    </row>
    <row r="31" spans="1:26" ht="15" customHeight="1" x14ac:dyDescent="0.35">
      <c r="A31" s="109" t="s">
        <v>30</v>
      </c>
      <c r="B31" s="109"/>
      <c r="C31" s="109"/>
      <c r="D31" s="109"/>
      <c r="E31" s="12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8"/>
      <c r="G31" s="128"/>
      <c r="H31" s="128"/>
    </row>
    <row r="32" spans="1:26" ht="15.75" customHeight="1" x14ac:dyDescent="0.35">
      <c r="A32" s="109" t="s">
        <v>90</v>
      </c>
      <c r="B32" s="109"/>
      <c r="C32" s="109"/>
      <c r="D32" s="109"/>
      <c r="E32" s="128" t="s">
        <v>31</v>
      </c>
      <c r="F32" s="128"/>
      <c r="G32" s="128"/>
      <c r="H32" s="128"/>
    </row>
    <row r="33" spans="1:19" s="19" customFormat="1" x14ac:dyDescent="0.35">
      <c r="A33" s="188" t="s">
        <v>91</v>
      </c>
      <c r="B33" s="188"/>
      <c r="C33" s="103" t="s">
        <v>173</v>
      </c>
      <c r="D33" s="103"/>
      <c r="E33" s="103"/>
      <c r="F33" s="103" t="s">
        <v>29</v>
      </c>
      <c r="G33" s="103"/>
      <c r="H33" s="103"/>
      <c r="S33" s="19" t="e">
        <f ca="1">OFFSET($S$13,1,MATCH($G20,$S$13:$W$13,0)-1,15,1)</f>
        <v>#VALUE!</v>
      </c>
    </row>
    <row r="34" spans="1:19" s="19" customFormat="1" x14ac:dyDescent="0.35">
      <c r="A34" s="187" t="s">
        <v>24</v>
      </c>
      <c r="B34" s="187" t="s">
        <v>28</v>
      </c>
      <c r="C34" s="197" t="s">
        <v>313</v>
      </c>
      <c r="D34" s="197"/>
      <c r="E34" s="197"/>
      <c r="F34" s="226" t="s">
        <v>311</v>
      </c>
      <c r="G34" s="226"/>
      <c r="H34" s="226"/>
    </row>
    <row r="35" spans="1:19" x14ac:dyDescent="0.35">
      <c r="A35" s="187" t="s">
        <v>25</v>
      </c>
      <c r="B35" s="187" t="s">
        <v>28</v>
      </c>
      <c r="C35" s="197" t="s">
        <v>313</v>
      </c>
      <c r="D35" s="197"/>
      <c r="E35" s="197"/>
      <c r="F35" s="226" t="s">
        <v>310</v>
      </c>
      <c r="G35" s="226"/>
      <c r="H35" s="226"/>
    </row>
    <row r="36" spans="1:19" s="19" customFormat="1" x14ac:dyDescent="0.35">
      <c r="A36" s="187" t="s">
        <v>27</v>
      </c>
      <c r="B36" s="187" t="s">
        <v>28</v>
      </c>
      <c r="C36" s="226" t="s">
        <v>312</v>
      </c>
      <c r="D36" s="226"/>
      <c r="E36" s="226"/>
      <c r="F36" s="226" t="s">
        <v>10</v>
      </c>
      <c r="G36" s="226"/>
      <c r="H36" s="226"/>
    </row>
    <row r="37" spans="1:19" ht="32.25" customHeight="1" x14ac:dyDescent="0.35">
      <c r="A37" s="197" t="s">
        <v>26</v>
      </c>
      <c r="B37" s="197" t="s">
        <v>28</v>
      </c>
      <c r="C37" s="197" t="s">
        <v>313</v>
      </c>
      <c r="D37" s="197"/>
      <c r="E37" s="197"/>
      <c r="F37" s="227" t="s">
        <v>308</v>
      </c>
      <c r="G37" s="227"/>
      <c r="H37" s="227"/>
    </row>
    <row r="38" spans="1:19" x14ac:dyDescent="0.35">
      <c r="A38" s="109" t="s">
        <v>282</v>
      </c>
      <c r="B38" s="109"/>
      <c r="C38" s="109"/>
      <c r="D38" s="109"/>
      <c r="E38" s="109"/>
      <c r="F38" s="109"/>
      <c r="G38" s="109"/>
      <c r="H38" s="109"/>
    </row>
    <row r="39" spans="1:19" ht="15.75" customHeight="1" x14ac:dyDescent="0.35">
      <c r="A39" s="109" t="s">
        <v>164</v>
      </c>
      <c r="B39" s="109"/>
      <c r="C39" s="190" t="s">
        <v>362</v>
      </c>
      <c r="D39" s="190"/>
      <c r="E39" s="190"/>
      <c r="F39" s="190"/>
      <c r="G39" s="190"/>
      <c r="H39" s="190"/>
    </row>
    <row r="40" spans="1:19" x14ac:dyDescent="0.35">
      <c r="A40" s="109" t="s">
        <v>160</v>
      </c>
      <c r="B40" s="109"/>
      <c r="C40" s="204" t="s">
        <v>307</v>
      </c>
      <c r="D40" s="128"/>
      <c r="E40" s="128"/>
      <c r="F40" s="128"/>
      <c r="G40" s="128"/>
      <c r="H40" s="128"/>
    </row>
    <row r="41" spans="1:19" x14ac:dyDescent="0.35">
      <c r="A41" s="190" t="s">
        <v>32</v>
      </c>
      <c r="B41" s="190"/>
      <c r="C41" s="190"/>
      <c r="D41" s="190"/>
      <c r="E41" s="190"/>
      <c r="F41" s="190"/>
      <c r="G41" s="190"/>
      <c r="H41" s="190"/>
    </row>
    <row r="42" spans="1:19" x14ac:dyDescent="0.35">
      <c r="A42" s="105" t="s">
        <v>33</v>
      </c>
      <c r="B42" s="105"/>
      <c r="C42" s="105"/>
      <c r="D42" s="105"/>
      <c r="E42" s="189">
        <v>916.8</v>
      </c>
      <c r="F42" s="189"/>
      <c r="G42" s="189"/>
      <c r="H42" s="189"/>
    </row>
    <row r="43" spans="1:19" x14ac:dyDescent="0.35">
      <c r="A43" s="105" t="s">
        <v>34</v>
      </c>
      <c r="B43" s="105"/>
      <c r="C43" s="105"/>
      <c r="D43" s="105"/>
      <c r="E43" s="115">
        <v>4</v>
      </c>
      <c r="F43" s="115"/>
      <c r="G43" s="115"/>
      <c r="H43" s="115"/>
    </row>
    <row r="44" spans="1:19" x14ac:dyDescent="0.35">
      <c r="A44" s="105" t="s">
        <v>35</v>
      </c>
      <c r="B44" s="105"/>
      <c r="C44" s="105"/>
      <c r="D44" s="105"/>
      <c r="E44" s="115">
        <f>E46/E42-E43</f>
        <v>1.368771815008726</v>
      </c>
      <c r="F44" s="115"/>
      <c r="G44" s="115"/>
      <c r="H44" s="115"/>
    </row>
    <row r="45" spans="1:19" x14ac:dyDescent="0.35">
      <c r="A45" s="105" t="s">
        <v>36</v>
      </c>
      <c r="B45" s="105"/>
      <c r="C45" s="105"/>
      <c r="D45" s="105"/>
      <c r="E45" s="115">
        <f>E43+E44</f>
        <v>5.368771815008726</v>
      </c>
      <c r="F45" s="115"/>
      <c r="G45" s="115"/>
      <c r="H45" s="115"/>
    </row>
    <row r="46" spans="1:19" x14ac:dyDescent="0.35">
      <c r="A46" s="105" t="s">
        <v>89</v>
      </c>
      <c r="B46" s="105"/>
      <c r="C46" s="105"/>
      <c r="D46" s="105"/>
      <c r="E46" s="193">
        <v>4922.09</v>
      </c>
      <c r="F46" s="193"/>
      <c r="G46" s="193"/>
      <c r="H46" s="193"/>
      <c r="I46" s="18">
        <f>E42/E46</f>
        <v>0.18626233977842743</v>
      </c>
    </row>
    <row r="47" spans="1:19" x14ac:dyDescent="0.35">
      <c r="A47" s="105" t="s">
        <v>37</v>
      </c>
      <c r="B47" s="105"/>
      <c r="C47" s="105"/>
      <c r="D47" s="105"/>
      <c r="E47" s="105" t="s">
        <v>328</v>
      </c>
      <c r="F47" s="105"/>
      <c r="G47" s="105"/>
      <c r="H47" s="105"/>
    </row>
    <row r="48" spans="1:19" x14ac:dyDescent="0.35">
      <c r="A48" s="190" t="s">
        <v>38</v>
      </c>
      <c r="B48" s="190"/>
      <c r="C48" s="190"/>
      <c r="D48" s="190"/>
      <c r="E48" s="190"/>
      <c r="F48" s="190"/>
      <c r="G48" s="190"/>
      <c r="H48" s="190"/>
    </row>
    <row r="49" spans="1:24" ht="33.75" customHeight="1" x14ac:dyDescent="0.35">
      <c r="A49" s="123" t="s">
        <v>149</v>
      </c>
      <c r="B49" s="124"/>
      <c r="C49" s="218" t="s">
        <v>256</v>
      </c>
      <c r="D49" s="219"/>
      <c r="E49" s="219"/>
      <c r="F49" s="219"/>
      <c r="G49" s="219"/>
      <c r="H49" s="220"/>
      <c r="R49" t="s">
        <v>255</v>
      </c>
      <c r="S49" t="s">
        <v>172</v>
      </c>
      <c r="T49" t="s">
        <v>179</v>
      </c>
      <c r="U49" t="s">
        <v>194</v>
      </c>
      <c r="V49" t="s">
        <v>189</v>
      </c>
    </row>
    <row r="50" spans="1:24" ht="15.75" customHeight="1" x14ac:dyDescent="0.35">
      <c r="A50" s="123" t="s">
        <v>39</v>
      </c>
      <c r="B50" s="124"/>
      <c r="C50" s="123" t="s">
        <v>315</v>
      </c>
      <c r="D50" s="125"/>
      <c r="E50" s="124"/>
      <c r="F50" s="17" t="s">
        <v>40</v>
      </c>
      <c r="G50" s="126">
        <v>45208</v>
      </c>
      <c r="H50" s="124"/>
      <c r="R50"/>
      <c r="S50" t="s">
        <v>256</v>
      </c>
      <c r="T50" t="s">
        <v>261</v>
      </c>
      <c r="U50" t="s">
        <v>272</v>
      </c>
      <c r="V50" t="s">
        <v>277</v>
      </c>
    </row>
    <row r="51" spans="1:24" x14ac:dyDescent="0.35">
      <c r="A51" s="123" t="s">
        <v>41</v>
      </c>
      <c r="B51" s="124"/>
      <c r="C51" s="123" t="str">
        <f>C50</f>
        <v>KE/PVT/0252/20201103/AP/C</v>
      </c>
      <c r="D51" s="125"/>
      <c r="E51" s="124"/>
      <c r="F51" s="17" t="s">
        <v>40</v>
      </c>
      <c r="G51" s="126">
        <f>G50</f>
        <v>45208</v>
      </c>
      <c r="H51" s="124"/>
      <c r="R51"/>
      <c r="S51" t="s">
        <v>257</v>
      </c>
      <c r="T51" t="s">
        <v>262</v>
      </c>
      <c r="U51" t="s">
        <v>270</v>
      </c>
      <c r="V51" t="s">
        <v>278</v>
      </c>
    </row>
    <row r="52" spans="1:24" s="20" customFormat="1" ht="15.75" customHeight="1" x14ac:dyDescent="0.35">
      <c r="A52" s="135" t="s">
        <v>153</v>
      </c>
      <c r="B52" s="136"/>
      <c r="C52" s="123" t="s">
        <v>315</v>
      </c>
      <c r="D52" s="125"/>
      <c r="E52" s="124"/>
      <c r="F52" s="17" t="s">
        <v>40</v>
      </c>
      <c r="G52" s="126">
        <v>45084</v>
      </c>
      <c r="H52" s="124"/>
      <c r="R52"/>
      <c r="S52" t="s">
        <v>258</v>
      </c>
      <c r="T52" t="s">
        <v>263</v>
      </c>
      <c r="U52" t="s">
        <v>260</v>
      </c>
      <c r="V52" t="s">
        <v>279</v>
      </c>
    </row>
    <row r="53" spans="1:24" s="20" customFormat="1" ht="63.75" customHeight="1" x14ac:dyDescent="0.35">
      <c r="A53" s="137"/>
      <c r="B53" s="138"/>
      <c r="C53" s="194" t="s">
        <v>316</v>
      </c>
      <c r="D53" s="195"/>
      <c r="E53" s="195"/>
      <c r="F53" s="195" t="s">
        <v>119</v>
      </c>
      <c r="G53" s="195"/>
      <c r="H53" s="196"/>
      <c r="R53"/>
      <c r="S53" t="s">
        <v>259</v>
      </c>
      <c r="T53" t="s">
        <v>266</v>
      </c>
      <c r="U53" t="s">
        <v>273</v>
      </c>
    </row>
    <row r="54" spans="1:24" s="20" customFormat="1" hidden="1" x14ac:dyDescent="0.35">
      <c r="A54" s="131" t="s">
        <v>283</v>
      </c>
      <c r="B54" s="132"/>
      <c r="C54" s="123"/>
      <c r="D54" s="125"/>
      <c r="E54" s="124"/>
      <c r="F54" s="17" t="s">
        <v>40</v>
      </c>
      <c r="G54" s="123"/>
      <c r="H54" s="124"/>
      <c r="R54"/>
      <c r="S54" t="s">
        <v>258</v>
      </c>
      <c r="T54" t="s">
        <v>263</v>
      </c>
      <c r="U54" t="s">
        <v>260</v>
      </c>
      <c r="V54" t="s">
        <v>279</v>
      </c>
    </row>
    <row r="55" spans="1:24" s="20" customFormat="1" ht="32.25" hidden="1" customHeight="1" x14ac:dyDescent="0.35">
      <c r="A55" s="133"/>
      <c r="B55" s="134"/>
      <c r="C55" s="194"/>
      <c r="D55" s="195"/>
      <c r="E55" s="195"/>
      <c r="F55" s="195"/>
      <c r="G55" s="195"/>
      <c r="H55" s="196"/>
      <c r="R55"/>
      <c r="S55" t="s">
        <v>260</v>
      </c>
      <c r="T55" t="s">
        <v>264</v>
      </c>
      <c r="U55" t="s">
        <v>274</v>
      </c>
      <c r="V55" s="18"/>
      <c r="W55" s="18"/>
      <c r="X55" s="18"/>
    </row>
    <row r="56" spans="1:24" s="20" customFormat="1" ht="34.5" hidden="1" customHeight="1" x14ac:dyDescent="0.35">
      <c r="A56" s="131" t="s">
        <v>284</v>
      </c>
      <c r="B56" s="132"/>
      <c r="C56" s="123">
        <f>C55</f>
        <v>0</v>
      </c>
      <c r="D56" s="125"/>
      <c r="E56" s="124"/>
      <c r="F56" s="17" t="s">
        <v>40</v>
      </c>
      <c r="G56" s="123">
        <f>G55</f>
        <v>0</v>
      </c>
      <c r="H56" s="124"/>
      <c r="R56"/>
      <c r="S56" s="18"/>
      <c r="T56" t="s">
        <v>265</v>
      </c>
      <c r="U56" t="s">
        <v>275</v>
      </c>
      <c r="V56" s="18"/>
      <c r="W56" s="18"/>
      <c r="X56" s="18"/>
    </row>
    <row r="57" spans="1:24" s="20" customFormat="1" ht="41.25" hidden="1" customHeight="1" x14ac:dyDescent="0.35">
      <c r="A57" s="133"/>
      <c r="B57" s="134"/>
      <c r="C57" s="123"/>
      <c r="D57" s="125"/>
      <c r="E57" s="125"/>
      <c r="F57" s="125"/>
      <c r="G57" s="125"/>
      <c r="H57" s="124"/>
      <c r="R57"/>
      <c r="S57" s="18"/>
      <c r="T57" t="s">
        <v>267</v>
      </c>
      <c r="U57" t="s">
        <v>276</v>
      </c>
      <c r="V57" s="18"/>
      <c r="W57" s="18"/>
      <c r="X57" s="18"/>
    </row>
    <row r="58" spans="1:24" s="20" customFormat="1" ht="15.75" hidden="1" customHeight="1" x14ac:dyDescent="0.35">
      <c r="A58" s="131" t="s">
        <v>285</v>
      </c>
      <c r="B58" s="132"/>
      <c r="C58" s="123">
        <f>C57</f>
        <v>0</v>
      </c>
      <c r="D58" s="125"/>
      <c r="E58" s="124"/>
      <c r="F58" s="17" t="s">
        <v>40</v>
      </c>
      <c r="G58" s="123">
        <f>G57</f>
        <v>0</v>
      </c>
      <c r="H58" s="124"/>
      <c r="R58"/>
      <c r="S58" s="18"/>
      <c r="T58" t="s">
        <v>268</v>
      </c>
      <c r="U58" s="18" t="s">
        <v>299</v>
      </c>
      <c r="V58" s="18"/>
      <c r="W58" s="18"/>
      <c r="X58" s="18"/>
    </row>
    <row r="59" spans="1:24" s="20" customFormat="1" ht="33.75" hidden="1" customHeight="1" x14ac:dyDescent="0.35">
      <c r="A59" s="133"/>
      <c r="B59" s="134"/>
      <c r="C59" s="123"/>
      <c r="D59" s="125"/>
      <c r="E59" s="125"/>
      <c r="F59" s="125"/>
      <c r="G59" s="125"/>
      <c r="H59" s="124"/>
      <c r="R59"/>
      <c r="S59" s="18"/>
      <c r="T59" t="s">
        <v>269</v>
      </c>
      <c r="U59" s="18"/>
      <c r="V59" s="18"/>
      <c r="W59" s="18"/>
      <c r="X59" s="18"/>
    </row>
    <row r="60" spans="1:24" x14ac:dyDescent="0.35">
      <c r="A60" s="106" t="s">
        <v>42</v>
      </c>
      <c r="B60" s="107"/>
      <c r="C60" s="106" t="s">
        <v>103</v>
      </c>
      <c r="D60" s="108"/>
      <c r="E60" s="107"/>
      <c r="F60" s="40" t="s">
        <v>40</v>
      </c>
      <c r="G60" s="129" t="s">
        <v>28</v>
      </c>
      <c r="H60" s="130"/>
      <c r="R60"/>
      <c r="T60" t="s">
        <v>271</v>
      </c>
    </row>
    <row r="61" spans="1:24" x14ac:dyDescent="0.35">
      <c r="A61" s="127" t="s">
        <v>44</v>
      </c>
      <c r="B61" s="127"/>
      <c r="C61" s="127"/>
      <c r="D61" s="127"/>
      <c r="E61" s="127"/>
      <c r="F61" s="127"/>
      <c r="G61" s="127"/>
      <c r="H61" s="127"/>
      <c r="T61" t="s">
        <v>280</v>
      </c>
    </row>
    <row r="62" spans="1:24" x14ac:dyDescent="0.35">
      <c r="A62" s="113" t="s">
        <v>88</v>
      </c>
      <c r="B62" s="113"/>
      <c r="C62" s="113"/>
      <c r="D62" s="109">
        <f>E46</f>
        <v>4922.09</v>
      </c>
      <c r="E62" s="109"/>
      <c r="F62" s="109"/>
      <c r="G62" s="109"/>
      <c r="H62" s="109"/>
      <c r="R62"/>
    </row>
    <row r="63" spans="1:24" x14ac:dyDescent="0.35">
      <c r="A63" s="128" t="s">
        <v>45</v>
      </c>
      <c r="B63" s="105"/>
      <c r="C63" s="105"/>
      <c r="D63" s="105" t="s">
        <v>351</v>
      </c>
      <c r="E63" s="105"/>
      <c r="F63" s="105"/>
      <c r="G63" s="105"/>
      <c r="H63" s="105"/>
      <c r="I63" s="21"/>
      <c r="R63"/>
    </row>
    <row r="64" spans="1:24" ht="34.5" customHeight="1" x14ac:dyDescent="0.35">
      <c r="A64" s="222" t="s">
        <v>46</v>
      </c>
      <c r="B64" s="223"/>
      <c r="C64" s="224"/>
      <c r="D64" s="169" t="s">
        <v>317</v>
      </c>
      <c r="E64" s="221"/>
      <c r="F64" s="221"/>
      <c r="G64" s="221"/>
      <c r="H64" s="221"/>
      <c r="R64"/>
    </row>
    <row r="65" spans="1:19" ht="15.75" customHeight="1" x14ac:dyDescent="0.35">
      <c r="A65" s="128" t="s">
        <v>86</v>
      </c>
      <c r="B65" s="128"/>
      <c r="C65" s="139"/>
      <c r="D65" s="140" t="s">
        <v>365</v>
      </c>
      <c r="E65" s="141"/>
      <c r="F65" s="141"/>
      <c r="G65" s="141"/>
      <c r="H65" s="142"/>
      <c r="R65"/>
    </row>
    <row r="66" spans="1:19" ht="15.75" customHeight="1" x14ac:dyDescent="0.35">
      <c r="A66" s="128"/>
      <c r="B66" s="128"/>
      <c r="C66" s="139"/>
      <c r="D66" s="143" t="s">
        <v>318</v>
      </c>
      <c r="E66" s="144"/>
      <c r="F66" s="144"/>
      <c r="G66" s="144"/>
      <c r="H66" s="145"/>
      <c r="R66"/>
    </row>
    <row r="67" spans="1:19" ht="15.75" hidden="1" customHeight="1" x14ac:dyDescent="0.35">
      <c r="A67" s="128"/>
      <c r="B67" s="128"/>
      <c r="C67" s="128"/>
      <c r="D67" s="158" t="s">
        <v>168</v>
      </c>
      <c r="E67" s="158"/>
      <c r="F67" s="158"/>
      <c r="G67" s="158"/>
      <c r="H67" s="158"/>
      <c r="S67"/>
    </row>
    <row r="68" spans="1:19" ht="15.75" customHeight="1" x14ac:dyDescent="0.35">
      <c r="A68" s="109" t="s">
        <v>43</v>
      </c>
      <c r="B68" s="109"/>
      <c r="C68" s="109"/>
      <c r="D68" s="191" t="s">
        <v>319</v>
      </c>
      <c r="E68" s="191"/>
      <c r="F68" s="191"/>
      <c r="G68" s="191"/>
      <c r="H68" s="191"/>
      <c r="J68" s="22"/>
      <c r="K68" s="21"/>
      <c r="N68" s="21"/>
      <c r="S68"/>
    </row>
    <row r="69" spans="1:19" ht="15.75" customHeight="1" x14ac:dyDescent="0.35">
      <c r="A69" s="109" t="s">
        <v>84</v>
      </c>
      <c r="B69" s="109"/>
      <c r="C69" s="109"/>
      <c r="D69" s="192" t="str">
        <f>(IF(G60="NA","60 Years After Completion",IF(G60&lt;&gt;"NA",""&amp;60-ROUNDDOWN((E3-G60)/360,0)&amp;" Years"," ")))</f>
        <v>60 Years After Completion</v>
      </c>
      <c r="E69" s="192"/>
      <c r="F69" s="192"/>
      <c r="G69" s="192"/>
      <c r="H69" s="192"/>
      <c r="N69" s="21"/>
      <c r="S69"/>
    </row>
    <row r="70" spans="1:19" ht="15.75" customHeight="1" x14ac:dyDescent="0.35">
      <c r="A70" s="109" t="s">
        <v>85</v>
      </c>
      <c r="B70" s="109"/>
      <c r="C70" s="109"/>
      <c r="D70" s="113" t="s">
        <v>23</v>
      </c>
      <c r="E70" s="113"/>
      <c r="F70" s="113"/>
      <c r="G70" s="113"/>
      <c r="H70" s="113"/>
      <c r="J70" s="23"/>
      <c r="K70" s="23"/>
      <c r="S70"/>
    </row>
    <row r="71" spans="1:19" ht="33.75" customHeight="1" x14ac:dyDescent="0.35">
      <c r="A71" s="105" t="s">
        <v>334</v>
      </c>
      <c r="B71" s="105"/>
      <c r="C71" s="105"/>
      <c r="D71" s="128" t="s">
        <v>333</v>
      </c>
      <c r="E71" s="128"/>
      <c r="F71" s="128"/>
      <c r="G71" s="128"/>
      <c r="H71" s="128"/>
      <c r="S71"/>
    </row>
    <row r="72" spans="1:19" x14ac:dyDescent="0.35">
      <c r="A72" s="113" t="s">
        <v>146</v>
      </c>
      <c r="B72" s="113"/>
      <c r="C72" s="113"/>
      <c r="D72" s="113" t="s">
        <v>28</v>
      </c>
      <c r="E72" s="113"/>
      <c r="F72" s="113"/>
      <c r="G72" s="113"/>
      <c r="H72" s="113"/>
      <c r="I72" s="24"/>
      <c r="J72" s="24"/>
      <c r="K72" s="24"/>
      <c r="L72" s="24"/>
      <c r="M72" s="24"/>
      <c r="N72" s="24"/>
    </row>
    <row r="73" spans="1:19" ht="15.75" customHeight="1" x14ac:dyDescent="0.35">
      <c r="A73" s="114" t="s">
        <v>83</v>
      </c>
      <c r="B73" s="114"/>
      <c r="C73" s="114"/>
      <c r="D73" s="169" t="str">
        <f ca="1">(IF(G79&gt;95%,"Nothing",IF(G79&gt;0%,"Cement, Aggregate, Steel, etc",IF(G79=0%,"Work not yet Started"))))</f>
        <v>Cement, Aggregate, Steel, etc</v>
      </c>
      <c r="E73" s="169"/>
      <c r="F73" s="169"/>
      <c r="G73" s="169"/>
      <c r="H73" s="169"/>
      <c r="J73" s="23"/>
      <c r="S73"/>
    </row>
    <row r="74" spans="1:19" ht="33.75" customHeight="1" thickBot="1" x14ac:dyDescent="0.4">
      <c r="A74" s="168" t="s">
        <v>116</v>
      </c>
      <c r="B74" s="168"/>
      <c r="C74" s="168"/>
      <c r="D74" s="169" t="str">
        <f ca="1">(IF(D73="Nothing","Yes",IF(D73="Cement, Aggregate, Steel, etc","Under Construction",IF(D73="Work not yet Started","Work not yet Started"))))</f>
        <v>Under Construction</v>
      </c>
      <c r="E74" s="169"/>
      <c r="F74" s="169" t="str">
        <f ca="1">(IF(D73="Nothing","Yes",IF(D73="Cement, Aggregate, Steel, etc","Under Construction",IF(D73="Work not yet Started","Work not yet Started"))))</f>
        <v>Under Construction</v>
      </c>
      <c r="G74" s="169"/>
      <c r="H74" s="169"/>
      <c r="S74"/>
    </row>
    <row r="75" spans="1:19" ht="15.75" customHeight="1" x14ac:dyDescent="0.35">
      <c r="A75" s="116" t="s">
        <v>138</v>
      </c>
      <c r="B75" s="117"/>
      <c r="C75" s="118" t="str">
        <f>D65</f>
        <v>Sale Wing A = Gr + 1st to 19th Floor</v>
      </c>
      <c r="D75" s="119"/>
      <c r="E75" s="119"/>
      <c r="F75" s="119"/>
      <c r="G75" s="119"/>
      <c r="H75" s="120"/>
      <c r="I75" s="42" t="str">
        <f ca="1">IF(D88=100%,"All work Completed. Possession granted to the Building.",IF(D87=100%,"All work Completed, Waiting for OC",I76&amp;""&amp;I77&amp;""&amp;J76&amp;""&amp;J75&amp;" "&amp;J77))</f>
        <v>Excavation, Plinth, RCC Slab, Brickwork, Internal Plaster, External Plaster Completed, Flooring upto 17 Floor, Painting upto 17 Floor, Finishing upto 3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Flooring upto 17 Floor, Painting upto 17 Floor, Finishing upto 3 Floor</v>
      </c>
      <c r="S75"/>
    </row>
    <row r="76" spans="1:19" x14ac:dyDescent="0.35">
      <c r="A76" s="15" t="s">
        <v>140</v>
      </c>
      <c r="B76" s="46">
        <f>IF(AND(ISNUMBER(SEARCH("1B",C75))),1,IF(AND(ISNUMBER(SEARCH("2B",C75))),2,IF(AND(ISNUMBER(SEARCH("3B",C75))),3,IF(AND(ISNUMBER(SEARCH("4B",C75))),4,IF(ISNUMBER(SEARCH("5B",C75)),5,0)))))</f>
        <v>0</v>
      </c>
      <c r="C76" s="46" t="s">
        <v>69</v>
      </c>
      <c r="D76" s="46">
        <v>1</v>
      </c>
      <c r="E76" s="46" t="s">
        <v>68</v>
      </c>
      <c r="F76" s="46">
        <v>0</v>
      </c>
      <c r="G76" s="46" t="s">
        <v>77</v>
      </c>
      <c r="H76" s="16">
        <f ca="1">--TRIM(RIGHT(SUBSTITUTE(LEFT(C75,_xlfn.AGGREGATE(16,6,FIND({0,1,2,3,4,5,6,7,8,9},C75,ROW(INDIRECT("1:"&amp;LEN(C75)))),1))," ",REPT(" ",LEN(C75))),LEN(C75)))</f>
        <v>19</v>
      </c>
      <c r="I76" s="44"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48.5" customHeight="1" x14ac:dyDescent="0.35">
      <c r="A77" s="182" t="s">
        <v>87</v>
      </c>
      <c r="B77" s="163"/>
      <c r="C77" s="166" t="str">
        <f ca="1">I75</f>
        <v>Excavation, Plinth, RCC Slab, Brickwork, Internal Plaster, External Plaster Completed, Flooring upto 17 Floor, Painting upto 17 Floor, Finishing upto 3 Floor Completed</v>
      </c>
      <c r="D77" s="166"/>
      <c r="E77" s="166"/>
      <c r="F77" s="166"/>
      <c r="G77" s="166"/>
      <c r="H77" s="167"/>
      <c r="I77" s="44" t="str">
        <f ca="1">IF(I76&lt;&gt;""," Completed","")</f>
        <v xml:space="preserve"> Completed</v>
      </c>
      <c r="J77" s="45" t="str">
        <f ca="1">IF(J75&lt;&gt;"","Completed","")</f>
        <v>Completed</v>
      </c>
      <c r="S77"/>
    </row>
    <row r="78" spans="1:19" ht="15.75" customHeight="1" x14ac:dyDescent="0.35">
      <c r="A78" s="121" t="s">
        <v>47</v>
      </c>
      <c r="B78" s="122"/>
      <c r="C78" s="65" t="s">
        <v>137</v>
      </c>
      <c r="D78" s="65" t="s">
        <v>80</v>
      </c>
      <c r="E78" s="122" t="s">
        <v>82</v>
      </c>
      <c r="F78" s="122"/>
      <c r="G78" s="122" t="s">
        <v>81</v>
      </c>
      <c r="H78" s="170"/>
      <c r="I78" s="13" t="s">
        <v>139</v>
      </c>
      <c r="J78" s="25">
        <f ca="1">H76*25%</f>
        <v>4.75</v>
      </c>
      <c r="S78"/>
    </row>
    <row r="79" spans="1:19" x14ac:dyDescent="0.35">
      <c r="A79" s="121" t="s">
        <v>126</v>
      </c>
      <c r="B79" s="122"/>
      <c r="C79" s="65">
        <f ca="1">J80</f>
        <v>19</v>
      </c>
      <c r="D79" s="66">
        <f ca="1">((100/H76)*C79)/100</f>
        <v>1</v>
      </c>
      <c r="E79" s="171">
        <f ca="1">(((C80/H76*10)+(40/(D76+F76+H76)*C81)+(7.5/(H76)*C82)+(7.5/(H76)*C83)+(10/H76*C84)+(10/H76*C85)+(5/H76*C86)+(5/H76*C87)+(5/H76*C88))/100)</f>
        <v>0.89210526315789462</v>
      </c>
      <c r="F79" s="172"/>
      <c r="G79" s="171">
        <f ca="1">((((C79/H76)*20)+((C80/H76)*25)+(30/(H76+F76+D76)*C81)+(5/H76*C82)+(5/H76*C83)+(5/H76*C84)+(5/H76*C85)+(0/H76*C86)+(0/H76*C87)+(5/H76*C88))/100)</f>
        <v>0.9447368421052631</v>
      </c>
      <c r="H79" s="177"/>
      <c r="I79" s="13" t="s">
        <v>98</v>
      </c>
      <c r="J79" s="26">
        <f ca="1">H76*50%</f>
        <v>9.5</v>
      </c>
    </row>
    <row r="80" spans="1:19" x14ac:dyDescent="0.35">
      <c r="A80" s="121" t="s">
        <v>48</v>
      </c>
      <c r="B80" s="122"/>
      <c r="C80" s="65">
        <f ca="1">J88</f>
        <v>19</v>
      </c>
      <c r="D80" s="66">
        <f ca="1">((100/H76)*C80)/100</f>
        <v>1</v>
      </c>
      <c r="E80" s="173"/>
      <c r="F80" s="174"/>
      <c r="G80" s="173"/>
      <c r="H80" s="178"/>
      <c r="I80" s="13" t="s">
        <v>99</v>
      </c>
      <c r="J80" s="26">
        <f ca="1">H76</f>
        <v>19</v>
      </c>
      <c r="S80"/>
    </row>
    <row r="81" spans="1:19" ht="15.75" customHeight="1" x14ac:dyDescent="0.35">
      <c r="A81" s="121" t="s">
        <v>127</v>
      </c>
      <c r="B81" s="122"/>
      <c r="C81" s="65">
        <v>20</v>
      </c>
      <c r="D81" s="66">
        <f ca="1">((100/(D76+F76+H76))*C81)/100</f>
        <v>1</v>
      </c>
      <c r="E81" s="173"/>
      <c r="F81" s="174"/>
      <c r="G81" s="173"/>
      <c r="H81" s="178"/>
      <c r="I81" s="13" t="s">
        <v>100</v>
      </c>
      <c r="J81" s="27">
        <f ca="1">(IF(B76&gt;1,(H76/(B76+2)),H76/4))</f>
        <v>4.75</v>
      </c>
      <c r="S81"/>
    </row>
    <row r="82" spans="1:19" ht="15.75" customHeight="1" x14ac:dyDescent="0.35">
      <c r="A82" s="121" t="s">
        <v>134</v>
      </c>
      <c r="B82" s="122" t="s">
        <v>128</v>
      </c>
      <c r="C82" s="65">
        <v>19</v>
      </c>
      <c r="D82" s="66">
        <f ca="1">((100/H76)*C82)/100</f>
        <v>1</v>
      </c>
      <c r="E82" s="173"/>
      <c r="F82" s="174"/>
      <c r="G82" s="173"/>
      <c r="H82" s="178"/>
      <c r="I82" s="13" t="s">
        <v>101</v>
      </c>
      <c r="J82" s="27">
        <f ca="1">(IF(B76&gt;1,(H76/(B76+2)+J81),H76/4+J81))</f>
        <v>9.5</v>
      </c>
    </row>
    <row r="83" spans="1:19" ht="15.75" customHeight="1" x14ac:dyDescent="0.35">
      <c r="A83" s="121" t="s">
        <v>135</v>
      </c>
      <c r="B83" s="122" t="s">
        <v>128</v>
      </c>
      <c r="C83" s="65">
        <v>19</v>
      </c>
      <c r="D83" s="66">
        <f ca="1">((100/H76)*C83)/100</f>
        <v>1</v>
      </c>
      <c r="E83" s="173"/>
      <c r="F83" s="174"/>
      <c r="G83" s="173"/>
      <c r="H83" s="178"/>
      <c r="I83" s="13" t="s">
        <v>144</v>
      </c>
      <c r="J83" s="27">
        <f>(IF(B76&gt;1,(H76/(B76+2)+J82),0))</f>
        <v>0</v>
      </c>
    </row>
    <row r="84" spans="1:19" ht="15" customHeight="1" x14ac:dyDescent="0.35">
      <c r="A84" s="121" t="s">
        <v>133</v>
      </c>
      <c r="B84" s="122" t="s">
        <v>130</v>
      </c>
      <c r="C84" s="65">
        <v>19</v>
      </c>
      <c r="D84" s="66">
        <f ca="1">((100/(H76))*C84)/100</f>
        <v>1</v>
      </c>
      <c r="E84" s="173"/>
      <c r="F84" s="174"/>
      <c r="G84" s="173"/>
      <c r="H84" s="178"/>
      <c r="I84" s="13" t="s">
        <v>141</v>
      </c>
      <c r="J84" s="27">
        <f>(IF(B76&gt;2,(H76/(B76+2)+J83),0))</f>
        <v>0</v>
      </c>
    </row>
    <row r="85" spans="1:19" ht="15.75" customHeight="1" x14ac:dyDescent="0.35">
      <c r="A85" s="121" t="s">
        <v>129</v>
      </c>
      <c r="B85" s="122" t="s">
        <v>129</v>
      </c>
      <c r="C85" s="65">
        <v>17</v>
      </c>
      <c r="D85" s="66">
        <f ca="1">((100/H76)*C85)/100</f>
        <v>0.89473684210526327</v>
      </c>
      <c r="E85" s="173"/>
      <c r="F85" s="174"/>
      <c r="G85" s="173"/>
      <c r="H85" s="178"/>
      <c r="I85" s="13" t="s">
        <v>142</v>
      </c>
      <c r="J85" s="28">
        <f>(IF(B76&gt;3,(H76/(B76+2)+J84),0))</f>
        <v>0</v>
      </c>
    </row>
    <row r="86" spans="1:19" ht="15.75" customHeight="1" x14ac:dyDescent="0.35">
      <c r="A86" s="121" t="s">
        <v>136</v>
      </c>
      <c r="B86" s="122"/>
      <c r="C86" s="65">
        <v>17</v>
      </c>
      <c r="D86" s="66">
        <f ca="1">((100/H76)*C86)/100</f>
        <v>0.89473684210526327</v>
      </c>
      <c r="E86" s="173"/>
      <c r="F86" s="174"/>
      <c r="G86" s="173"/>
      <c r="H86" s="178"/>
      <c r="I86" s="13" t="s">
        <v>143</v>
      </c>
      <c r="J86" s="27">
        <f>(IF(B76&gt;4,(H76/(B76+2)+J85),0))</f>
        <v>0</v>
      </c>
    </row>
    <row r="87" spans="1:19" ht="15.75" customHeight="1" x14ac:dyDescent="0.35">
      <c r="A87" s="121" t="s">
        <v>131</v>
      </c>
      <c r="B87" s="122" t="s">
        <v>131</v>
      </c>
      <c r="C87" s="65">
        <v>3</v>
      </c>
      <c r="D87" s="66">
        <f ca="1">((100/(H76))*C87)/100</f>
        <v>0.15789473684210528</v>
      </c>
      <c r="E87" s="173"/>
      <c r="F87" s="174"/>
      <c r="G87" s="173"/>
      <c r="H87" s="178"/>
      <c r="I87" s="13" t="s">
        <v>145</v>
      </c>
      <c r="J87" s="27">
        <f ca="1">(IF(B76=1,(H76/(B76+3)+J82),IF(B76=0,(H76/4+J82),IF(B76&gt;1,0))))</f>
        <v>14.25</v>
      </c>
    </row>
    <row r="88" spans="1:19" ht="16" thickBot="1" x14ac:dyDescent="0.4">
      <c r="A88" s="180" t="s">
        <v>132</v>
      </c>
      <c r="B88" s="181"/>
      <c r="C88" s="67">
        <v>0</v>
      </c>
      <c r="D88" s="68">
        <f ca="1">((100/(H76))*C88)/100</f>
        <v>0</v>
      </c>
      <c r="E88" s="175"/>
      <c r="F88" s="176"/>
      <c r="G88" s="175"/>
      <c r="H88" s="179"/>
      <c r="I88" s="14" t="s">
        <v>102</v>
      </c>
      <c r="J88" s="29">
        <f ca="1">(IF(B76&gt;1.5,(H76/(B76+2)+J82+MAX(0,J83-J82)+MAX(0,J84-J83)+MAX(0,J85-J84)+MAX(0,J86-J85)+MAX(0,J87-J86)),IF(B76=1,(H76/(B76+3)+J87),IF(B76=0,H76/4+J87))))</f>
        <v>19</v>
      </c>
    </row>
    <row r="89" spans="1:19" ht="15.75" customHeight="1" x14ac:dyDescent="0.35">
      <c r="A89" s="116" t="s">
        <v>138</v>
      </c>
      <c r="B89" s="117"/>
      <c r="C89" s="118" t="str">
        <f>D66</f>
        <v>Rehab Wing B =  Gr + 1st to 19th Floor</v>
      </c>
      <c r="D89" s="119"/>
      <c r="E89" s="119"/>
      <c r="F89" s="119"/>
      <c r="G89" s="119"/>
      <c r="H89" s="120"/>
      <c r="I89" s="42" t="str">
        <f ca="1">IF(D102=100%,"All work Completed. Possession granted to the Building.",IF(D101=100%,"All work Completed, Waiting for OC",I90&amp;""&amp;I91&amp;""&amp;J90&amp;""&amp;J89&amp;" "&amp;J91))</f>
        <v>Excavation, Plinth, RCC Slab, Brickwork, Internal Plaster, External Plaster Completed, Flooring upto 17 Floor, Painting upto 17 Floor, Finishing upto 3 Floor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Flooring upto 17 Floor, Painting upto 17 Floor, Finishing upto 3 Floor</v>
      </c>
    </row>
    <row r="90" spans="1:19" x14ac:dyDescent="0.35">
      <c r="A90" s="15" t="s">
        <v>140</v>
      </c>
      <c r="B90" s="46">
        <f>IF(AND(ISNUMBER(SEARCH("1B",C89))),1,IF(AND(ISNUMBER(SEARCH("2B",C89))),2,IF(AND(ISNUMBER(SEARCH("3B",C89))),3,IF(AND(ISNUMBER(SEARCH("4B",C89))),4,IF(ISNUMBER(SEARCH("5B",C89)),5,0)))))</f>
        <v>0</v>
      </c>
      <c r="C90" s="46" t="s">
        <v>69</v>
      </c>
      <c r="D90" s="46">
        <v>1</v>
      </c>
      <c r="E90" s="46" t="s">
        <v>68</v>
      </c>
      <c r="F90" s="46">
        <v>0</v>
      </c>
      <c r="G90" s="46" t="s">
        <v>77</v>
      </c>
      <c r="H90" s="16">
        <f ca="1">--TRIM(RIGHT(SUBSTITUTE(LEFT(C89,_xlfn.AGGREGATE(16,6,FIND({0,1,2,3,4,5,6,7,8,9},C89,ROW(INDIRECT("1:"&amp;LEN(C89)))),1))," ",REPT(" ",LEN(C89))),LEN(C89)))</f>
        <v>19</v>
      </c>
      <c r="I90" s="44" t="str">
        <f ca="1">IF(D93=100%,"Excavation","")&amp;IF(D94=100%,", Plinth","")&amp;IF(D95=100%,", RCC Slab","")&amp;IF(D96=100%,", Brickwork","")&amp;IF(D97=100%,", Internal Plaster","")&amp;IF(D98=100%,", External Plaster","")&amp;IF(D99=100%,", Flooring","")&amp;IF(D100=100%,", Painting","")&amp;IF(D101=100%,", Building common Amenities","")</f>
        <v>Excavation, Plinth, RCC Slab, Brickwork, Internal Plaster, External Plaster</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50" customHeight="1" x14ac:dyDescent="0.35">
      <c r="A91" s="182" t="s">
        <v>87</v>
      </c>
      <c r="B91" s="163"/>
      <c r="C91" s="166" t="str">
        <f ca="1">(IF($G$60="NA",I89,"All work Completed. OC Received."))</f>
        <v>Excavation, Plinth, RCC Slab, Brickwork, Internal Plaster, External Plaster Completed, Flooring upto 17 Floor, Painting upto 17 Floor, Finishing upto 3 Floor Completed</v>
      </c>
      <c r="D91" s="166"/>
      <c r="E91" s="166"/>
      <c r="F91" s="166"/>
      <c r="G91" s="166"/>
      <c r="H91" s="167"/>
      <c r="I91" s="44" t="str">
        <f ca="1">IF(I90&lt;&gt;""," Completed","")</f>
        <v xml:space="preserve"> Completed</v>
      </c>
      <c r="J91" s="45" t="str">
        <f ca="1">IF(J89&lt;&gt;"","Completed","")</f>
        <v>Completed</v>
      </c>
    </row>
    <row r="92" spans="1:19" ht="15.75" customHeight="1" x14ac:dyDescent="0.35">
      <c r="A92" s="121" t="s">
        <v>47</v>
      </c>
      <c r="B92" s="122"/>
      <c r="C92" s="65" t="s">
        <v>137</v>
      </c>
      <c r="D92" s="65" t="s">
        <v>80</v>
      </c>
      <c r="E92" s="122" t="s">
        <v>82</v>
      </c>
      <c r="F92" s="122"/>
      <c r="G92" s="122" t="s">
        <v>81</v>
      </c>
      <c r="H92" s="170"/>
      <c r="I92" s="13" t="s">
        <v>139</v>
      </c>
      <c r="J92" s="25">
        <f ca="1">H90*25%</f>
        <v>4.75</v>
      </c>
    </row>
    <row r="93" spans="1:19" x14ac:dyDescent="0.35">
      <c r="A93" s="121" t="s">
        <v>126</v>
      </c>
      <c r="B93" s="122"/>
      <c r="C93" s="65">
        <f ca="1">J94</f>
        <v>19</v>
      </c>
      <c r="D93" s="66">
        <f ca="1">((100/H90)*C93)/100</f>
        <v>1</v>
      </c>
      <c r="E93" s="171">
        <f ca="1">(((C94/H90*10)+(40/(D90+F90+H90)*C95)+(7.5/(H90)*C96)+(7.5/(H90)*C97)+(10/H90*C98)+(10/H90*C99)+(5/H90*C100)+(5/H90*C101)+(5/H90*C102))/100)</f>
        <v>0.89210526315789462</v>
      </c>
      <c r="F93" s="172"/>
      <c r="G93" s="171">
        <f ca="1">((((C93/H90)*20)+((C94/H90)*25)+(30/(H90+F90+D90)*C95)+(5/H90*C96)+(5/H90*C97)+(5/H90*C98)+(5/H90*C99)+(0/H90*C100)+(0/H90*C101)+(5/H90*C102))/100)</f>
        <v>0.9447368421052631</v>
      </c>
      <c r="H93" s="177"/>
      <c r="I93" s="13" t="s">
        <v>98</v>
      </c>
      <c r="J93" s="26">
        <f ca="1">H90*50%</f>
        <v>9.5</v>
      </c>
    </row>
    <row r="94" spans="1:19" x14ac:dyDescent="0.35">
      <c r="A94" s="121" t="s">
        <v>48</v>
      </c>
      <c r="B94" s="122"/>
      <c r="C94" s="69">
        <v>19</v>
      </c>
      <c r="D94" s="66">
        <f ca="1">((100/H90)*C94)/100</f>
        <v>1</v>
      </c>
      <c r="E94" s="173"/>
      <c r="F94" s="174"/>
      <c r="G94" s="173"/>
      <c r="H94" s="178"/>
      <c r="I94" s="13" t="s">
        <v>99</v>
      </c>
      <c r="J94" s="26">
        <f ca="1">H90</f>
        <v>19</v>
      </c>
    </row>
    <row r="95" spans="1:19" ht="15.75" customHeight="1" x14ac:dyDescent="0.35">
      <c r="A95" s="121" t="s">
        <v>127</v>
      </c>
      <c r="B95" s="122"/>
      <c r="C95" s="65">
        <v>20</v>
      </c>
      <c r="D95" s="66">
        <f ca="1">((100/(D90+F90+H90))*C95)/100</f>
        <v>1</v>
      </c>
      <c r="E95" s="173"/>
      <c r="F95" s="174"/>
      <c r="G95" s="173"/>
      <c r="H95" s="178"/>
      <c r="I95" s="13" t="s">
        <v>100</v>
      </c>
      <c r="J95" s="27">
        <f ca="1">(IF(B90&gt;1,(H90/(B90+2)),H90/4))</f>
        <v>4.75</v>
      </c>
    </row>
    <row r="96" spans="1:19" ht="15.75" customHeight="1" x14ac:dyDescent="0.35">
      <c r="A96" s="121" t="s">
        <v>134</v>
      </c>
      <c r="B96" s="122" t="s">
        <v>128</v>
      </c>
      <c r="C96" s="65">
        <v>19</v>
      </c>
      <c r="D96" s="66">
        <f ca="1">((100/H90)*C96)/100</f>
        <v>1</v>
      </c>
      <c r="E96" s="173"/>
      <c r="F96" s="174"/>
      <c r="G96" s="173"/>
      <c r="H96" s="178"/>
      <c r="I96" s="13" t="s">
        <v>101</v>
      </c>
      <c r="J96" s="27">
        <f ca="1">(IF(B90&gt;1,(H90/(B90+2)+J95),H90/4+J95))</f>
        <v>9.5</v>
      </c>
    </row>
    <row r="97" spans="1:22" ht="15.75" customHeight="1" x14ac:dyDescent="0.35">
      <c r="A97" s="121" t="s">
        <v>135</v>
      </c>
      <c r="B97" s="122" t="s">
        <v>128</v>
      </c>
      <c r="C97" s="75">
        <v>19</v>
      </c>
      <c r="D97" s="66">
        <f ca="1">((100/H90)*C97)/100</f>
        <v>1</v>
      </c>
      <c r="E97" s="173"/>
      <c r="F97" s="174"/>
      <c r="G97" s="173"/>
      <c r="H97" s="178"/>
      <c r="I97" s="13" t="s">
        <v>144</v>
      </c>
      <c r="J97" s="27">
        <f>(IF(B90&gt;1,(H90/(B90+2)+J96),0))</f>
        <v>0</v>
      </c>
    </row>
    <row r="98" spans="1:22" ht="15" customHeight="1" x14ac:dyDescent="0.35">
      <c r="A98" s="121" t="s">
        <v>133</v>
      </c>
      <c r="B98" s="122" t="s">
        <v>130</v>
      </c>
      <c r="C98" s="75">
        <v>19</v>
      </c>
      <c r="D98" s="66">
        <f ca="1">((100/(H90))*C98)/100</f>
        <v>1</v>
      </c>
      <c r="E98" s="173"/>
      <c r="F98" s="174"/>
      <c r="G98" s="173"/>
      <c r="H98" s="178"/>
      <c r="I98" s="13" t="s">
        <v>141</v>
      </c>
      <c r="J98" s="27">
        <f>(IF(B90&gt;2,(H90/(B90+2)+J97),0))</f>
        <v>0</v>
      </c>
    </row>
    <row r="99" spans="1:22" ht="15.75" customHeight="1" x14ac:dyDescent="0.35">
      <c r="A99" s="121" t="s">
        <v>129</v>
      </c>
      <c r="B99" s="122" t="s">
        <v>129</v>
      </c>
      <c r="C99" s="65">
        <v>17</v>
      </c>
      <c r="D99" s="66">
        <f ca="1">((100/H90)*C99)/100</f>
        <v>0.89473684210526327</v>
      </c>
      <c r="E99" s="173"/>
      <c r="F99" s="174"/>
      <c r="G99" s="173"/>
      <c r="H99" s="178"/>
      <c r="I99" s="13" t="s">
        <v>142</v>
      </c>
      <c r="J99" s="28">
        <f>(IF(B90&gt;3,(H90/(B90+2)+J98),0))</f>
        <v>0</v>
      </c>
    </row>
    <row r="100" spans="1:22" ht="15.75" customHeight="1" x14ac:dyDescent="0.35">
      <c r="A100" s="121" t="s">
        <v>136</v>
      </c>
      <c r="B100" s="122"/>
      <c r="C100" s="65">
        <v>17</v>
      </c>
      <c r="D100" s="66">
        <f ca="1">((100/H90)*C100)/100</f>
        <v>0.89473684210526327</v>
      </c>
      <c r="E100" s="173"/>
      <c r="F100" s="174"/>
      <c r="G100" s="173"/>
      <c r="H100" s="178"/>
      <c r="I100" s="13" t="s">
        <v>143</v>
      </c>
      <c r="J100" s="27">
        <f>(IF(B90&gt;4,(H90/(B90+2)+J99),0))</f>
        <v>0</v>
      </c>
    </row>
    <row r="101" spans="1:22" ht="15.75" customHeight="1" x14ac:dyDescent="0.35">
      <c r="A101" s="121" t="s">
        <v>131</v>
      </c>
      <c r="B101" s="122" t="s">
        <v>131</v>
      </c>
      <c r="C101" s="65">
        <v>3</v>
      </c>
      <c r="D101" s="66">
        <f ca="1">((100/(H90))*C101)/100</f>
        <v>0.15789473684210528</v>
      </c>
      <c r="E101" s="173"/>
      <c r="F101" s="174"/>
      <c r="G101" s="173"/>
      <c r="H101" s="178"/>
      <c r="I101" s="13" t="s">
        <v>145</v>
      </c>
      <c r="J101" s="27">
        <f ca="1">(IF(B90=1,(H90/(B90+3)+J96),IF(B90=0,(H90/4+J96),IF(B90&gt;1,0))))</f>
        <v>14.25</v>
      </c>
    </row>
    <row r="102" spans="1:22" ht="16" thickBot="1" x14ac:dyDescent="0.4">
      <c r="A102" s="180" t="s">
        <v>132</v>
      </c>
      <c r="B102" s="181"/>
      <c r="C102" s="67">
        <v>0</v>
      </c>
      <c r="D102" s="68">
        <f ca="1">((100/(H90))*C102)/100</f>
        <v>0</v>
      </c>
      <c r="E102" s="175"/>
      <c r="F102" s="176"/>
      <c r="G102" s="175"/>
      <c r="H102" s="179"/>
      <c r="I102" s="14" t="s">
        <v>102</v>
      </c>
      <c r="J102" s="29">
        <f ca="1">(IF(B90&gt;1.5,(H90/(B90+2)+J96+MAX(0,J97-J96)+MAX(0,J98-J97)+MAX(0,J99-J98)+MAX(0,J100-J99)+MAX(0,J101-J100)),IF(B90=1,(H90/(B90+3)+J101),IF(B90=0,H90/4+J101))))</f>
        <v>19</v>
      </c>
    </row>
    <row r="103" spans="1:22" x14ac:dyDescent="0.35">
      <c r="A103" s="207" t="s">
        <v>155</v>
      </c>
      <c r="B103" s="207"/>
      <c r="C103" s="207"/>
      <c r="D103" s="207"/>
      <c r="E103" s="207"/>
      <c r="F103" s="200" t="s">
        <v>159</v>
      </c>
      <c r="G103" s="200"/>
      <c r="H103" s="200"/>
      <c r="R103" t="s">
        <v>255</v>
      </c>
      <c r="S103" t="s">
        <v>172</v>
      </c>
      <c r="T103" t="s">
        <v>179</v>
      </c>
      <c r="U103" t="s">
        <v>194</v>
      </c>
      <c r="V103" t="s">
        <v>189</v>
      </c>
    </row>
    <row r="104" spans="1:22" x14ac:dyDescent="0.35">
      <c r="A104" s="105" t="s">
        <v>157</v>
      </c>
      <c r="B104" s="105"/>
      <c r="C104" s="105"/>
      <c r="D104" s="105"/>
      <c r="E104" s="105"/>
      <c r="F104" s="102">
        <v>18000</v>
      </c>
      <c r="G104" s="102"/>
      <c r="H104" s="102"/>
      <c r="R104"/>
      <c r="S104">
        <v>800000</v>
      </c>
      <c r="T104">
        <v>300000</v>
      </c>
      <c r="U104">
        <v>100000</v>
      </c>
      <c r="V104">
        <v>100000</v>
      </c>
    </row>
    <row r="105" spans="1:22" x14ac:dyDescent="0.35">
      <c r="A105" s="105" t="s">
        <v>156</v>
      </c>
      <c r="B105" s="105"/>
      <c r="C105" s="105"/>
      <c r="D105" s="105"/>
      <c r="E105" s="105"/>
      <c r="F105" s="102">
        <v>35000</v>
      </c>
      <c r="G105" s="102"/>
      <c r="H105" s="102"/>
      <c r="R105"/>
      <c r="S105">
        <v>900000</v>
      </c>
      <c r="T105">
        <v>350000</v>
      </c>
      <c r="U105">
        <v>150000</v>
      </c>
      <c r="V105">
        <v>150000</v>
      </c>
    </row>
    <row r="106" spans="1:22" hidden="1" x14ac:dyDescent="0.35">
      <c r="A106" s="105" t="s">
        <v>158</v>
      </c>
      <c r="B106" s="105"/>
      <c r="C106" s="105"/>
      <c r="D106" s="105"/>
      <c r="E106" s="105"/>
      <c r="F106" s="102"/>
      <c r="G106" s="102"/>
      <c r="H106" s="102"/>
      <c r="R106"/>
      <c r="S106">
        <v>1000000</v>
      </c>
      <c r="T106">
        <v>400000</v>
      </c>
      <c r="U106">
        <v>200000</v>
      </c>
      <c r="V106">
        <v>200000</v>
      </c>
    </row>
    <row r="107" spans="1:22" s="30" customFormat="1" hidden="1" x14ac:dyDescent="0.35">
      <c r="A107" s="105" t="s">
        <v>175</v>
      </c>
      <c r="B107" s="105"/>
      <c r="C107" s="105"/>
      <c r="D107" s="105"/>
      <c r="E107" s="105"/>
      <c r="F107" s="102"/>
      <c r="G107" s="102"/>
      <c r="H107" s="102"/>
      <c r="R107"/>
      <c r="S107">
        <v>1100000</v>
      </c>
      <c r="T107">
        <v>500000</v>
      </c>
      <c r="U107">
        <v>250000</v>
      </c>
      <c r="V107" s="20">
        <v>250000</v>
      </c>
    </row>
    <row r="108" spans="1:22" s="30" customFormat="1" hidden="1" x14ac:dyDescent="0.35">
      <c r="A108" s="105" t="s">
        <v>92</v>
      </c>
      <c r="B108" s="105"/>
      <c r="C108" s="105"/>
      <c r="D108" s="105"/>
      <c r="E108" s="105"/>
      <c r="F108" s="102"/>
      <c r="G108" s="102"/>
      <c r="H108" s="102"/>
      <c r="R108"/>
      <c r="S108">
        <v>1200000</v>
      </c>
      <c r="T108">
        <v>600000</v>
      </c>
      <c r="U108">
        <v>300000</v>
      </c>
      <c r="V108">
        <v>300000</v>
      </c>
    </row>
    <row r="109" spans="1:22" s="30" customFormat="1" hidden="1" x14ac:dyDescent="0.35">
      <c r="A109" s="105" t="s">
        <v>93</v>
      </c>
      <c r="B109" s="105"/>
      <c r="C109" s="105"/>
      <c r="D109" s="105"/>
      <c r="E109" s="105"/>
      <c r="F109" s="102"/>
      <c r="G109" s="102"/>
      <c r="H109" s="102"/>
      <c r="R109"/>
      <c r="S109">
        <v>1300000</v>
      </c>
      <c r="T109">
        <v>700000</v>
      </c>
      <c r="U109">
        <v>350000</v>
      </c>
      <c r="V109" s="20">
        <v>400000</v>
      </c>
    </row>
    <row r="110" spans="1:22" s="30" customFormat="1" hidden="1" x14ac:dyDescent="0.35">
      <c r="A110" s="105" t="s">
        <v>94</v>
      </c>
      <c r="B110" s="105"/>
      <c r="C110" s="105"/>
      <c r="D110" s="105"/>
      <c r="E110" s="105"/>
      <c r="F110" s="102"/>
      <c r="G110" s="102"/>
      <c r="H110" s="102"/>
      <c r="R110"/>
      <c r="S110">
        <v>1400000</v>
      </c>
      <c r="T110">
        <v>800000</v>
      </c>
      <c r="U110">
        <v>400000</v>
      </c>
      <c r="V110"/>
    </row>
    <row r="111" spans="1:22" s="30" customFormat="1" hidden="1" x14ac:dyDescent="0.35">
      <c r="A111" s="105" t="s">
        <v>95</v>
      </c>
      <c r="B111" s="105"/>
      <c r="C111" s="105"/>
      <c r="D111" s="105"/>
      <c r="E111" s="105"/>
      <c r="F111" s="102"/>
      <c r="G111" s="102"/>
      <c r="H111" s="102"/>
      <c r="R111"/>
      <c r="S111">
        <v>1500000</v>
      </c>
      <c r="T111">
        <v>900000</v>
      </c>
      <c r="U111">
        <v>500000</v>
      </c>
      <c r="V111" s="20"/>
    </row>
    <row r="112" spans="1:22" s="30" customFormat="1" hidden="1" x14ac:dyDescent="0.35">
      <c r="A112" s="105" t="s">
        <v>96</v>
      </c>
      <c r="B112" s="105"/>
      <c r="C112" s="105"/>
      <c r="D112" s="105"/>
      <c r="E112" s="105"/>
      <c r="F112" s="102"/>
      <c r="G112" s="102"/>
      <c r="H112" s="102"/>
      <c r="R112"/>
      <c r="S112">
        <v>1600000</v>
      </c>
      <c r="T112">
        <v>1000000</v>
      </c>
      <c r="U112">
        <v>600000</v>
      </c>
      <c r="V112"/>
    </row>
    <row r="113" spans="1:22" s="30" customFormat="1" hidden="1" x14ac:dyDescent="0.35">
      <c r="A113" s="105" t="s">
        <v>97</v>
      </c>
      <c r="B113" s="105"/>
      <c r="C113" s="105"/>
      <c r="D113" s="105"/>
      <c r="E113" s="105"/>
      <c r="F113" s="102"/>
      <c r="G113" s="102"/>
      <c r="H113" s="102"/>
      <c r="R113"/>
      <c r="S113">
        <v>1700000</v>
      </c>
      <c r="T113"/>
      <c r="U113"/>
      <c r="V113" s="20"/>
    </row>
    <row r="114" spans="1:22" x14ac:dyDescent="0.35">
      <c r="A114" s="105" t="s">
        <v>49</v>
      </c>
      <c r="B114" s="105"/>
      <c r="C114" s="105"/>
      <c r="D114" s="105"/>
      <c r="E114" s="105"/>
      <c r="F114" s="102">
        <v>600000</v>
      </c>
      <c r="G114" s="102"/>
      <c r="H114" s="102"/>
      <c r="R114"/>
      <c r="S114">
        <v>1800000</v>
      </c>
      <c r="T114"/>
      <c r="U114"/>
    </row>
    <row r="115" spans="1:22" s="31" customFormat="1" x14ac:dyDescent="0.35">
      <c r="A115" s="163" t="s">
        <v>50</v>
      </c>
      <c r="B115" s="163"/>
      <c r="C115" s="163"/>
      <c r="D115" s="163"/>
      <c r="E115" s="163"/>
      <c r="F115" s="102">
        <f>F104*0.8</f>
        <v>14400</v>
      </c>
      <c r="G115" s="102"/>
      <c r="H115" s="102"/>
      <c r="R115" s="18"/>
      <c r="S115" s="18"/>
      <c r="T115"/>
      <c r="U115"/>
      <c r="V115" s="18"/>
    </row>
    <row r="116" spans="1:22" s="32" customFormat="1" ht="15.75" customHeight="1" x14ac:dyDescent="0.35">
      <c r="A116" s="162" t="s">
        <v>72</v>
      </c>
      <c r="B116" s="162"/>
      <c r="C116" s="162"/>
      <c r="D116" s="162"/>
      <c r="E116" s="162"/>
      <c r="F116" s="162"/>
      <c r="G116" s="162"/>
      <c r="H116" s="162"/>
      <c r="R116"/>
      <c r="S116" s="18"/>
      <c r="T116"/>
      <c r="U116"/>
      <c r="V116" s="18"/>
    </row>
    <row r="117" spans="1:22" s="32" customFormat="1" ht="15.75" customHeight="1" x14ac:dyDescent="0.35">
      <c r="A117" s="104" t="s">
        <v>51</v>
      </c>
      <c r="B117" s="104"/>
      <c r="C117" s="112" t="s">
        <v>75</v>
      </c>
      <c r="D117" s="112"/>
      <c r="E117" s="110" t="s">
        <v>52</v>
      </c>
      <c r="F117" s="110"/>
      <c r="G117" s="104" t="s">
        <v>53</v>
      </c>
      <c r="H117" s="104"/>
      <c r="I117" s="70" t="s">
        <v>354</v>
      </c>
      <c r="J117" s="70" t="s">
        <v>356</v>
      </c>
      <c r="K117" s="70" t="s">
        <v>358</v>
      </c>
      <c r="L117" s="70" t="s">
        <v>110</v>
      </c>
      <c r="R117"/>
      <c r="S117" s="18"/>
      <c r="T117"/>
      <c r="U117" s="18"/>
      <c r="V117" s="18"/>
    </row>
    <row r="118" spans="1:22" s="32" customFormat="1" x14ac:dyDescent="0.35">
      <c r="A118" s="111" t="s">
        <v>321</v>
      </c>
      <c r="B118" s="111"/>
      <c r="C118" s="148">
        <f>COUNT(D133:D135)</f>
        <v>3</v>
      </c>
      <c r="D118" s="149"/>
      <c r="E118" s="148">
        <f>SUM(F133:F135)</f>
        <v>408.49380000000002</v>
      </c>
      <c r="F118" s="149"/>
      <c r="G118" s="148">
        <f>SUM(H133:H135)</f>
        <v>633.16539</v>
      </c>
      <c r="H118" s="149"/>
      <c r="I118" s="32" t="s">
        <v>355</v>
      </c>
      <c r="J118" s="32">
        <v>250000</v>
      </c>
      <c r="K118" s="71">
        <f>9200000/H173</f>
        <v>16077.894181731655</v>
      </c>
      <c r="L118" s="71">
        <f>11800000/H152</f>
        <v>18076.457225173741</v>
      </c>
      <c r="R118"/>
      <c r="S118" s="18"/>
      <c r="T118"/>
      <c r="U118" s="18"/>
      <c r="V118" s="18"/>
    </row>
    <row r="119" spans="1:22" s="32" customFormat="1" x14ac:dyDescent="0.35">
      <c r="A119" s="111" t="s">
        <v>325</v>
      </c>
      <c r="B119" s="111"/>
      <c r="C119" s="148">
        <f>COUNT(D138:D140)</f>
        <v>3</v>
      </c>
      <c r="D119" s="149"/>
      <c r="E119" s="148">
        <f>SUM(F138:F140)</f>
        <v>538.63055999999995</v>
      </c>
      <c r="F119" s="149"/>
      <c r="G119" s="148">
        <f>SUM(H138:H140)</f>
        <v>834.87736799999993</v>
      </c>
      <c r="H119" s="149"/>
      <c r="K119" s="71">
        <f>12900000/H160</f>
        <v>16008.004299973325</v>
      </c>
      <c r="L119" s="71">
        <f>10400000/H161</f>
        <v>18175.010814131438</v>
      </c>
      <c r="R119"/>
      <c r="S119" s="18"/>
      <c r="T119"/>
      <c r="U119" s="18"/>
      <c r="V119" s="18"/>
    </row>
    <row r="120" spans="1:22" s="32" customFormat="1" x14ac:dyDescent="0.35">
      <c r="A120" s="165" t="s">
        <v>148</v>
      </c>
      <c r="B120" s="165"/>
      <c r="C120" s="216">
        <f>SUM(C118:C119)</f>
        <v>6</v>
      </c>
      <c r="D120" s="112"/>
      <c r="E120" s="217">
        <f>SUM(E118:E119)</f>
        <v>947.12436000000002</v>
      </c>
      <c r="F120" s="110"/>
      <c r="G120" s="104">
        <f>SUM(G118:G119)</f>
        <v>1468.042758</v>
      </c>
      <c r="H120" s="104"/>
      <c r="K120" s="73">
        <f>AVERAGE(K118:K119)</f>
        <v>16042.949240852489</v>
      </c>
      <c r="L120" s="71">
        <f>12800000/H154</f>
        <v>15883.911243384384</v>
      </c>
      <c r="R120"/>
      <c r="S120" s="18"/>
      <c r="T120"/>
      <c r="U120" s="18"/>
      <c r="V120" s="18"/>
    </row>
    <row r="121" spans="1:22" s="32" customFormat="1" x14ac:dyDescent="0.35">
      <c r="A121" s="165" t="s">
        <v>67</v>
      </c>
      <c r="B121" s="165"/>
      <c r="C121" s="165"/>
      <c r="D121" s="165"/>
      <c r="E121" s="165"/>
      <c r="F121" s="165"/>
      <c r="G121" s="165"/>
      <c r="H121" s="165"/>
      <c r="K121" s="73"/>
      <c r="L121" s="73">
        <f>AVERAGE(L118:L120)</f>
        <v>17378.459760896523</v>
      </c>
      <c r="T121"/>
    </row>
    <row r="122" spans="1:22" s="32" customFormat="1" ht="15.75" customHeight="1" x14ac:dyDescent="0.35">
      <c r="A122" s="104" t="s">
        <v>51</v>
      </c>
      <c r="B122" s="104"/>
      <c r="C122" s="112" t="s">
        <v>75</v>
      </c>
      <c r="D122" s="112"/>
      <c r="E122" s="110" t="s">
        <v>52</v>
      </c>
      <c r="F122" s="110"/>
      <c r="G122" s="104" t="s">
        <v>53</v>
      </c>
      <c r="H122" s="104"/>
      <c r="T122"/>
    </row>
    <row r="123" spans="1:22" s="32" customFormat="1" x14ac:dyDescent="0.35">
      <c r="A123" s="111" t="s">
        <v>321</v>
      </c>
      <c r="B123" s="111"/>
      <c r="C123" s="148">
        <f>COUNT(D148:D149)+COUNT(D152:D155)*2+COUNT(D158:D162)*8+COUNT(D164:D166)+COUNT(D173:D174)</f>
        <v>55</v>
      </c>
      <c r="D123" s="149"/>
      <c r="E123" s="148">
        <f>SUM(F148:F149)+SUM(F152:F155)*2+SUM(F158:F162)*8+SUM(F164:F166)+SUM(F173:F174)</f>
        <v>23898.017519999998</v>
      </c>
      <c r="F123" s="149"/>
      <c r="G123" s="148">
        <f>SUM(H148:H149)+SUM(H152:H155)*2+SUM(H158:H162)*8+SUM(H164:H166)+SUM(H173:H174)</f>
        <v>35847.026279999998</v>
      </c>
      <c r="H123" s="149"/>
      <c r="T123"/>
    </row>
    <row r="124" spans="1:22" s="32" customFormat="1" x14ac:dyDescent="0.35">
      <c r="A124" s="111" t="s">
        <v>325</v>
      </c>
      <c r="B124" s="111"/>
      <c r="C124" s="148">
        <f>COUNT(D180:D181)*2+COUNT(D183:D184)*8+COUNT(D186:D187)+COUNT(D189:D190)+COUNT(D192:D193)+COUNT(D195:D196)+COUNT(D198:D199)*3+COUNT(D202)</f>
        <v>35</v>
      </c>
      <c r="D124" s="149"/>
      <c r="E124" s="148">
        <f>SUM(F180:F181)*2+SUM(F183:F184)*8+SUM(F186:F187)+SUM(F189:F190)+SUM(F192:F193)+SUM(F195:F196)+SUM(F198:F199)*3+SUM(F202)</f>
        <v>10503.511199999997</v>
      </c>
      <c r="F124" s="149"/>
      <c r="G124" s="148">
        <f>SUM(H180:H181)*2+SUM(H183:H184)*8+SUM(H186:H187)+SUM(H189:H190)+SUM(H192:H193)+SUM(H195:H196)+SUM(H198:H199)*3+SUM(H202)</f>
        <v>15755.266799999999</v>
      </c>
      <c r="H124" s="149"/>
      <c r="I124" s="32" t="s">
        <v>359</v>
      </c>
    </row>
    <row r="125" spans="1:22" s="32" customFormat="1" ht="16" thickBot="1" x14ac:dyDescent="0.4">
      <c r="A125" s="212" t="s">
        <v>148</v>
      </c>
      <c r="B125" s="212"/>
      <c r="C125" s="150">
        <f>SUM(C123:C124)</f>
        <v>90</v>
      </c>
      <c r="D125" s="151"/>
      <c r="E125" s="213">
        <f>SUM(E123:E124)</f>
        <v>34401.528719999995</v>
      </c>
      <c r="F125" s="214"/>
      <c r="G125" s="215">
        <f>SUM(G123:G124)</f>
        <v>51602.293079999996</v>
      </c>
      <c r="H125" s="215"/>
      <c r="I125" s="74" t="s">
        <v>360</v>
      </c>
    </row>
    <row r="126" spans="1:22" s="32" customFormat="1" ht="16" thickBot="1" x14ac:dyDescent="0.4">
      <c r="A126" s="201" t="s">
        <v>165</v>
      </c>
      <c r="B126" s="202"/>
      <c r="C126" s="203">
        <f>C120+C125</f>
        <v>96</v>
      </c>
      <c r="D126" s="203"/>
      <c r="E126" s="208">
        <f>E120+E125</f>
        <v>35348.653079999996</v>
      </c>
      <c r="F126" s="208"/>
      <c r="G126" s="205">
        <f>G120+G125</f>
        <v>53070.335837999999</v>
      </c>
      <c r="H126" s="206"/>
      <c r="I126" s="74" t="s">
        <v>361</v>
      </c>
    </row>
    <row r="127" spans="1:22" s="31" customFormat="1" x14ac:dyDescent="0.35">
      <c r="A127" s="200" t="s">
        <v>54</v>
      </c>
      <c r="B127" s="200"/>
      <c r="C127" s="200"/>
      <c r="D127" s="200"/>
      <c r="E127" s="200"/>
      <c r="F127" s="200"/>
      <c r="G127" s="200"/>
      <c r="H127" s="200"/>
      <c r="I127" s="72" t="s">
        <v>363</v>
      </c>
      <c r="T127" s="32"/>
    </row>
    <row r="128" spans="1:22" x14ac:dyDescent="0.35">
      <c r="A128" s="103" t="s">
        <v>174</v>
      </c>
      <c r="B128" s="103"/>
      <c r="C128" s="103"/>
      <c r="D128" s="103"/>
      <c r="E128" s="103"/>
      <c r="F128" s="103"/>
      <c r="G128" s="103"/>
      <c r="H128" s="103"/>
      <c r="I128" s="72" t="s">
        <v>357</v>
      </c>
      <c r="T128" s="32"/>
    </row>
    <row r="129" spans="1:20" ht="47.25" customHeight="1" x14ac:dyDescent="0.35">
      <c r="A129" s="82" t="s">
        <v>117</v>
      </c>
      <c r="B129" s="82" t="s">
        <v>323</v>
      </c>
      <c r="C129" s="82" t="s">
        <v>55</v>
      </c>
      <c r="D129" s="82" t="s">
        <v>233</v>
      </c>
      <c r="E129" s="198" t="s">
        <v>154</v>
      </c>
      <c r="F129" s="82" t="s">
        <v>56</v>
      </c>
      <c r="G129" s="198" t="s">
        <v>57</v>
      </c>
      <c r="H129" s="51" t="s">
        <v>147</v>
      </c>
      <c r="T129" s="32"/>
    </row>
    <row r="130" spans="1:20" s="34" customFormat="1" x14ac:dyDescent="0.35">
      <c r="A130" s="83"/>
      <c r="B130" s="83"/>
      <c r="C130" s="83"/>
      <c r="D130" s="83"/>
      <c r="E130" s="199"/>
      <c r="F130" s="83"/>
      <c r="G130" s="199"/>
      <c r="H130" s="64">
        <v>0.55000000000000004</v>
      </c>
      <c r="T130" s="31"/>
    </row>
    <row r="131" spans="1:20" s="60" customFormat="1" x14ac:dyDescent="0.35">
      <c r="A131" s="88" t="s">
        <v>321</v>
      </c>
      <c r="B131" s="89"/>
      <c r="C131" s="89"/>
      <c r="D131" s="89"/>
      <c r="E131" s="89"/>
      <c r="F131" s="89"/>
      <c r="G131" s="89"/>
      <c r="H131" s="90"/>
      <c r="J131" s="33"/>
      <c r="T131" s="18"/>
    </row>
    <row r="132" spans="1:20" s="34" customFormat="1" x14ac:dyDescent="0.35">
      <c r="A132" s="88" t="s">
        <v>320</v>
      </c>
      <c r="B132" s="89"/>
      <c r="C132" s="89"/>
      <c r="D132" s="89"/>
      <c r="E132" s="89"/>
      <c r="F132" s="89"/>
      <c r="G132" s="89"/>
      <c r="H132" s="90"/>
      <c r="J132" s="33"/>
      <c r="T132" s="18"/>
    </row>
    <row r="133" spans="1:20" s="34" customFormat="1" ht="15.75" customHeight="1" x14ac:dyDescent="0.35">
      <c r="A133" s="77">
        <v>1</v>
      </c>
      <c r="B133" s="78"/>
      <c r="C133" s="39" t="s">
        <v>322</v>
      </c>
      <c r="D133" s="59">
        <f>(15.45)*10.764</f>
        <v>166.3038</v>
      </c>
      <c r="E133" s="39">
        <v>0</v>
      </c>
      <c r="F133" s="58">
        <f>D133+(IF(E133&lt;201,E133,IF(E133&lt;301,E133/2,E133/3)))</f>
        <v>166.3038</v>
      </c>
      <c r="G133" s="61">
        <v>0</v>
      </c>
      <c r="H133" s="58">
        <f>(F133+(IF(G133&lt;101,G133,IF(G133&lt;201,G133/2,IF(G133&lt;=301,G133/3,G133/4)))))*(($H$130)+1)</f>
        <v>257.77089000000001</v>
      </c>
      <c r="I133" s="33"/>
      <c r="L133" s="87"/>
      <c r="M133" s="87"/>
      <c r="N133" s="33"/>
      <c r="T133" s="18"/>
    </row>
    <row r="134" spans="1:20" s="34" customFormat="1" ht="15.75" customHeight="1" x14ac:dyDescent="0.35">
      <c r="A134" s="77">
        <f>A133+1</f>
        <v>2</v>
      </c>
      <c r="B134" s="78" t="s">
        <v>324</v>
      </c>
      <c r="C134" s="59" t="s">
        <v>322</v>
      </c>
      <c r="D134" s="59">
        <f>(10.02)*10.764</f>
        <v>107.85527999999999</v>
      </c>
      <c r="E134" s="39">
        <v>0</v>
      </c>
      <c r="F134" s="58">
        <f t="shared" ref="F134:F135" si="0">D134+(IF(E134&lt;201,E134,IF(E134&lt;301,E134/2,E134/3)))</f>
        <v>107.85527999999999</v>
      </c>
      <c r="G134" s="50">
        <v>0</v>
      </c>
      <c r="H134" s="58">
        <f t="shared" ref="H134:H135" si="1">(F134+(IF(G134&lt;101,G134,IF(G134&lt;201,G134/2,IF(G134&lt;=301,G134/3,G134/4)))))*(($H$130)+1)</f>
        <v>167.17568399999999</v>
      </c>
      <c r="I134" s="33"/>
      <c r="L134" s="87"/>
      <c r="M134" s="87"/>
      <c r="N134" s="33"/>
    </row>
    <row r="135" spans="1:20" s="34" customFormat="1" ht="15.75" customHeight="1" x14ac:dyDescent="0.35">
      <c r="A135" s="77">
        <f>A134+1</f>
        <v>3</v>
      </c>
      <c r="B135" s="78" t="s">
        <v>324</v>
      </c>
      <c r="C135" s="59" t="s">
        <v>322</v>
      </c>
      <c r="D135" s="59">
        <f>(12.48)*10.764</f>
        <v>134.33472</v>
      </c>
      <c r="E135" s="39">
        <v>0</v>
      </c>
      <c r="F135" s="58">
        <f t="shared" si="0"/>
        <v>134.33472</v>
      </c>
      <c r="G135" s="50">
        <v>0</v>
      </c>
      <c r="H135" s="58">
        <f t="shared" si="1"/>
        <v>208.218816</v>
      </c>
      <c r="I135" s="59">
        <v>10.763999999999999</v>
      </c>
      <c r="L135" s="87"/>
      <c r="M135" s="87"/>
      <c r="N135" s="33"/>
    </row>
    <row r="136" spans="1:20" s="60" customFormat="1" x14ac:dyDescent="0.35">
      <c r="A136" s="88" t="s">
        <v>325</v>
      </c>
      <c r="B136" s="89"/>
      <c r="C136" s="89"/>
      <c r="D136" s="89"/>
      <c r="E136" s="89"/>
      <c r="F136" s="89"/>
      <c r="G136" s="89"/>
      <c r="H136" s="90"/>
      <c r="J136" s="33"/>
      <c r="T136" s="18"/>
    </row>
    <row r="137" spans="1:20" s="60" customFormat="1" x14ac:dyDescent="0.35">
      <c r="A137" s="88" t="s">
        <v>320</v>
      </c>
      <c r="B137" s="89"/>
      <c r="C137" s="89"/>
      <c r="D137" s="89"/>
      <c r="E137" s="89"/>
      <c r="F137" s="89"/>
      <c r="G137" s="89"/>
      <c r="H137" s="90"/>
      <c r="J137" s="33"/>
      <c r="T137" s="18"/>
    </row>
    <row r="138" spans="1:20" s="60" customFormat="1" ht="15.75" customHeight="1" x14ac:dyDescent="0.35">
      <c r="A138" s="77">
        <v>1</v>
      </c>
      <c r="B138" s="78" t="s">
        <v>326</v>
      </c>
      <c r="C138" s="59" t="s">
        <v>322</v>
      </c>
      <c r="D138" s="59">
        <f>10.5*10.764</f>
        <v>113.02199999999999</v>
      </c>
      <c r="E138" s="59">
        <v>0</v>
      </c>
      <c r="F138" s="59">
        <f>D138+(IF(E138&lt;201,E138,IF(E138&lt;301,E138/2,E138/3)))</f>
        <v>113.02199999999999</v>
      </c>
      <c r="G138" s="61">
        <v>0</v>
      </c>
      <c r="H138" s="59">
        <f>(F138+(IF(G138&lt;101,G138,IF(G138&lt;201,G138/2,IF(G138&lt;=301,G138/3,G138/4)))))*(($H$130)+1)</f>
        <v>175.1841</v>
      </c>
      <c r="I138" s="33"/>
      <c r="L138" s="87"/>
      <c r="M138" s="87"/>
      <c r="N138" s="33"/>
      <c r="T138" s="18"/>
    </row>
    <row r="139" spans="1:20" s="60" customFormat="1" ht="15.75" customHeight="1" x14ac:dyDescent="0.35">
      <c r="A139" s="77">
        <f>A138+1</f>
        <v>2</v>
      </c>
      <c r="B139" s="78" t="s">
        <v>326</v>
      </c>
      <c r="C139" s="59" t="s">
        <v>322</v>
      </c>
      <c r="D139" s="59">
        <f>19.74*10.764</f>
        <v>212.48135999999997</v>
      </c>
      <c r="E139" s="59">
        <v>0</v>
      </c>
      <c r="F139" s="59">
        <f t="shared" ref="F139:F140" si="2">D139+(IF(E139&lt;201,E139,IF(E139&lt;301,E139/2,E139/3)))</f>
        <v>212.48135999999997</v>
      </c>
      <c r="G139" s="59">
        <v>0</v>
      </c>
      <c r="H139" s="59">
        <f t="shared" ref="H139:H140" si="3">(F139+(IF(G139&lt;101,G139,IF(G139&lt;201,G139/2,IF(G139&lt;=301,G139/3,G139/4)))))*(($H$130)+1)</f>
        <v>329.34610799999996</v>
      </c>
      <c r="I139" s="33"/>
      <c r="L139" s="87"/>
      <c r="M139" s="87"/>
      <c r="N139" s="33"/>
    </row>
    <row r="140" spans="1:20" s="60" customFormat="1" ht="15.75" customHeight="1" x14ac:dyDescent="0.35">
      <c r="A140" s="77">
        <f>A139+1</f>
        <v>3</v>
      </c>
      <c r="B140" s="78" t="s">
        <v>326</v>
      </c>
      <c r="C140" s="59" t="s">
        <v>322</v>
      </c>
      <c r="D140" s="59">
        <f>19.8*10.764</f>
        <v>213.12719999999999</v>
      </c>
      <c r="E140" s="59">
        <v>0</v>
      </c>
      <c r="F140" s="59">
        <f t="shared" si="2"/>
        <v>213.12719999999999</v>
      </c>
      <c r="G140" s="59">
        <v>0</v>
      </c>
      <c r="H140" s="59">
        <f t="shared" si="3"/>
        <v>330.34715999999997</v>
      </c>
      <c r="I140" s="59">
        <v>10.763999999999999</v>
      </c>
      <c r="L140" s="87"/>
      <c r="M140" s="87"/>
      <c r="N140" s="33"/>
    </row>
    <row r="141" spans="1:20" s="34" customFormat="1" x14ac:dyDescent="0.35">
      <c r="A141" s="77"/>
      <c r="B141" s="79"/>
      <c r="C141" s="79"/>
      <c r="D141" s="79"/>
      <c r="E141" s="79"/>
      <c r="F141" s="79"/>
      <c r="G141" s="79"/>
      <c r="H141" s="78"/>
      <c r="I141" s="33"/>
      <c r="N141" s="33"/>
    </row>
    <row r="142" spans="1:20" ht="47.25" customHeight="1" x14ac:dyDescent="0.35">
      <c r="A142" s="80" t="s">
        <v>118</v>
      </c>
      <c r="B142" s="82" t="s">
        <v>177</v>
      </c>
      <c r="C142" s="82" t="s">
        <v>55</v>
      </c>
      <c r="D142" s="82" t="s">
        <v>233</v>
      </c>
      <c r="E142" s="82" t="s">
        <v>232</v>
      </c>
      <c r="F142" s="82" t="s">
        <v>56</v>
      </c>
      <c r="G142" s="198" t="s">
        <v>57</v>
      </c>
      <c r="H142" s="51" t="s">
        <v>147</v>
      </c>
      <c r="I142" s="33"/>
      <c r="T142" s="34"/>
    </row>
    <row r="143" spans="1:20" s="34" customFormat="1" x14ac:dyDescent="0.35">
      <c r="A143" s="81"/>
      <c r="B143" s="83"/>
      <c r="C143" s="83"/>
      <c r="D143" s="83"/>
      <c r="E143" s="83"/>
      <c r="F143" s="83"/>
      <c r="G143" s="199"/>
      <c r="H143" s="64">
        <v>0.5</v>
      </c>
      <c r="I143" s="33"/>
    </row>
    <row r="144" spans="1:20" s="60" customFormat="1" x14ac:dyDescent="0.35">
      <c r="A144" s="84" t="s">
        <v>321</v>
      </c>
      <c r="B144" s="85"/>
      <c r="C144" s="85"/>
      <c r="D144" s="85"/>
      <c r="E144" s="85"/>
      <c r="F144" s="85"/>
      <c r="G144" s="85"/>
      <c r="H144" s="86"/>
      <c r="J144" s="33"/>
      <c r="T144" s="18"/>
    </row>
    <row r="145" spans="1:20" s="34" customFormat="1" x14ac:dyDescent="0.35">
      <c r="A145" s="88" t="s">
        <v>329</v>
      </c>
      <c r="B145" s="89"/>
      <c r="C145" s="89"/>
      <c r="D145" s="89"/>
      <c r="E145" s="89"/>
      <c r="F145" s="89"/>
      <c r="G145" s="89"/>
      <c r="H145" s="90"/>
      <c r="J145" s="33"/>
    </row>
    <row r="146" spans="1:20" s="34" customFormat="1" ht="15.75" customHeight="1" x14ac:dyDescent="0.35">
      <c r="A146" s="77">
        <v>1</v>
      </c>
      <c r="B146" s="78"/>
      <c r="C146" s="77" t="s">
        <v>330</v>
      </c>
      <c r="D146" s="79"/>
      <c r="E146" s="79"/>
      <c r="F146" s="79"/>
      <c r="G146" s="79"/>
      <c r="H146" s="78"/>
      <c r="I146" s="33"/>
      <c r="L146" s="87"/>
      <c r="M146" s="87"/>
      <c r="N146" s="33"/>
      <c r="T146" s="18"/>
    </row>
    <row r="147" spans="1:20" s="34" customFormat="1" ht="15.75" customHeight="1" x14ac:dyDescent="0.35">
      <c r="A147" s="77">
        <f>A146+1</f>
        <v>2</v>
      </c>
      <c r="B147" s="78"/>
      <c r="C147" s="77" t="s">
        <v>331</v>
      </c>
      <c r="D147" s="79"/>
      <c r="E147" s="79">
        <v>0</v>
      </c>
      <c r="F147" s="79">
        <f>D147+E147</f>
        <v>0</v>
      </c>
      <c r="G147" s="79">
        <v>0</v>
      </c>
      <c r="H147" s="78">
        <f>F147*(($H$143)+1)+(IF(G147&lt;101,G147,IF(G147&lt;201,G147/2,IF(G147&lt;=301,G147/3,G147/4))))</f>
        <v>0</v>
      </c>
      <c r="I147" s="33"/>
      <c r="L147" s="87"/>
      <c r="M147" s="87"/>
      <c r="N147" s="33"/>
    </row>
    <row r="148" spans="1:20" s="34" customFormat="1" ht="15.75" customHeight="1" x14ac:dyDescent="0.35">
      <c r="A148" s="77">
        <f>A147+1</f>
        <v>3</v>
      </c>
      <c r="B148" s="78"/>
      <c r="C148" s="39" t="s">
        <v>332</v>
      </c>
      <c r="D148" s="62">
        <f>(49.91)*10.764</f>
        <v>537.23123999999996</v>
      </c>
      <c r="E148" s="39">
        <v>0</v>
      </c>
      <c r="F148" s="50">
        <f>D148+E148</f>
        <v>537.23123999999996</v>
      </c>
      <c r="G148" s="50">
        <v>0</v>
      </c>
      <c r="H148" s="50">
        <f>F148*(($H$143)+1)+(IF(G148&lt;101,G148,IF(G148&lt;201,G148/2,IF(G148&lt;=301,G148/3,G148/4))))</f>
        <v>805.84685999999988</v>
      </c>
      <c r="I148" s="33"/>
      <c r="L148" s="87"/>
      <c r="M148" s="87"/>
      <c r="N148" s="33"/>
    </row>
    <row r="149" spans="1:20" s="34" customFormat="1" ht="15.75" customHeight="1" x14ac:dyDescent="0.35">
      <c r="A149" s="77">
        <f>A148+1</f>
        <v>4</v>
      </c>
      <c r="B149" s="78"/>
      <c r="C149" s="39" t="s">
        <v>332</v>
      </c>
      <c r="D149" s="62">
        <f>(50.58)*10.764</f>
        <v>544.44311999999991</v>
      </c>
      <c r="E149" s="39">
        <v>0</v>
      </c>
      <c r="F149" s="50">
        <f>D149+E149</f>
        <v>544.44311999999991</v>
      </c>
      <c r="G149" s="50">
        <v>0</v>
      </c>
      <c r="H149" s="50">
        <f>F149*(($H$143)+1)+(IF(G149&lt;101,G149,IF(G149&lt;201,G149/2,IF(G149&lt;=301,G149/3,G149/4))))</f>
        <v>816.66467999999986</v>
      </c>
      <c r="I149" s="33">
        <f>(2.75*2.15)*10.764</f>
        <v>63.642149999999994</v>
      </c>
      <c r="L149" s="87"/>
      <c r="M149" s="87"/>
      <c r="N149" s="33"/>
    </row>
    <row r="150" spans="1:20" s="63" customFormat="1" ht="15.75" customHeight="1" x14ac:dyDescent="0.35">
      <c r="A150" s="77">
        <f>A149+1</f>
        <v>5</v>
      </c>
      <c r="B150" s="78"/>
      <c r="C150" s="77" t="s">
        <v>331</v>
      </c>
      <c r="D150" s="79"/>
      <c r="E150" s="79">
        <v>0</v>
      </c>
      <c r="F150" s="79">
        <f>D150+E150</f>
        <v>0</v>
      </c>
      <c r="G150" s="79">
        <v>0</v>
      </c>
      <c r="H150" s="78">
        <f>F150*(($H$143)+1)+(IF(G150&lt;101,G150,IF(G150&lt;201,G150/2,IF(G150&lt;=301,G150/3,G150/4))))</f>
        <v>0</v>
      </c>
      <c r="I150" s="33"/>
      <c r="L150" s="87"/>
      <c r="M150" s="87"/>
      <c r="N150" s="33"/>
    </row>
    <row r="151" spans="1:20" s="63" customFormat="1" ht="15.75" customHeight="1" x14ac:dyDescent="0.35">
      <c r="A151" s="88" t="s">
        <v>337</v>
      </c>
      <c r="B151" s="89"/>
      <c r="C151" s="89"/>
      <c r="D151" s="89"/>
      <c r="E151" s="89"/>
      <c r="F151" s="89"/>
      <c r="G151" s="89"/>
      <c r="H151" s="90"/>
      <c r="I151" s="33"/>
    </row>
    <row r="152" spans="1:20" s="63" customFormat="1" ht="15.75" customHeight="1" x14ac:dyDescent="0.35">
      <c r="A152" s="77">
        <v>1</v>
      </c>
      <c r="B152" s="78"/>
      <c r="C152" s="62" t="s">
        <v>338</v>
      </c>
      <c r="D152" s="62">
        <f>(40.43)*10.764</f>
        <v>435.18851999999998</v>
      </c>
      <c r="E152" s="62">
        <v>0</v>
      </c>
      <c r="F152" s="62">
        <f>D152+E152</f>
        <v>435.18851999999998</v>
      </c>
      <c r="G152" s="62">
        <v>0</v>
      </c>
      <c r="H152" s="62">
        <f>F152*(($H$143)+1)+(IF(G152&lt;101,G152,IF(G152&lt;201,G152/2,IF(G152&lt;=301,G152/3,G152/4))))</f>
        <v>652.78278</v>
      </c>
      <c r="I152" s="33"/>
    </row>
    <row r="153" spans="1:20" s="63" customFormat="1" ht="15.75" customHeight="1" x14ac:dyDescent="0.35">
      <c r="A153" s="77">
        <v>2</v>
      </c>
      <c r="B153" s="78"/>
      <c r="C153" s="62" t="s">
        <v>338</v>
      </c>
      <c r="D153" s="62">
        <f>(36.81)*10.764</f>
        <v>396.22284000000002</v>
      </c>
      <c r="E153" s="62">
        <v>0</v>
      </c>
      <c r="F153" s="62">
        <f>D153+E153</f>
        <v>396.22284000000002</v>
      </c>
      <c r="G153" s="62">
        <v>0</v>
      </c>
      <c r="H153" s="62">
        <f>F153*(($H$143)+1)+(IF(G153&lt;101,G153,IF(G153&lt;201,G153/2,IF(G153&lt;=301,G153/3,G153/4))))</f>
        <v>594.33426000000009</v>
      </c>
      <c r="I153" s="33"/>
    </row>
    <row r="154" spans="1:20" s="63" customFormat="1" ht="15.75" customHeight="1" x14ac:dyDescent="0.35">
      <c r="A154" s="77">
        <v>3</v>
      </c>
      <c r="B154" s="78"/>
      <c r="C154" s="62" t="s">
        <v>332</v>
      </c>
      <c r="D154" s="62">
        <f>(49.91)*10.764</f>
        <v>537.23123999999996</v>
      </c>
      <c r="E154" s="62">
        <v>0</v>
      </c>
      <c r="F154" s="62">
        <f>D154+E154</f>
        <v>537.23123999999996</v>
      </c>
      <c r="G154" s="62">
        <v>0</v>
      </c>
      <c r="H154" s="62">
        <f>F154*(($H$143)+1)+(IF(G154&lt;101,G154,IF(G154&lt;201,G154/2,IF(G154&lt;=301,G154/3,G154/4))))</f>
        <v>805.84685999999988</v>
      </c>
      <c r="I154" s="33"/>
    </row>
    <row r="155" spans="1:20" s="63" customFormat="1" ht="15.75" customHeight="1" x14ac:dyDescent="0.35">
      <c r="A155" s="77">
        <v>4</v>
      </c>
      <c r="B155" s="78"/>
      <c r="C155" s="62" t="s">
        <v>338</v>
      </c>
      <c r="D155" s="62">
        <f>(41.56)*10.764</f>
        <v>447.35183999999998</v>
      </c>
      <c r="E155" s="62">
        <v>0</v>
      </c>
      <c r="F155" s="62">
        <f>D155+E155</f>
        <v>447.35183999999998</v>
      </c>
      <c r="G155" s="62">
        <v>0</v>
      </c>
      <c r="H155" s="62">
        <f>F155*(($H$143)+1)+(IF(G155&lt;101,G155,IF(G155&lt;201,G155/2,IF(G155&lt;=301,G155/3,G155/4))))</f>
        <v>671.02775999999994</v>
      </c>
      <c r="I155" s="33"/>
    </row>
    <row r="156" spans="1:20" s="63" customFormat="1" ht="15.75" customHeight="1" x14ac:dyDescent="0.35">
      <c r="A156" s="77">
        <v>5</v>
      </c>
      <c r="B156" s="78"/>
      <c r="C156" s="77" t="s">
        <v>339</v>
      </c>
      <c r="D156" s="79"/>
      <c r="E156" s="79"/>
      <c r="F156" s="79"/>
      <c r="G156" s="79"/>
      <c r="H156" s="78"/>
      <c r="I156" s="33"/>
    </row>
    <row r="157" spans="1:20" s="63" customFormat="1" x14ac:dyDescent="0.35">
      <c r="A157" s="88" t="s">
        <v>340</v>
      </c>
      <c r="B157" s="89"/>
      <c r="C157" s="89"/>
      <c r="D157" s="89"/>
      <c r="E157" s="89"/>
      <c r="F157" s="89"/>
      <c r="G157" s="89"/>
      <c r="H157" s="90"/>
      <c r="I157" s="33"/>
    </row>
    <row r="158" spans="1:20" s="63" customFormat="1" ht="15.75" customHeight="1" x14ac:dyDescent="0.35">
      <c r="A158" s="77">
        <v>1</v>
      </c>
      <c r="B158" s="78"/>
      <c r="C158" s="62" t="s">
        <v>338</v>
      </c>
      <c r="D158" s="62">
        <f>(40.43)*10.764</f>
        <v>435.18851999999998</v>
      </c>
      <c r="E158" s="62">
        <v>0</v>
      </c>
      <c r="F158" s="62">
        <f>D158+E158</f>
        <v>435.18851999999998</v>
      </c>
      <c r="G158" s="62">
        <v>0</v>
      </c>
      <c r="H158" s="62">
        <f>F158*(($H$143)+1)+(IF(G158&lt;101,G158,IF(G158&lt;201,G158/2,IF(G158&lt;=301,G158/3,G158/4))))</f>
        <v>652.78278</v>
      </c>
      <c r="I158" s="33"/>
    </row>
    <row r="159" spans="1:20" s="63" customFormat="1" ht="15.75" customHeight="1" x14ac:dyDescent="0.35">
      <c r="A159" s="77">
        <f>A158+1</f>
        <v>2</v>
      </c>
      <c r="B159" s="78"/>
      <c r="C159" s="62" t="s">
        <v>338</v>
      </c>
      <c r="D159" s="62">
        <f>(36.81)*10.764</f>
        <v>396.22284000000002</v>
      </c>
      <c r="E159" s="62">
        <v>0</v>
      </c>
      <c r="F159" s="62">
        <f>D159+E159</f>
        <v>396.22284000000002</v>
      </c>
      <c r="G159" s="62">
        <v>0</v>
      </c>
      <c r="H159" s="62">
        <f>F159*(($H$143)+1)+(IF(G159&lt;101,G159,IF(G159&lt;201,G159/2,IF(G159&lt;=301,G159/3,G159/4))))</f>
        <v>594.33426000000009</v>
      </c>
      <c r="I159" s="33"/>
    </row>
    <row r="160" spans="1:20" s="63" customFormat="1" ht="15.75" customHeight="1" x14ac:dyDescent="0.35">
      <c r="A160" s="77">
        <f t="shared" ref="A160:A162" si="4">A159+1</f>
        <v>3</v>
      </c>
      <c r="B160" s="78"/>
      <c r="C160" s="62" t="s">
        <v>332</v>
      </c>
      <c r="D160" s="62">
        <f>(49.91)*10.764</f>
        <v>537.23123999999996</v>
      </c>
      <c r="E160" s="62">
        <v>0</v>
      </c>
      <c r="F160" s="62">
        <f>D160+E160</f>
        <v>537.23123999999996</v>
      </c>
      <c r="G160" s="62">
        <v>0</v>
      </c>
      <c r="H160" s="62">
        <f>F160*(($H$143)+1)+(IF(G160&lt;101,G160,IF(G160&lt;201,G160/2,IF(G160&lt;=301,G160/3,G160/4))))</f>
        <v>805.84685999999988</v>
      </c>
      <c r="I160" s="33"/>
    </row>
    <row r="161" spans="1:20" s="63" customFormat="1" ht="15.75" customHeight="1" x14ac:dyDescent="0.35">
      <c r="A161" s="77">
        <f t="shared" si="4"/>
        <v>4</v>
      </c>
      <c r="B161" s="78"/>
      <c r="C161" s="62" t="s">
        <v>338</v>
      </c>
      <c r="D161" s="62">
        <f>(35.44)*10.764</f>
        <v>381.47615999999994</v>
      </c>
      <c r="E161" s="62">
        <v>0</v>
      </c>
      <c r="F161" s="62">
        <f>D161+E161</f>
        <v>381.47615999999994</v>
      </c>
      <c r="G161" s="62">
        <v>0</v>
      </c>
      <c r="H161" s="62">
        <f>F161*(($H$143)+1)+(IF(G161&lt;101,G161,IF(G161&lt;201,G161/2,IF(G161&lt;=301,G161/3,G161/4))))</f>
        <v>572.2142399999999</v>
      </c>
      <c r="I161" s="33"/>
    </row>
    <row r="162" spans="1:20" s="63" customFormat="1" ht="15.75" customHeight="1" x14ac:dyDescent="0.35">
      <c r="A162" s="77">
        <f t="shared" si="4"/>
        <v>5</v>
      </c>
      <c r="B162" s="78"/>
      <c r="C162" s="62" t="s">
        <v>338</v>
      </c>
      <c r="D162" s="62">
        <f>(35.44)*10.764</f>
        <v>381.47615999999994</v>
      </c>
      <c r="E162" s="62">
        <v>0</v>
      </c>
      <c r="F162" s="62">
        <f>D162+E162</f>
        <v>381.47615999999994</v>
      </c>
      <c r="G162" s="62">
        <v>0</v>
      </c>
      <c r="H162" s="62">
        <f>F162*(($H$143)+1)+(IF(G162&lt;101,G162,IF(G162&lt;201,G162/2,IF(G162&lt;=301,G162/3,G162/4))))</f>
        <v>572.2142399999999</v>
      </c>
      <c r="I162" s="33"/>
    </row>
    <row r="163" spans="1:20" s="63" customFormat="1" x14ac:dyDescent="0.35">
      <c r="A163" s="88" t="s">
        <v>341</v>
      </c>
      <c r="B163" s="89"/>
      <c r="C163" s="89"/>
      <c r="D163" s="89"/>
      <c r="E163" s="89"/>
      <c r="F163" s="89"/>
      <c r="G163" s="89"/>
      <c r="H163" s="90"/>
      <c r="I163" s="33"/>
    </row>
    <row r="164" spans="1:20" s="63" customFormat="1" ht="15.75" customHeight="1" x14ac:dyDescent="0.35">
      <c r="A164" s="77">
        <v>1</v>
      </c>
      <c r="B164" s="78"/>
      <c r="C164" s="62" t="s">
        <v>338</v>
      </c>
      <c r="D164" s="62">
        <f>(40.43)*10.764</f>
        <v>435.18851999999998</v>
      </c>
      <c r="E164" s="62">
        <v>0</v>
      </c>
      <c r="F164" s="62">
        <f>D164+E164</f>
        <v>435.18851999999998</v>
      </c>
      <c r="G164" s="62">
        <v>0</v>
      </c>
      <c r="H164" s="62">
        <f>F164*(($H$143)+1)+(IF(G164&lt;101,G164,IF(G164&lt;201,G164/2,IF(G164&lt;=301,G164/3,G164/4))))</f>
        <v>652.78278</v>
      </c>
      <c r="I164" s="33"/>
    </row>
    <row r="165" spans="1:20" s="63" customFormat="1" ht="15.75" customHeight="1" x14ac:dyDescent="0.35">
      <c r="A165" s="77">
        <f>A164+1</f>
        <v>2</v>
      </c>
      <c r="B165" s="78"/>
      <c r="C165" s="62" t="s">
        <v>338</v>
      </c>
      <c r="D165" s="62">
        <f>(36.81)*10.764</f>
        <v>396.22284000000002</v>
      </c>
      <c r="E165" s="62">
        <v>0</v>
      </c>
      <c r="F165" s="62">
        <f>D165+E165</f>
        <v>396.22284000000002</v>
      </c>
      <c r="G165" s="62">
        <v>0</v>
      </c>
      <c r="H165" s="62">
        <f>F165*(($H$143)+1)+(IF(G165&lt;101,G165,IF(G165&lt;201,G165/2,IF(G165&lt;=301,G165/3,G165/4))))</f>
        <v>594.33426000000009</v>
      </c>
      <c r="I165" s="33"/>
    </row>
    <row r="166" spans="1:20" s="63" customFormat="1" ht="15.75" customHeight="1" x14ac:dyDescent="0.35">
      <c r="A166" s="77">
        <f t="shared" ref="A166:A168" si="5">A165+1</f>
        <v>3</v>
      </c>
      <c r="B166" s="78"/>
      <c r="C166" s="62" t="s">
        <v>332</v>
      </c>
      <c r="D166" s="62">
        <f>(49.91)*10.764</f>
        <v>537.23123999999996</v>
      </c>
      <c r="E166" s="62">
        <v>0</v>
      </c>
      <c r="F166" s="62">
        <f>D166+E166</f>
        <v>537.23123999999996</v>
      </c>
      <c r="G166" s="62">
        <v>0</v>
      </c>
      <c r="H166" s="62">
        <f>F166*(($H$143)+1)+(IF(G166&lt;101,G166,IF(G166&lt;201,G166/2,IF(G166&lt;=301,G166/3,G166/4))))</f>
        <v>805.84685999999988</v>
      </c>
      <c r="I166" s="33"/>
    </row>
    <row r="167" spans="1:20" s="63" customFormat="1" ht="15.75" customHeight="1" x14ac:dyDescent="0.35">
      <c r="A167" s="77">
        <f t="shared" si="5"/>
        <v>4</v>
      </c>
      <c r="B167" s="78"/>
      <c r="C167" s="91" t="s">
        <v>342</v>
      </c>
      <c r="D167" s="92"/>
      <c r="E167" s="92"/>
      <c r="F167" s="92"/>
      <c r="G167" s="92"/>
      <c r="H167" s="93"/>
      <c r="I167" s="33"/>
    </row>
    <row r="168" spans="1:20" s="63" customFormat="1" ht="15.75" customHeight="1" x14ac:dyDescent="0.35">
      <c r="A168" s="77">
        <f t="shared" si="5"/>
        <v>5</v>
      </c>
      <c r="B168" s="78"/>
      <c r="C168" s="94"/>
      <c r="D168" s="95"/>
      <c r="E168" s="95"/>
      <c r="F168" s="95"/>
      <c r="G168" s="95"/>
      <c r="H168" s="96"/>
      <c r="I168" s="33"/>
    </row>
    <row r="169" spans="1:20" s="63" customFormat="1" x14ac:dyDescent="0.35">
      <c r="A169" s="88" t="s">
        <v>343</v>
      </c>
      <c r="B169" s="89"/>
      <c r="C169" s="89"/>
      <c r="D169" s="89"/>
      <c r="E169" s="89"/>
      <c r="F169" s="89"/>
      <c r="G169" s="89"/>
      <c r="H169" s="90"/>
      <c r="I169" s="33"/>
    </row>
    <row r="170" spans="1:20" s="63" customFormat="1" ht="15.75" customHeight="1" x14ac:dyDescent="0.35">
      <c r="A170" s="77">
        <v>1</v>
      </c>
      <c r="B170" s="78"/>
      <c r="C170" s="91" t="s">
        <v>344</v>
      </c>
      <c r="D170" s="92"/>
      <c r="E170" s="92"/>
      <c r="F170" s="92"/>
      <c r="G170" s="92"/>
      <c r="H170" s="93"/>
      <c r="I170" s="33"/>
    </row>
    <row r="171" spans="1:20" s="63" customFormat="1" ht="15.75" customHeight="1" x14ac:dyDescent="0.35">
      <c r="A171" s="77">
        <f>A170+1</f>
        <v>2</v>
      </c>
      <c r="B171" s="78"/>
      <c r="C171" s="97"/>
      <c r="D171" s="98"/>
      <c r="E171" s="98"/>
      <c r="F171" s="98"/>
      <c r="G171" s="98"/>
      <c r="H171" s="99"/>
      <c r="I171" s="33"/>
    </row>
    <row r="172" spans="1:20" s="63" customFormat="1" ht="15.75" customHeight="1" x14ac:dyDescent="0.35">
      <c r="A172" s="77">
        <f t="shared" ref="A172:A174" si="6">A171+1</f>
        <v>3</v>
      </c>
      <c r="B172" s="78"/>
      <c r="C172" s="94"/>
      <c r="D172" s="95"/>
      <c r="E172" s="95"/>
      <c r="F172" s="95"/>
      <c r="G172" s="95"/>
      <c r="H172" s="96"/>
      <c r="I172" s="33"/>
    </row>
    <row r="173" spans="1:20" s="63" customFormat="1" ht="15.75" customHeight="1" x14ac:dyDescent="0.35">
      <c r="A173" s="77">
        <f t="shared" si="6"/>
        <v>4</v>
      </c>
      <c r="B173" s="78"/>
      <c r="C173" s="62" t="s">
        <v>338</v>
      </c>
      <c r="D173" s="62">
        <f>(35.44)*10.764</f>
        <v>381.47615999999994</v>
      </c>
      <c r="E173" s="62">
        <v>0</v>
      </c>
      <c r="F173" s="62">
        <f>D173+E173</f>
        <v>381.47615999999994</v>
      </c>
      <c r="G173" s="62">
        <v>0</v>
      </c>
      <c r="H173" s="62">
        <f>F173*(($H$143)+1)+(IF(G173&lt;101,G173,IF(G173&lt;201,G173/2,IF(G173&lt;=301,G173/3,G173/4))))</f>
        <v>572.2142399999999</v>
      </c>
      <c r="I173" s="33"/>
    </row>
    <row r="174" spans="1:20" s="63" customFormat="1" ht="15.75" customHeight="1" x14ac:dyDescent="0.35">
      <c r="A174" s="77">
        <f t="shared" si="6"/>
        <v>5</v>
      </c>
      <c r="B174" s="78"/>
      <c r="C174" s="62" t="s">
        <v>338</v>
      </c>
      <c r="D174" s="62">
        <f>(35.44)*10.764</f>
        <v>381.47615999999994</v>
      </c>
      <c r="E174" s="62">
        <v>0</v>
      </c>
      <c r="F174" s="62">
        <f>D174+E174</f>
        <v>381.47615999999994</v>
      </c>
      <c r="G174" s="62">
        <v>0</v>
      </c>
      <c r="H174" s="62">
        <f>F174*(($H$143)+1)+(IF(G174&lt;101,G174,IF(G174&lt;201,G174/2,IF(G174&lt;=301,G174/3,G174/4))))</f>
        <v>572.2142399999999</v>
      </c>
      <c r="I174" s="33"/>
    </row>
    <row r="175" spans="1:20" s="60" customFormat="1" x14ac:dyDescent="0.35">
      <c r="A175" s="84" t="s">
        <v>325</v>
      </c>
      <c r="B175" s="85"/>
      <c r="C175" s="85"/>
      <c r="D175" s="85"/>
      <c r="E175" s="85"/>
      <c r="F175" s="85"/>
      <c r="G175" s="85"/>
      <c r="H175" s="86"/>
      <c r="J175" s="33"/>
      <c r="T175" s="18"/>
    </row>
    <row r="176" spans="1:20" s="34" customFormat="1" x14ac:dyDescent="0.35">
      <c r="A176" s="164" t="s">
        <v>329</v>
      </c>
      <c r="B176" s="164"/>
      <c r="C176" s="164"/>
      <c r="D176" s="164"/>
      <c r="E176" s="164"/>
      <c r="F176" s="164"/>
      <c r="G176" s="164"/>
      <c r="H176" s="164"/>
      <c r="I176" s="33"/>
      <c r="L176" s="87"/>
      <c r="M176" s="87"/>
    </row>
    <row r="177" spans="1:14" s="34" customFormat="1" x14ac:dyDescent="0.35">
      <c r="A177" s="147">
        <v>1</v>
      </c>
      <c r="B177" s="147"/>
      <c r="C177" s="77" t="s">
        <v>336</v>
      </c>
      <c r="D177" s="79"/>
      <c r="E177" s="79"/>
      <c r="F177" s="79"/>
      <c r="G177" s="79"/>
      <c r="H177" s="78"/>
      <c r="I177" s="33"/>
      <c r="N177" s="33"/>
    </row>
    <row r="178" spans="1:14" s="34" customFormat="1" x14ac:dyDescent="0.35">
      <c r="A178" s="147">
        <f>A177+1</f>
        <v>2</v>
      </c>
      <c r="B178" s="147"/>
      <c r="C178" s="77" t="s">
        <v>335</v>
      </c>
      <c r="D178" s="79"/>
      <c r="E178" s="79"/>
      <c r="F178" s="79"/>
      <c r="G178" s="79"/>
      <c r="H178" s="78"/>
      <c r="I178" s="33"/>
      <c r="N178" s="33"/>
    </row>
    <row r="179" spans="1:14" s="34" customFormat="1" ht="15.75" customHeight="1" x14ac:dyDescent="0.35">
      <c r="A179" s="88" t="s">
        <v>337</v>
      </c>
      <c r="B179" s="89"/>
      <c r="C179" s="89"/>
      <c r="D179" s="89"/>
      <c r="E179" s="89"/>
      <c r="F179" s="89"/>
      <c r="G179" s="89"/>
      <c r="H179" s="90"/>
      <c r="I179" s="33"/>
    </row>
    <row r="180" spans="1:14" s="34" customFormat="1" ht="15.75" customHeight="1" x14ac:dyDescent="0.35">
      <c r="A180" s="77">
        <v>1</v>
      </c>
      <c r="B180" s="78"/>
      <c r="C180" s="39" t="s">
        <v>338</v>
      </c>
      <c r="D180" s="62">
        <f>(27.88)*10.764</f>
        <v>300.10031999999995</v>
      </c>
      <c r="E180" s="50">
        <v>0</v>
      </c>
      <c r="F180" s="50">
        <f>D180+E180</f>
        <v>300.10031999999995</v>
      </c>
      <c r="G180" s="50">
        <v>0</v>
      </c>
      <c r="H180" s="50">
        <f>F180*(($H$143)+1)+(IF(G180&lt;101,G180,IF(G180&lt;201,G180/2,IF(G180&lt;=301,G180/3,G180/4))))</f>
        <v>450.1504799999999</v>
      </c>
      <c r="I180" s="62">
        <v>10.763999999999999</v>
      </c>
    </row>
    <row r="181" spans="1:14" s="34" customFormat="1" ht="15.75" customHeight="1" x14ac:dyDescent="0.35">
      <c r="A181" s="77">
        <v>2</v>
      </c>
      <c r="B181" s="78"/>
      <c r="C181" s="39" t="s">
        <v>338</v>
      </c>
      <c r="D181" s="62">
        <f>(27.88)*10.764</f>
        <v>300.10031999999995</v>
      </c>
      <c r="E181" s="50">
        <v>0</v>
      </c>
      <c r="F181" s="50">
        <f>D181+E181</f>
        <v>300.10031999999995</v>
      </c>
      <c r="G181" s="50">
        <v>0</v>
      </c>
      <c r="H181" s="50">
        <f>F181*(($H$143)+1)+(IF(G181&lt;101,G181,IF(G181&lt;201,G181/2,IF(G181&lt;=301,G181/3,G181/4))))</f>
        <v>450.1504799999999</v>
      </c>
      <c r="I181" s="33"/>
    </row>
    <row r="182" spans="1:14" s="34" customFormat="1" x14ac:dyDescent="0.35">
      <c r="A182" s="88" t="s">
        <v>340</v>
      </c>
      <c r="B182" s="89"/>
      <c r="C182" s="89"/>
      <c r="D182" s="89"/>
      <c r="E182" s="89"/>
      <c r="F182" s="89"/>
      <c r="G182" s="89"/>
      <c r="H182" s="90"/>
      <c r="I182" s="33"/>
    </row>
    <row r="183" spans="1:14" s="34" customFormat="1" ht="15.75" customHeight="1" x14ac:dyDescent="0.35">
      <c r="A183" s="77">
        <v>1</v>
      </c>
      <c r="B183" s="78"/>
      <c r="C183" s="39" t="s">
        <v>338</v>
      </c>
      <c r="D183" s="62">
        <f>(27.88)*10.764</f>
        <v>300.10031999999995</v>
      </c>
      <c r="E183" s="50">
        <v>0</v>
      </c>
      <c r="F183" s="50">
        <f>D183+E183</f>
        <v>300.10031999999995</v>
      </c>
      <c r="G183" s="50">
        <v>0</v>
      </c>
      <c r="H183" s="50">
        <f>F183*(($H$143)+1)+(IF(G183&lt;101,G183,IF(G183&lt;201,G183/2,IF(G183&lt;=301,G183/3,G183/4))))</f>
        <v>450.1504799999999</v>
      </c>
      <c r="I183" s="33"/>
    </row>
    <row r="184" spans="1:14" s="34" customFormat="1" ht="15.75" customHeight="1" x14ac:dyDescent="0.35">
      <c r="A184" s="77">
        <f>A183+1</f>
        <v>2</v>
      </c>
      <c r="B184" s="78"/>
      <c r="C184" s="39" t="s">
        <v>338</v>
      </c>
      <c r="D184" s="62">
        <f>(27.88)*10.764</f>
        <v>300.10031999999995</v>
      </c>
      <c r="E184" s="50">
        <v>0</v>
      </c>
      <c r="F184" s="50">
        <f>D184+E184</f>
        <v>300.10031999999995</v>
      </c>
      <c r="G184" s="50">
        <v>0</v>
      </c>
      <c r="H184" s="50">
        <f>F184*(($H$143)+1)+(IF(G184&lt;101,G184,IF(G184&lt;201,G184/2,IF(G184&lt;=301,G184/3,G184/4))))</f>
        <v>450.1504799999999</v>
      </c>
      <c r="I184" s="33"/>
    </row>
    <row r="185" spans="1:14" s="34" customFormat="1" x14ac:dyDescent="0.35">
      <c r="A185" s="88" t="s">
        <v>348</v>
      </c>
      <c r="B185" s="89"/>
      <c r="C185" s="89"/>
      <c r="D185" s="89"/>
      <c r="E185" s="89"/>
      <c r="F185" s="89"/>
      <c r="G185" s="89"/>
      <c r="H185" s="90"/>
      <c r="I185" s="33"/>
    </row>
    <row r="186" spans="1:14" s="34" customFormat="1" ht="15.75" customHeight="1" x14ac:dyDescent="0.35">
      <c r="A186" s="77">
        <v>1</v>
      </c>
      <c r="B186" s="78"/>
      <c r="C186" s="62" t="s">
        <v>338</v>
      </c>
      <c r="D186" s="62">
        <f>(27.88)*10.764</f>
        <v>300.10031999999995</v>
      </c>
      <c r="E186" s="50">
        <v>0</v>
      </c>
      <c r="F186" s="50">
        <f>D186+E186</f>
        <v>300.10031999999995</v>
      </c>
      <c r="G186" s="50">
        <v>0</v>
      </c>
      <c r="H186" s="50">
        <f>F186*(($H$143)+1)+(IF(G186&lt;101,G186,IF(G186&lt;201,G186/2,IF(G186&lt;=301,G186/3,G186/4))))</f>
        <v>450.1504799999999</v>
      </c>
      <c r="I186" s="33"/>
    </row>
    <row r="187" spans="1:14" s="34" customFormat="1" ht="15.75" customHeight="1" x14ac:dyDescent="0.35">
      <c r="A187" s="77">
        <f>A186+1</f>
        <v>2</v>
      </c>
      <c r="B187" s="78"/>
      <c r="C187" s="62" t="s">
        <v>338</v>
      </c>
      <c r="D187" s="62">
        <f>(27.88)*10.764</f>
        <v>300.10031999999995</v>
      </c>
      <c r="E187" s="50">
        <v>0</v>
      </c>
      <c r="F187" s="50">
        <f>D187+E187</f>
        <v>300.10031999999995</v>
      </c>
      <c r="G187" s="50">
        <v>0</v>
      </c>
      <c r="H187" s="50">
        <f>F187*(($H$143)+1)+(IF(G187&lt;101,G187,IF(G187&lt;201,G187/2,IF(G187&lt;=301,G187/3,G187/4))))</f>
        <v>450.1504799999999</v>
      </c>
      <c r="I187" s="33"/>
    </row>
    <row r="188" spans="1:14" s="63" customFormat="1" x14ac:dyDescent="0.35">
      <c r="A188" s="88" t="s">
        <v>350</v>
      </c>
      <c r="B188" s="89"/>
      <c r="C188" s="89"/>
      <c r="D188" s="89"/>
      <c r="E188" s="89"/>
      <c r="F188" s="89"/>
      <c r="G188" s="89"/>
      <c r="H188" s="90"/>
      <c r="I188" s="33"/>
    </row>
    <row r="189" spans="1:14" s="63" customFormat="1" ht="15.75" customHeight="1" x14ac:dyDescent="0.35">
      <c r="A189" s="77">
        <v>1</v>
      </c>
      <c r="B189" s="78"/>
      <c r="C189" s="62" t="s">
        <v>338</v>
      </c>
      <c r="D189" s="62">
        <f>(27.88)*10.764</f>
        <v>300.10031999999995</v>
      </c>
      <c r="E189" s="62">
        <v>0</v>
      </c>
      <c r="F189" s="62">
        <f>D189+E189</f>
        <v>300.10031999999995</v>
      </c>
      <c r="G189" s="62">
        <v>0</v>
      </c>
      <c r="H189" s="62">
        <f>F189*(($H$143)+1)+(IF(G189&lt;101,G189,IF(G189&lt;201,G189/2,IF(G189&lt;=301,G189/3,G189/4))))</f>
        <v>450.1504799999999</v>
      </c>
      <c r="I189" s="33"/>
    </row>
    <row r="190" spans="1:14" s="63" customFormat="1" ht="15.75" customHeight="1" x14ac:dyDescent="0.35">
      <c r="A190" s="77">
        <f>A189+1</f>
        <v>2</v>
      </c>
      <c r="B190" s="78"/>
      <c r="C190" s="62" t="s">
        <v>338</v>
      </c>
      <c r="D190" s="62">
        <f>(27.88)*10.764</f>
        <v>300.10031999999995</v>
      </c>
      <c r="E190" s="62">
        <v>0</v>
      </c>
      <c r="F190" s="62">
        <f>D190+E190</f>
        <v>300.10031999999995</v>
      </c>
      <c r="G190" s="62">
        <v>0</v>
      </c>
      <c r="H190" s="62">
        <f>F190*(($H$143)+1)+(IF(G190&lt;101,G190,IF(G190&lt;201,G190/2,IF(G190&lt;=301,G190/3,G190/4))))</f>
        <v>450.1504799999999</v>
      </c>
      <c r="I190" s="33"/>
    </row>
    <row r="191" spans="1:14" s="63" customFormat="1" x14ac:dyDescent="0.35">
      <c r="A191" s="88" t="s">
        <v>345</v>
      </c>
      <c r="B191" s="89"/>
      <c r="C191" s="89"/>
      <c r="D191" s="89"/>
      <c r="E191" s="89"/>
      <c r="F191" s="89"/>
      <c r="G191" s="89"/>
      <c r="H191" s="90"/>
      <c r="I191" s="33"/>
    </row>
    <row r="192" spans="1:14" s="63" customFormat="1" ht="15.75" customHeight="1" x14ac:dyDescent="0.35">
      <c r="A192" s="77">
        <v>1</v>
      </c>
      <c r="B192" s="78"/>
      <c r="C192" s="62" t="s">
        <v>338</v>
      </c>
      <c r="D192" s="62">
        <f>(27.88)*10.764</f>
        <v>300.10031999999995</v>
      </c>
      <c r="E192" s="62">
        <v>0</v>
      </c>
      <c r="F192" s="62">
        <f>D192+E192</f>
        <v>300.10031999999995</v>
      </c>
      <c r="G192" s="62">
        <v>0</v>
      </c>
      <c r="H192" s="62">
        <f>F192*(($H$143)+1)+(IF(G192&lt;101,G192,IF(G192&lt;201,G192/2,IF(G192&lt;=301,G192/3,G192/4))))</f>
        <v>450.1504799999999</v>
      </c>
      <c r="I192" s="33"/>
    </row>
    <row r="193" spans="1:20" s="63" customFormat="1" ht="15.75" customHeight="1" x14ac:dyDescent="0.35">
      <c r="A193" s="77">
        <f>A192+1</f>
        <v>2</v>
      </c>
      <c r="B193" s="78"/>
      <c r="C193" s="62" t="s">
        <v>338</v>
      </c>
      <c r="D193" s="62">
        <f>(27.88)*10.764</f>
        <v>300.10031999999995</v>
      </c>
      <c r="E193" s="62">
        <v>0</v>
      </c>
      <c r="F193" s="62">
        <f>D193+E193</f>
        <v>300.10031999999995</v>
      </c>
      <c r="G193" s="62">
        <v>0</v>
      </c>
      <c r="H193" s="62">
        <f>F193*(($H$143)+1)+(IF(G193&lt;101,G193,IF(G193&lt;201,G193/2,IF(G193&lt;=301,G193/3,G193/4))))</f>
        <v>450.1504799999999</v>
      </c>
      <c r="I193" s="33"/>
    </row>
    <row r="194" spans="1:20" s="63" customFormat="1" x14ac:dyDescent="0.35">
      <c r="A194" s="88" t="s">
        <v>349</v>
      </c>
      <c r="B194" s="89"/>
      <c r="C194" s="89"/>
      <c r="D194" s="89"/>
      <c r="E194" s="89"/>
      <c r="F194" s="89"/>
      <c r="G194" s="89"/>
      <c r="H194" s="90"/>
      <c r="I194" s="33"/>
    </row>
    <row r="195" spans="1:20" s="63" customFormat="1" ht="15.75" customHeight="1" x14ac:dyDescent="0.35">
      <c r="A195" s="77">
        <v>1</v>
      </c>
      <c r="B195" s="78"/>
      <c r="C195" s="62" t="s">
        <v>338</v>
      </c>
      <c r="D195" s="62">
        <f>(27.88)*10.764</f>
        <v>300.10031999999995</v>
      </c>
      <c r="E195" s="62">
        <v>0</v>
      </c>
      <c r="F195" s="62">
        <f>D195+E195</f>
        <v>300.10031999999995</v>
      </c>
      <c r="G195" s="62">
        <v>0</v>
      </c>
      <c r="H195" s="62">
        <f>F195*(($H$143)+1)+(IF(G195&lt;101,G195,IF(G195&lt;201,G195/2,IF(G195&lt;=301,G195/3,G195/4))))</f>
        <v>450.1504799999999</v>
      </c>
      <c r="I195" s="33"/>
    </row>
    <row r="196" spans="1:20" s="63" customFormat="1" ht="15.75" customHeight="1" x14ac:dyDescent="0.35">
      <c r="A196" s="77">
        <f>A195+1</f>
        <v>2</v>
      </c>
      <c r="B196" s="78"/>
      <c r="C196" s="62" t="s">
        <v>338</v>
      </c>
      <c r="D196" s="62">
        <f>(27.88)*10.764</f>
        <v>300.10031999999995</v>
      </c>
      <c r="E196" s="62">
        <v>0</v>
      </c>
      <c r="F196" s="62">
        <f>D196+E196</f>
        <v>300.10031999999995</v>
      </c>
      <c r="G196" s="62">
        <v>0</v>
      </c>
      <c r="H196" s="62">
        <f>F196*(($H$143)+1)+(IF(G196&lt;101,G196,IF(G196&lt;201,G196/2,IF(G196&lt;=301,G196/3,G196/4))))</f>
        <v>450.1504799999999</v>
      </c>
      <c r="I196" s="33"/>
    </row>
    <row r="197" spans="1:20" s="63" customFormat="1" x14ac:dyDescent="0.35">
      <c r="A197" s="88" t="s">
        <v>346</v>
      </c>
      <c r="B197" s="89"/>
      <c r="C197" s="89"/>
      <c r="D197" s="89"/>
      <c r="E197" s="89"/>
      <c r="F197" s="89"/>
      <c r="G197" s="89"/>
      <c r="H197" s="90"/>
      <c r="I197" s="33"/>
    </row>
    <row r="198" spans="1:20" s="63" customFormat="1" ht="15.75" customHeight="1" x14ac:dyDescent="0.35">
      <c r="A198" s="77">
        <v>1</v>
      </c>
      <c r="B198" s="78"/>
      <c r="C198" s="62" t="s">
        <v>338</v>
      </c>
      <c r="D198" s="62">
        <f>(27.88)*10.764</f>
        <v>300.10031999999995</v>
      </c>
      <c r="E198" s="62">
        <v>0</v>
      </c>
      <c r="F198" s="62">
        <f>D198+E198</f>
        <v>300.10031999999995</v>
      </c>
      <c r="G198" s="62">
        <v>0</v>
      </c>
      <c r="H198" s="62">
        <f>F198*(($H$143)+1)+(IF(G198&lt;101,G198,IF(G198&lt;201,G198/2,IF(G198&lt;=301,G198/3,G198/4))))</f>
        <v>450.1504799999999</v>
      </c>
      <c r="I198" s="33"/>
    </row>
    <row r="199" spans="1:20" s="63" customFormat="1" ht="15.75" customHeight="1" x14ac:dyDescent="0.35">
      <c r="A199" s="77">
        <f>A198+1</f>
        <v>2</v>
      </c>
      <c r="B199" s="78"/>
      <c r="C199" s="62" t="s">
        <v>338</v>
      </c>
      <c r="D199" s="62">
        <f>(27.88)*10.764</f>
        <v>300.10031999999995</v>
      </c>
      <c r="E199" s="62">
        <v>0</v>
      </c>
      <c r="F199" s="62">
        <f>D199+E199</f>
        <v>300.10031999999995</v>
      </c>
      <c r="G199" s="62">
        <v>0</v>
      </c>
      <c r="H199" s="62">
        <f>F199*(($H$143)+1)+(IF(G199&lt;101,G199,IF(G199&lt;201,G199/2,IF(G199&lt;=301,G199/3,G199/4))))</f>
        <v>450.1504799999999</v>
      </c>
      <c r="I199" s="33"/>
    </row>
    <row r="200" spans="1:20" s="63" customFormat="1" x14ac:dyDescent="0.35">
      <c r="A200" s="88" t="s">
        <v>347</v>
      </c>
      <c r="B200" s="89"/>
      <c r="C200" s="89"/>
      <c r="D200" s="89"/>
      <c r="E200" s="89"/>
      <c r="F200" s="89"/>
      <c r="G200" s="89"/>
      <c r="H200" s="90"/>
      <c r="I200" s="33"/>
    </row>
    <row r="201" spans="1:20" s="63" customFormat="1" ht="15.75" customHeight="1" x14ac:dyDescent="0.35">
      <c r="A201" s="77">
        <v>1</v>
      </c>
      <c r="B201" s="78"/>
      <c r="C201" s="77" t="s">
        <v>344</v>
      </c>
      <c r="D201" s="79"/>
      <c r="E201" s="79"/>
      <c r="F201" s="79"/>
      <c r="G201" s="79"/>
      <c r="H201" s="78"/>
      <c r="I201" s="33"/>
    </row>
    <row r="202" spans="1:20" s="63" customFormat="1" ht="15.75" customHeight="1" x14ac:dyDescent="0.35">
      <c r="A202" s="77">
        <f>A201+1</f>
        <v>2</v>
      </c>
      <c r="B202" s="78"/>
      <c r="C202" s="62" t="s">
        <v>338</v>
      </c>
      <c r="D202" s="62">
        <f>(27.88)*10.764</f>
        <v>300.10031999999995</v>
      </c>
      <c r="E202" s="62">
        <v>0</v>
      </c>
      <c r="F202" s="62">
        <f>D202+E202</f>
        <v>300.10031999999995</v>
      </c>
      <c r="G202" s="62">
        <v>0</v>
      </c>
      <c r="H202" s="62">
        <f>F202*(($H$143)+1)+(IF(G202&lt;101,G202,IF(G202&lt;201,G202/2,IF(G202&lt;=301,G202/3,G202/4))))</f>
        <v>450.1504799999999</v>
      </c>
      <c r="I202" s="33"/>
    </row>
    <row r="203" spans="1:20" s="32" customFormat="1" x14ac:dyDescent="0.35">
      <c r="A203" s="159" t="s">
        <v>65</v>
      </c>
      <c r="B203" s="159"/>
      <c r="C203" s="159"/>
      <c r="D203" s="159"/>
      <c r="E203" s="159"/>
      <c r="F203" s="159"/>
      <c r="G203" s="159"/>
      <c r="H203" s="159"/>
      <c r="T203" s="34"/>
    </row>
    <row r="204" spans="1:20" s="32" customFormat="1" x14ac:dyDescent="0.35">
      <c r="A204" s="41" t="s">
        <v>151</v>
      </c>
      <c r="B204" s="152" t="s">
        <v>353</v>
      </c>
      <c r="C204" s="153"/>
      <c r="D204" s="153"/>
      <c r="E204" s="153"/>
      <c r="F204" s="153"/>
      <c r="G204" s="153"/>
      <c r="H204" s="154"/>
      <c r="T204" s="34"/>
    </row>
    <row r="205" spans="1:20" s="32" customFormat="1" x14ac:dyDescent="0.35">
      <c r="A205" s="41" t="s">
        <v>151</v>
      </c>
      <c r="B205" s="152" t="str">
        <f>(IF(H142="Saleable area Loading :","We have considered Saleable area of Flats as per our Calculation.","We considered Saleable area of Flat as per Builder area Sheet."))</f>
        <v>We have considered Saleable area of Flats as per our Calculation.</v>
      </c>
      <c r="C205" s="153"/>
      <c r="D205" s="153"/>
      <c r="E205" s="153"/>
      <c r="F205" s="153"/>
      <c r="G205" s="153"/>
      <c r="H205" s="154"/>
      <c r="T205" s="34"/>
    </row>
    <row r="206" spans="1:20" s="32" customFormat="1" x14ac:dyDescent="0.35">
      <c r="A206" s="41" t="s">
        <v>151</v>
      </c>
      <c r="B206" s="152" t="str">
        <f>(IF(H129="Saleable area Loading :","We have considered Saleable area of Commercial as per our Calculation.","We considered Saleable area of Commercial as per Builder area Sheet."))</f>
        <v>We have considered Saleable area of Commercial as per our Calculation.</v>
      </c>
      <c r="C206" s="153"/>
      <c r="D206" s="153"/>
      <c r="E206" s="153"/>
      <c r="F206" s="153"/>
      <c r="G206" s="153"/>
      <c r="H206" s="154"/>
    </row>
    <row r="207" spans="1:20" s="32" customFormat="1" x14ac:dyDescent="0.35">
      <c r="A207" s="41" t="s">
        <v>151</v>
      </c>
      <c r="B207" s="155" t="s">
        <v>121</v>
      </c>
      <c r="C207" s="156"/>
      <c r="D207" s="156"/>
      <c r="E207" s="156"/>
      <c r="F207" s="156"/>
      <c r="G207" s="156"/>
      <c r="H207" s="157"/>
    </row>
    <row r="208" spans="1:20" s="32" customFormat="1" x14ac:dyDescent="0.35">
      <c r="A208" s="41" t="s">
        <v>151</v>
      </c>
      <c r="B208" s="155" t="s">
        <v>352</v>
      </c>
      <c r="C208" s="156"/>
      <c r="D208" s="156"/>
      <c r="E208" s="156"/>
      <c r="F208" s="156"/>
      <c r="G208" s="156"/>
      <c r="H208" s="157"/>
    </row>
    <row r="209" spans="1:20" s="32" customFormat="1" x14ac:dyDescent="0.35">
      <c r="A209" s="41" t="s">
        <v>151</v>
      </c>
      <c r="B209" s="155" t="s">
        <v>150</v>
      </c>
      <c r="C209" s="156"/>
      <c r="D209" s="156"/>
      <c r="E209" s="156"/>
      <c r="F209" s="156"/>
      <c r="G209" s="156"/>
      <c r="H209" s="157"/>
    </row>
    <row r="210" spans="1:20" s="32" customFormat="1" x14ac:dyDescent="0.35">
      <c r="A210" s="41" t="s">
        <v>151</v>
      </c>
      <c r="B210" s="155" t="s">
        <v>122</v>
      </c>
      <c r="C210" s="156"/>
      <c r="D210" s="156"/>
      <c r="E210" s="156"/>
      <c r="F210" s="156"/>
      <c r="G210" s="156"/>
      <c r="H210" s="157"/>
    </row>
    <row r="211" spans="1:20" s="32" customFormat="1" ht="34.5" customHeight="1" x14ac:dyDescent="0.35">
      <c r="A211" s="41" t="s">
        <v>151</v>
      </c>
      <c r="B211" s="155" t="s">
        <v>152</v>
      </c>
      <c r="C211" s="156"/>
      <c r="D211" s="156"/>
      <c r="E211" s="156"/>
      <c r="F211" s="156"/>
      <c r="G211" s="156"/>
      <c r="H211" s="157"/>
    </row>
    <row r="212" spans="1:20" s="32" customFormat="1" x14ac:dyDescent="0.35">
      <c r="A212" s="41" t="s">
        <v>151</v>
      </c>
      <c r="B212" s="155" t="s">
        <v>123</v>
      </c>
      <c r="C212" s="156"/>
      <c r="D212" s="156"/>
      <c r="E212" s="156"/>
      <c r="F212" s="156"/>
      <c r="G212" s="156"/>
      <c r="H212" s="157"/>
    </row>
    <row r="213" spans="1:20" s="32" customFormat="1" ht="32.25" customHeight="1" x14ac:dyDescent="0.35">
      <c r="A213" s="47" t="s">
        <v>151</v>
      </c>
      <c r="B213" s="152" t="s">
        <v>178</v>
      </c>
      <c r="C213" s="153"/>
      <c r="D213" s="153"/>
      <c r="E213" s="153"/>
      <c r="F213" s="153"/>
      <c r="G213" s="153"/>
      <c r="H213" s="154"/>
    </row>
    <row r="214" spans="1:20" s="32" customFormat="1" hidden="1" x14ac:dyDescent="0.35">
      <c r="A214" s="52" t="s">
        <v>151</v>
      </c>
      <c r="B214" s="209" t="s">
        <v>234</v>
      </c>
      <c r="C214" s="210"/>
      <c r="D214" s="210"/>
      <c r="E214" s="210"/>
      <c r="F214" s="210"/>
      <c r="G214" s="210"/>
      <c r="H214" s="211"/>
    </row>
    <row r="215" spans="1:20" s="32" customFormat="1" x14ac:dyDescent="0.35">
      <c r="A215" s="76" t="s">
        <v>151</v>
      </c>
      <c r="B215" s="155" t="s">
        <v>366</v>
      </c>
      <c r="C215" s="156"/>
      <c r="D215" s="156"/>
      <c r="E215" s="156"/>
      <c r="F215" s="156"/>
      <c r="G215" s="156"/>
      <c r="H215" s="157"/>
    </row>
    <row r="216" spans="1:20" x14ac:dyDescent="0.35">
      <c r="A216" s="127" t="s">
        <v>58</v>
      </c>
      <c r="B216" s="127"/>
      <c r="C216" s="127"/>
      <c r="D216" s="127"/>
      <c r="E216" s="127"/>
      <c r="F216" s="127"/>
      <c r="G216" s="127"/>
      <c r="H216" s="127"/>
      <c r="T216" s="32"/>
    </row>
    <row r="217" spans="1:20" x14ac:dyDescent="0.35">
      <c r="A217" s="109" t="s">
        <v>59</v>
      </c>
      <c r="B217" s="109"/>
      <c r="C217" s="109"/>
      <c r="D217" s="109"/>
      <c r="E217" s="109"/>
      <c r="F217" s="109"/>
      <c r="G217" s="109"/>
      <c r="H217" s="109"/>
      <c r="T217" s="32"/>
    </row>
    <row r="218" spans="1:20" ht="15.75" customHeight="1" x14ac:dyDescent="0.35">
      <c r="A218" s="146" t="s">
        <v>60</v>
      </c>
      <c r="B218" s="146"/>
      <c r="C218" s="146"/>
      <c r="D218" s="146"/>
      <c r="E218" s="146"/>
      <c r="F218" s="146"/>
      <c r="G218" s="146"/>
      <c r="H218" s="146"/>
      <c r="T218" s="32"/>
    </row>
    <row r="219" spans="1:20" x14ac:dyDescent="0.35">
      <c r="A219" s="109" t="s">
        <v>61</v>
      </c>
      <c r="B219" s="109"/>
      <c r="C219" s="109"/>
      <c r="D219" s="109"/>
      <c r="E219" s="109"/>
      <c r="F219" s="109"/>
      <c r="G219" s="109"/>
      <c r="H219" s="109"/>
    </row>
    <row r="220" spans="1:20" x14ac:dyDescent="0.35">
      <c r="A220" s="109" t="s">
        <v>62</v>
      </c>
      <c r="B220" s="109"/>
      <c r="C220" s="109"/>
      <c r="D220" s="109"/>
      <c r="E220" s="109"/>
      <c r="F220" s="109"/>
      <c r="G220" s="109"/>
      <c r="H220" s="109"/>
    </row>
    <row r="221" spans="1:20" x14ac:dyDescent="0.35">
      <c r="A221" s="109" t="s">
        <v>124</v>
      </c>
      <c r="B221" s="109"/>
      <c r="C221" s="109"/>
      <c r="D221" s="109"/>
      <c r="E221" s="109"/>
      <c r="F221" s="109"/>
      <c r="G221" s="109"/>
      <c r="H221" s="109"/>
    </row>
    <row r="222" spans="1:20" ht="34" customHeight="1" x14ac:dyDescent="0.35">
      <c r="A222" s="113" t="s">
        <v>125</v>
      </c>
      <c r="B222" s="113"/>
      <c r="C222" s="113"/>
      <c r="D222" s="113"/>
      <c r="E222" s="113"/>
      <c r="F222" s="113"/>
      <c r="G222" s="113"/>
      <c r="H222" s="113"/>
    </row>
    <row r="223" spans="1:20" x14ac:dyDescent="0.35">
      <c r="A223" s="161" t="s">
        <v>74</v>
      </c>
      <c r="B223" s="161"/>
      <c r="C223" s="161" t="s">
        <v>368</v>
      </c>
      <c r="D223" s="161"/>
      <c r="E223" s="161" t="s">
        <v>104</v>
      </c>
      <c r="F223" s="161"/>
      <c r="G223" s="161" t="s">
        <v>367</v>
      </c>
      <c r="H223" s="161"/>
    </row>
    <row r="224" spans="1:20" x14ac:dyDescent="0.35">
      <c r="A224" s="160" t="s">
        <v>76</v>
      </c>
      <c r="B224" s="160"/>
      <c r="C224" s="160"/>
      <c r="D224" s="160"/>
      <c r="E224" s="160"/>
      <c r="F224" s="160"/>
      <c r="G224" s="160"/>
      <c r="H224" s="160"/>
    </row>
    <row r="225" spans="1:8" x14ac:dyDescent="0.35">
      <c r="A225" s="160"/>
      <c r="B225" s="160"/>
      <c r="C225" s="160"/>
      <c r="D225" s="160"/>
      <c r="E225" s="160"/>
      <c r="F225" s="160"/>
      <c r="G225" s="160"/>
      <c r="H225" s="160"/>
    </row>
    <row r="226" spans="1:8" x14ac:dyDescent="0.35">
      <c r="A226" s="160"/>
      <c r="B226" s="160"/>
      <c r="C226" s="160"/>
      <c r="D226" s="160"/>
      <c r="E226" s="160"/>
      <c r="F226" s="160"/>
      <c r="G226" s="160"/>
      <c r="H226" s="160"/>
    </row>
    <row r="227" spans="1:8" x14ac:dyDescent="0.35">
      <c r="A227" s="160"/>
      <c r="B227" s="160"/>
      <c r="C227" s="160"/>
      <c r="D227" s="160"/>
      <c r="E227" s="160"/>
      <c r="F227" s="160"/>
      <c r="G227" s="160"/>
      <c r="H227" s="160"/>
    </row>
    <row r="228" spans="1:8" x14ac:dyDescent="0.35">
      <c r="A228" s="35" t="s">
        <v>63</v>
      </c>
      <c r="B228" s="36"/>
      <c r="C228" s="36"/>
      <c r="D228" s="35" t="str">
        <f>E9</f>
        <v>Aim Horizon</v>
      </c>
      <c r="F228" s="36"/>
      <c r="G228" s="36"/>
      <c r="H228" s="36"/>
    </row>
    <row r="229" spans="1:8" x14ac:dyDescent="0.35">
      <c r="A229" s="36"/>
      <c r="B229" s="36"/>
      <c r="C229" s="36"/>
      <c r="D229" s="36"/>
      <c r="E229" s="36"/>
      <c r="F229" s="36"/>
      <c r="G229" s="36"/>
      <c r="H229" s="36"/>
    </row>
    <row r="230" spans="1:8" x14ac:dyDescent="0.35">
      <c r="A230" s="36"/>
      <c r="B230" s="36"/>
      <c r="C230" s="36"/>
      <c r="D230" s="36"/>
      <c r="E230" s="36"/>
      <c r="F230" s="36"/>
      <c r="G230" s="36"/>
      <c r="H230" s="36"/>
    </row>
    <row r="231" spans="1:8" ht="15" customHeight="1" x14ac:dyDescent="0.35"/>
    <row r="271" spans="1:1" x14ac:dyDescent="0.35">
      <c r="A271" s="38" t="s">
        <v>162</v>
      </c>
    </row>
    <row r="314" spans="1:1" x14ac:dyDescent="0.35">
      <c r="A314" s="38" t="s">
        <v>64</v>
      </c>
    </row>
  </sheetData>
  <mergeCells count="389">
    <mergeCell ref="B215:H215"/>
    <mergeCell ref="A131:H131"/>
    <mergeCell ref="A136:H136"/>
    <mergeCell ref="A137:H137"/>
    <mergeCell ref="A49:B49"/>
    <mergeCell ref="C49:H49"/>
    <mergeCell ref="A81:B81"/>
    <mergeCell ref="A39:B39"/>
    <mergeCell ref="C39:H39"/>
    <mergeCell ref="A46:D46"/>
    <mergeCell ref="A47:D47"/>
    <mergeCell ref="A48:H48"/>
    <mergeCell ref="D64:H64"/>
    <mergeCell ref="A64:C64"/>
    <mergeCell ref="A85:B85"/>
    <mergeCell ref="A45:D45"/>
    <mergeCell ref="G93:H102"/>
    <mergeCell ref="A94:B94"/>
    <mergeCell ref="A95:B95"/>
    <mergeCell ref="A96:B96"/>
    <mergeCell ref="F105:H105"/>
    <mergeCell ref="A105:E105"/>
    <mergeCell ref="D129:D130"/>
    <mergeCell ref="A107:E107"/>
    <mergeCell ref="A106:E106"/>
    <mergeCell ref="L138:M138"/>
    <mergeCell ref="L139:M139"/>
    <mergeCell ref="L140:M140"/>
    <mergeCell ref="B214:H214"/>
    <mergeCell ref="A108:E108"/>
    <mergeCell ref="A102:B102"/>
    <mergeCell ref="A125:B125"/>
    <mergeCell ref="E125:F125"/>
    <mergeCell ref="A113:E113"/>
    <mergeCell ref="G125:H125"/>
    <mergeCell ref="C119:D119"/>
    <mergeCell ref="E119:F119"/>
    <mergeCell ref="G119:H119"/>
    <mergeCell ref="A120:B120"/>
    <mergeCell ref="C120:D120"/>
    <mergeCell ref="E120:F120"/>
    <mergeCell ref="G120:H120"/>
    <mergeCell ref="A124:B124"/>
    <mergeCell ref="C124:D124"/>
    <mergeCell ref="E124:F124"/>
    <mergeCell ref="G124:H124"/>
    <mergeCell ref="B211:H211"/>
    <mergeCell ref="A173:B173"/>
    <mergeCell ref="A156:B156"/>
    <mergeCell ref="A103:E103"/>
    <mergeCell ref="F107:H107"/>
    <mergeCell ref="G129:G130"/>
    <mergeCell ref="A100:B100"/>
    <mergeCell ref="A101:B101"/>
    <mergeCell ref="E122:F122"/>
    <mergeCell ref="A127:H127"/>
    <mergeCell ref="A110:E110"/>
    <mergeCell ref="E93:F102"/>
    <mergeCell ref="E126:F126"/>
    <mergeCell ref="L176:M176"/>
    <mergeCell ref="A158:B158"/>
    <mergeCell ref="A178:B178"/>
    <mergeCell ref="A167:B167"/>
    <mergeCell ref="A183:B183"/>
    <mergeCell ref="A40:B40"/>
    <mergeCell ref="C40:H40"/>
    <mergeCell ref="F129:F130"/>
    <mergeCell ref="C118:D118"/>
    <mergeCell ref="E118:F118"/>
    <mergeCell ref="B129:B130"/>
    <mergeCell ref="A129:A130"/>
    <mergeCell ref="C142:C143"/>
    <mergeCell ref="G142:G143"/>
    <mergeCell ref="L149:M149"/>
    <mergeCell ref="L146:M146"/>
    <mergeCell ref="A147:B147"/>
    <mergeCell ref="G126:H126"/>
    <mergeCell ref="L147:M147"/>
    <mergeCell ref="A148:B148"/>
    <mergeCell ref="L148:M148"/>
    <mergeCell ref="C55:H55"/>
    <mergeCell ref="A70:C70"/>
    <mergeCell ref="D70:H70"/>
    <mergeCell ref="L135:M135"/>
    <mergeCell ref="L134:M134"/>
    <mergeCell ref="L133:M133"/>
    <mergeCell ref="A86:B86"/>
    <mergeCell ref="C123:D123"/>
    <mergeCell ref="E123:F123"/>
    <mergeCell ref="G123:H123"/>
    <mergeCell ref="A104:E104"/>
    <mergeCell ref="A132:H132"/>
    <mergeCell ref="E129:E130"/>
    <mergeCell ref="A93:B93"/>
    <mergeCell ref="C91:H91"/>
    <mergeCell ref="A92:B92"/>
    <mergeCell ref="A91:B91"/>
    <mergeCell ref="F103:H103"/>
    <mergeCell ref="F108:H108"/>
    <mergeCell ref="E92:F92"/>
    <mergeCell ref="G92:H92"/>
    <mergeCell ref="A109:E109"/>
    <mergeCell ref="F109:H109"/>
    <mergeCell ref="A111:E111"/>
    <mergeCell ref="F106:H106"/>
    <mergeCell ref="A126:B126"/>
    <mergeCell ref="C126:D126"/>
    <mergeCell ref="A33:B33"/>
    <mergeCell ref="C34:E34"/>
    <mergeCell ref="A35:B35"/>
    <mergeCell ref="C35:E35"/>
    <mergeCell ref="A42:D42"/>
    <mergeCell ref="E42:H42"/>
    <mergeCell ref="A41:H41"/>
    <mergeCell ref="A68:C68"/>
    <mergeCell ref="A69:C69"/>
    <mergeCell ref="D68:H68"/>
    <mergeCell ref="D69:H69"/>
    <mergeCell ref="A44:D44"/>
    <mergeCell ref="E44:H44"/>
    <mergeCell ref="E45:H45"/>
    <mergeCell ref="E46:H46"/>
    <mergeCell ref="E47:H47"/>
    <mergeCell ref="C57:H57"/>
    <mergeCell ref="C59:H59"/>
    <mergeCell ref="F37:H37"/>
    <mergeCell ref="C53:H53"/>
    <mergeCell ref="A38:H38"/>
    <mergeCell ref="A37:B37"/>
    <mergeCell ref="C37:E37"/>
    <mergeCell ref="F34:H34"/>
    <mergeCell ref="A22:B22"/>
    <mergeCell ref="C22:D22"/>
    <mergeCell ref="E22:F22"/>
    <mergeCell ref="G22:H22"/>
    <mergeCell ref="F36:H36"/>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3:H33"/>
    <mergeCell ref="A34:B34"/>
    <mergeCell ref="G19:H19"/>
    <mergeCell ref="A20:B20"/>
    <mergeCell ref="C20:D20"/>
    <mergeCell ref="E20:F20"/>
    <mergeCell ref="G20:H20"/>
    <mergeCell ref="A21:B21"/>
    <mergeCell ref="C21:D21"/>
    <mergeCell ref="E21:F21"/>
    <mergeCell ref="G21:H21"/>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4:C74"/>
    <mergeCell ref="D74:H74"/>
    <mergeCell ref="A72:C72"/>
    <mergeCell ref="D73:H73"/>
    <mergeCell ref="A79:B79"/>
    <mergeCell ref="G78:H78"/>
    <mergeCell ref="E79:F88"/>
    <mergeCell ref="G79:H88"/>
    <mergeCell ref="A87:B87"/>
    <mergeCell ref="A88:B88"/>
    <mergeCell ref="A77:B77"/>
    <mergeCell ref="A75:B75"/>
    <mergeCell ref="C75:H75"/>
    <mergeCell ref="A83:B83"/>
    <mergeCell ref="A78:B78"/>
    <mergeCell ref="A224:H227"/>
    <mergeCell ref="A223:B223"/>
    <mergeCell ref="E223:F223"/>
    <mergeCell ref="C223:D223"/>
    <mergeCell ref="G223:H223"/>
    <mergeCell ref="A116:H116"/>
    <mergeCell ref="A114:E114"/>
    <mergeCell ref="F114:H114"/>
    <mergeCell ref="A115:E115"/>
    <mergeCell ref="F115:H115"/>
    <mergeCell ref="A176:H176"/>
    <mergeCell ref="A123:B123"/>
    <mergeCell ref="A170:B170"/>
    <mergeCell ref="A118:B118"/>
    <mergeCell ref="A219:H219"/>
    <mergeCell ref="A121:H121"/>
    <mergeCell ref="A222:H222"/>
    <mergeCell ref="A220:H220"/>
    <mergeCell ref="A216:H216"/>
    <mergeCell ref="G122:H122"/>
    <mergeCell ref="A165:B165"/>
    <mergeCell ref="C129:C130"/>
    <mergeCell ref="B142:B143"/>
    <mergeCell ref="A217:H217"/>
    <mergeCell ref="B212:H212"/>
    <mergeCell ref="B210:H210"/>
    <mergeCell ref="B206:H206"/>
    <mergeCell ref="A185:H185"/>
    <mergeCell ref="A186:B186"/>
    <mergeCell ref="A187:B187"/>
    <mergeCell ref="A190:B190"/>
    <mergeCell ref="A189:B189"/>
    <mergeCell ref="B204:H204"/>
    <mergeCell ref="B205:H205"/>
    <mergeCell ref="B207:H207"/>
    <mergeCell ref="B208:H208"/>
    <mergeCell ref="A203:H203"/>
    <mergeCell ref="A191:H191"/>
    <mergeCell ref="A192:B192"/>
    <mergeCell ref="A193:B193"/>
    <mergeCell ref="B209:H209"/>
    <mergeCell ref="A184:B184"/>
    <mergeCell ref="D67:H67"/>
    <mergeCell ref="A198:B198"/>
    <mergeCell ref="A199:B199"/>
    <mergeCell ref="A200:H200"/>
    <mergeCell ref="A201:B201"/>
    <mergeCell ref="A202:B202"/>
    <mergeCell ref="C201:H201"/>
    <mergeCell ref="A194:H194"/>
    <mergeCell ref="A195:B195"/>
    <mergeCell ref="A196:B196"/>
    <mergeCell ref="A133:B133"/>
    <mergeCell ref="A134:B134"/>
    <mergeCell ref="A135:B135"/>
    <mergeCell ref="A138:B138"/>
    <mergeCell ref="A139:B139"/>
    <mergeCell ref="A140:B140"/>
    <mergeCell ref="C77:H77"/>
    <mergeCell ref="A80:B80"/>
    <mergeCell ref="A82:B82"/>
    <mergeCell ref="E78:F78"/>
    <mergeCell ref="A71:C71"/>
    <mergeCell ref="D71:H71"/>
    <mergeCell ref="A65:C67"/>
    <mergeCell ref="D65:H65"/>
    <mergeCell ref="D66:H66"/>
    <mergeCell ref="C51:E51"/>
    <mergeCell ref="A221:H221"/>
    <mergeCell ref="A218:H218"/>
    <mergeCell ref="A177:B177"/>
    <mergeCell ref="A122:B122"/>
    <mergeCell ref="D142:D143"/>
    <mergeCell ref="E142:E143"/>
    <mergeCell ref="A97:B97"/>
    <mergeCell ref="A98:B98"/>
    <mergeCell ref="A99:B99"/>
    <mergeCell ref="F104:H104"/>
    <mergeCell ref="G118:H118"/>
    <mergeCell ref="F110:H110"/>
    <mergeCell ref="C117:D117"/>
    <mergeCell ref="C125:D125"/>
    <mergeCell ref="A145:H145"/>
    <mergeCell ref="A164:B164"/>
    <mergeCell ref="C178:H178"/>
    <mergeCell ref="B213:H213"/>
    <mergeCell ref="A197:H197"/>
    <mergeCell ref="A174:B174"/>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2:E52"/>
    <mergeCell ref="I15:P15"/>
    <mergeCell ref="F113:H113"/>
    <mergeCell ref="F111:H111"/>
    <mergeCell ref="A181:B181"/>
    <mergeCell ref="A128:H128"/>
    <mergeCell ref="G117:H117"/>
    <mergeCell ref="A112:E112"/>
    <mergeCell ref="A60:B60"/>
    <mergeCell ref="C60:E60"/>
    <mergeCell ref="D62:H62"/>
    <mergeCell ref="F112:H112"/>
    <mergeCell ref="E117:F117"/>
    <mergeCell ref="A117:B117"/>
    <mergeCell ref="A119:B119"/>
    <mergeCell ref="C122:D122"/>
    <mergeCell ref="D72:H72"/>
    <mergeCell ref="A73:C73"/>
    <mergeCell ref="E43:H43"/>
    <mergeCell ref="A43:D43"/>
    <mergeCell ref="A89:B89"/>
    <mergeCell ref="C89:H89"/>
    <mergeCell ref="A84:B84"/>
    <mergeCell ref="A50:B50"/>
    <mergeCell ref="C177:H177"/>
    <mergeCell ref="A166:B166"/>
    <mergeCell ref="A168:B168"/>
    <mergeCell ref="C167:H168"/>
    <mergeCell ref="A188:H188"/>
    <mergeCell ref="A169:H169"/>
    <mergeCell ref="A171:B171"/>
    <mergeCell ref="A172:B172"/>
    <mergeCell ref="C170:H172"/>
    <mergeCell ref="A154:B154"/>
    <mergeCell ref="A155:B155"/>
    <mergeCell ref="A157:H157"/>
    <mergeCell ref="A159:B159"/>
    <mergeCell ref="A160:B160"/>
    <mergeCell ref="A161:B161"/>
    <mergeCell ref="A162:B162"/>
    <mergeCell ref="C156:H156"/>
    <mergeCell ref="A180:B180"/>
    <mergeCell ref="A175:H175"/>
    <mergeCell ref="A182:H182"/>
    <mergeCell ref="A179:H179"/>
    <mergeCell ref="A146:B146"/>
    <mergeCell ref="A141:H141"/>
    <mergeCell ref="A142:A143"/>
    <mergeCell ref="F142:F143"/>
    <mergeCell ref="A144:H144"/>
    <mergeCell ref="C146:H146"/>
    <mergeCell ref="C147:H147"/>
    <mergeCell ref="L150:M150"/>
    <mergeCell ref="A163:H163"/>
    <mergeCell ref="A153:B153"/>
    <mergeCell ref="A150:B150"/>
    <mergeCell ref="C150:H150"/>
    <mergeCell ref="A151:H151"/>
    <mergeCell ref="A152:B152"/>
    <mergeCell ref="A149:B149"/>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223:H223">
      <formula1>"Kunal Kadam,Pranita Mhatre,Shruti Fule,Pooja Kawale,Mansee Mohite,Anjali Kamble, Hitakshi Mhatre,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B129:B130">
      <formula1>"Shop No. (Sale Plan),Sale / Rehab,Sale / Mhada"</formula1>
    </dataValidation>
    <dataValidation type="list" allowBlank="1" showInputMessage="1" showErrorMessage="1" sqref="B142:B14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2:E143">
      <formula1>"Fungible area,Balcony Area,Chajja Area,Cornice Area,AP Area,WS Area"</formula1>
    </dataValidation>
    <dataValidation type="list" allowBlank="1" showInputMessage="1" showErrorMessage="1" sqref="H130 H143">
      <formula1>".45,.50,.55,.60"</formula1>
    </dataValidation>
    <dataValidation type="list" allowBlank="1" showInputMessage="1" showErrorMessage="1" sqref="E4:H4">
      <formula1>$L$3:$P$3</formula1>
    </dataValidation>
    <dataValidation type="whole" allowBlank="1" showInputMessage="1" showErrorMessage="1" sqref="C84">
      <formula1>0</formula1>
      <formula2>H76</formula2>
    </dataValidation>
    <dataValidation type="list" allowBlank="1" showInputMessage="1" showErrorMessage="1" sqref="F114:H114">
      <formula1>OFFSET($S$103,1,MATCH($G20,$S$103:$W$103,0)-1,15,1)</formula1>
    </dataValidation>
    <dataValidation type="list" allowBlank="1" showInputMessage="1" showErrorMessage="1" sqref="C49:H49">
      <formula1>OFFSET($S$49,1,MATCH($G20,$S$49:$W$49,0)-1,15,1)</formula1>
    </dataValidation>
  </dataValidations>
  <hyperlinks>
    <hyperlink ref="C40" r:id="rId1"/>
    <hyperlink ref="I128" r:id="rId2"/>
    <hyperlink ref="I125" r:id="rId3"/>
    <hyperlink ref="I126" r:id="rId4"/>
    <hyperlink ref="I127" r:id="rId5"/>
  </hyperlinks>
  <printOptions horizontalCentered="1"/>
  <pageMargins left="0.39370078740157483" right="0.39370078740157483" top="0.82677165354330717" bottom="0.78740157480314965" header="0.15748031496062992" footer="0.19685039370078741"/>
  <pageSetup paperSize="2" fitToHeight="0" orientation="portrait" r:id="rId6"/>
  <headerFooter>
    <oddHeader>&amp;C&amp;G</oddHeader>
    <oddFooter>&amp;L&amp;"Times New Roman,Bold"&amp;12Ref No: &amp;F&amp;C&amp;G&amp;R&amp;"Times New Roman,Bold"&amp;12&amp;P</oddFooter>
  </headerFooter>
  <rowBreaks count="4" manualBreakCount="4">
    <brk id="74" max="16383" man="1"/>
    <brk id="227" max="16383" man="1"/>
    <brk id="270" max="16383" man="1"/>
    <brk id="313" max="16383" man="1"/>
  </rowBreaks>
  <drawing r:id="rId7"/>
  <legacyDrawing r:id="rId8"/>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9" zoomScale="85" zoomScaleNormal="85" workbookViewId="0">
      <selection activeCell="C16" sqref="C1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5" t="s">
        <v>105</v>
      </c>
      <c r="C3" s="225"/>
      <c r="D3" s="225"/>
      <c r="E3" s="225"/>
      <c r="F3" s="225"/>
      <c r="G3" s="225"/>
      <c r="H3" s="22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179</v>
      </c>
      <c r="E4" s="49" t="s">
        <v>189</v>
      </c>
      <c r="F4" s="49" t="s">
        <v>172</v>
      </c>
      <c r="G4" s="49" t="s">
        <v>194</v>
      </c>
      <c r="H4" s="49" t="s">
        <v>212</v>
      </c>
      <c r="J4" t="s">
        <v>194</v>
      </c>
      <c r="K4" t="s">
        <v>210</v>
      </c>
    </row>
    <row r="5" spans="2:11" x14ac:dyDescent="0.35">
      <c r="B5" s="48"/>
      <c r="C5" s="48"/>
      <c r="D5" s="49" t="s">
        <v>180</v>
      </c>
      <c r="E5" s="49" t="s">
        <v>187</v>
      </c>
      <c r="F5" s="49" t="s">
        <v>209</v>
      </c>
      <c r="G5" s="49" t="s">
        <v>195</v>
      </c>
      <c r="H5" s="49" t="s">
        <v>213</v>
      </c>
    </row>
    <row r="6" spans="2:11" x14ac:dyDescent="0.35">
      <c r="B6" s="48"/>
      <c r="C6" s="48"/>
      <c r="D6" s="49" t="s">
        <v>181</v>
      </c>
      <c r="E6" s="49" t="s">
        <v>188</v>
      </c>
      <c r="F6" s="49" t="s">
        <v>210</v>
      </c>
      <c r="G6" s="49" t="s">
        <v>196</v>
      </c>
      <c r="H6" s="49" t="s">
        <v>226</v>
      </c>
    </row>
    <row r="7" spans="2:11" x14ac:dyDescent="0.35">
      <c r="B7" s="48"/>
      <c r="C7" s="48"/>
      <c r="D7" s="49" t="s">
        <v>182</v>
      </c>
      <c r="E7" s="49" t="s">
        <v>190</v>
      </c>
      <c r="F7" s="49" t="s">
        <v>211</v>
      </c>
      <c r="G7" s="49" t="s">
        <v>197</v>
      </c>
      <c r="H7" s="49" t="s">
        <v>214</v>
      </c>
    </row>
    <row r="8" spans="2:11" x14ac:dyDescent="0.35">
      <c r="B8" s="48"/>
      <c r="C8" s="48"/>
      <c r="D8" s="49" t="s">
        <v>183</v>
      </c>
      <c r="E8" s="49" t="s">
        <v>191</v>
      </c>
      <c r="F8" s="49"/>
      <c r="G8" s="49" t="s">
        <v>198</v>
      </c>
      <c r="H8" s="49" t="s">
        <v>215</v>
      </c>
    </row>
    <row r="9" spans="2:11" x14ac:dyDescent="0.35">
      <c r="B9" s="48"/>
      <c r="C9" s="48"/>
      <c r="D9" s="49" t="s">
        <v>184</v>
      </c>
      <c r="E9" s="49" t="s">
        <v>189</v>
      </c>
      <c r="F9" s="49"/>
      <c r="G9" s="49" t="s">
        <v>199</v>
      </c>
      <c r="H9" s="49" t="s">
        <v>216</v>
      </c>
    </row>
    <row r="10" spans="2:11" x14ac:dyDescent="0.35">
      <c r="B10" s="48"/>
      <c r="C10" s="48"/>
      <c r="D10" s="49" t="s">
        <v>185</v>
      </c>
      <c r="E10" s="49" t="s">
        <v>192</v>
      </c>
      <c r="F10" s="49"/>
      <c r="G10" s="49" t="s">
        <v>200</v>
      </c>
      <c r="H10" s="49" t="s">
        <v>217</v>
      </c>
    </row>
    <row r="11" spans="2:11" x14ac:dyDescent="0.35">
      <c r="B11" s="48"/>
      <c r="C11" s="48"/>
      <c r="D11" s="49" t="s">
        <v>186</v>
      </c>
      <c r="E11" s="49" t="s">
        <v>193</v>
      </c>
      <c r="F11" s="49"/>
      <c r="G11" s="49" t="s">
        <v>201</v>
      </c>
      <c r="H11" s="49" t="s">
        <v>218</v>
      </c>
    </row>
    <row r="12" spans="2:11" x14ac:dyDescent="0.35">
      <c r="B12" s="48"/>
      <c r="C12" s="48"/>
      <c r="D12" s="49"/>
      <c r="E12" s="49"/>
      <c r="F12" s="49"/>
      <c r="G12" s="49" t="s">
        <v>202</v>
      </c>
      <c r="H12" s="49" t="s">
        <v>219</v>
      </c>
    </row>
    <row r="13" spans="2:11" x14ac:dyDescent="0.35">
      <c r="B13" s="48"/>
      <c r="C13" s="48"/>
      <c r="D13" s="49"/>
      <c r="E13" s="49"/>
      <c r="F13" s="49"/>
      <c r="G13" s="49" t="s">
        <v>203</v>
      </c>
      <c r="H13" s="49" t="s">
        <v>220</v>
      </c>
    </row>
    <row r="14" spans="2:11" x14ac:dyDescent="0.35">
      <c r="B14" s="48"/>
      <c r="C14" s="48"/>
      <c r="D14" s="49"/>
      <c r="E14" s="49"/>
      <c r="F14" s="49"/>
      <c r="G14" s="49" t="s">
        <v>204</v>
      </c>
      <c r="H14" s="49" t="s">
        <v>221</v>
      </c>
    </row>
    <row r="15" spans="2:11" x14ac:dyDescent="0.35">
      <c r="B15" s="48"/>
      <c r="C15" s="48"/>
      <c r="D15" s="49"/>
      <c r="E15" s="49"/>
      <c r="F15" s="49"/>
      <c r="G15" s="49" t="s">
        <v>205</v>
      </c>
      <c r="H15" s="49" t="s">
        <v>222</v>
      </c>
    </row>
    <row r="16" spans="2:11" x14ac:dyDescent="0.35">
      <c r="B16" s="48"/>
      <c r="C16" s="48"/>
      <c r="D16" s="49"/>
      <c r="E16" s="49"/>
      <c r="F16" s="49"/>
      <c r="G16" s="49" t="s">
        <v>206</v>
      </c>
      <c r="H16" s="49" t="s">
        <v>223</v>
      </c>
    </row>
    <row r="17" spans="2:8" x14ac:dyDescent="0.35">
      <c r="B17" s="48"/>
      <c r="C17" s="48"/>
      <c r="D17" s="49"/>
      <c r="E17" s="49"/>
      <c r="F17" s="49"/>
      <c r="G17" s="49" t="s">
        <v>207</v>
      </c>
      <c r="H17" s="49" t="s">
        <v>224</v>
      </c>
    </row>
    <row r="18" spans="2:8" x14ac:dyDescent="0.35">
      <c r="B18" s="48"/>
      <c r="C18" s="48"/>
      <c r="D18" s="49"/>
      <c r="E18" s="49"/>
      <c r="F18" s="49"/>
      <c r="G18" s="49" t="s">
        <v>208</v>
      </c>
      <c r="H18" s="49" t="s">
        <v>225</v>
      </c>
    </row>
    <row r="24" spans="2:8" x14ac:dyDescent="0.35">
      <c r="C24" t="s">
        <v>169</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169</v>
      </c>
    </row>
    <row r="33" spans="3:11" x14ac:dyDescent="0.35">
      <c r="J33">
        <v>1</v>
      </c>
      <c r="K33">
        <v>2</v>
      </c>
    </row>
    <row r="34" spans="3:11" x14ac:dyDescent="0.35">
      <c r="C34" s="53" t="s">
        <v>238</v>
      </c>
      <c r="D34" s="49" t="s">
        <v>236</v>
      </c>
      <c r="E34" s="49" t="s">
        <v>241</v>
      </c>
      <c r="F34" s="49" t="s">
        <v>239</v>
      </c>
      <c r="G34" s="49" t="s">
        <v>240</v>
      </c>
      <c r="H34" s="49" t="s">
        <v>242</v>
      </c>
      <c r="J34" t="s">
        <v>194</v>
      </c>
      <c r="K34" t="s">
        <v>210</v>
      </c>
    </row>
    <row r="35" spans="3:11" x14ac:dyDescent="0.35">
      <c r="C35" s="48" t="s">
        <v>237</v>
      </c>
      <c r="D35" s="49" t="s">
        <v>170</v>
      </c>
      <c r="E35" s="49" t="s">
        <v>246</v>
      </c>
      <c r="F35" s="49" t="s">
        <v>248</v>
      </c>
      <c r="G35" s="49" t="s">
        <v>250</v>
      </c>
      <c r="H35" s="49"/>
    </row>
    <row r="36" spans="3:11" x14ac:dyDescent="0.35">
      <c r="C36" s="48"/>
      <c r="D36" s="49" t="s">
        <v>243</v>
      </c>
      <c r="E36" s="49" t="s">
        <v>247</v>
      </c>
      <c r="F36" s="49" t="s">
        <v>249</v>
      </c>
      <c r="G36" s="49" t="s">
        <v>251</v>
      </c>
      <c r="H36" s="49"/>
    </row>
    <row r="37" spans="3:11" x14ac:dyDescent="0.35">
      <c r="C37" s="48"/>
      <c r="D37" s="49" t="s">
        <v>244</v>
      </c>
      <c r="E37" s="49"/>
      <c r="F37" s="49"/>
      <c r="G37" s="49" t="s">
        <v>252</v>
      </c>
      <c r="H37" s="49"/>
    </row>
    <row r="38" spans="3:11" x14ac:dyDescent="0.35">
      <c r="C38" s="48"/>
      <c r="D38" s="49" t="s">
        <v>245</v>
      </c>
      <c r="E38" s="49"/>
      <c r="F38" s="49"/>
      <c r="G38" s="49" t="s">
        <v>252</v>
      </c>
      <c r="H38" s="49"/>
    </row>
    <row r="39" spans="3:11" x14ac:dyDescent="0.35">
      <c r="C39" s="48"/>
      <c r="D39" s="49"/>
      <c r="E39" s="49"/>
      <c r="F39" s="49"/>
      <c r="G39" s="49" t="s">
        <v>253</v>
      </c>
      <c r="H39" s="49"/>
    </row>
    <row r="40" spans="3:11" x14ac:dyDescent="0.35">
      <c r="C40" s="48"/>
      <c r="D40" s="49"/>
      <c r="E40" s="49"/>
      <c r="F40" s="49"/>
      <c r="G40" s="49" t="s">
        <v>254</v>
      </c>
      <c r="H40" s="49"/>
    </row>
    <row r="41" spans="3:11" x14ac:dyDescent="0.35">
      <c r="C41" s="48"/>
      <c r="D41" s="49"/>
      <c r="E41" s="49"/>
      <c r="F41" s="49"/>
      <c r="G41" s="49"/>
      <c r="H41" s="49"/>
    </row>
    <row r="43" spans="3:11" x14ac:dyDescent="0.35">
      <c r="C43" t="s">
        <v>255</v>
      </c>
    </row>
    <row r="44" spans="3:11" x14ac:dyDescent="0.35">
      <c r="C44" t="s">
        <v>172</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179</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194</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189</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4">
        <v>1</v>
      </c>
      <c r="C2" s="57" t="s">
        <v>286</v>
      </c>
    </row>
    <row r="3" spans="2:3" x14ac:dyDescent="0.35">
      <c r="B3" s="54">
        <v>2</v>
      </c>
      <c r="C3" s="55" t="s">
        <v>287</v>
      </c>
    </row>
    <row r="4" spans="2:3" x14ac:dyDescent="0.35">
      <c r="B4" s="54">
        <v>3</v>
      </c>
      <c r="C4" s="56" t="s">
        <v>288</v>
      </c>
    </row>
    <row r="5" spans="2:3" x14ac:dyDescent="0.35">
      <c r="B5" s="54">
        <v>4</v>
      </c>
      <c r="C5" s="55" t="s">
        <v>289</v>
      </c>
    </row>
    <row r="6" spans="2:3" x14ac:dyDescent="0.35">
      <c r="B6" s="54">
        <v>5</v>
      </c>
      <c r="C6" s="56" t="s">
        <v>290</v>
      </c>
    </row>
    <row r="7" spans="2:3" ht="29" x14ac:dyDescent="0.35">
      <c r="B7" s="54">
        <v>6</v>
      </c>
      <c r="C7" s="55" t="s">
        <v>291</v>
      </c>
    </row>
    <row r="8" spans="2:3" ht="72.5" x14ac:dyDescent="0.35">
      <c r="B8" s="54">
        <v>7</v>
      </c>
      <c r="C8" s="55" t="s">
        <v>292</v>
      </c>
    </row>
    <row r="9" spans="2:3" x14ac:dyDescent="0.35">
      <c r="B9" s="54">
        <v>8</v>
      </c>
      <c r="C9" s="56" t="s">
        <v>293</v>
      </c>
    </row>
    <row r="10" spans="2:3" x14ac:dyDescent="0.35">
      <c r="B10" s="54">
        <v>9</v>
      </c>
      <c r="C10" s="56" t="s">
        <v>294</v>
      </c>
    </row>
    <row r="11" spans="2:3" x14ac:dyDescent="0.35">
      <c r="B11" s="54">
        <v>10</v>
      </c>
      <c r="C11" s="56" t="s">
        <v>295</v>
      </c>
    </row>
    <row r="12" spans="2:3" x14ac:dyDescent="0.35">
      <c r="B12" s="54">
        <v>11</v>
      </c>
      <c r="C12" s="56" t="s">
        <v>296</v>
      </c>
    </row>
    <row r="13" spans="2:3" x14ac:dyDescent="0.35">
      <c r="B13" s="54">
        <v>12</v>
      </c>
      <c r="C13" s="56" t="s">
        <v>297</v>
      </c>
    </row>
    <row r="14" spans="2:3" x14ac:dyDescent="0.35">
      <c r="B14" s="54">
        <v>13</v>
      </c>
      <c r="C14" s="56" t="s">
        <v>298</v>
      </c>
    </row>
    <row r="15" spans="2:3" x14ac:dyDescent="0.35">
      <c r="B15" s="54">
        <v>14</v>
      </c>
      <c r="C15" s="56"/>
    </row>
    <row r="16" spans="2:3" x14ac:dyDescent="0.35">
      <c r="B16" s="54">
        <v>15</v>
      </c>
      <c r="C16" s="56"/>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2024-01-09T10:01:25Z</cp:lastPrinted>
  <dcterms:created xsi:type="dcterms:W3CDTF">2019-07-16T09:29:46Z</dcterms:created>
  <dcterms:modified xsi:type="dcterms:W3CDTF">2025-09-16T07:53:34Z</dcterms:modified>
</cp:coreProperties>
</file>