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JFL\Sept 2025\21390 - Elysian Tower A B C D E - P\"/>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Report!$A$1:$H$859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5" i="1" l="1"/>
  <c r="C121" i="1"/>
  <c r="C107" i="1"/>
  <c r="C92" i="1"/>
  <c r="C93" i="1" s="1"/>
  <c r="C95" i="1" s="1"/>
  <c r="L92" i="1"/>
  <c r="D556" i="1"/>
  <c r="D555" i="1"/>
  <c r="E554" i="1"/>
  <c r="D554" i="1"/>
  <c r="F554" i="1" s="1"/>
  <c r="H554" i="1" s="1"/>
  <c r="E553" i="1"/>
  <c r="D553" i="1"/>
  <c r="E552" i="1"/>
  <c r="D552" i="1"/>
  <c r="E551" i="1"/>
  <c r="D551" i="1"/>
  <c r="D549" i="1"/>
  <c r="D548" i="1"/>
  <c r="F548" i="1" s="1"/>
  <c r="H548" i="1" s="1"/>
  <c r="E547" i="1"/>
  <c r="D547" i="1"/>
  <c r="E546" i="1"/>
  <c r="D546" i="1"/>
  <c r="D542" i="1"/>
  <c r="D541" i="1"/>
  <c r="E540" i="1"/>
  <c r="D540" i="1"/>
  <c r="E539" i="1"/>
  <c r="D539" i="1"/>
  <c r="E538" i="1"/>
  <c r="D538" i="1"/>
  <c r="E537" i="1"/>
  <c r="D537" i="1"/>
  <c r="D535" i="1"/>
  <c r="D534" i="1"/>
  <c r="F534" i="1" s="1"/>
  <c r="H534" i="1" s="1"/>
  <c r="E533" i="1"/>
  <c r="D533" i="1"/>
  <c r="E532" i="1"/>
  <c r="D532" i="1"/>
  <c r="D528" i="1"/>
  <c r="D527" i="1"/>
  <c r="E526" i="1"/>
  <c r="D526" i="1"/>
  <c r="E525" i="1"/>
  <c r="D525" i="1"/>
  <c r="E524" i="1"/>
  <c r="D524" i="1"/>
  <c r="E523" i="1"/>
  <c r="D523" i="1"/>
  <c r="D521" i="1"/>
  <c r="F521" i="1" s="1"/>
  <c r="H521" i="1" s="1"/>
  <c r="D520" i="1"/>
  <c r="F520" i="1" s="1"/>
  <c r="H520" i="1" s="1"/>
  <c r="E519" i="1"/>
  <c r="D519" i="1"/>
  <c r="E518" i="1"/>
  <c r="D518" i="1"/>
  <c r="D514" i="1"/>
  <c r="D513" i="1"/>
  <c r="E512" i="1"/>
  <c r="D512" i="1"/>
  <c r="F512" i="1" s="1"/>
  <c r="H512" i="1" s="1"/>
  <c r="E511" i="1"/>
  <c r="D511" i="1"/>
  <c r="E510" i="1"/>
  <c r="D510" i="1"/>
  <c r="E509" i="1"/>
  <c r="D509" i="1"/>
  <c r="D507" i="1"/>
  <c r="F507" i="1" s="1"/>
  <c r="H507" i="1" s="1"/>
  <c r="E505" i="1"/>
  <c r="F505" i="1" s="1"/>
  <c r="H505" i="1" s="1"/>
  <c r="D505" i="1"/>
  <c r="E504" i="1"/>
  <c r="D504" i="1"/>
  <c r="F504" i="1" s="1"/>
  <c r="H504" i="1" s="1"/>
  <c r="D500" i="1"/>
  <c r="F500" i="1" s="1"/>
  <c r="H500" i="1" s="1"/>
  <c r="E498" i="1"/>
  <c r="D498" i="1"/>
  <c r="E497" i="1"/>
  <c r="D497" i="1"/>
  <c r="F497" i="1" s="1"/>
  <c r="H497" i="1" s="1"/>
  <c r="E496" i="1"/>
  <c r="D496" i="1"/>
  <c r="E495" i="1"/>
  <c r="D495" i="1"/>
  <c r="D493" i="1"/>
  <c r="D492" i="1"/>
  <c r="E491" i="1"/>
  <c r="D491" i="1"/>
  <c r="F491" i="1" s="1"/>
  <c r="H491" i="1" s="1"/>
  <c r="E490" i="1"/>
  <c r="D490" i="1"/>
  <c r="E489" i="1"/>
  <c r="D489" i="1"/>
  <c r="E488" i="1"/>
  <c r="D488" i="1"/>
  <c r="D486" i="1"/>
  <c r="F486" i="1" s="1"/>
  <c r="H486" i="1" s="1"/>
  <c r="D485" i="1"/>
  <c r="F485" i="1" s="1"/>
  <c r="H485" i="1" s="1"/>
  <c r="E484" i="1"/>
  <c r="D484" i="1"/>
  <c r="E483" i="1"/>
  <c r="D483" i="1"/>
  <c r="E482" i="1"/>
  <c r="D482" i="1"/>
  <c r="E481" i="1"/>
  <c r="D481" i="1"/>
  <c r="F481" i="1" s="1"/>
  <c r="H481" i="1" s="1"/>
  <c r="D479" i="1"/>
  <c r="D478" i="1"/>
  <c r="E477" i="1"/>
  <c r="D477" i="1"/>
  <c r="E476" i="1"/>
  <c r="D476" i="1"/>
  <c r="D472" i="1"/>
  <c r="D471" i="1"/>
  <c r="F471" i="1" s="1"/>
  <c r="H471" i="1" s="1"/>
  <c r="E470" i="1"/>
  <c r="D470" i="1"/>
  <c r="E469" i="1"/>
  <c r="D469" i="1"/>
  <c r="E468" i="1"/>
  <c r="D468" i="1"/>
  <c r="E467" i="1"/>
  <c r="D467" i="1"/>
  <c r="F467" i="1" s="1"/>
  <c r="H467" i="1" s="1"/>
  <c r="D465" i="1"/>
  <c r="D464" i="1"/>
  <c r="E463" i="1"/>
  <c r="D463" i="1"/>
  <c r="E462" i="1"/>
  <c r="D462" i="1"/>
  <c r="E461" i="1"/>
  <c r="D461" i="1"/>
  <c r="E460" i="1"/>
  <c r="D460" i="1"/>
  <c r="E454" i="1"/>
  <c r="D454" i="1"/>
  <c r="E453" i="1"/>
  <c r="D453" i="1"/>
  <c r="D444" i="1"/>
  <c r="D443" i="1"/>
  <c r="F443" i="1" s="1"/>
  <c r="H443" i="1" s="1"/>
  <c r="E442" i="1"/>
  <c r="D442" i="1"/>
  <c r="E441" i="1"/>
  <c r="D441" i="1"/>
  <c r="E440" i="1"/>
  <c r="D440" i="1"/>
  <c r="E439" i="1"/>
  <c r="D439" i="1"/>
  <c r="F439" i="1" s="1"/>
  <c r="H439" i="1" s="1"/>
  <c r="D437" i="1"/>
  <c r="D436" i="1"/>
  <c r="E435" i="1"/>
  <c r="D435" i="1"/>
  <c r="E434" i="1"/>
  <c r="D434" i="1"/>
  <c r="D430" i="1"/>
  <c r="D429" i="1"/>
  <c r="F429" i="1" s="1"/>
  <c r="H429" i="1" s="1"/>
  <c r="E428" i="1"/>
  <c r="D428" i="1"/>
  <c r="E427" i="1"/>
  <c r="D427" i="1"/>
  <c r="E426" i="1"/>
  <c r="D426" i="1"/>
  <c r="E425" i="1"/>
  <c r="D425" i="1"/>
  <c r="F425" i="1" s="1"/>
  <c r="H425" i="1" s="1"/>
  <c r="D423" i="1"/>
  <c r="D422" i="1"/>
  <c r="E421" i="1"/>
  <c r="D421" i="1"/>
  <c r="E420" i="1"/>
  <c r="D420" i="1"/>
  <c r="D416" i="1"/>
  <c r="F416" i="1" s="1"/>
  <c r="H416" i="1" s="1"/>
  <c r="D415" i="1"/>
  <c r="F415" i="1" s="1"/>
  <c r="H415" i="1" s="1"/>
  <c r="E414" i="1"/>
  <c r="D414" i="1"/>
  <c r="E413" i="1"/>
  <c r="D413" i="1"/>
  <c r="E412" i="1"/>
  <c r="D412" i="1"/>
  <c r="E411" i="1"/>
  <c r="D411" i="1"/>
  <c r="D409" i="1"/>
  <c r="D408" i="1"/>
  <c r="E407" i="1"/>
  <c r="D407" i="1"/>
  <c r="E406" i="1"/>
  <c r="D406" i="1"/>
  <c r="D402" i="1"/>
  <c r="D401" i="1"/>
  <c r="F401" i="1" s="1"/>
  <c r="H401" i="1" s="1"/>
  <c r="E400" i="1"/>
  <c r="D400" i="1"/>
  <c r="E399" i="1"/>
  <c r="D399" i="1"/>
  <c r="E398" i="1"/>
  <c r="D398" i="1"/>
  <c r="E397" i="1"/>
  <c r="D397" i="1"/>
  <c r="F397" i="1" s="1"/>
  <c r="H397" i="1" s="1"/>
  <c r="D395" i="1"/>
  <c r="D394" i="1"/>
  <c r="E393" i="1"/>
  <c r="D393" i="1"/>
  <c r="E392" i="1"/>
  <c r="D392" i="1"/>
  <c r="E391" i="1"/>
  <c r="D391" i="1"/>
  <c r="E390" i="1"/>
  <c r="D390" i="1"/>
  <c r="D388" i="1"/>
  <c r="F388" i="1" s="1"/>
  <c r="H388" i="1" s="1"/>
  <c r="D387" i="1"/>
  <c r="F387" i="1" s="1"/>
  <c r="H387" i="1" s="1"/>
  <c r="E386" i="1"/>
  <c r="D386" i="1"/>
  <c r="E385" i="1"/>
  <c r="D385" i="1"/>
  <c r="F385" i="1" s="1"/>
  <c r="H385" i="1" s="1"/>
  <c r="D381" i="1"/>
  <c r="D380" i="1"/>
  <c r="E379" i="1"/>
  <c r="D379" i="1"/>
  <c r="E378" i="1"/>
  <c r="D378" i="1"/>
  <c r="E377" i="1"/>
  <c r="D377" i="1"/>
  <c r="F377" i="1" s="1"/>
  <c r="H377" i="1" s="1"/>
  <c r="E376" i="1"/>
  <c r="D376" i="1"/>
  <c r="D374" i="1"/>
  <c r="F374" i="1" s="1"/>
  <c r="H374" i="1" s="1"/>
  <c r="D373" i="1"/>
  <c r="F373" i="1" s="1"/>
  <c r="H373" i="1" s="1"/>
  <c r="E372" i="1"/>
  <c r="D372" i="1"/>
  <c r="E371" i="1"/>
  <c r="D371" i="1"/>
  <c r="F371" i="1" s="1"/>
  <c r="H371" i="1" s="1"/>
  <c r="D367" i="1"/>
  <c r="D366" i="1"/>
  <c r="E365" i="1"/>
  <c r="D365" i="1"/>
  <c r="E364" i="1"/>
  <c r="D364" i="1"/>
  <c r="E363" i="1"/>
  <c r="D363" i="1"/>
  <c r="F363" i="1" s="1"/>
  <c r="H363" i="1" s="1"/>
  <c r="E362" i="1"/>
  <c r="D362" i="1"/>
  <c r="D360" i="1"/>
  <c r="D359" i="1"/>
  <c r="F359" i="1" s="1"/>
  <c r="H359" i="1" s="1"/>
  <c r="E358" i="1"/>
  <c r="D358" i="1"/>
  <c r="E357" i="1"/>
  <c r="D357" i="1"/>
  <c r="F357" i="1" s="1"/>
  <c r="H357" i="1" s="1"/>
  <c r="E356" i="1"/>
  <c r="D356" i="1"/>
  <c r="E355" i="1"/>
  <c r="D355" i="1"/>
  <c r="D353" i="1"/>
  <c r="D352" i="1"/>
  <c r="E351" i="1"/>
  <c r="D351" i="1"/>
  <c r="F351" i="1" s="1"/>
  <c r="H351" i="1" s="1"/>
  <c r="E350" i="1"/>
  <c r="D350" i="1"/>
  <c r="E349" i="1"/>
  <c r="D349" i="1"/>
  <c r="E348" i="1"/>
  <c r="D348" i="1"/>
  <c r="D346" i="1"/>
  <c r="F346" i="1" s="1"/>
  <c r="H346" i="1" s="1"/>
  <c r="D345" i="1"/>
  <c r="F345" i="1" s="1"/>
  <c r="H345" i="1" s="1"/>
  <c r="E344" i="1"/>
  <c r="D344" i="1"/>
  <c r="E343" i="1"/>
  <c r="D343" i="1"/>
  <c r="E342" i="1"/>
  <c r="D342" i="1"/>
  <c r="E341" i="1"/>
  <c r="D341" i="1"/>
  <c r="F341" i="1" s="1"/>
  <c r="H341" i="1" s="1"/>
  <c r="D339" i="1"/>
  <c r="D338" i="1"/>
  <c r="E337" i="1"/>
  <c r="D337" i="1"/>
  <c r="E336" i="1"/>
  <c r="D336" i="1"/>
  <c r="D332" i="1"/>
  <c r="F332" i="1" s="1"/>
  <c r="H332" i="1" s="1"/>
  <c r="D331" i="1"/>
  <c r="F331" i="1" s="1"/>
  <c r="H331" i="1" s="1"/>
  <c r="E330" i="1"/>
  <c r="D330" i="1"/>
  <c r="E329" i="1"/>
  <c r="D329" i="1"/>
  <c r="E328" i="1"/>
  <c r="D328" i="1"/>
  <c r="E327" i="1"/>
  <c r="D327" i="1"/>
  <c r="F327" i="1" s="1"/>
  <c r="H327" i="1" s="1"/>
  <c r="D325" i="1"/>
  <c r="D324" i="1"/>
  <c r="E323" i="1"/>
  <c r="D323" i="1"/>
  <c r="E322" i="1"/>
  <c r="D322" i="1"/>
  <c r="D318" i="1"/>
  <c r="D317" i="1"/>
  <c r="F317" i="1" s="1"/>
  <c r="H317" i="1" s="1"/>
  <c r="E316" i="1"/>
  <c r="D316" i="1"/>
  <c r="E315" i="1"/>
  <c r="D315" i="1"/>
  <c r="E314" i="1"/>
  <c r="D314" i="1"/>
  <c r="E313" i="1"/>
  <c r="D313" i="1"/>
  <c r="D311" i="1"/>
  <c r="D310" i="1"/>
  <c r="E307" i="1"/>
  <c r="D307" i="1"/>
  <c r="E306" i="1"/>
  <c r="D306" i="1"/>
  <c r="E297" i="1"/>
  <c r="D297" i="1"/>
  <c r="E296" i="1"/>
  <c r="D296" i="1"/>
  <c r="E295" i="1"/>
  <c r="D295" i="1"/>
  <c r="E294" i="1"/>
  <c r="D294" i="1"/>
  <c r="E293" i="1"/>
  <c r="D293" i="1"/>
  <c r="F293" i="1" s="1"/>
  <c r="H293" i="1" s="1"/>
  <c r="E292" i="1"/>
  <c r="D292" i="1"/>
  <c r="E290" i="1"/>
  <c r="D290" i="1"/>
  <c r="E289" i="1"/>
  <c r="D289" i="1"/>
  <c r="E286" i="1"/>
  <c r="D286" i="1"/>
  <c r="F286" i="1" s="1"/>
  <c r="H286" i="1" s="1"/>
  <c r="E285" i="1"/>
  <c r="D285" i="1"/>
  <c r="E283" i="1"/>
  <c r="D283" i="1"/>
  <c r="E282" i="1"/>
  <c r="D282" i="1"/>
  <c r="E281" i="1"/>
  <c r="D281" i="1"/>
  <c r="F281" i="1" s="1"/>
  <c r="H281" i="1" s="1"/>
  <c r="E280" i="1"/>
  <c r="D280" i="1"/>
  <c r="E279" i="1"/>
  <c r="D279" i="1"/>
  <c r="E278" i="1"/>
  <c r="D278" i="1"/>
  <c r="E276" i="1"/>
  <c r="D276" i="1"/>
  <c r="F276" i="1" s="1"/>
  <c r="H276" i="1" s="1"/>
  <c r="E275" i="1"/>
  <c r="D275" i="1"/>
  <c r="E272" i="1"/>
  <c r="D272" i="1"/>
  <c r="E271" i="1"/>
  <c r="D271" i="1"/>
  <c r="E269" i="1"/>
  <c r="D269" i="1"/>
  <c r="F269" i="1" s="1"/>
  <c r="H269" i="1" s="1"/>
  <c r="E268" i="1"/>
  <c r="D268" i="1"/>
  <c r="E267" i="1"/>
  <c r="D267" i="1"/>
  <c r="E266" i="1"/>
  <c r="D266" i="1"/>
  <c r="E265" i="1"/>
  <c r="D265" i="1"/>
  <c r="F265" i="1" s="1"/>
  <c r="H265" i="1" s="1"/>
  <c r="E264" i="1"/>
  <c r="D264" i="1"/>
  <c r="E262" i="1"/>
  <c r="D262" i="1"/>
  <c r="E261" i="1"/>
  <c r="D261" i="1"/>
  <c r="E258" i="1"/>
  <c r="D258" i="1"/>
  <c r="E257" i="1"/>
  <c r="D257" i="1"/>
  <c r="E255" i="1"/>
  <c r="D255" i="1"/>
  <c r="E254" i="1"/>
  <c r="D254" i="1"/>
  <c r="E253" i="1"/>
  <c r="D253" i="1"/>
  <c r="F253" i="1" s="1"/>
  <c r="H253" i="1" s="1"/>
  <c r="E252" i="1"/>
  <c r="D252" i="1"/>
  <c r="E251" i="1"/>
  <c r="D251" i="1"/>
  <c r="E250" i="1"/>
  <c r="D250" i="1"/>
  <c r="E248" i="1"/>
  <c r="D248" i="1"/>
  <c r="F248" i="1" s="1"/>
  <c r="H248" i="1" s="1"/>
  <c r="E247" i="1"/>
  <c r="D247" i="1"/>
  <c r="E244" i="1"/>
  <c r="D244" i="1"/>
  <c r="E243" i="1"/>
  <c r="D243" i="1"/>
  <c r="E241" i="1"/>
  <c r="D241" i="1"/>
  <c r="F241" i="1" s="1"/>
  <c r="H241" i="1" s="1"/>
  <c r="E240" i="1"/>
  <c r="D240" i="1"/>
  <c r="E239" i="1"/>
  <c r="D239" i="1"/>
  <c r="E238" i="1"/>
  <c r="D238" i="1"/>
  <c r="E237" i="1"/>
  <c r="D237" i="1"/>
  <c r="F237" i="1" s="1"/>
  <c r="H237" i="1" s="1"/>
  <c r="E236" i="1"/>
  <c r="D236" i="1"/>
  <c r="D234" i="1"/>
  <c r="E234" i="1"/>
  <c r="E233" i="1"/>
  <c r="D233" i="1"/>
  <c r="E230" i="1"/>
  <c r="D230" i="1"/>
  <c r="F230" i="1" s="1"/>
  <c r="H230" i="1" s="1"/>
  <c r="E229" i="1"/>
  <c r="D229" i="1"/>
  <c r="E227" i="1"/>
  <c r="D227" i="1"/>
  <c r="E226" i="1"/>
  <c r="D226" i="1"/>
  <c r="E225" i="1"/>
  <c r="D225" i="1"/>
  <c r="F225" i="1" s="1"/>
  <c r="H225" i="1" s="1"/>
  <c r="E224" i="1"/>
  <c r="D224" i="1"/>
  <c r="E223" i="1"/>
  <c r="D223" i="1"/>
  <c r="E222" i="1"/>
  <c r="D222" i="1"/>
  <c r="E220" i="1"/>
  <c r="D220" i="1"/>
  <c r="F220" i="1" s="1"/>
  <c r="H220" i="1" s="1"/>
  <c r="E219" i="1"/>
  <c r="D219" i="1"/>
  <c r="E216" i="1"/>
  <c r="D216" i="1"/>
  <c r="E215" i="1"/>
  <c r="D215" i="1"/>
  <c r="E213" i="1"/>
  <c r="D213" i="1"/>
  <c r="F213" i="1" s="1"/>
  <c r="H213" i="1" s="1"/>
  <c r="E212" i="1"/>
  <c r="D212" i="1"/>
  <c r="E211" i="1"/>
  <c r="D211" i="1"/>
  <c r="E210" i="1"/>
  <c r="D210" i="1"/>
  <c r="E209" i="1"/>
  <c r="D209" i="1"/>
  <c r="F209" i="1" s="1"/>
  <c r="H209" i="1" s="1"/>
  <c r="E208" i="1"/>
  <c r="D208" i="1"/>
  <c r="E206" i="1"/>
  <c r="D206" i="1"/>
  <c r="E205" i="1"/>
  <c r="D205" i="1"/>
  <c r="E204" i="1"/>
  <c r="D204" i="1"/>
  <c r="E203" i="1"/>
  <c r="D203" i="1"/>
  <c r="E202" i="1"/>
  <c r="D202" i="1"/>
  <c r="E201" i="1"/>
  <c r="D201" i="1"/>
  <c r="F555" i="1"/>
  <c r="H555" i="1" s="1"/>
  <c r="F553" i="1"/>
  <c r="H553" i="1" s="1"/>
  <c r="F551" i="1"/>
  <c r="H551" i="1" s="1"/>
  <c r="F556" i="1"/>
  <c r="H556" i="1" s="1"/>
  <c r="F546" i="1"/>
  <c r="H546" i="1" s="1"/>
  <c r="F541" i="1"/>
  <c r="H541" i="1" s="1"/>
  <c r="F537" i="1"/>
  <c r="H537" i="1" s="1"/>
  <c r="F533" i="1"/>
  <c r="H533" i="1" s="1"/>
  <c r="F511" i="1"/>
  <c r="H511" i="1" s="1"/>
  <c r="F527" i="1"/>
  <c r="H527" i="1" s="1"/>
  <c r="F514" i="1"/>
  <c r="H514" i="1" s="1"/>
  <c r="F513" i="1"/>
  <c r="H513" i="1" s="1"/>
  <c r="F506" i="1"/>
  <c r="H506" i="1" s="1"/>
  <c r="F499" i="1"/>
  <c r="H499" i="1" s="1"/>
  <c r="F498" i="1"/>
  <c r="H498" i="1" s="1"/>
  <c r="F488" i="1"/>
  <c r="H488" i="1" s="1"/>
  <c r="F484" i="1"/>
  <c r="H484" i="1" s="1"/>
  <c r="F482" i="1"/>
  <c r="H482" i="1" s="1"/>
  <c r="F479" i="1"/>
  <c r="H479" i="1" s="1"/>
  <c r="F478" i="1"/>
  <c r="H478" i="1" s="1"/>
  <c r="F472" i="1"/>
  <c r="H472" i="1" s="1"/>
  <c r="F468" i="1"/>
  <c r="H468" i="1" s="1"/>
  <c r="F465" i="1"/>
  <c r="H465" i="1" s="1"/>
  <c r="F470" i="1"/>
  <c r="H470" i="1" s="1"/>
  <c r="F461" i="1"/>
  <c r="H461" i="1" s="1"/>
  <c r="A552" i="1"/>
  <c r="A553" i="1" s="1"/>
  <c r="A554" i="1" s="1"/>
  <c r="A555" i="1" s="1"/>
  <c r="A556" i="1" s="1"/>
  <c r="F549" i="1"/>
  <c r="H549" i="1" s="1"/>
  <c r="F547" i="1"/>
  <c r="H547" i="1" s="1"/>
  <c r="A545" i="1"/>
  <c r="A546" i="1" s="1"/>
  <c r="A547" i="1" s="1"/>
  <c r="A548" i="1" s="1"/>
  <c r="A549" i="1" s="1"/>
  <c r="F542" i="1"/>
  <c r="H542" i="1" s="1"/>
  <c r="A539" i="1"/>
  <c r="A540" i="1" s="1"/>
  <c r="A541" i="1" s="1"/>
  <c r="A542" i="1" s="1"/>
  <c r="A538" i="1"/>
  <c r="F535" i="1"/>
  <c r="H535" i="1" s="1"/>
  <c r="A531" i="1"/>
  <c r="A532" i="1" s="1"/>
  <c r="A533" i="1" s="1"/>
  <c r="A534" i="1" s="1"/>
  <c r="A535" i="1" s="1"/>
  <c r="F528" i="1"/>
  <c r="H528" i="1" s="1"/>
  <c r="A524" i="1"/>
  <c r="A525" i="1" s="1"/>
  <c r="A526" i="1" s="1"/>
  <c r="A527" i="1" s="1"/>
  <c r="A528" i="1" s="1"/>
  <c r="F519" i="1"/>
  <c r="H519" i="1" s="1"/>
  <c r="A517" i="1"/>
  <c r="A518" i="1" s="1"/>
  <c r="A519" i="1" s="1"/>
  <c r="A520" i="1" s="1"/>
  <c r="A521" i="1" s="1"/>
  <c r="A510" i="1"/>
  <c r="A511" i="1" s="1"/>
  <c r="A512" i="1" s="1"/>
  <c r="A513" i="1" s="1"/>
  <c r="A514" i="1" s="1"/>
  <c r="A503" i="1"/>
  <c r="A504" i="1" s="1"/>
  <c r="A505" i="1" s="1"/>
  <c r="A506" i="1" s="1"/>
  <c r="A507" i="1" s="1"/>
  <c r="A497" i="1"/>
  <c r="A498" i="1" s="1"/>
  <c r="A499" i="1" s="1"/>
  <c r="A500" i="1" s="1"/>
  <c r="F496" i="1"/>
  <c r="H496" i="1" s="1"/>
  <c r="A496" i="1"/>
  <c r="F493" i="1"/>
  <c r="H493" i="1" s="1"/>
  <c r="F492" i="1"/>
  <c r="H492" i="1" s="1"/>
  <c r="F490" i="1"/>
  <c r="H490" i="1" s="1"/>
  <c r="A489" i="1"/>
  <c r="A490" i="1" s="1"/>
  <c r="A491" i="1" s="1"/>
  <c r="A492" i="1" s="1"/>
  <c r="A493" i="1" s="1"/>
  <c r="A482" i="1"/>
  <c r="A483" i="1" s="1"/>
  <c r="A484" i="1" s="1"/>
  <c r="A485" i="1" s="1"/>
  <c r="A486" i="1" s="1"/>
  <c r="F476" i="1"/>
  <c r="H476" i="1" s="1"/>
  <c r="A476" i="1"/>
  <c r="A477" i="1" s="1"/>
  <c r="A478" i="1" s="1"/>
  <c r="A479" i="1" s="1"/>
  <c r="A475" i="1"/>
  <c r="A468" i="1"/>
  <c r="A469" i="1" s="1"/>
  <c r="A470" i="1" s="1"/>
  <c r="A471" i="1" s="1"/>
  <c r="A472" i="1" s="1"/>
  <c r="F464" i="1"/>
  <c r="H464" i="1" s="1"/>
  <c r="F462" i="1"/>
  <c r="H462" i="1" s="1"/>
  <c r="A462" i="1"/>
  <c r="A463" i="1" s="1"/>
  <c r="A464" i="1" s="1"/>
  <c r="A465" i="1" s="1"/>
  <c r="A461" i="1"/>
  <c r="A454" i="1"/>
  <c r="A455" i="1" s="1"/>
  <c r="A456" i="1" s="1"/>
  <c r="A457" i="1" s="1"/>
  <c r="A458" i="1" s="1"/>
  <c r="F428" i="1"/>
  <c r="H428" i="1" s="1"/>
  <c r="F414" i="1"/>
  <c r="H414" i="1" s="1"/>
  <c r="F442" i="1"/>
  <c r="H442" i="1" s="1"/>
  <c r="F440" i="1"/>
  <c r="H440" i="1" s="1"/>
  <c r="F434" i="1"/>
  <c r="H434" i="1" s="1"/>
  <c r="F437" i="1"/>
  <c r="H437" i="1" s="1"/>
  <c r="F426" i="1"/>
  <c r="H426" i="1" s="1"/>
  <c r="F423" i="1"/>
  <c r="H423" i="1" s="1"/>
  <c r="F422" i="1"/>
  <c r="H422" i="1" s="1"/>
  <c r="F420" i="1"/>
  <c r="H420" i="1" s="1"/>
  <c r="F406" i="1"/>
  <c r="H406" i="1" s="1"/>
  <c r="F400" i="1"/>
  <c r="H400" i="1" s="1"/>
  <c r="F394" i="1"/>
  <c r="H394" i="1" s="1"/>
  <c r="F392" i="1"/>
  <c r="H392" i="1" s="1"/>
  <c r="F391" i="1"/>
  <c r="H391" i="1" s="1"/>
  <c r="F390" i="1"/>
  <c r="H390" i="1" s="1"/>
  <c r="F379" i="1"/>
  <c r="H379" i="1" s="1"/>
  <c r="F378" i="1"/>
  <c r="H378" i="1" s="1"/>
  <c r="F366" i="1"/>
  <c r="H366" i="1" s="1"/>
  <c r="F362" i="1"/>
  <c r="H362" i="1" s="1"/>
  <c r="F358" i="1"/>
  <c r="H358" i="1" s="1"/>
  <c r="F356" i="1"/>
  <c r="H356" i="1" s="1"/>
  <c r="F344" i="1"/>
  <c r="H344" i="1" s="1"/>
  <c r="F339" i="1"/>
  <c r="H339" i="1" s="1"/>
  <c r="F338" i="1"/>
  <c r="H338" i="1" s="1"/>
  <c r="F330" i="1"/>
  <c r="H330" i="1" s="1"/>
  <c r="F364" i="1"/>
  <c r="H364" i="1" s="1"/>
  <c r="F348" i="1"/>
  <c r="H348" i="1" s="1"/>
  <c r="F343" i="1"/>
  <c r="H343" i="1" s="1"/>
  <c r="F322" i="1"/>
  <c r="H322" i="1" s="1"/>
  <c r="F311" i="1"/>
  <c r="H311" i="1" s="1"/>
  <c r="F310" i="1"/>
  <c r="H310" i="1" s="1"/>
  <c r="F444" i="1"/>
  <c r="H444" i="1" s="1"/>
  <c r="A440" i="1"/>
  <c r="A441" i="1" s="1"/>
  <c r="A442" i="1" s="1"/>
  <c r="A443" i="1" s="1"/>
  <c r="A444" i="1" s="1"/>
  <c r="F436" i="1"/>
  <c r="H436" i="1" s="1"/>
  <c r="A433" i="1"/>
  <c r="A434" i="1" s="1"/>
  <c r="A435" i="1" s="1"/>
  <c r="A436" i="1" s="1"/>
  <c r="A437" i="1" s="1"/>
  <c r="F430" i="1"/>
  <c r="H430" i="1" s="1"/>
  <c r="A426" i="1"/>
  <c r="A427" i="1" s="1"/>
  <c r="A428" i="1" s="1"/>
  <c r="A429" i="1" s="1"/>
  <c r="A430" i="1" s="1"/>
  <c r="A420" i="1"/>
  <c r="A421" i="1" s="1"/>
  <c r="A422" i="1" s="1"/>
  <c r="A423" i="1" s="1"/>
  <c r="A419" i="1"/>
  <c r="F412" i="1"/>
  <c r="H412" i="1" s="1"/>
  <c r="A412" i="1"/>
  <c r="A413" i="1" s="1"/>
  <c r="A414" i="1" s="1"/>
  <c r="A415" i="1" s="1"/>
  <c r="A416" i="1" s="1"/>
  <c r="F409" i="1"/>
  <c r="H409" i="1" s="1"/>
  <c r="F408" i="1"/>
  <c r="H408" i="1" s="1"/>
  <c r="A405" i="1"/>
  <c r="A406" i="1" s="1"/>
  <c r="A407" i="1" s="1"/>
  <c r="A408" i="1" s="1"/>
  <c r="A409" i="1" s="1"/>
  <c r="F402" i="1"/>
  <c r="H402" i="1" s="1"/>
  <c r="F398" i="1"/>
  <c r="H398" i="1" s="1"/>
  <c r="A398" i="1"/>
  <c r="A399" i="1" s="1"/>
  <c r="A400" i="1" s="1"/>
  <c r="A401" i="1" s="1"/>
  <c r="A402" i="1" s="1"/>
  <c r="F395" i="1"/>
  <c r="H395" i="1" s="1"/>
  <c r="A392" i="1"/>
  <c r="A393" i="1" s="1"/>
  <c r="A394" i="1" s="1"/>
  <c r="A395" i="1" s="1"/>
  <c r="A391" i="1"/>
  <c r="F386" i="1"/>
  <c r="H386" i="1" s="1"/>
  <c r="A384" i="1"/>
  <c r="A385" i="1" s="1"/>
  <c r="A386" i="1" s="1"/>
  <c r="A387" i="1" s="1"/>
  <c r="A388" i="1" s="1"/>
  <c r="F381" i="1"/>
  <c r="H381" i="1" s="1"/>
  <c r="F380" i="1"/>
  <c r="H380" i="1" s="1"/>
  <c r="A377" i="1"/>
  <c r="A378" i="1" s="1"/>
  <c r="A379" i="1" s="1"/>
  <c r="A380" i="1" s="1"/>
  <c r="A381" i="1" s="1"/>
  <c r="F376" i="1"/>
  <c r="H376" i="1" s="1"/>
  <c r="F372" i="1"/>
  <c r="H372" i="1" s="1"/>
  <c r="A371" i="1"/>
  <c r="A372" i="1" s="1"/>
  <c r="A373" i="1" s="1"/>
  <c r="A374" i="1" s="1"/>
  <c r="A370" i="1"/>
  <c r="F367" i="1"/>
  <c r="H367" i="1" s="1"/>
  <c r="A363" i="1"/>
  <c r="A364" i="1" s="1"/>
  <c r="A365" i="1" s="1"/>
  <c r="A366" i="1" s="1"/>
  <c r="A367" i="1" s="1"/>
  <c r="F360" i="1"/>
  <c r="H360" i="1" s="1"/>
  <c r="A356" i="1"/>
  <c r="A357" i="1" s="1"/>
  <c r="A358" i="1" s="1"/>
  <c r="A359" i="1" s="1"/>
  <c r="A360" i="1" s="1"/>
  <c r="F353" i="1"/>
  <c r="H353" i="1" s="1"/>
  <c r="F352" i="1"/>
  <c r="H352" i="1" s="1"/>
  <c r="F350" i="1"/>
  <c r="H350" i="1" s="1"/>
  <c r="A349" i="1"/>
  <c r="A350" i="1" s="1"/>
  <c r="A351" i="1" s="1"/>
  <c r="A352" i="1" s="1"/>
  <c r="A353" i="1" s="1"/>
  <c r="F342" i="1"/>
  <c r="H342" i="1" s="1"/>
  <c r="A342" i="1"/>
  <c r="A343" i="1" s="1"/>
  <c r="A344" i="1" s="1"/>
  <c r="A345" i="1" s="1"/>
  <c r="A346" i="1" s="1"/>
  <c r="F336" i="1"/>
  <c r="H336" i="1" s="1"/>
  <c r="A335" i="1"/>
  <c r="A336" i="1" s="1"/>
  <c r="A337" i="1" s="1"/>
  <c r="A338" i="1" s="1"/>
  <c r="A339" i="1" s="1"/>
  <c r="F328" i="1"/>
  <c r="H328" i="1" s="1"/>
  <c r="A328" i="1"/>
  <c r="A329" i="1" s="1"/>
  <c r="A330" i="1" s="1"/>
  <c r="A331" i="1" s="1"/>
  <c r="A332" i="1" s="1"/>
  <c r="F325" i="1"/>
  <c r="H325" i="1" s="1"/>
  <c r="F324" i="1"/>
  <c r="H324" i="1" s="1"/>
  <c r="A321" i="1"/>
  <c r="A322" i="1" s="1"/>
  <c r="A323" i="1" s="1"/>
  <c r="A324" i="1" s="1"/>
  <c r="A325" i="1" s="1"/>
  <c r="F318" i="1"/>
  <c r="H318" i="1" s="1"/>
  <c r="A314" i="1"/>
  <c r="A315" i="1" s="1"/>
  <c r="A316" i="1" s="1"/>
  <c r="A317" i="1" s="1"/>
  <c r="A318" i="1" s="1"/>
  <c r="F296" i="1"/>
  <c r="H296" i="1" s="1"/>
  <c r="F294" i="1"/>
  <c r="H294" i="1" s="1"/>
  <c r="F280" i="1"/>
  <c r="H280" i="1" s="1"/>
  <c r="F258" i="1"/>
  <c r="H258" i="1" s="1"/>
  <c r="F252" i="1"/>
  <c r="H252" i="1" s="1"/>
  <c r="F233" i="1"/>
  <c r="H233" i="1" s="1"/>
  <c r="F224" i="1"/>
  <c r="H224" i="1" s="1"/>
  <c r="F211" i="1"/>
  <c r="H211" i="1" s="1"/>
  <c r="F215" i="1"/>
  <c r="H215" i="1" s="1"/>
  <c r="F208" i="1"/>
  <c r="H208" i="1" s="1"/>
  <c r="A293" i="1"/>
  <c r="A294" i="1" s="1"/>
  <c r="A295" i="1" s="1"/>
  <c r="A296" i="1" s="1"/>
  <c r="A297" i="1" s="1"/>
  <c r="F289" i="1"/>
  <c r="H289" i="1" s="1"/>
  <c r="A287" i="1"/>
  <c r="A288" i="1" s="1"/>
  <c r="A289" i="1" s="1"/>
  <c r="A290" i="1" s="1"/>
  <c r="A286" i="1"/>
  <c r="F285" i="1"/>
  <c r="H285" i="1" s="1"/>
  <c r="A279" i="1"/>
  <c r="A280" i="1" s="1"/>
  <c r="A281" i="1" s="1"/>
  <c r="A282" i="1" s="1"/>
  <c r="A283" i="1" s="1"/>
  <c r="F275" i="1"/>
  <c r="H275" i="1" s="1"/>
  <c r="A272" i="1"/>
  <c r="A273" i="1" s="1"/>
  <c r="A274" i="1" s="1"/>
  <c r="A275" i="1" s="1"/>
  <c r="A276" i="1" s="1"/>
  <c r="F271" i="1"/>
  <c r="H271" i="1" s="1"/>
  <c r="A265" i="1"/>
  <c r="A266" i="1" s="1"/>
  <c r="A267" i="1" s="1"/>
  <c r="A268" i="1" s="1"/>
  <c r="A269" i="1" s="1"/>
  <c r="F261" i="1"/>
  <c r="H261" i="1" s="1"/>
  <c r="A259" i="1"/>
  <c r="A260" i="1" s="1"/>
  <c r="A261" i="1" s="1"/>
  <c r="A262" i="1" s="1"/>
  <c r="A258" i="1"/>
  <c r="F257" i="1"/>
  <c r="H257" i="1" s="1"/>
  <c r="A251" i="1"/>
  <c r="A252" i="1" s="1"/>
  <c r="A253" i="1" s="1"/>
  <c r="A254" i="1" s="1"/>
  <c r="A255" i="1" s="1"/>
  <c r="F247" i="1"/>
  <c r="H247" i="1" s="1"/>
  <c r="A245" i="1"/>
  <c r="A246" i="1" s="1"/>
  <c r="A247" i="1" s="1"/>
  <c r="A248" i="1" s="1"/>
  <c r="A244" i="1"/>
  <c r="F243" i="1"/>
  <c r="H243" i="1" s="1"/>
  <c r="F240" i="1"/>
  <c r="H240" i="1" s="1"/>
  <c r="F238" i="1"/>
  <c r="H238" i="1" s="1"/>
  <c r="A237" i="1"/>
  <c r="A238" i="1" s="1"/>
  <c r="A239" i="1" s="1"/>
  <c r="A240" i="1" s="1"/>
  <c r="A241" i="1" s="1"/>
  <c r="F236" i="1"/>
  <c r="H236" i="1" s="1"/>
  <c r="A230" i="1"/>
  <c r="A231" i="1" s="1"/>
  <c r="A232" i="1" s="1"/>
  <c r="A233" i="1" s="1"/>
  <c r="A234" i="1" s="1"/>
  <c r="F229" i="1"/>
  <c r="H229" i="1" s="1"/>
  <c r="A223" i="1"/>
  <c r="A224" i="1" s="1"/>
  <c r="A225" i="1" s="1"/>
  <c r="A226" i="1" s="1"/>
  <c r="A227" i="1" s="1"/>
  <c r="F219" i="1"/>
  <c r="H219" i="1" s="1"/>
  <c r="A216" i="1"/>
  <c r="A217" i="1" s="1"/>
  <c r="A218" i="1" s="1"/>
  <c r="A219" i="1" s="1"/>
  <c r="A220" i="1" s="1"/>
  <c r="F212" i="1"/>
  <c r="H212" i="1" s="1"/>
  <c r="F210" i="1"/>
  <c r="H210" i="1" s="1"/>
  <c r="A209" i="1"/>
  <c r="A210" i="1" s="1"/>
  <c r="A211" i="1" s="1"/>
  <c r="A212" i="1" s="1"/>
  <c r="A213" i="1" s="1"/>
  <c r="A307" i="1"/>
  <c r="A308" i="1" s="1"/>
  <c r="A309" i="1" s="1"/>
  <c r="A310" i="1" s="1"/>
  <c r="A311" i="1" s="1"/>
  <c r="F306" i="1"/>
  <c r="H306" i="1" s="1"/>
  <c r="F216" i="1" l="1"/>
  <c r="H216" i="1" s="1"/>
  <c r="F223" i="1"/>
  <c r="H223" i="1" s="1"/>
  <c r="F234" i="1"/>
  <c r="H234" i="1" s="1"/>
  <c r="F239" i="1"/>
  <c r="H239" i="1" s="1"/>
  <c r="F244" i="1"/>
  <c r="H244" i="1" s="1"/>
  <c r="F251" i="1"/>
  <c r="H251" i="1" s="1"/>
  <c r="F262" i="1"/>
  <c r="H262" i="1" s="1"/>
  <c r="F272" i="1"/>
  <c r="H272" i="1" s="1"/>
  <c r="F290" i="1"/>
  <c r="H290" i="1" s="1"/>
  <c r="F295" i="1"/>
  <c r="H295" i="1" s="1"/>
  <c r="F315" i="1"/>
  <c r="H315" i="1" s="1"/>
  <c r="F323" i="1"/>
  <c r="H323" i="1" s="1"/>
  <c r="F329" i="1"/>
  <c r="H329" i="1" s="1"/>
  <c r="F337" i="1"/>
  <c r="H337" i="1" s="1"/>
  <c r="F349" i="1"/>
  <c r="H349" i="1" s="1"/>
  <c r="F355" i="1"/>
  <c r="H355" i="1" s="1"/>
  <c r="F365" i="1"/>
  <c r="H365" i="1" s="1"/>
  <c r="F393" i="1"/>
  <c r="H393" i="1" s="1"/>
  <c r="F399" i="1"/>
  <c r="H399" i="1" s="1"/>
  <c r="F407" i="1"/>
  <c r="H407" i="1" s="1"/>
  <c r="F413" i="1"/>
  <c r="H413" i="1" s="1"/>
  <c r="F421" i="1"/>
  <c r="H421" i="1" s="1"/>
  <c r="F427" i="1"/>
  <c r="H427" i="1" s="1"/>
  <c r="F435" i="1"/>
  <c r="H435" i="1" s="1"/>
  <c r="F441" i="1"/>
  <c r="H441" i="1" s="1"/>
  <c r="F463" i="1"/>
  <c r="H463" i="1" s="1"/>
  <c r="F469" i="1"/>
  <c r="H469" i="1" s="1"/>
  <c r="F477" i="1"/>
  <c r="H477" i="1" s="1"/>
  <c r="F483" i="1"/>
  <c r="H483" i="1" s="1"/>
  <c r="F489" i="1"/>
  <c r="H489" i="1" s="1"/>
  <c r="F495" i="1"/>
  <c r="H495" i="1" s="1"/>
  <c r="F518" i="1"/>
  <c r="H518" i="1" s="1"/>
  <c r="F532" i="1"/>
  <c r="H532" i="1" s="1"/>
  <c r="F538" i="1"/>
  <c r="H538" i="1" s="1"/>
  <c r="F552" i="1"/>
  <c r="H552" i="1" s="1"/>
  <c r="C94" i="1"/>
  <c r="F539" i="1"/>
  <c r="H539" i="1" s="1"/>
  <c r="F540" i="1"/>
  <c r="H540" i="1" s="1"/>
  <c r="F526" i="1"/>
  <c r="H526" i="1" s="1"/>
  <c r="F524" i="1"/>
  <c r="H524" i="1" s="1"/>
  <c r="F523" i="1"/>
  <c r="H523" i="1" s="1"/>
  <c r="F525" i="1"/>
  <c r="H525" i="1" s="1"/>
  <c r="F509" i="1"/>
  <c r="H509" i="1" s="1"/>
  <c r="F510" i="1"/>
  <c r="H510" i="1" s="1"/>
  <c r="F460" i="1"/>
  <c r="H460" i="1" s="1"/>
  <c r="F454" i="1"/>
  <c r="H454" i="1" s="1"/>
  <c r="F453" i="1"/>
  <c r="F411" i="1"/>
  <c r="H411" i="1" s="1"/>
  <c r="F316" i="1"/>
  <c r="H316" i="1" s="1"/>
  <c r="F313" i="1"/>
  <c r="H313" i="1" s="1"/>
  <c r="F314" i="1"/>
  <c r="H314" i="1" s="1"/>
  <c r="F307" i="1"/>
  <c r="E176" i="1" s="1"/>
  <c r="F292" i="1"/>
  <c r="H292" i="1" s="1"/>
  <c r="F297" i="1"/>
  <c r="H297" i="1" s="1"/>
  <c r="F282" i="1"/>
  <c r="H282" i="1" s="1"/>
  <c r="F283" i="1"/>
  <c r="H283" i="1" s="1"/>
  <c r="F279" i="1"/>
  <c r="H279" i="1" s="1"/>
  <c r="F278" i="1"/>
  <c r="H278" i="1" s="1"/>
  <c r="F268" i="1"/>
  <c r="H268" i="1" s="1"/>
  <c r="F267" i="1"/>
  <c r="H267" i="1" s="1"/>
  <c r="F266" i="1"/>
  <c r="H266" i="1" s="1"/>
  <c r="F264" i="1"/>
  <c r="H264" i="1" s="1"/>
  <c r="F254" i="1"/>
  <c r="H254" i="1" s="1"/>
  <c r="F250" i="1"/>
  <c r="H250" i="1" s="1"/>
  <c r="F255" i="1"/>
  <c r="H255" i="1" s="1"/>
  <c r="F226" i="1"/>
  <c r="H226" i="1" s="1"/>
  <c r="F227" i="1"/>
  <c r="H227" i="1" s="1"/>
  <c r="F222" i="1"/>
  <c r="H222" i="1" s="1"/>
  <c r="F206" i="1"/>
  <c r="H206" i="1" s="1"/>
  <c r="F205" i="1"/>
  <c r="H205" i="1" s="1"/>
  <c r="F204" i="1"/>
  <c r="H204" i="1" s="1"/>
  <c r="F203" i="1"/>
  <c r="H203" i="1" s="1"/>
  <c r="F202" i="1"/>
  <c r="H202" i="1" s="1"/>
  <c r="A202" i="1"/>
  <c r="A203" i="1" s="1"/>
  <c r="A204" i="1" s="1"/>
  <c r="A205" i="1" s="1"/>
  <c r="A206" i="1" s="1"/>
  <c r="F201" i="1"/>
  <c r="E694" i="1"/>
  <c r="D694" i="1"/>
  <c r="E693" i="1"/>
  <c r="D693" i="1"/>
  <c r="E687" i="1"/>
  <c r="D687" i="1"/>
  <c r="E686" i="1"/>
  <c r="D686" i="1"/>
  <c r="A694" i="1"/>
  <c r="A695" i="1" s="1"/>
  <c r="A696" i="1" s="1"/>
  <c r="A697" i="1" s="1"/>
  <c r="A698" i="1" s="1"/>
  <c r="A687" i="1"/>
  <c r="A688" i="1" s="1"/>
  <c r="A689" i="1" s="1"/>
  <c r="A690" i="1" s="1"/>
  <c r="A691" i="1" s="1"/>
  <c r="D681" i="1"/>
  <c r="D680" i="1"/>
  <c r="E677" i="1"/>
  <c r="D677" i="1"/>
  <c r="E676" i="1"/>
  <c r="D676" i="1"/>
  <c r="D674" i="1"/>
  <c r="D673" i="1"/>
  <c r="E672" i="1"/>
  <c r="D672" i="1"/>
  <c r="E671" i="1"/>
  <c r="D671" i="1"/>
  <c r="E670" i="1"/>
  <c r="D670" i="1"/>
  <c r="E669" i="1"/>
  <c r="D669" i="1"/>
  <c r="D667" i="1"/>
  <c r="D666" i="1"/>
  <c r="E663" i="1"/>
  <c r="D663" i="1"/>
  <c r="E662" i="1"/>
  <c r="D662" i="1"/>
  <c r="D660" i="1"/>
  <c r="D659" i="1"/>
  <c r="E658" i="1"/>
  <c r="D658" i="1"/>
  <c r="E657" i="1"/>
  <c r="D657" i="1"/>
  <c r="E656" i="1"/>
  <c r="D656" i="1"/>
  <c r="E655" i="1"/>
  <c r="D655" i="1"/>
  <c r="D653" i="1"/>
  <c r="D652" i="1"/>
  <c r="E651" i="1"/>
  <c r="D651" i="1"/>
  <c r="E650" i="1"/>
  <c r="D650" i="1"/>
  <c r="E649" i="1"/>
  <c r="D649" i="1"/>
  <c r="E648" i="1"/>
  <c r="D648" i="1"/>
  <c r="D646" i="1"/>
  <c r="D645" i="1"/>
  <c r="E642" i="1"/>
  <c r="D642" i="1"/>
  <c r="E641" i="1"/>
  <c r="D641" i="1"/>
  <c r="D639" i="1"/>
  <c r="D638" i="1"/>
  <c r="E635" i="1"/>
  <c r="D635" i="1"/>
  <c r="E634" i="1"/>
  <c r="D634" i="1"/>
  <c r="D632" i="1"/>
  <c r="D631" i="1"/>
  <c r="E630" i="1"/>
  <c r="D630" i="1"/>
  <c r="E629" i="1"/>
  <c r="D629" i="1"/>
  <c r="E628" i="1"/>
  <c r="D628" i="1"/>
  <c r="E627" i="1"/>
  <c r="D627" i="1"/>
  <c r="D625" i="1"/>
  <c r="D624" i="1"/>
  <c r="E623" i="1"/>
  <c r="D623" i="1"/>
  <c r="E622" i="1"/>
  <c r="D622" i="1"/>
  <c r="E621" i="1"/>
  <c r="D621" i="1"/>
  <c r="E620" i="1"/>
  <c r="D620" i="1"/>
  <c r="D618" i="1"/>
  <c r="D617" i="1"/>
  <c r="E616" i="1"/>
  <c r="D616" i="1"/>
  <c r="E615" i="1"/>
  <c r="D615" i="1"/>
  <c r="E614" i="1"/>
  <c r="D614" i="1"/>
  <c r="E613" i="1"/>
  <c r="D613" i="1"/>
  <c r="D611" i="1"/>
  <c r="D610" i="1"/>
  <c r="E607" i="1"/>
  <c r="D607" i="1"/>
  <c r="E606" i="1"/>
  <c r="D606" i="1"/>
  <c r="D604" i="1"/>
  <c r="D603" i="1"/>
  <c r="E602" i="1"/>
  <c r="D602" i="1"/>
  <c r="E601" i="1"/>
  <c r="D601" i="1"/>
  <c r="E600" i="1"/>
  <c r="D600" i="1"/>
  <c r="E599" i="1"/>
  <c r="D599" i="1"/>
  <c r="D597" i="1"/>
  <c r="D596" i="1"/>
  <c r="E593" i="1"/>
  <c r="D593" i="1"/>
  <c r="E592" i="1"/>
  <c r="D592" i="1"/>
  <c r="D590" i="1"/>
  <c r="D589" i="1"/>
  <c r="E588" i="1"/>
  <c r="D588" i="1"/>
  <c r="E587" i="1"/>
  <c r="D587" i="1"/>
  <c r="E586" i="1"/>
  <c r="D586" i="1"/>
  <c r="E585" i="1"/>
  <c r="D585" i="1"/>
  <c r="D583" i="1"/>
  <c r="D582" i="1"/>
  <c r="E579" i="1"/>
  <c r="D579" i="1"/>
  <c r="E578" i="1"/>
  <c r="D578" i="1"/>
  <c r="D576" i="1"/>
  <c r="D575" i="1"/>
  <c r="E574" i="1"/>
  <c r="D574" i="1"/>
  <c r="E573" i="1"/>
  <c r="D573" i="1"/>
  <c r="E572" i="1"/>
  <c r="D572" i="1"/>
  <c r="E571" i="1"/>
  <c r="D571" i="1"/>
  <c r="D569" i="1"/>
  <c r="D568" i="1"/>
  <c r="H453" i="1" l="1"/>
  <c r="G177" i="1" s="1"/>
  <c r="E177" i="1"/>
  <c r="C177" i="1"/>
  <c r="H201" i="1"/>
  <c r="G175" i="1" s="1"/>
  <c r="E175" i="1"/>
  <c r="C175" i="1"/>
  <c r="H307" i="1"/>
  <c r="G176" i="1" s="1"/>
  <c r="C176" i="1"/>
  <c r="F694" i="1"/>
  <c r="H694" i="1" s="1"/>
  <c r="F693" i="1"/>
  <c r="H693" i="1" s="1"/>
  <c r="F687" i="1"/>
  <c r="H687" i="1" s="1"/>
  <c r="F686" i="1"/>
  <c r="F677" i="1"/>
  <c r="H677" i="1" s="1"/>
  <c r="F670" i="1"/>
  <c r="H670" i="1" s="1"/>
  <c r="F655" i="1"/>
  <c r="H655" i="1" s="1"/>
  <c r="F649" i="1"/>
  <c r="H649" i="1" s="1"/>
  <c r="F635" i="1"/>
  <c r="H635" i="1" s="1"/>
  <c r="F628" i="1"/>
  <c r="H628" i="1" s="1"/>
  <c r="F621" i="1"/>
  <c r="H621" i="1" s="1"/>
  <c r="F614" i="1"/>
  <c r="H614" i="1" s="1"/>
  <c r="F634" i="1"/>
  <c r="H634" i="1" s="1"/>
  <c r="F613" i="1"/>
  <c r="H613" i="1" s="1"/>
  <c r="F620" i="1"/>
  <c r="H620" i="1" s="1"/>
  <c r="F602" i="1"/>
  <c r="H602" i="1" s="1"/>
  <c r="F593" i="1"/>
  <c r="H593" i="1" s="1"/>
  <c r="F590" i="1"/>
  <c r="H590" i="1" s="1"/>
  <c r="F589" i="1"/>
  <c r="H589" i="1" s="1"/>
  <c r="F586" i="1"/>
  <c r="H586" i="1" s="1"/>
  <c r="F585" i="1"/>
  <c r="H585" i="1" s="1"/>
  <c r="F583" i="1"/>
  <c r="H583" i="1" s="1"/>
  <c r="F582" i="1"/>
  <c r="H582" i="1" s="1"/>
  <c r="F574" i="1"/>
  <c r="H574" i="1" s="1"/>
  <c r="F569" i="1"/>
  <c r="H569" i="1" s="1"/>
  <c r="F568" i="1"/>
  <c r="F681" i="1"/>
  <c r="H681" i="1" s="1"/>
  <c r="F680" i="1"/>
  <c r="H680" i="1" s="1"/>
  <c r="A677" i="1"/>
  <c r="A678" i="1" s="1"/>
  <c r="A679" i="1" s="1"/>
  <c r="A680" i="1" s="1"/>
  <c r="A681" i="1" s="1"/>
  <c r="F676" i="1"/>
  <c r="H676" i="1" s="1"/>
  <c r="F674" i="1"/>
  <c r="H674" i="1" s="1"/>
  <c r="F673" i="1"/>
  <c r="H673" i="1" s="1"/>
  <c r="F672" i="1"/>
  <c r="H672" i="1" s="1"/>
  <c r="F671" i="1"/>
  <c r="H671" i="1" s="1"/>
  <c r="A670" i="1"/>
  <c r="A671" i="1" s="1"/>
  <c r="A672" i="1" s="1"/>
  <c r="A673" i="1" s="1"/>
  <c r="A674" i="1" s="1"/>
  <c r="F669" i="1"/>
  <c r="H669" i="1" s="1"/>
  <c r="F667" i="1"/>
  <c r="H667" i="1" s="1"/>
  <c r="F666" i="1"/>
  <c r="H666" i="1" s="1"/>
  <c r="F663" i="1"/>
  <c r="H663" i="1" s="1"/>
  <c r="A663" i="1"/>
  <c r="A664" i="1" s="1"/>
  <c r="A665" i="1" s="1"/>
  <c r="A666" i="1" s="1"/>
  <c r="A667" i="1" s="1"/>
  <c r="F662" i="1"/>
  <c r="H662" i="1" s="1"/>
  <c r="F660" i="1"/>
  <c r="H660" i="1" s="1"/>
  <c r="F659" i="1"/>
  <c r="H659" i="1" s="1"/>
  <c r="F658" i="1"/>
  <c r="H658" i="1" s="1"/>
  <c r="F657" i="1"/>
  <c r="H657" i="1" s="1"/>
  <c r="F656" i="1"/>
  <c r="H656" i="1" s="1"/>
  <c r="A656" i="1"/>
  <c r="A657" i="1" s="1"/>
  <c r="A658" i="1" s="1"/>
  <c r="A659" i="1" s="1"/>
  <c r="A660" i="1" s="1"/>
  <c r="F653" i="1"/>
  <c r="H653" i="1" s="1"/>
  <c r="F652" i="1"/>
  <c r="H652" i="1" s="1"/>
  <c r="F651" i="1"/>
  <c r="H651" i="1" s="1"/>
  <c r="F650" i="1"/>
  <c r="H650" i="1" s="1"/>
  <c r="A649" i="1"/>
  <c r="A650" i="1" s="1"/>
  <c r="A651" i="1" s="1"/>
  <c r="A652" i="1" s="1"/>
  <c r="A653" i="1" s="1"/>
  <c r="F646" i="1"/>
  <c r="H646" i="1" s="1"/>
  <c r="F645" i="1"/>
  <c r="H645" i="1" s="1"/>
  <c r="F642" i="1"/>
  <c r="H642" i="1" s="1"/>
  <c r="A642" i="1"/>
  <c r="A643" i="1" s="1"/>
  <c r="A644" i="1" s="1"/>
  <c r="A645" i="1" s="1"/>
  <c r="A646" i="1" s="1"/>
  <c r="F639" i="1"/>
  <c r="H639" i="1" s="1"/>
  <c r="F638" i="1"/>
  <c r="H638" i="1" s="1"/>
  <c r="A635" i="1"/>
  <c r="A636" i="1" s="1"/>
  <c r="A637" i="1" s="1"/>
  <c r="A638" i="1" s="1"/>
  <c r="A639" i="1" s="1"/>
  <c r="F632" i="1"/>
  <c r="H632" i="1" s="1"/>
  <c r="F631" i="1"/>
  <c r="H631" i="1" s="1"/>
  <c r="F630" i="1"/>
  <c r="H630" i="1" s="1"/>
  <c r="F629" i="1"/>
  <c r="H629" i="1" s="1"/>
  <c r="A628" i="1"/>
  <c r="A629" i="1" s="1"/>
  <c r="A630" i="1" s="1"/>
  <c r="A631" i="1" s="1"/>
  <c r="A632" i="1" s="1"/>
  <c r="F625" i="1"/>
  <c r="H625" i="1" s="1"/>
  <c r="F624" i="1"/>
  <c r="H624" i="1" s="1"/>
  <c r="F623" i="1"/>
  <c r="H623" i="1" s="1"/>
  <c r="F622" i="1"/>
  <c r="H622" i="1" s="1"/>
  <c r="A621" i="1"/>
  <c r="A622" i="1" s="1"/>
  <c r="A623" i="1" s="1"/>
  <c r="A624" i="1" s="1"/>
  <c r="A625" i="1" s="1"/>
  <c r="F618" i="1"/>
  <c r="H618" i="1" s="1"/>
  <c r="F617" i="1"/>
  <c r="H617" i="1" s="1"/>
  <c r="F616" i="1"/>
  <c r="H616" i="1" s="1"/>
  <c r="F615" i="1"/>
  <c r="H615" i="1" s="1"/>
  <c r="A614" i="1"/>
  <c r="A615" i="1" s="1"/>
  <c r="A616" i="1" s="1"/>
  <c r="A617" i="1" s="1"/>
  <c r="A618" i="1" s="1"/>
  <c r="F611" i="1"/>
  <c r="H611" i="1" s="1"/>
  <c r="F610" i="1"/>
  <c r="H610" i="1" s="1"/>
  <c r="F607" i="1"/>
  <c r="H607" i="1" s="1"/>
  <c r="A607" i="1"/>
  <c r="A608" i="1" s="1"/>
  <c r="A609" i="1" s="1"/>
  <c r="A610" i="1" s="1"/>
  <c r="A611" i="1" s="1"/>
  <c r="F604" i="1"/>
  <c r="H604" i="1" s="1"/>
  <c r="F603" i="1"/>
  <c r="H603" i="1" s="1"/>
  <c r="F601" i="1"/>
  <c r="H601" i="1" s="1"/>
  <c r="A600" i="1"/>
  <c r="A601" i="1" s="1"/>
  <c r="A602" i="1" s="1"/>
  <c r="A603" i="1" s="1"/>
  <c r="A604" i="1" s="1"/>
  <c r="F597" i="1"/>
  <c r="H597" i="1" s="1"/>
  <c r="F596" i="1"/>
  <c r="H596" i="1" s="1"/>
  <c r="A593" i="1"/>
  <c r="A594" i="1" s="1"/>
  <c r="A595" i="1" s="1"/>
  <c r="A596" i="1" s="1"/>
  <c r="A597" i="1" s="1"/>
  <c r="F592" i="1"/>
  <c r="H592" i="1" s="1"/>
  <c r="F588" i="1"/>
  <c r="H588" i="1" s="1"/>
  <c r="F587" i="1"/>
  <c r="H587" i="1" s="1"/>
  <c r="A586" i="1"/>
  <c r="A587" i="1" s="1"/>
  <c r="A588" i="1" s="1"/>
  <c r="A589" i="1" s="1"/>
  <c r="A590" i="1" s="1"/>
  <c r="F579" i="1"/>
  <c r="H579" i="1" s="1"/>
  <c r="A579" i="1"/>
  <c r="A580" i="1" s="1"/>
  <c r="A581" i="1" s="1"/>
  <c r="A582" i="1" s="1"/>
  <c r="A583" i="1" s="1"/>
  <c r="F578" i="1"/>
  <c r="H578" i="1" s="1"/>
  <c r="F576" i="1"/>
  <c r="H576" i="1" s="1"/>
  <c r="F575" i="1"/>
  <c r="H575" i="1" s="1"/>
  <c r="A572" i="1"/>
  <c r="A573" i="1" s="1"/>
  <c r="A574" i="1" s="1"/>
  <c r="A575" i="1" s="1"/>
  <c r="A576" i="1" s="1"/>
  <c r="A565" i="1"/>
  <c r="A566" i="1" s="1"/>
  <c r="A567" i="1" s="1"/>
  <c r="A568" i="1" s="1"/>
  <c r="A569" i="1" s="1"/>
  <c r="C142" i="1"/>
  <c r="B143" i="1" s="1"/>
  <c r="C128" i="1"/>
  <c r="B129" i="1" s="1"/>
  <c r="C114" i="1"/>
  <c r="C100" i="1"/>
  <c r="D71" i="1"/>
  <c r="G58" i="1"/>
  <c r="C58" i="1"/>
  <c r="H129" i="1"/>
  <c r="H143" i="1"/>
  <c r="I176" i="1" l="1"/>
  <c r="H686" i="1"/>
  <c r="G179" i="1" s="1"/>
  <c r="E179" i="1"/>
  <c r="C179" i="1"/>
  <c r="H568" i="1"/>
  <c r="F600" i="1"/>
  <c r="H600" i="1" s="1"/>
  <c r="F648" i="1"/>
  <c r="H648" i="1" s="1"/>
  <c r="F641" i="1"/>
  <c r="H641" i="1" s="1"/>
  <c r="F627" i="1"/>
  <c r="H627" i="1" s="1"/>
  <c r="F606" i="1"/>
  <c r="H606" i="1" s="1"/>
  <c r="F599" i="1"/>
  <c r="H599" i="1" s="1"/>
  <c r="F573" i="1"/>
  <c r="H573" i="1" s="1"/>
  <c r="F572" i="1"/>
  <c r="H572" i="1" s="1"/>
  <c r="F571" i="1"/>
  <c r="H571" i="1" s="1"/>
  <c r="J147" i="1"/>
  <c r="D146" i="1" s="1"/>
  <c r="J145" i="1"/>
  <c r="J142" i="1"/>
  <c r="J144" i="1" s="1"/>
  <c r="D155" i="1"/>
  <c r="D153" i="1"/>
  <c r="D148" i="1"/>
  <c r="D151" i="1"/>
  <c r="D154" i="1"/>
  <c r="D150" i="1"/>
  <c r="J146" i="1"/>
  <c r="D149" i="1"/>
  <c r="D152" i="1"/>
  <c r="J148" i="1"/>
  <c r="J149" i="1" s="1"/>
  <c r="J154" i="1" s="1"/>
  <c r="J152" i="1"/>
  <c r="J153" i="1"/>
  <c r="J151" i="1"/>
  <c r="D139" i="1"/>
  <c r="D138" i="1"/>
  <c r="D134" i="1"/>
  <c r="D140" i="1"/>
  <c r="D136" i="1"/>
  <c r="J132" i="1"/>
  <c r="D135" i="1"/>
  <c r="J133" i="1"/>
  <c r="C132" i="1" s="1"/>
  <c r="J131" i="1"/>
  <c r="J128" i="1"/>
  <c r="J130" i="1" s="1"/>
  <c r="D141" i="1"/>
  <c r="D137" i="1"/>
  <c r="J137" i="1"/>
  <c r="J134" i="1"/>
  <c r="J135" i="1" s="1"/>
  <c r="J140" i="1" s="1"/>
  <c r="J141" i="1" s="1"/>
  <c r="C133" i="1" s="1"/>
  <c r="E132" i="1" s="1"/>
  <c r="J138" i="1"/>
  <c r="J139" i="1"/>
  <c r="J136" i="1"/>
  <c r="C178" i="1" l="1"/>
  <c r="C180" i="1" s="1"/>
  <c r="E178" i="1"/>
  <c r="E180" i="1" s="1"/>
  <c r="G178" i="1"/>
  <c r="G180" i="1" s="1"/>
  <c r="J150" i="1"/>
  <c r="J155" i="1" s="1"/>
  <c r="G132" i="1"/>
  <c r="D133" i="1"/>
  <c r="D132" i="1"/>
  <c r="J129" i="1" s="1"/>
  <c r="F705" i="1"/>
  <c r="H705" i="1" s="1"/>
  <c r="F702" i="1"/>
  <c r="H702" i="1" s="1"/>
  <c r="F701" i="1"/>
  <c r="H701" i="1" s="1"/>
  <c r="A705" i="1"/>
  <c r="F704" i="1"/>
  <c r="H704" i="1" s="1"/>
  <c r="A702" i="1"/>
  <c r="J143" i="1" l="1"/>
  <c r="E146" i="1"/>
  <c r="D147" i="1"/>
  <c r="I143" i="1" s="1"/>
  <c r="G146" i="1"/>
  <c r="I129" i="1"/>
  <c r="I189" i="1"/>
  <c r="I144" i="1" l="1"/>
  <c r="I142" i="1" s="1"/>
  <c r="C144" i="1" s="1"/>
  <c r="I130" i="1"/>
  <c r="I128" i="1" s="1"/>
  <c r="C130" i="1" s="1"/>
  <c r="C86" i="1"/>
  <c r="F187" i="1" l="1"/>
  <c r="B38" i="6"/>
  <c r="B39" i="6" s="1"/>
  <c r="B40" i="6" s="1"/>
  <c r="B41" i="6" s="1"/>
  <c r="B42" i="6" s="1"/>
  <c r="B43" i="6" s="1"/>
  <c r="B44" i="6" s="1"/>
  <c r="B45" i="6" s="1"/>
  <c r="B46" i="6" s="1"/>
  <c r="B47" i="6" s="1"/>
  <c r="B48" i="6" s="1"/>
  <c r="B49" i="6" s="1"/>
  <c r="B50" i="6" s="1"/>
  <c r="B51" i="6" s="1"/>
  <c r="B52" i="6" s="1"/>
  <c r="B53" i="6" s="1"/>
  <c r="B54" i="6" s="1"/>
  <c r="C172" i="1" l="1"/>
  <c r="H187"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731" i="1"/>
  <c r="B709" i="1"/>
  <c r="B708" i="1"/>
  <c r="F168" i="1"/>
  <c r="B87" i="1"/>
  <c r="D80" i="1"/>
  <c r="G64" i="1"/>
  <c r="C64" i="1"/>
  <c r="C62" i="1"/>
  <c r="G52" i="1"/>
  <c r="C52" i="1"/>
  <c r="E44" i="1"/>
  <c r="E45" i="1" s="1"/>
  <c r="S33" i="1"/>
  <c r="E31" i="1"/>
  <c r="E28" i="1"/>
  <c r="E26" i="1"/>
  <c r="C16" i="1"/>
  <c r="I15" i="1"/>
  <c r="Z13" i="1"/>
  <c r="E8" i="1"/>
  <c r="I59" i="1" s="1"/>
  <c r="E3" i="1"/>
  <c r="C181" i="1" l="1"/>
  <c r="E172" i="1"/>
  <c r="G172" i="1"/>
  <c r="E42" i="7"/>
  <c r="D42" i="7" s="1"/>
  <c r="I42" i="7"/>
  <c r="H42" i="7" s="1"/>
  <c r="L42" i="7"/>
  <c r="K42" i="7" s="1"/>
  <c r="J96" i="1"/>
  <c r="J97" i="1"/>
  <c r="I53" i="1"/>
  <c r="H87" i="1"/>
  <c r="E181" i="1" l="1"/>
  <c r="G181" i="1"/>
  <c r="D98" i="1"/>
  <c r="D92" i="1"/>
  <c r="J92" i="1"/>
  <c r="J93" i="1" s="1"/>
  <c r="J98" i="1" s="1"/>
  <c r="J91" i="1"/>
  <c r="C90" i="1" s="1"/>
  <c r="D90" i="1" s="1"/>
  <c r="D97" i="1"/>
  <c r="D96" i="1"/>
  <c r="J86" i="1"/>
  <c r="J88" i="1" s="1"/>
  <c r="D95" i="1"/>
  <c r="D99" i="1"/>
  <c r="D93" i="1"/>
  <c r="J90" i="1"/>
  <c r="J89" i="1"/>
  <c r="D94" i="1"/>
  <c r="D44" i="7"/>
  <c r="E44" i="7"/>
  <c r="B101" i="1" l="1"/>
  <c r="J94" i="1"/>
  <c r="J95" i="1" s="1"/>
  <c r="H101" i="1"/>
  <c r="J103" i="1" l="1"/>
  <c r="D113" i="1"/>
  <c r="D112" i="1"/>
  <c r="D108" i="1"/>
  <c r="J104" i="1"/>
  <c r="D111" i="1"/>
  <c r="D107" i="1"/>
  <c r="D110" i="1"/>
  <c r="J100" i="1"/>
  <c r="J102" i="1" s="1"/>
  <c r="D106" i="1"/>
  <c r="J105" i="1"/>
  <c r="C104" i="1" s="1"/>
  <c r="D104" i="1" s="1"/>
  <c r="D109" i="1"/>
  <c r="J111" i="1"/>
  <c r="J106" i="1"/>
  <c r="J107" i="1" s="1"/>
  <c r="J112" i="1" s="1"/>
  <c r="J110" i="1"/>
  <c r="J109" i="1"/>
  <c r="J99" i="1"/>
  <c r="J108" i="1" l="1"/>
  <c r="J113" i="1" s="1"/>
  <c r="C105" i="1" s="1"/>
  <c r="E104" i="1" s="1"/>
  <c r="B115" i="1"/>
  <c r="C91" i="1"/>
  <c r="E90" i="1" s="1"/>
  <c r="H115" i="1"/>
  <c r="D105" i="1" l="1"/>
  <c r="I101" i="1" s="1"/>
  <c r="I102" i="1" s="1"/>
  <c r="J101" i="1"/>
  <c r="G104" i="1"/>
  <c r="D124" i="1"/>
  <c r="D120" i="1"/>
  <c r="J119" i="1"/>
  <c r="C118" i="1" s="1"/>
  <c r="D118" i="1" s="1"/>
  <c r="J117" i="1"/>
  <c r="J114" i="1"/>
  <c r="J116" i="1" s="1"/>
  <c r="D127" i="1"/>
  <c r="D123" i="1"/>
  <c r="D126" i="1"/>
  <c r="D122" i="1"/>
  <c r="J118" i="1"/>
  <c r="D125" i="1"/>
  <c r="D121" i="1"/>
  <c r="J123" i="1"/>
  <c r="J125" i="1"/>
  <c r="J124" i="1"/>
  <c r="J120" i="1"/>
  <c r="J121" i="1" s="1"/>
  <c r="J126" i="1" s="1"/>
  <c r="D91" i="1"/>
  <c r="I87" i="1" s="1"/>
  <c r="I88" i="1" s="1"/>
  <c r="G90" i="1"/>
  <c r="D84" i="1" s="1"/>
  <c r="D85" i="1" s="1"/>
  <c r="J87" i="1"/>
  <c r="J122" i="1" l="1"/>
  <c r="J127" i="1" s="1"/>
  <c r="C119" i="1" s="1"/>
  <c r="I100" i="1"/>
  <c r="C102" i="1" s="1"/>
  <c r="I86" i="1"/>
  <c r="C88" i="1" s="1"/>
  <c r="F85" i="1"/>
  <c r="G118" i="1" l="1"/>
  <c r="E118" i="1"/>
  <c r="D119" i="1"/>
  <c r="I115" i="1" s="1"/>
  <c r="I116" i="1" s="1"/>
  <c r="J115" i="1"/>
  <c r="I114" i="1" l="1"/>
  <c r="C11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63" authorId="1" shapeId="0">
      <text>
        <r>
          <rPr>
            <b/>
            <sz val="9"/>
            <color indexed="81"/>
            <rFont val="Tahoma"/>
            <family val="2"/>
          </rPr>
          <t>SACHIN:</t>
        </r>
        <r>
          <rPr>
            <sz val="9"/>
            <color indexed="81"/>
            <rFont val="Tahoma"/>
            <family val="2"/>
          </rPr>
          <t xml:space="preserve">
Floor with height</t>
        </r>
      </text>
    </comment>
    <comment ref="C65" authorId="1" shapeId="0">
      <text>
        <r>
          <rPr>
            <b/>
            <sz val="9"/>
            <color indexed="81"/>
            <rFont val="Tahoma"/>
            <family val="2"/>
          </rPr>
          <t>SACHIN:</t>
        </r>
        <r>
          <rPr>
            <sz val="9"/>
            <color indexed="81"/>
            <rFont val="Tahoma"/>
            <family val="2"/>
          </rPr>
          <t xml:space="preserve">
Survey Nos.</t>
        </r>
      </text>
    </comment>
    <comment ref="D7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6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<sst xmlns="http://schemas.openxmlformats.org/spreadsheetml/2006/main" count="1273" uniqueCount="509">
  <si>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</si>
  <si>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</si>
  <si>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</si>
  <si>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</si>
  <si>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</si>
  <si>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</si>
  <si>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</si>
  <si>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</si>
  <si>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</si>
  <si>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</si>
  <si>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</si>
  <si>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</si>
  <si>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</si>
  <si>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</si>
  <si>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</si>
  <si>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</si>
  <si>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</si>
  <si>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</si>
  <si>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</si>
  <si>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</si>
  <si>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</si>
  <si>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</si>
  <si>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</si>
  <si>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</si>
  <si>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</si>
  <si>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</si>
  <si>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</si>
  <si>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</si>
  <si>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</si>
  <si>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</si>
  <si>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</si>
  <si>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</si>
  <si>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</si>
  <si>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</si>
  <si>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</si>
  <si>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</si>
  <si>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</si>
  <si>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</si>
  <si>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</si>
  <si>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</si>
  <si>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</si>
  <si>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</si>
  <si>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</si>
  <si>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</si>
  <si>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</si>
  <si>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</si>
  <si>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</si>
  <si>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</si>
  <si>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</si>
  <si>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</si>
  <si>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</si>
  <si>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</si>
  <si>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</si>
  <si>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</si>
  <si>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</si>
  <si>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</si>
  <si>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</si>
  <si>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</si>
  <si>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</si>
  <si>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</si>
  <si>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</si>
  <si>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</si>
  <si>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</si>
  <si>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</si>
  <si>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</si>
  <si>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</si>
  <si>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</si>
  <si>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</si>
  <si>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</si>
  <si>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</si>
  <si>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</si>
  <si>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</si>
  <si>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</si>
  <si>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</si>
  <si>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</si>
  <si>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</si>
  <si>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</si>
  <si>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</si>
  <si>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</si>
  <si>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</si>
  <si>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</si>
  <si>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</si>
  <si>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</si>
  <si>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</si>
  <si>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</si>
  <si>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</si>
  <si>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</si>
  <si>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</si>
  <si>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</si>
  <si>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</si>
  <si>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</si>
  <si>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</si>
  <si>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</si>
  <si>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</si>
  <si>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</si>
  <si>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</si>
  <si>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</si>
  <si>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</si>
  <si>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</si>
  <si>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</si>
  <si>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</si>
  <si>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</si>
  <si>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</si>
  <si>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</si>
  <si>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</si>
  <si>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</si>
  <si>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</si>
  <si>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</si>
  <si>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</si>
  <si>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</si>
  <si>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</si>
  <si>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</si>
  <si>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</si>
  <si>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</si>
  <si>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</si>
  <si>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</si>
  <si>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</si>
  <si>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</si>
  <si>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</si>
  <si>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</si>
  <si>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</si>
  <si>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</si>
  <si>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</si>
  <si>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</si>
  <si>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</si>
  <si>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</si>
  <si>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</si>
  <si>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</si>
  <si>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</si>
  <si>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</si>
  <si>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</si>
  <si>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</si>
  <si>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</si>
  <si>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</si>
  <si>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</si>
  <si>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</si>
  <si>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</si>
  <si>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</si>
  <si>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</si>
  <si>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</si>
  <si>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</si>
  <si>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</si>
  <si>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</si>
  <si>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</si>
  <si>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</si>
  <si>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</si>
  <si>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</si>
  <si>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</si>
  <si>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</si>
  <si>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</si>
  <si>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</si>
  <si>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</si>
  <si>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</si>
  <si>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</si>
  <si>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</si>
  <si>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</si>
  <si>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</si>
  <si>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</si>
  <si>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</si>
  <si>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</si>
  <si>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</si>
  <si>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</si>
  <si>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</si>
  <si>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</si>
  <si>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</si>
  <si>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</si>
  <si>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</si>
  <si>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</si>
  <si>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</si>
  <si>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</si>
  <si>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</si>
  <si>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</si>
  <si>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</si>
  <si>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</si>
  <si>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</si>
  <si>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</si>
  <si>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</si>
  <si>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</si>
  <si>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</si>
  <si>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</si>
  <si>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</si>
  <si>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</si>
  <si>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</si>
  <si>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</si>
  <si>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</si>
  <si>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</si>
  <si>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</si>
  <si>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</si>
  <si>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</si>
  <si>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</si>
  <si>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</si>
  <si>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</si>
  <si>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</si>
  <si>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</si>
  <si>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</si>
  <si>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</si>
  <si>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</si>
  <si>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</si>
  <si>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</si>
  <si>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</si>
  <si>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</si>
  <si>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</si>
  <si>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</si>
  <si>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</si>
  <si>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</si>
  <si>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</si>
  <si>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</si>
  <si>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</si>
  <si>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</si>
  <si>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</si>
  <si>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</si>
  <si>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</si>
  <si>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</si>
  <si>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</si>
  <si>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</si>
  <si>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</si>
  <si>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</si>
  <si>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</si>
  <si>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</si>
  <si>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</si>
  <si>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</si>
  <si>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</si>
  <si>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</si>
  <si>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</si>
  <si>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</si>
  <si>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</si>
  <si>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</si>
  <si>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</si>
  <si>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</si>
  <si>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</si>
  <si>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</si>
  <si>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</si>
  <si>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</si>
  <si>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</si>
  <si>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</si>
  <si>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</si>
  <si>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</si>
  <si>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</si>
  <si>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</si>
  <si>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</si>
  <si>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</si>
  <si>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</si>
  <si>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</si>
  <si>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</si>
  <si>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</si>
  <si>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</si>
  <si>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</si>
  <si>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</si>
  <si>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</si>
  <si>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</si>
  <si>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</si>
  <si>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</si>
  <si>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</si>
  <si>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</si>
  <si>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</si>
  <si>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</si>
  <si>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</si>
  <si>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</si>
  <si>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</si>
  <si>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</si>
  <si>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</si>
  <si>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</si>
  <si>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</si>
  <si>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</si>
  <si>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</si>
  <si>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</si>
  <si>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</si>
  <si>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</si>
  <si>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</si>
  <si>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</si>
  <si>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</si>
  <si>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</si>
  <si>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</si>
  <si>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</si>
  <si>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</si>
  <si>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</si>
  <si>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</si>
  <si>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</si>
  <si>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</si>
  <si>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</si>
  <si>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</si>
  <si>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</si>
  <si>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</si>
  <si>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</si>
  <si>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</si>
  <si>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</si>
  <si>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</si>
  <si>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</si>
  <si>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</si>
  <si>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</si>
  <si>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</si>
  <si>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</si>
  <si>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</si>
  <si>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</si>
  <si>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</si>
  <si>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</si>
  <si>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</si>
  <si>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</si>
  <si>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</si>
  <si>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</si>
  <si>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</si>
  <si>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</si>
  <si>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</si>
  <si>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</si>
  <si>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</si>
  <si>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</si>
  <si>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</si>
  <si>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</si>
  <si>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</si>
  <si>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</si>
  <si>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</si>
  <si>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</si>
  <si>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</si>
  <si>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</si>
  <si>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</si>
  <si>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</si>
  <si>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</si>
  <si>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</si>
  <si>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</si>
  <si>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</si>
  <si>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</si>
  <si>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</si>
  <si>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</si>
  <si>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</si>
  <si>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</si>
  <si>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</si>
  <si>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</si>
  <si>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</si>
  <si>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</si>
  <si>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</si>
  <si>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</si>
  <si>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</si>
  <si>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</si>
  <si>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</si>
  <si>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</si>
  <si>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</si>
  <si>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</si>
  <si>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</si>
  <si>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</si>
  <si>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</si>
  <si>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</si>
  <si>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</si>
  <si>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</si>
  <si>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</si>
  <si>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</si>
  <si>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</si>
  <si>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</si>
  <si>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</si>
  <si>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</si>
  <si>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</si>
  <si>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</si>
  <si>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</si>
  <si>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</si>
  <si>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</si>
  <si>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</si>
  <si>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</si>
  <si>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</si>
  <si>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</si>
  <si>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</si>
  <si>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</si>
  <si>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</si>
  <si>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</si>
  <si>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</si>
  <si>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</si>
  <si>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</si>
  <si>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</si>
  <si>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</si>
  <si>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</si>
  <si>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</si>
  <si>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</si>
  <si>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</si>
  <si>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</si>
  <si>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</si>
  <si>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</si>
  <si>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</si>
  <si>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</si>
  <si>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</si>
  <si>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 xml:space="preserve">Airport Noc No
Valid Up for: 
</t>
  </si>
  <si>
    <t>Shop</t>
  </si>
  <si>
    <r>
      <t xml:space="preserve">Flat No.
</t>
    </r>
    <r>
      <rPr>
        <b/>
        <sz val="11"/>
        <rFont val="Times New Roman"/>
        <family val="1"/>
      </rPr>
      <t>(Approved Plan)</t>
    </r>
  </si>
  <si>
    <r>
      <t xml:space="preserve">Shop No.
</t>
    </r>
    <r>
      <rPr>
        <b/>
        <sz val="11"/>
        <rFont val="Times New Roman"/>
        <family val="1"/>
      </rPr>
      <t>(Approved Plan)</t>
    </r>
  </si>
  <si>
    <r>
      <t xml:space="preserve">Proposed Amenities :                                                                                                                                                                                                                         </t>
    </r>
    <r>
      <rPr>
        <b/>
        <sz val="12"/>
        <rFont val="Times New Roman"/>
        <family val="1"/>
      </rPr>
      <t xml:space="preserve">                                               </t>
    </r>
  </si>
  <si>
    <t>Name of the builder</t>
  </si>
  <si>
    <t xml:space="preserve">Commencement-CC No
Valid Up to: </t>
  </si>
  <si>
    <t>Ground Floor For Commercial &amp; Pit Stack Parking</t>
  </si>
  <si>
    <t>2nd, 4th, 6th, 7th &amp; 9th Floor</t>
  </si>
  <si>
    <t>3rd, 5th &amp; 8th Floor</t>
  </si>
  <si>
    <t>Pooja Kawale</t>
  </si>
  <si>
    <t>Tushar Bhuwad</t>
  </si>
  <si>
    <t>Approved Plans, CC, Airport NOC</t>
  </si>
  <si>
    <t>Oberoi Realty Limited</t>
  </si>
  <si>
    <t>Elysian Tower A, B, C, D &amp; E</t>
  </si>
  <si>
    <t>Ms. Nikita Chaudhari : 8657960538</t>
  </si>
  <si>
    <t>Tower A = P51800027667
Tower B = P51800031456
Tower C, D &amp; E = P51800050677</t>
  </si>
  <si>
    <t>95/4/B/1(pt), 95/4/B/2 (Pt), 95/4/B/3, 95/4/B/4 &amp; 590/A/A/1</t>
  </si>
  <si>
    <t>Dindoshi &amp; Pahadi Goregaon</t>
  </si>
  <si>
    <t>Goregaon (East)</t>
  </si>
  <si>
    <t>Mohan Gokhale Road</t>
  </si>
  <si>
    <t>Oberoi Garden City</t>
  </si>
  <si>
    <t>Oberoi Esquire</t>
  </si>
  <si>
    <t>Site Elevation (AMSL) =
Permissible Top Elevation (AMSL) =</t>
  </si>
  <si>
    <t>https://maps.app.goo.gl/1aUbVuQ4s9v5SGsz8</t>
  </si>
  <si>
    <t>19.1704928,72.8612689</t>
  </si>
  <si>
    <t>1.7 KM from Goregaon Railway Station</t>
  </si>
  <si>
    <t>Building No.3 (Tower A, B &amp; C)
Building No.4 (Tower D &amp; E)</t>
  </si>
  <si>
    <t>Building No.3 (Wing A, B &amp; C)</t>
  </si>
  <si>
    <t>Building No.4 (Wing D &amp; E)</t>
  </si>
  <si>
    <t>P-18877/2023/(95/4/B/1(pt.)And Other)/P/S Ward/DINDOSHI-P/S/337/1/New</t>
  </si>
  <si>
    <t>CHE/9107/BP(WS)/AP</t>
  </si>
  <si>
    <t>CHE/9107/BPWS/AP/FCC/9/Amend</t>
  </si>
  <si>
    <r>
      <t>This C.C is granted for the work of residential building No.3 (Tower A, B &amp; C) Comprising of</t>
    </r>
    <r>
      <rPr>
        <b/>
        <sz val="12"/>
        <color indexed="8"/>
        <rFont val="Times New Roman"/>
        <family val="1"/>
      </rPr>
      <t xml:space="preserve"> Tower ‘A’</t>
    </r>
    <r>
      <rPr>
        <sz val="12"/>
        <color indexed="8"/>
        <rFont val="Times New Roman"/>
        <family val="1"/>
      </rPr>
      <t xml:space="preserve"> 2 level Basement + Lower Ground floor + Ground floor + 1st to 4th floor podium + 5th to 64th upper floor. </t>
    </r>
    <r>
      <rPr>
        <b/>
        <sz val="12"/>
        <color indexed="8"/>
        <rFont val="Times New Roman"/>
        <family val="1"/>
      </rPr>
      <t>Tower ‘B’</t>
    </r>
    <r>
      <rPr>
        <sz val="12"/>
        <color indexed="8"/>
        <rFont val="Times New Roman"/>
        <family val="1"/>
      </rPr>
      <t xml:space="preserve"> 1 level Basement + Lower Ground Level + Ground floor + 1st to 4th floor podium + 5th to 64th upper floor. </t>
    </r>
    <r>
      <rPr>
        <b/>
        <sz val="12"/>
        <color indexed="8"/>
        <rFont val="Times New Roman"/>
        <family val="1"/>
      </rPr>
      <t>Tower ‘C’</t>
    </r>
    <r>
      <rPr>
        <sz val="12"/>
        <color indexed="8"/>
        <rFont val="Times New Roman"/>
        <family val="1"/>
      </rPr>
      <t xml:space="preserve"> 1 level Basement + Lower Ground floor + Ground floor + 1st to 4th floor podium + 5th to 64th upper floor as per approved amended plan dtd.12.09.2024.</t>
    </r>
  </si>
  <si>
    <t>P-18877/2023/(95/4/B/1(pt.) And Other)/P/S Ward/DINDOSHI P/S/FCC/1/Amend</t>
  </si>
  <si>
    <t xml:space="preserve">Commencement-CC No
Valid Up to: </t>
  </si>
  <si>
    <r>
      <t xml:space="preserve">This C.C is granted for the work of residential building No.4 (Tower D &amp; E) Comprising of </t>
    </r>
    <r>
      <rPr>
        <b/>
        <sz val="12"/>
        <color indexed="8"/>
        <rFont val="Times New Roman"/>
        <family val="1"/>
      </rPr>
      <t>Tower ‘D’</t>
    </r>
    <r>
      <rPr>
        <sz val="12"/>
        <color indexed="8"/>
        <rFont val="Times New Roman"/>
        <family val="1"/>
      </rPr>
      <t xml:space="preserve"> 1 level Basement + Lower Ground floor + Ground floor + 1st to 4th floor podium + 5th to 48th upper floor and </t>
    </r>
    <r>
      <rPr>
        <b/>
        <sz val="12"/>
        <color indexed="8"/>
        <rFont val="Times New Roman"/>
        <family val="1"/>
      </rPr>
      <t>Tower ‘E’</t>
    </r>
    <r>
      <rPr>
        <sz val="12"/>
        <color indexed="8"/>
        <rFont val="Times New Roman"/>
        <family val="1"/>
      </rPr>
      <t xml:space="preserve"> 2nd &amp; 3rd podium floor as per approved amended plan dtd. 30.06.2025.</t>
    </r>
  </si>
  <si>
    <t>As per RERA - Tower A &amp; B = 30/06/2027
                         Tower C, D &amp; E = 30/06/2027</t>
  </si>
  <si>
    <t>05 Buildings</t>
  </si>
  <si>
    <t>Gymnasium, Function Room, 2 Squash Courts, Mini theatre, Indoor Games, Yoga / Activity Room, Indoor Multipurpose Hall, Golf Simulator, Spa, Steam, Cycling Track, Pool Deck, Changing Rooms, Cricket Net (open), Tennis / Multipurpose Court, Open-Air Amphitheatre, Party Lawns, Swimming Pool, Skating Rink, Futsal Court, Toddler's play area, Children’s play area, Jogging Track, Meditation Area, Landscaped Garden, Jacuzzi, Reflexology path, Senior Citizen Area</t>
  </si>
  <si>
    <t>Building No.3 (Tower A) = 2B + LG + Gr/St + P1 to P4 + 5th to 64th upper floor</t>
  </si>
  <si>
    <t>Building No.3 (Tower B) = 2B + LG + Gr/St + P1 to P4 + 5th to 64th upper floor</t>
  </si>
  <si>
    <t>Building No.4 (Tower D) = 1B + LG + Gr/St + P1 to P4 + 5th to 64th upper floor</t>
  </si>
  <si>
    <t>Building No.4 (Tower E) = 2B + LG + Gr/St + P1 to P4 + 5th to 64th upper floor</t>
  </si>
  <si>
    <t>Building No.3</t>
  </si>
  <si>
    <t>Building No.4</t>
  </si>
  <si>
    <t>Tower A</t>
  </si>
  <si>
    <t>Tower B</t>
  </si>
  <si>
    <t>Tower C</t>
  </si>
  <si>
    <t>Tower D</t>
  </si>
  <si>
    <t>Tower E</t>
  </si>
  <si>
    <t>984 Flats</t>
  </si>
  <si>
    <t>262 Flats</t>
  </si>
  <si>
    <t>Basement Floor for Parking</t>
  </si>
  <si>
    <t>Lower Ground Floor for Parking</t>
  </si>
  <si>
    <t>Ground Floor for Parking</t>
  </si>
  <si>
    <t>1st to 4th Podium Floor for Parking</t>
  </si>
  <si>
    <t>5th Floor for Residential &amp; Entrance Lobby</t>
  </si>
  <si>
    <t>Entrance Lobby</t>
  </si>
  <si>
    <t>6th, 7th &amp; 9th to 11th Floor</t>
  </si>
  <si>
    <t>8th Floor (Part Refuge Area)</t>
  </si>
  <si>
    <t>Refuge Area</t>
  </si>
  <si>
    <t>12th to 14th &amp; 16th to 19th Floor</t>
  </si>
  <si>
    <t>15th Floor (Part Refuge Area)</t>
  </si>
  <si>
    <t>20th, 21st, 23rd &amp; 24th Floor</t>
  </si>
  <si>
    <t>22nd Floor (Part Refuge Area)</t>
  </si>
  <si>
    <t>25th Floor</t>
  </si>
  <si>
    <t>26th Floor</t>
  </si>
  <si>
    <t>27th, 28th, 30th to 35th Floor</t>
  </si>
  <si>
    <t>29th Floor (Part Refuge Area)</t>
  </si>
  <si>
    <t>36th Floor (Part Refuge Area)</t>
  </si>
  <si>
    <t>37th, 38th &amp; 39th Floor</t>
  </si>
  <si>
    <t>40th to 42nd &amp; 44th Floor</t>
  </si>
  <si>
    <t>43rd Floor (Part Refuge Area)</t>
  </si>
  <si>
    <t>45th to 49th Floor</t>
  </si>
  <si>
    <t>50th Floor (Part Terrace Area)</t>
  </si>
  <si>
    <t>Terrace Area</t>
  </si>
  <si>
    <t>Balcony Area</t>
  </si>
  <si>
    <t>5th Floor</t>
  </si>
  <si>
    <t>4th Floor for Residential &amp; Parking</t>
  </si>
  <si>
    <t>Parking Area</t>
  </si>
  <si>
    <t>3rd Podium Floor for Parking</t>
  </si>
  <si>
    <t>2nd Podium Floor for Entrance Lobby &amp; Parking</t>
  </si>
  <si>
    <t>2nd Basement Floor for Water Tank</t>
  </si>
  <si>
    <t>1st Basement Floor for Parking</t>
  </si>
  <si>
    <t>Lower Ground Floor for Ventilation Shaft (Void Area)</t>
  </si>
  <si>
    <t>1st to 2nd Podium Floor for Parking</t>
  </si>
  <si>
    <t>1st to 3rd Podium Floor for Parking</t>
  </si>
  <si>
    <t>3rd Podium Floor for Entrance lobby &amp; Parking</t>
  </si>
  <si>
    <t>4th Podium Floor for Entrance lobby &amp; Parking</t>
  </si>
  <si>
    <t>4th Podium Floor for Parking</t>
  </si>
  <si>
    <t>5th Floor for Entrance Lobby</t>
  </si>
  <si>
    <t>6th Floor for Residential</t>
  </si>
  <si>
    <t>5th Floor for Entrance lobby &amp; Residential</t>
  </si>
  <si>
    <t>7th, 9th to 14th &amp; 16th to 19th Floor</t>
  </si>
  <si>
    <t>8th &amp; 15th Floor (Part Refuge Area)</t>
  </si>
  <si>
    <t>20th, 21st, 23rd to 28th &amp; 30th to 35th Floor</t>
  </si>
  <si>
    <t>22nd &amp; 29th Floor (Part Refuge Area)</t>
  </si>
  <si>
    <t>37th to 39th Floor</t>
  </si>
  <si>
    <t>4BHK</t>
  </si>
  <si>
    <t>3BHK</t>
  </si>
  <si>
    <t>50th Floor (Part Refuge Area)</t>
  </si>
  <si>
    <t>51st to 56th &amp; 58th to 61st Floor</t>
  </si>
  <si>
    <t>57th Floor (Part Refuge Area)</t>
  </si>
  <si>
    <t>62nd Floor
(Trplex with 63rd &amp; 64th Floor) (Penthouse)</t>
  </si>
  <si>
    <t>7BHK</t>
  </si>
  <si>
    <t>6BHK</t>
  </si>
  <si>
    <t>6th, 7th, 9th to 14th &amp; 16th to 19th Floor</t>
  </si>
  <si>
    <t>27th Floor</t>
  </si>
  <si>
    <t>28th Floor</t>
  </si>
  <si>
    <t>30th to 35th Floor</t>
  </si>
  <si>
    <t>8BHK</t>
  </si>
  <si>
    <t>7th, 9th to 14th, 16th to 21st, 23rd &amp; 24th Floor</t>
  </si>
  <si>
    <t>8th, 15h &amp; 22nd Floor (Part Refuge Area)</t>
  </si>
  <si>
    <t>27th &amp; 28th Floor</t>
  </si>
  <si>
    <t>30th to 35th, 37th to 42nd &amp; 44th Floor</t>
  </si>
  <si>
    <t>36th &amp; 43rd Floor (Part Refuge Area)</t>
  </si>
  <si>
    <t>50th Floor (Part Reguge Area)</t>
  </si>
  <si>
    <t>Flats - 1246</t>
  </si>
  <si>
    <t>Bldg No.2 (Tower C)</t>
  </si>
  <si>
    <t>Comm. Bldg No.2</t>
  </si>
  <si>
    <t>Other Plot</t>
  </si>
  <si>
    <t>18.30 M.W. Gokhale Road</t>
  </si>
  <si>
    <t>Commerz II</t>
  </si>
  <si>
    <t>Open Plot</t>
  </si>
  <si>
    <t>Building No.3 (Tower C) = 1B + LG + Gr/St + P1 to P4 + 5th to 64th upper floor</t>
  </si>
  <si>
    <t>Building No.3 (Tower A, B) = 2B + LG + Gr/St+ P1 to P4 + 5th to 64th upper floor
Building No.3 (Tower C) = 2B + LG + Gr/St+ P1 to P4 + 5th to 64th upper floor
Building No.4 (Tower D) = 1B +LG + Gr/St + P1 to P4 + 5th to 50th Floors
Building No.4 (Tower E) = P2 to P4 + 5th Floors</t>
  </si>
  <si>
    <t>We considered Gross carpet area = Net carpet Area + Balcony Area.</t>
  </si>
  <si>
    <t>Please check for Fire NOC &amp; EC.</t>
  </si>
  <si>
    <t>Construction work is in process at the time of Visit. Internal photos was not allowed.
The photographs are taken from the road.</t>
  </si>
  <si>
    <t>Ground Floor for Ventilation Shaft</t>
  </si>
  <si>
    <t>Lower Ground Floor for Ventilation Shaft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</si>
</sst>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4" fillId="0" borderId="20" xfId="0" applyFont="1" applyBorder="1"/>
    <xf numFmtId="0" fontId="24"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8" xfId="0" applyBorder="1"/>
    <xf numFmtId="0" fontId="0" fillId="0" borderId="5"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11" fillId="0" borderId="1" xfId="1" applyFont="1" applyBorder="1"/>
    <xf numFmtId="0" fontId="6" fillId="0" borderId="1" xfId="1" applyFont="1" applyBorder="1"/>
    <xf numFmtId="0" fontId="0" fillId="0" borderId="5" xfId="0" applyBorder="1" applyAlignment="1">
      <alignment vertical="top"/>
    </xf>
    <xf numFmtId="0" fontId="0" fillId="0" borderId="18"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18" xfId="0" applyBorder="1" applyAlignment="1">
      <alignment vertical="top"/>
    </xf>
    <xf numFmtId="0" fontId="0" fillId="0" borderId="19" xfId="0" applyBorder="1" applyAlignment="1">
      <alignment vertical="top" wrapText="1"/>
    </xf>
    <xf numFmtId="0" fontId="0" fillId="0" borderId="24" xfId="0" applyBorder="1" applyAlignment="1">
      <alignment vertical="top"/>
    </xf>
    <xf numFmtId="0" fontId="0" fillId="0" borderId="25" xfId="0" applyBorder="1" applyAlignment="1">
      <alignment vertical="top" wrapText="1"/>
    </xf>
    <xf numFmtId="0" fontId="0" fillId="0" borderId="26" xfId="0" applyBorder="1" applyAlignment="1">
      <alignment vertical="top"/>
    </xf>
    <xf numFmtId="0" fontId="0" fillId="0" borderId="9" xfId="0" applyBorder="1" applyAlignment="1">
      <alignment vertical="top" wrapText="1"/>
    </xf>
    <xf numFmtId="0" fontId="0" fillId="0" borderId="9" xfId="0" applyBorder="1" applyAlignment="1">
      <alignment vertical="top"/>
    </xf>
    <xf numFmtId="0" fontId="0" fillId="0" borderId="25" xfId="0" applyBorder="1" applyAlignment="1">
      <alignment horizontal="left" wrapText="1"/>
    </xf>
    <xf numFmtId="0" fontId="0" fillId="0" borderId="11" xfId="0" applyBorder="1" applyAlignment="1">
      <alignment vertical="top"/>
    </xf>
    <xf numFmtId="0" fontId="0" fillId="0" borderId="11" xfId="0" applyBorder="1" applyAlignment="1">
      <alignment vertical="top" wrapText="1"/>
    </xf>
    <xf numFmtId="0" fontId="0" fillId="0" borderId="1" xfId="0" applyBorder="1" applyAlignment="1">
      <alignment vertical="top"/>
    </xf>
    <xf numFmtId="0" fontId="0" fillId="0" borderId="6" xfId="0" applyBorder="1" applyAlignment="1">
      <alignment wrapText="1"/>
    </xf>
    <xf numFmtId="0" fontId="0" fillId="0" borderId="6" xfId="0" applyBorder="1" applyAlignment="1">
      <alignment vertical="top" wrapText="1"/>
    </xf>
    <xf numFmtId="16" fontId="6" fillId="0" borderId="0" xfId="1" applyNumberFormat="1" applyFont="1"/>
    <xf numFmtId="1" fontId="12" fillId="0" borderId="3" xfId="1" applyNumberFormat="1" applyFont="1" applyBorder="1" applyAlignment="1" applyProtection="1">
      <alignment horizontal="center" vertical="top" wrapText="1"/>
      <protection locked="0"/>
    </xf>
    <xf numFmtId="9" fontId="12" fillId="0" borderId="11" xfId="8" applyFont="1" applyFill="1" applyBorder="1" applyAlignment="1" applyProtection="1">
      <alignment horizontal="center" vertical="top" wrapText="1"/>
      <protection locked="0"/>
    </xf>
    <xf numFmtId="1" fontId="14" fillId="0" borderId="0" xfId="1" applyNumberFormat="1" applyFont="1" applyAlignment="1">
      <alignment horizontal="center" vertical="center"/>
    </xf>
    <xf numFmtId="0" fontId="14" fillId="0" borderId="0" xfId="0" applyFont="1" applyAlignment="1">
      <alignment horizontal="center" vertical="center"/>
    </xf>
    <xf numFmtId="2" fontId="11" fillId="0" borderId="0" xfId="1" applyNumberFormat="1" applyFont="1"/>
    <xf numFmtId="0" fontId="11"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23" fillId="0" borderId="0" xfId="0" applyFont="1"/>
    <xf numFmtId="0" fontId="23" fillId="2" borderId="10" xfId="0" applyFont="1" applyFill="1" applyBorder="1"/>
    <xf numFmtId="0" fontId="24" fillId="0" borderId="6" xfId="0" applyFont="1" applyBorder="1"/>
    <xf numFmtId="0" fontId="14" fillId="0" borderId="0" xfId="1" applyFont="1" applyAlignment="1">
      <alignment horizontal="center" vertical="center"/>
    </xf>
    <xf numFmtId="0" fontId="30" fillId="0" borderId="0" xfId="1" applyFont="1" applyAlignment="1">
      <alignment horizontal="center" vertical="center"/>
    </xf>
    <xf numFmtId="0" fontId="14" fillId="0" borderId="0" xfId="2" applyFont="1" applyAlignment="1">
      <alignment horizontal="center" vertical="center"/>
    </xf>
    <xf numFmtId="0" fontId="30" fillId="0" borderId="0" xfId="1" applyFont="1"/>
    <xf numFmtId="0" fontId="14" fillId="0" borderId="0" xfId="2" applyFont="1"/>
    <xf numFmtId="0" fontId="6" fillId="0" borderId="0" xfId="1" applyFont="1" applyAlignment="1">
      <alignment vertical="center"/>
    </xf>
    <xf numFmtId="0" fontId="14" fillId="0" borderId="0" xfId="1" applyFont="1" applyAlignment="1">
      <alignment horizontal="left" vertical="center"/>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vertical="top" wrapText="1"/>
      <protection locked="0"/>
    </xf>
    <xf numFmtId="0" fontId="6" fillId="0" borderId="0" xfId="1" applyFont="1" applyBorder="1" applyAlignment="1"/>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2"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13"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xf>
    <xf numFmtId="1" fontId="7" fillId="6" borderId="1" xfId="1" applyNumberFormat="1" applyFont="1" applyFill="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11" fillId="0" borderId="3" xfId="0" applyNumberFormat="1" applyFont="1" applyBorder="1" applyAlignment="1" applyProtection="1">
      <alignment horizontal="center" vertical="center" wrapText="1"/>
      <protection locked="0"/>
    </xf>
    <xf numFmtId="1" fontId="11" fillId="0" borderId="27" xfId="0" applyNumberFormat="1" applyFont="1" applyBorder="1" applyAlignment="1" applyProtection="1">
      <alignment horizontal="center" vertical="center" wrapText="1"/>
      <protection locked="0"/>
    </xf>
    <xf numFmtId="1" fontId="11" fillId="0" borderId="1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7" fillId="6"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1" fillId="0" borderId="12"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top" wrapText="1"/>
      <protection locked="0"/>
    </xf>
    <xf numFmtId="1" fontId="29" fillId="0" borderId="1" xfId="1" applyNumberFormat="1" applyFont="1" applyBorder="1" applyAlignment="1" applyProtection="1">
      <alignment horizontal="center" vertical="top" wrapText="1"/>
      <protection locked="0"/>
    </xf>
    <xf numFmtId="0" fontId="9" fillId="0" borderId="11" xfId="1" applyFont="1" applyBorder="1" applyAlignment="1" applyProtection="1">
      <alignment horizontal="center" vertical="top"/>
      <protection locked="0"/>
    </xf>
    <xf numFmtId="167" fontId="6"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18"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9" fillId="0" borderId="11" xfId="1" applyFont="1" applyBorder="1" applyAlignment="1" applyProtection="1">
      <alignment horizontal="left" vertical="top"/>
      <protection locked="0"/>
    </xf>
    <xf numFmtId="1" fontId="12" fillId="0" borderId="5" xfId="0" applyNumberFormat="1" applyFont="1" applyBorder="1" applyAlignment="1" applyProtection="1">
      <alignment vertical="top" wrapText="1"/>
      <protection locked="0"/>
    </xf>
    <xf numFmtId="1" fontId="12" fillId="0" borderId="16"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7" fillId="0" borderId="5" xfId="0" applyNumberFormat="1" applyFont="1" applyBorder="1" applyAlignment="1" applyProtection="1">
      <alignment vertical="top" wrapText="1"/>
      <protection locked="0"/>
    </xf>
    <xf numFmtId="1" fontId="7" fillId="0" borderId="16"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7" fillId="0" borderId="11" xfId="1" applyFont="1" applyBorder="1" applyAlignment="1" applyProtection="1">
      <alignment horizontal="center" vertical="top"/>
      <protection locked="0"/>
    </xf>
    <xf numFmtId="1" fontId="12" fillId="0" borderId="3" xfId="1" applyNumberFormat="1" applyFont="1" applyBorder="1" applyAlignment="1" applyProtection="1">
      <alignment horizontal="center" vertical="top" wrapText="1"/>
      <protection locked="0"/>
    </xf>
    <xf numFmtId="1" fontId="12" fillId="0" borderId="11" xfId="1" applyNumberFormat="1" applyFont="1" applyBorder="1" applyAlignment="1" applyProtection="1">
      <alignment horizontal="center" vertical="top" wrapText="1"/>
      <protection locked="0"/>
    </xf>
    <xf numFmtId="1" fontId="12" fillId="0" borderId="21" xfId="0" applyNumberFormat="1" applyFont="1" applyBorder="1" applyAlignment="1" applyProtection="1">
      <alignment horizontal="center" vertical="center" wrapText="1"/>
      <protection locked="0"/>
    </xf>
    <xf numFmtId="1" fontId="12" fillId="0" borderId="22" xfId="0"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11"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2" fillId="0" borderId="22"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16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5" xfId="1" applyFont="1" applyBorder="1" applyAlignment="1" applyProtection="1">
      <alignment horizontal="center" vertical="top"/>
      <protection locked="0"/>
    </xf>
    <xf numFmtId="0" fontId="11" fillId="0" borderId="16" xfId="1" applyFont="1" applyBorder="1" applyAlignment="1" applyProtection="1">
      <alignment horizontal="center" vertical="top"/>
      <protection locked="0"/>
    </xf>
    <xf numFmtId="0" fontId="11" fillId="0" borderId="6"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6"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14" fontId="7" fillId="0" borderId="5" xfId="1" applyNumberFormat="1" applyFont="1" applyBorder="1" applyAlignment="1" applyProtection="1">
      <alignment horizontal="left" vertical="top"/>
      <protection locked="0"/>
    </xf>
    <xf numFmtId="14" fontId="7" fillId="0" borderId="6" xfId="1" applyNumberFormat="1" applyFont="1" applyBorder="1" applyAlignment="1" applyProtection="1">
      <alignment horizontal="left" vertical="top"/>
      <protection locked="0"/>
    </xf>
    <xf numFmtId="14" fontId="14" fillId="0" borderId="5" xfId="1" applyNumberFormat="1" applyFont="1" applyBorder="1" applyAlignment="1" applyProtection="1">
      <alignment horizontal="left" vertical="top" wrapText="1"/>
      <protection locked="0"/>
    </xf>
    <xf numFmtId="14" fontId="14" fillId="0" borderId="6" xfId="1" applyNumberFormat="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5"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2" fontId="6" fillId="0" borderId="1" xfId="1" applyNumberFormat="1" applyFont="1" applyBorder="1" applyAlignment="1" applyProtection="1">
      <alignment horizontal="left" vertical="top"/>
      <protection locked="0"/>
    </xf>
    <xf numFmtId="1" fontId="7" fillId="0" borderId="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12" fillId="0" borderId="22" xfId="0" applyNumberFormat="1" applyFont="1" applyBorder="1" applyAlignment="1" applyProtection="1">
      <alignment horizontal="center" vertical="top" wrapText="1"/>
      <protection locked="0"/>
    </xf>
    <xf numFmtId="1" fontId="5" fillId="0" borderId="5"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1" fontId="12" fillId="0" borderId="23" xfId="0" applyNumberFormat="1" applyFont="1" applyBorder="1" applyAlignment="1" applyProtection="1">
      <alignment horizontal="center" vertical="top" wrapText="1"/>
      <protection locked="0"/>
    </xf>
    <xf numFmtId="0" fontId="11" fillId="0" borderId="1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1" fontId="16" fillId="0" borderId="5" xfId="0" applyNumberFormat="1" applyFont="1" applyBorder="1" applyAlignment="1" applyProtection="1">
      <alignment vertical="top" wrapText="1"/>
      <protection locked="0"/>
    </xf>
    <xf numFmtId="1" fontId="16" fillId="0" borderId="16"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1" fontId="12" fillId="0" borderId="3"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7" fillId="6" borderId="5" xfId="1" applyNumberFormat="1" applyFont="1" applyFill="1" applyBorder="1" applyAlignment="1" applyProtection="1">
      <alignment horizontal="center" vertical="center" wrapText="1"/>
      <protection locked="0"/>
    </xf>
    <xf numFmtId="1" fontId="7" fillId="6" borderId="16" xfId="1" applyNumberFormat="1" applyFont="1" applyFill="1" applyBorder="1" applyAlignment="1" applyProtection="1">
      <alignment horizontal="center" vertical="center" wrapText="1"/>
      <protection locked="0"/>
    </xf>
    <xf numFmtId="1" fontId="7" fillId="6" borderId="6"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4" fillId="0" borderId="0" xfId="0" applyNumberFormat="1" applyFont="1" applyAlignment="1">
      <alignment horizontal="center" vertical="center"/>
    </xf>
    <xf numFmtId="167" fontId="14" fillId="0" borderId="1" xfId="9" applyNumberFormat="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1.png"/><Relationship Id="rId1" Type="http://schemas.openxmlformats.org/officeDocument/2006/relationships/image" Target="../media/image100.png"/></Relationships>
</file>

<file path=xl/drawings/drawing1.xml><?xml version="1.0" encoding="utf-8"?>
<xdr:wsDr xmlns:xdr="http://schemas.openxmlformats.org/drawingml/2006/spreadsheetDrawing" xmlns:a="http://schemas.openxmlformats.org/drawingml/2006/main">
  <xdr:twoCellAnchor>
    <xdr:from>
      <xdr:col>0</xdr:col>
      <xdr:colOff>266700</xdr:colOff>
      <xdr:row>817</xdr:row>
      <xdr:rowOff>76200</xdr:rowOff>
    </xdr:from>
    <xdr:to>
      <xdr:col>7</xdr:col>
      <xdr:colOff>532000</xdr:colOff>
      <xdr:row>857</xdr:row>
      <xdr:rowOff>67605</xdr:rowOff>
    </xdr:to>
    <xdr:grpSp>
      <xdr:nvGrpSpPr>
        <xdr:cNvPr id="9" name="Group 8"/>
        <xdr:cNvGrpSpPr/>
      </xdr:nvGrpSpPr>
      <xdr:grpSpPr>
        <a:xfrm>
          <a:off x="266700" y="168135300"/>
          <a:ext cx="6120000" cy="7865405"/>
          <a:chOff x="266700" y="51060350"/>
          <a:chExt cx="6120000" cy="7865405"/>
        </a:xfrm>
      </xdr:grpSpPr>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007700" y="55049632"/>
            <a:ext cx="4680000" cy="3876123"/>
          </a:xfrm>
          <a:prstGeom prst="rect">
            <a:avLst/>
          </a:prstGeom>
          <a:ln>
            <a:solidFill>
              <a:schemeClr val="tx1"/>
            </a:solidFill>
          </a:ln>
        </xdr:spPr>
      </xdr:pic>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66700" y="51060350"/>
            <a:ext cx="6120000" cy="3882162"/>
          </a:xfrm>
          <a:prstGeom prst="rect">
            <a:avLst/>
          </a:prstGeom>
          <a:ln>
            <a:solidFill>
              <a:schemeClr val="tx1"/>
            </a:solidFill>
          </a:ln>
        </xdr:spPr>
      </xdr:pic>
      <xdr:sp macro="" textlink="">
        <xdr:nvSpPr>
          <xdr:cNvPr id="8" name="Rectangle 7"/>
          <xdr:cNvSpPr/>
        </xdr:nvSpPr>
        <xdr:spPr>
          <a:xfrm>
            <a:off x="2870200" y="56002132"/>
            <a:ext cx="990600" cy="203051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oneCellAnchor>
    <xdr:from>
      <xdr:col>8</xdr:col>
      <xdr:colOff>781050</xdr:colOff>
      <xdr:row>797</xdr:row>
      <xdr:rowOff>12700</xdr:rowOff>
    </xdr:from>
    <xdr:ext cx="878317" cy="342786"/>
    <xdr:sp macro="" textlink="">
      <xdr:nvSpPr>
        <xdr:cNvPr id="11" name="TextBox 10"/>
        <xdr:cNvSpPr txBox="1"/>
      </xdr:nvSpPr>
      <xdr:spPr>
        <a:xfrm>
          <a:off x="7404100" y="4705985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A</a:t>
          </a:r>
        </a:p>
      </xdr:txBody>
    </xdr:sp>
    <xdr:clientData/>
  </xdr:oneCellAnchor>
  <xdr:twoCellAnchor>
    <xdr:from>
      <xdr:col>0</xdr:col>
      <xdr:colOff>69850</xdr:colOff>
      <xdr:row>774</xdr:row>
      <xdr:rowOff>120650</xdr:rowOff>
    </xdr:from>
    <xdr:to>
      <xdr:col>7</xdr:col>
      <xdr:colOff>695150</xdr:colOff>
      <xdr:row>803</xdr:row>
      <xdr:rowOff>61230</xdr:rowOff>
    </xdr:to>
    <xdr:grpSp>
      <xdr:nvGrpSpPr>
        <xdr:cNvPr id="17" name="Group 16"/>
        <xdr:cNvGrpSpPr/>
      </xdr:nvGrpSpPr>
      <xdr:grpSpPr>
        <a:xfrm>
          <a:off x="69850" y="159715200"/>
          <a:ext cx="6480000" cy="5649230"/>
          <a:chOff x="69850" y="42640250"/>
          <a:chExt cx="6480000" cy="5649230"/>
        </a:xfrm>
      </xdr:grpSpPr>
      <xdr:pic>
        <xdr:nvPicPr>
          <xdr:cNvPr id="10" name="Picture 9"/>
          <xdr:cNvPicPr>
            <a:picLocks noChangeAspect="1"/>
          </xdr:cNvPicPr>
        </xdr:nvPicPr>
        <xdr:blipFill>
          <a:blip xmlns:r="http://schemas.openxmlformats.org/officeDocument/2006/relationships" r:embed="rId3"/>
          <a:stretch>
            <a:fillRect/>
          </a:stretch>
        </xdr:blipFill>
        <xdr:spPr>
          <a:xfrm>
            <a:off x="69850" y="42640250"/>
            <a:ext cx="6480000" cy="5649230"/>
          </a:xfrm>
          <a:prstGeom prst="rect">
            <a:avLst/>
          </a:prstGeom>
          <a:ln>
            <a:solidFill>
              <a:schemeClr val="tx1"/>
            </a:solidFill>
          </a:ln>
        </xdr:spPr>
      </xdr:pic>
      <xdr:sp macro="" textlink="">
        <xdr:nvSpPr>
          <xdr:cNvPr id="12" name="TextBox 11"/>
          <xdr:cNvSpPr txBox="1"/>
        </xdr:nvSpPr>
        <xdr:spPr>
          <a:xfrm>
            <a:off x="3048000" y="4660265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A</a:t>
            </a:r>
          </a:p>
        </xdr:txBody>
      </xdr:sp>
      <xdr:sp macro="" textlink="">
        <xdr:nvSpPr>
          <xdr:cNvPr id="13" name="TextBox 12"/>
          <xdr:cNvSpPr txBox="1"/>
        </xdr:nvSpPr>
        <xdr:spPr>
          <a:xfrm>
            <a:off x="1955800" y="4719320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B</a:t>
            </a:r>
          </a:p>
        </xdr:txBody>
      </xdr:sp>
      <xdr:sp macro="" textlink="">
        <xdr:nvSpPr>
          <xdr:cNvPr id="14" name="TextBox 13"/>
          <xdr:cNvSpPr txBox="1"/>
        </xdr:nvSpPr>
        <xdr:spPr>
          <a:xfrm>
            <a:off x="1930400" y="4612005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C</a:t>
            </a:r>
          </a:p>
        </xdr:txBody>
      </xdr:sp>
      <xdr:sp macro="" textlink="">
        <xdr:nvSpPr>
          <xdr:cNvPr id="15" name="TextBox 14"/>
          <xdr:cNvSpPr txBox="1"/>
        </xdr:nvSpPr>
        <xdr:spPr>
          <a:xfrm>
            <a:off x="1943100" y="4501515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D</a:t>
            </a:r>
          </a:p>
        </xdr:txBody>
      </xdr:sp>
      <xdr:sp macro="" textlink="">
        <xdr:nvSpPr>
          <xdr:cNvPr id="16" name="TextBox 15"/>
          <xdr:cNvSpPr txBox="1"/>
        </xdr:nvSpPr>
        <xdr:spPr>
          <a:xfrm>
            <a:off x="1917700" y="43916600"/>
            <a:ext cx="87831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Tower E</a:t>
            </a:r>
          </a:p>
        </xdr:txBody>
      </xdr:sp>
    </xdr:grpSp>
    <xdr:clientData/>
  </xdr:twoCellAnchor>
  <xdr:twoCellAnchor>
    <xdr:from>
      <xdr:col>8</xdr:col>
      <xdr:colOff>704850</xdr:colOff>
      <xdr:row>15</xdr:row>
      <xdr:rowOff>25400</xdr:rowOff>
    </xdr:from>
    <xdr:to>
      <xdr:col>11</xdr:col>
      <xdr:colOff>784500</xdr:colOff>
      <xdr:row>24</xdr:row>
      <xdr:rowOff>134373</xdr:rowOff>
    </xdr:to>
    <xdr:grpSp>
      <xdr:nvGrpSpPr>
        <xdr:cNvPr id="19" name="Group 18"/>
        <xdr:cNvGrpSpPr/>
      </xdr:nvGrpSpPr>
      <xdr:grpSpPr>
        <a:xfrm>
          <a:off x="7327900" y="4006850"/>
          <a:ext cx="2886350" cy="2737873"/>
          <a:chOff x="7702550" y="3962400"/>
          <a:chExt cx="2886350" cy="2737873"/>
        </a:xfrm>
      </xdr:grpSpPr>
      <xdr:pic>
        <xdr:nvPicPr>
          <xdr:cNvPr id="2" name="Picture 1"/>
          <xdr:cNvPicPr>
            <a:picLocks noChangeAspect="1"/>
          </xdr:cNvPicPr>
        </xdr:nvPicPr>
        <xdr:blipFill>
          <a:blip xmlns:r="http://schemas.openxmlformats.org/officeDocument/2006/relationships" r:embed="rId4"/>
          <a:stretch>
            <a:fillRect/>
          </a:stretch>
        </xdr:blipFill>
        <xdr:spPr>
          <a:xfrm>
            <a:off x="7708900" y="3962400"/>
            <a:ext cx="2880000" cy="1377744"/>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5"/>
          <a:stretch>
            <a:fillRect/>
          </a:stretch>
        </xdr:blipFill>
        <xdr:spPr>
          <a:xfrm>
            <a:off x="7702550" y="5410200"/>
            <a:ext cx="2880000" cy="1290073"/>
          </a:xfrm>
          <a:prstGeom prst="rect">
            <a:avLst/>
          </a:prstGeom>
          <a:ln>
            <a:solidFill>
              <a:schemeClr val="tx1"/>
            </a:solidFill>
          </a:ln>
        </xdr:spPr>
      </xdr:pic>
    </xdr:grpSp>
    <xdr:clientData/>
  </xdr:twoCellAnchor>
  <xdr:twoCellAnchor editAs="oneCell">
    <xdr:from>
      <xdr:col>8</xdr:col>
      <xdr:colOff>330200</xdr:colOff>
      <xdr:row>49</xdr:row>
      <xdr:rowOff>190500</xdr:rowOff>
    </xdr:from>
    <xdr:to>
      <xdr:col>12</xdr:col>
      <xdr:colOff>158300</xdr:colOff>
      <xdr:row>50</xdr:row>
      <xdr:rowOff>228433</xdr:rowOff>
    </xdr:to>
    <xdr:pic>
      <xdr:nvPicPr>
        <xdr:cNvPr id="20" name="Picture 19"/>
        <xdr:cNvPicPr>
          <a:picLocks noChangeAspect="1"/>
        </xdr:cNvPicPr>
      </xdr:nvPicPr>
      <xdr:blipFill>
        <a:blip xmlns:r="http://schemas.openxmlformats.org/officeDocument/2006/relationships" r:embed="rId6"/>
        <a:stretch>
          <a:fillRect/>
        </a:stretch>
      </xdr:blipFill>
      <xdr:spPr>
        <a:xfrm>
          <a:off x="6953250" y="11931650"/>
          <a:ext cx="3600000" cy="234783"/>
        </a:xfrm>
        <a:prstGeom prst="rect">
          <a:avLst/>
        </a:prstGeom>
        <a:ln>
          <a:solidFill>
            <a:schemeClr val="tx1"/>
          </a:solidFill>
        </a:ln>
      </xdr:spPr>
    </xdr:pic>
    <xdr:clientData/>
  </xdr:twoCellAnchor>
  <xdr:twoCellAnchor editAs="oneCell">
    <xdr:from>
      <xdr:col>8</xdr:col>
      <xdr:colOff>387350</xdr:colOff>
      <xdr:row>56</xdr:row>
      <xdr:rowOff>95250</xdr:rowOff>
    </xdr:from>
    <xdr:to>
      <xdr:col>12</xdr:col>
      <xdr:colOff>215450</xdr:colOff>
      <xdr:row>56</xdr:row>
      <xdr:rowOff>387142</xdr:rowOff>
    </xdr:to>
    <xdr:pic>
      <xdr:nvPicPr>
        <xdr:cNvPr id="22" name="Picture 21"/>
        <xdr:cNvPicPr>
          <a:picLocks noChangeAspect="1"/>
        </xdr:cNvPicPr>
      </xdr:nvPicPr>
      <xdr:blipFill>
        <a:blip xmlns:r="http://schemas.openxmlformats.org/officeDocument/2006/relationships" r:embed="rId7"/>
        <a:stretch>
          <a:fillRect/>
        </a:stretch>
      </xdr:blipFill>
      <xdr:spPr>
        <a:xfrm>
          <a:off x="7010400" y="13862050"/>
          <a:ext cx="3600000" cy="291892"/>
        </a:xfrm>
        <a:prstGeom prst="rect">
          <a:avLst/>
        </a:prstGeom>
        <a:ln>
          <a:solidFill>
            <a:schemeClr val="tx1"/>
          </a:solidFill>
        </a:ln>
      </xdr:spPr>
    </xdr:pic>
    <xdr:clientData/>
  </xdr:twoCellAnchor>
  <xdr:twoCellAnchor>
    <xdr:from>
      <xdr:col>8</xdr:col>
      <xdr:colOff>613630</xdr:colOff>
      <xdr:row>558</xdr:row>
      <xdr:rowOff>195981</xdr:rowOff>
    </xdr:from>
    <xdr:to>
      <xdr:col>15</xdr:col>
      <xdr:colOff>189310</xdr:colOff>
      <xdr:row>590</xdr:row>
      <xdr:rowOff>103600</xdr:rowOff>
    </xdr:to>
    <xdr:grpSp>
      <xdr:nvGrpSpPr>
        <xdr:cNvPr id="32" name="Group 31"/>
        <xdr:cNvGrpSpPr/>
      </xdr:nvGrpSpPr>
      <xdr:grpSpPr>
        <a:xfrm>
          <a:off x="7236680" y="118331381"/>
          <a:ext cx="5900280" cy="6206819"/>
          <a:chOff x="6792180" y="44836481"/>
          <a:chExt cx="5900280" cy="6206819"/>
        </a:xfrm>
      </xdr:grpSpPr>
      <xdr:pic>
        <xdr:nvPicPr>
          <xdr:cNvPr id="28" name="Picture 27"/>
          <xdr:cNvPicPr>
            <a:picLocks noChangeAspect="1"/>
          </xdr:cNvPicPr>
        </xdr:nvPicPr>
        <xdr:blipFill>
          <a:blip xmlns:r="http://schemas.openxmlformats.org/officeDocument/2006/relationships" r:embed="rId8"/>
          <a:stretch>
            <a:fillRect/>
          </a:stretch>
        </xdr:blipFill>
        <xdr:spPr>
          <a:xfrm>
            <a:off x="6794500" y="44843700"/>
            <a:ext cx="2880000" cy="1772666"/>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a:stretch>
            <a:fillRect/>
          </a:stretch>
        </xdr:blipFill>
        <xdr:spPr>
          <a:xfrm>
            <a:off x="9791700" y="44836481"/>
            <a:ext cx="2880000" cy="2808968"/>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0"/>
          <a:stretch>
            <a:fillRect/>
          </a:stretch>
        </xdr:blipFill>
        <xdr:spPr>
          <a:xfrm>
            <a:off x="6792180" y="46716950"/>
            <a:ext cx="2880000" cy="3138724"/>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1"/>
          <a:stretch>
            <a:fillRect/>
          </a:stretch>
        </xdr:blipFill>
        <xdr:spPr>
          <a:xfrm>
            <a:off x="9812460" y="47739300"/>
            <a:ext cx="2880000" cy="3304000"/>
          </a:xfrm>
          <a:prstGeom prst="rect">
            <a:avLst/>
          </a:prstGeom>
          <a:ln>
            <a:solidFill>
              <a:schemeClr val="tx1"/>
            </a:solidFill>
          </a:ln>
        </xdr:spPr>
      </xdr:pic>
    </xdr:grpSp>
    <xdr:clientData/>
  </xdr:twoCellAnchor>
  <xdr:twoCellAnchor>
    <xdr:from>
      <xdr:col>8</xdr:col>
      <xdr:colOff>406400</xdr:colOff>
      <xdr:row>591</xdr:row>
      <xdr:rowOff>63500</xdr:rowOff>
    </xdr:from>
    <xdr:to>
      <xdr:col>19</xdr:col>
      <xdr:colOff>104746</xdr:colOff>
      <xdr:row>623</xdr:row>
      <xdr:rowOff>176774</xdr:rowOff>
    </xdr:to>
    <xdr:grpSp>
      <xdr:nvGrpSpPr>
        <xdr:cNvPr id="38" name="Group 37"/>
        <xdr:cNvGrpSpPr/>
      </xdr:nvGrpSpPr>
      <xdr:grpSpPr>
        <a:xfrm>
          <a:off x="7029450" y="124694950"/>
          <a:ext cx="8880446" cy="6412474"/>
          <a:chOff x="7035800" y="52343050"/>
          <a:chExt cx="8880446" cy="6412474"/>
        </a:xfrm>
      </xdr:grpSpPr>
      <xdr:pic>
        <xdr:nvPicPr>
          <xdr:cNvPr id="33" name="Picture 32"/>
          <xdr:cNvPicPr>
            <a:picLocks noChangeAspect="1"/>
          </xdr:cNvPicPr>
        </xdr:nvPicPr>
        <xdr:blipFill>
          <a:blip xmlns:r="http://schemas.openxmlformats.org/officeDocument/2006/relationships" r:embed="rId12"/>
          <a:stretch>
            <a:fillRect/>
          </a:stretch>
        </xdr:blipFill>
        <xdr:spPr>
          <a:xfrm>
            <a:off x="7035800" y="52343050"/>
            <a:ext cx="2880000" cy="2229474"/>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3"/>
          <a:stretch>
            <a:fillRect/>
          </a:stretch>
        </xdr:blipFill>
        <xdr:spPr>
          <a:xfrm>
            <a:off x="7035800" y="54701903"/>
            <a:ext cx="2880000" cy="2814841"/>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4"/>
          <a:stretch>
            <a:fillRect/>
          </a:stretch>
        </xdr:blipFill>
        <xdr:spPr>
          <a:xfrm>
            <a:off x="10036023" y="52343050"/>
            <a:ext cx="2880000" cy="3083512"/>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5"/>
          <a:stretch>
            <a:fillRect/>
          </a:stretch>
        </xdr:blipFill>
        <xdr:spPr>
          <a:xfrm>
            <a:off x="10036023" y="55552711"/>
            <a:ext cx="2880000" cy="3202813"/>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6"/>
          <a:stretch>
            <a:fillRect/>
          </a:stretch>
        </xdr:blipFill>
        <xdr:spPr>
          <a:xfrm>
            <a:off x="13036246" y="52343050"/>
            <a:ext cx="2880000" cy="3324816"/>
          </a:xfrm>
          <a:prstGeom prst="rect">
            <a:avLst/>
          </a:prstGeom>
          <a:ln>
            <a:solidFill>
              <a:schemeClr val="tx1"/>
            </a:solidFill>
          </a:ln>
        </xdr:spPr>
      </xdr:pic>
    </xdr:grpSp>
    <xdr:clientData/>
  </xdr:twoCellAnchor>
  <xdr:twoCellAnchor>
    <xdr:from>
      <xdr:col>8</xdr:col>
      <xdr:colOff>406400</xdr:colOff>
      <xdr:row>624</xdr:row>
      <xdr:rowOff>184150</xdr:rowOff>
    </xdr:from>
    <xdr:to>
      <xdr:col>14</xdr:col>
      <xdr:colOff>756064</xdr:colOff>
      <xdr:row>665</xdr:row>
      <xdr:rowOff>172965</xdr:rowOff>
    </xdr:to>
    <xdr:grpSp>
      <xdr:nvGrpSpPr>
        <xdr:cNvPr id="39" name="Group 38"/>
        <xdr:cNvGrpSpPr/>
      </xdr:nvGrpSpPr>
      <xdr:grpSpPr>
        <a:xfrm>
          <a:off x="7029450" y="131311650"/>
          <a:ext cx="5823364" cy="8059665"/>
          <a:chOff x="226118" y="152660"/>
          <a:chExt cx="5823364" cy="8059665"/>
        </a:xfrm>
      </xdr:grpSpPr>
      <xdr:pic>
        <xdr:nvPicPr>
          <xdr:cNvPr id="40" name="Picture 39"/>
          <xdr:cNvPicPr>
            <a:picLocks noChangeAspect="1"/>
          </xdr:cNvPicPr>
        </xdr:nvPicPr>
        <xdr:blipFill>
          <a:blip xmlns:r="http://schemas.openxmlformats.org/officeDocument/2006/relationships" r:embed="rId17"/>
          <a:stretch>
            <a:fillRect/>
          </a:stretch>
        </xdr:blipFill>
        <xdr:spPr>
          <a:xfrm>
            <a:off x="226118" y="152660"/>
            <a:ext cx="2880000" cy="3075398"/>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8"/>
          <a:stretch>
            <a:fillRect/>
          </a:stretch>
        </xdr:blipFill>
        <xdr:spPr>
          <a:xfrm>
            <a:off x="3169482" y="152660"/>
            <a:ext cx="2880000" cy="3942857"/>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9"/>
          <a:stretch>
            <a:fillRect/>
          </a:stretch>
        </xdr:blipFill>
        <xdr:spPr>
          <a:xfrm>
            <a:off x="226118" y="3228058"/>
            <a:ext cx="2880000" cy="3693177"/>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0"/>
          <a:stretch>
            <a:fillRect/>
          </a:stretch>
        </xdr:blipFill>
        <xdr:spPr>
          <a:xfrm>
            <a:off x="3169482" y="4178352"/>
            <a:ext cx="2880000" cy="4033973"/>
          </a:xfrm>
          <a:prstGeom prst="rect">
            <a:avLst/>
          </a:prstGeom>
          <a:ln>
            <a:solidFill>
              <a:schemeClr val="tx1"/>
            </a:solidFill>
          </a:ln>
        </xdr:spPr>
      </xdr:pic>
    </xdr:grpSp>
    <xdr:clientData/>
  </xdr:twoCellAnchor>
  <xdr:twoCellAnchor editAs="oneCell">
    <xdr:from>
      <xdr:col>8</xdr:col>
      <xdr:colOff>539750</xdr:colOff>
      <xdr:row>681</xdr:row>
      <xdr:rowOff>158750</xdr:rowOff>
    </xdr:from>
    <xdr:to>
      <xdr:col>11</xdr:col>
      <xdr:colOff>613050</xdr:colOff>
      <xdr:row>694</xdr:row>
      <xdr:rowOff>82708</xdr:rowOff>
    </xdr:to>
    <xdr:pic>
      <xdr:nvPicPr>
        <xdr:cNvPr id="44" name="Picture 43"/>
        <xdr:cNvPicPr>
          <a:picLocks noChangeAspect="1"/>
        </xdr:cNvPicPr>
      </xdr:nvPicPr>
      <xdr:blipFill>
        <a:blip xmlns:r="http://schemas.openxmlformats.org/officeDocument/2006/relationships" r:embed="rId21"/>
        <a:stretch>
          <a:fillRect/>
        </a:stretch>
      </xdr:blipFill>
      <xdr:spPr>
        <a:xfrm>
          <a:off x="7162800" y="69215000"/>
          <a:ext cx="2880000" cy="2483008"/>
        </a:xfrm>
        <a:prstGeom prst="rect">
          <a:avLst/>
        </a:prstGeom>
        <a:ln>
          <a:solidFill>
            <a:schemeClr val="tx1"/>
          </a:solidFill>
        </a:ln>
      </xdr:spPr>
    </xdr:pic>
    <xdr:clientData/>
  </xdr:twoCellAnchor>
  <xdr:twoCellAnchor>
    <xdr:from>
      <xdr:col>8</xdr:col>
      <xdr:colOff>387350</xdr:colOff>
      <xdr:row>195</xdr:row>
      <xdr:rowOff>171450</xdr:rowOff>
    </xdr:from>
    <xdr:to>
      <xdr:col>14</xdr:col>
      <xdr:colOff>55100</xdr:colOff>
      <xdr:row>218</xdr:row>
      <xdr:rowOff>169743</xdr:rowOff>
    </xdr:to>
    <xdr:grpSp>
      <xdr:nvGrpSpPr>
        <xdr:cNvPr id="45" name="Group 44"/>
        <xdr:cNvGrpSpPr/>
      </xdr:nvGrpSpPr>
      <xdr:grpSpPr>
        <a:xfrm>
          <a:off x="7010400" y="46120050"/>
          <a:ext cx="5141450" cy="4525843"/>
          <a:chOff x="452314" y="1362609"/>
          <a:chExt cx="5141450" cy="4525843"/>
        </a:xfrm>
      </xdr:grpSpPr>
      <xdr:pic>
        <xdr:nvPicPr>
          <xdr:cNvPr id="46" name="Picture 45"/>
          <xdr:cNvPicPr>
            <a:picLocks noChangeAspect="1"/>
          </xdr:cNvPicPr>
        </xdr:nvPicPr>
        <xdr:blipFill>
          <a:blip xmlns:r="http://schemas.openxmlformats.org/officeDocument/2006/relationships" r:embed="rId22"/>
          <a:stretch>
            <a:fillRect/>
          </a:stretch>
        </xdr:blipFill>
        <xdr:spPr>
          <a:xfrm>
            <a:off x="452314" y="1362609"/>
            <a:ext cx="2520000" cy="2460783"/>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23"/>
          <a:stretch>
            <a:fillRect/>
          </a:stretch>
        </xdr:blipFill>
        <xdr:spPr>
          <a:xfrm>
            <a:off x="3073764" y="1362609"/>
            <a:ext cx="2520000" cy="2020109"/>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24"/>
          <a:stretch>
            <a:fillRect/>
          </a:stretch>
        </xdr:blipFill>
        <xdr:spPr>
          <a:xfrm>
            <a:off x="452314" y="3960023"/>
            <a:ext cx="2520000" cy="1928429"/>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25"/>
          <a:stretch>
            <a:fillRect/>
          </a:stretch>
        </xdr:blipFill>
        <xdr:spPr>
          <a:xfrm>
            <a:off x="3073764" y="3496870"/>
            <a:ext cx="2520000" cy="2039492"/>
          </a:xfrm>
          <a:prstGeom prst="rect">
            <a:avLst/>
          </a:prstGeom>
          <a:ln>
            <a:solidFill>
              <a:schemeClr val="tx1"/>
            </a:solidFill>
          </a:ln>
        </xdr:spPr>
      </xdr:pic>
    </xdr:grpSp>
    <xdr:clientData/>
  </xdr:twoCellAnchor>
  <xdr:twoCellAnchor>
    <xdr:from>
      <xdr:col>8</xdr:col>
      <xdr:colOff>387350</xdr:colOff>
      <xdr:row>220</xdr:row>
      <xdr:rowOff>44450</xdr:rowOff>
    </xdr:from>
    <xdr:to>
      <xdr:col>13</xdr:col>
      <xdr:colOff>829950</xdr:colOff>
      <xdr:row>243</xdr:row>
      <xdr:rowOff>102326</xdr:rowOff>
    </xdr:to>
    <xdr:grpSp>
      <xdr:nvGrpSpPr>
        <xdr:cNvPr id="50" name="Group 49"/>
        <xdr:cNvGrpSpPr/>
      </xdr:nvGrpSpPr>
      <xdr:grpSpPr>
        <a:xfrm>
          <a:off x="7010400" y="50914300"/>
          <a:ext cx="5040000" cy="4585426"/>
          <a:chOff x="-2035257" y="755887"/>
          <a:chExt cx="5040000" cy="4585426"/>
        </a:xfrm>
      </xdr:grpSpPr>
      <xdr:pic>
        <xdr:nvPicPr>
          <xdr:cNvPr id="51" name="Picture 50"/>
          <xdr:cNvPicPr>
            <a:picLocks noChangeAspect="1"/>
          </xdr:cNvPicPr>
        </xdr:nvPicPr>
        <xdr:blipFill>
          <a:blip xmlns:r="http://schemas.openxmlformats.org/officeDocument/2006/relationships" r:embed="rId26"/>
          <a:stretch>
            <a:fillRect/>
          </a:stretch>
        </xdr:blipFill>
        <xdr:spPr>
          <a:xfrm>
            <a:off x="-2035257" y="755887"/>
            <a:ext cx="2520000" cy="2584249"/>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7"/>
          <a:stretch>
            <a:fillRect/>
          </a:stretch>
        </xdr:blipFill>
        <xdr:spPr>
          <a:xfrm>
            <a:off x="484743" y="755887"/>
            <a:ext cx="2520000" cy="2049091"/>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8"/>
          <a:stretch>
            <a:fillRect/>
          </a:stretch>
        </xdr:blipFill>
        <xdr:spPr>
          <a:xfrm>
            <a:off x="-2035257" y="3340136"/>
            <a:ext cx="2520000" cy="2001177"/>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9"/>
          <a:stretch>
            <a:fillRect/>
          </a:stretch>
        </xdr:blipFill>
        <xdr:spPr>
          <a:xfrm>
            <a:off x="484743" y="2810412"/>
            <a:ext cx="2520000" cy="2129763"/>
          </a:xfrm>
          <a:prstGeom prst="rect">
            <a:avLst/>
          </a:prstGeom>
          <a:ln>
            <a:solidFill>
              <a:schemeClr val="tx1"/>
            </a:solidFill>
          </a:ln>
        </xdr:spPr>
      </xdr:pic>
    </xdr:grpSp>
    <xdr:clientData/>
  </xdr:twoCellAnchor>
  <xdr:twoCellAnchor>
    <xdr:from>
      <xdr:col>8</xdr:col>
      <xdr:colOff>266700</xdr:colOff>
      <xdr:row>241</xdr:row>
      <xdr:rowOff>82550</xdr:rowOff>
    </xdr:from>
    <xdr:to>
      <xdr:col>13</xdr:col>
      <xdr:colOff>828442</xdr:colOff>
      <xdr:row>264</xdr:row>
      <xdr:rowOff>31181</xdr:rowOff>
    </xdr:to>
    <xdr:grpSp>
      <xdr:nvGrpSpPr>
        <xdr:cNvPr id="55" name="Group 54"/>
        <xdr:cNvGrpSpPr/>
      </xdr:nvGrpSpPr>
      <xdr:grpSpPr>
        <a:xfrm>
          <a:off x="6889750" y="55086250"/>
          <a:ext cx="5159142" cy="4476181"/>
          <a:chOff x="267604" y="725099"/>
          <a:chExt cx="5159142" cy="4476181"/>
        </a:xfrm>
      </xdr:grpSpPr>
      <xdr:pic>
        <xdr:nvPicPr>
          <xdr:cNvPr id="56" name="Picture 55"/>
          <xdr:cNvPicPr>
            <a:picLocks noChangeAspect="1"/>
          </xdr:cNvPicPr>
        </xdr:nvPicPr>
        <xdr:blipFill>
          <a:blip xmlns:r="http://schemas.openxmlformats.org/officeDocument/2006/relationships" r:embed="rId30"/>
          <a:stretch>
            <a:fillRect/>
          </a:stretch>
        </xdr:blipFill>
        <xdr:spPr>
          <a:xfrm>
            <a:off x="267604" y="725099"/>
            <a:ext cx="2520000" cy="243931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31"/>
          <a:stretch>
            <a:fillRect/>
          </a:stretch>
        </xdr:blipFill>
        <xdr:spPr>
          <a:xfrm>
            <a:off x="2886115" y="725099"/>
            <a:ext cx="2520000" cy="1974977"/>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32"/>
          <a:stretch>
            <a:fillRect/>
          </a:stretch>
        </xdr:blipFill>
        <xdr:spPr>
          <a:xfrm>
            <a:off x="2906746" y="2836497"/>
            <a:ext cx="2520000" cy="2010972"/>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33"/>
          <a:stretch>
            <a:fillRect/>
          </a:stretch>
        </xdr:blipFill>
        <xdr:spPr>
          <a:xfrm>
            <a:off x="267604" y="3279780"/>
            <a:ext cx="2520000" cy="1921500"/>
          </a:xfrm>
          <a:prstGeom prst="rect">
            <a:avLst/>
          </a:prstGeom>
          <a:ln>
            <a:solidFill>
              <a:schemeClr val="tx1"/>
            </a:solidFill>
          </a:ln>
        </xdr:spPr>
      </xdr:pic>
    </xdr:grpSp>
    <xdr:clientData/>
  </xdr:twoCellAnchor>
  <xdr:twoCellAnchor>
    <xdr:from>
      <xdr:col>8</xdr:col>
      <xdr:colOff>260350</xdr:colOff>
      <xdr:row>264</xdr:row>
      <xdr:rowOff>12700</xdr:rowOff>
    </xdr:from>
    <xdr:to>
      <xdr:col>13</xdr:col>
      <xdr:colOff>794873</xdr:colOff>
      <xdr:row>275</xdr:row>
      <xdr:rowOff>156250</xdr:rowOff>
    </xdr:to>
    <xdr:grpSp>
      <xdr:nvGrpSpPr>
        <xdr:cNvPr id="60" name="Group 59"/>
        <xdr:cNvGrpSpPr/>
      </xdr:nvGrpSpPr>
      <xdr:grpSpPr>
        <a:xfrm>
          <a:off x="6883400" y="59543950"/>
          <a:ext cx="5131923" cy="2308900"/>
          <a:chOff x="482128" y="2604267"/>
          <a:chExt cx="5131923" cy="2308900"/>
        </a:xfrm>
      </xdr:grpSpPr>
      <xdr:pic>
        <xdr:nvPicPr>
          <xdr:cNvPr id="61" name="Picture 60"/>
          <xdr:cNvPicPr>
            <a:picLocks noChangeAspect="1"/>
          </xdr:cNvPicPr>
        </xdr:nvPicPr>
        <xdr:blipFill>
          <a:blip xmlns:r="http://schemas.openxmlformats.org/officeDocument/2006/relationships" r:embed="rId34"/>
          <a:stretch>
            <a:fillRect/>
          </a:stretch>
        </xdr:blipFill>
        <xdr:spPr>
          <a:xfrm>
            <a:off x="482128" y="2604267"/>
            <a:ext cx="2520000" cy="23089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35"/>
          <a:stretch>
            <a:fillRect/>
          </a:stretch>
        </xdr:blipFill>
        <xdr:spPr>
          <a:xfrm>
            <a:off x="3094051" y="2746748"/>
            <a:ext cx="2520000" cy="2023937"/>
          </a:xfrm>
          <a:prstGeom prst="rect">
            <a:avLst/>
          </a:prstGeom>
          <a:ln>
            <a:solidFill>
              <a:schemeClr val="tx1"/>
            </a:solidFill>
          </a:ln>
        </xdr:spPr>
      </xdr:pic>
    </xdr:grpSp>
    <xdr:clientData/>
  </xdr:twoCellAnchor>
  <xdr:twoCellAnchor>
    <xdr:from>
      <xdr:col>8</xdr:col>
      <xdr:colOff>247650</xdr:colOff>
      <xdr:row>276</xdr:row>
      <xdr:rowOff>50800</xdr:rowOff>
    </xdr:from>
    <xdr:to>
      <xdr:col>13</xdr:col>
      <xdr:colOff>723890</xdr:colOff>
      <xdr:row>297</xdr:row>
      <xdr:rowOff>89076</xdr:rowOff>
    </xdr:to>
    <xdr:grpSp>
      <xdr:nvGrpSpPr>
        <xdr:cNvPr id="3" name="Group 2"/>
        <xdr:cNvGrpSpPr/>
      </xdr:nvGrpSpPr>
      <xdr:grpSpPr>
        <a:xfrm>
          <a:off x="6870700" y="61944250"/>
          <a:ext cx="5073640" cy="4368976"/>
          <a:chOff x="6870700" y="60445650"/>
          <a:chExt cx="5073640" cy="4368976"/>
        </a:xfrm>
      </xdr:grpSpPr>
      <xdr:pic>
        <xdr:nvPicPr>
          <xdr:cNvPr id="63" name="Picture 62"/>
          <xdr:cNvPicPr>
            <a:picLocks noChangeAspect="1"/>
          </xdr:cNvPicPr>
        </xdr:nvPicPr>
        <xdr:blipFill>
          <a:blip xmlns:r="http://schemas.openxmlformats.org/officeDocument/2006/relationships" r:embed="rId36"/>
          <a:stretch>
            <a:fillRect/>
          </a:stretch>
        </xdr:blipFill>
        <xdr:spPr>
          <a:xfrm>
            <a:off x="6870700" y="60509654"/>
            <a:ext cx="2520000" cy="2152216"/>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37"/>
          <a:stretch>
            <a:fillRect/>
          </a:stretch>
        </xdr:blipFill>
        <xdr:spPr>
          <a:xfrm>
            <a:off x="9424340" y="60445650"/>
            <a:ext cx="2520000" cy="221622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38"/>
          <a:stretch>
            <a:fillRect/>
          </a:stretch>
        </xdr:blipFill>
        <xdr:spPr>
          <a:xfrm>
            <a:off x="6904340" y="62777575"/>
            <a:ext cx="2520000" cy="2037051"/>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39"/>
          <a:stretch>
            <a:fillRect/>
          </a:stretch>
        </xdr:blipFill>
        <xdr:spPr>
          <a:xfrm>
            <a:off x="9424340" y="62777575"/>
            <a:ext cx="2520000" cy="2034439"/>
          </a:xfrm>
          <a:prstGeom prst="rect">
            <a:avLst/>
          </a:prstGeom>
          <a:ln>
            <a:solidFill>
              <a:schemeClr val="tx1"/>
            </a:solidFill>
          </a:ln>
        </xdr:spPr>
      </xdr:pic>
    </xdr:grpSp>
    <xdr:clientData/>
  </xdr:twoCellAnchor>
  <xdr:twoCellAnchor>
    <xdr:from>
      <xdr:col>9</xdr:col>
      <xdr:colOff>393700</xdr:colOff>
      <xdr:row>267</xdr:row>
      <xdr:rowOff>95250</xdr:rowOff>
    </xdr:from>
    <xdr:to>
      <xdr:col>14</xdr:col>
      <xdr:colOff>650162</xdr:colOff>
      <xdr:row>296</xdr:row>
      <xdr:rowOff>64180</xdr:rowOff>
    </xdr:to>
    <xdr:grpSp>
      <xdr:nvGrpSpPr>
        <xdr:cNvPr id="67" name="Group 66"/>
        <xdr:cNvGrpSpPr/>
      </xdr:nvGrpSpPr>
      <xdr:grpSpPr>
        <a:xfrm>
          <a:off x="8235950" y="60217050"/>
          <a:ext cx="4510962" cy="5874430"/>
          <a:chOff x="278532" y="262810"/>
          <a:chExt cx="4510962" cy="5874430"/>
        </a:xfrm>
      </xdr:grpSpPr>
      <xdr:pic>
        <xdr:nvPicPr>
          <xdr:cNvPr id="68" name="Picture 67"/>
          <xdr:cNvPicPr>
            <a:picLocks noChangeAspect="1"/>
          </xdr:cNvPicPr>
        </xdr:nvPicPr>
        <xdr:blipFill>
          <a:blip xmlns:r="http://schemas.openxmlformats.org/officeDocument/2006/relationships" r:embed="rId40"/>
          <a:stretch>
            <a:fillRect/>
          </a:stretch>
        </xdr:blipFill>
        <xdr:spPr>
          <a:xfrm>
            <a:off x="278532" y="262810"/>
            <a:ext cx="2272351" cy="288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41"/>
          <a:stretch>
            <a:fillRect/>
          </a:stretch>
        </xdr:blipFill>
        <xdr:spPr>
          <a:xfrm>
            <a:off x="2569365" y="262810"/>
            <a:ext cx="2220129" cy="288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42"/>
          <a:stretch>
            <a:fillRect/>
          </a:stretch>
        </xdr:blipFill>
        <xdr:spPr>
          <a:xfrm>
            <a:off x="278532" y="3257240"/>
            <a:ext cx="2190769" cy="288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43"/>
          <a:stretch>
            <a:fillRect/>
          </a:stretch>
        </xdr:blipFill>
        <xdr:spPr>
          <a:xfrm>
            <a:off x="2569365" y="3257240"/>
            <a:ext cx="2181447" cy="2880000"/>
          </a:xfrm>
          <a:prstGeom prst="rect">
            <a:avLst/>
          </a:prstGeom>
          <a:ln>
            <a:solidFill>
              <a:schemeClr val="tx1"/>
            </a:solidFill>
          </a:ln>
        </xdr:spPr>
      </xdr:pic>
    </xdr:grpSp>
    <xdr:clientData/>
  </xdr:twoCellAnchor>
  <xdr:twoCellAnchor>
    <xdr:from>
      <xdr:col>12</xdr:col>
      <xdr:colOff>158750</xdr:colOff>
      <xdr:row>262</xdr:row>
      <xdr:rowOff>44450</xdr:rowOff>
    </xdr:from>
    <xdr:to>
      <xdr:col>17</xdr:col>
      <xdr:colOff>334029</xdr:colOff>
      <xdr:row>291</xdr:row>
      <xdr:rowOff>19361</xdr:rowOff>
    </xdr:to>
    <xdr:grpSp>
      <xdr:nvGrpSpPr>
        <xdr:cNvPr id="72" name="Group 71"/>
        <xdr:cNvGrpSpPr/>
      </xdr:nvGrpSpPr>
      <xdr:grpSpPr>
        <a:xfrm>
          <a:off x="10553700" y="59182000"/>
          <a:ext cx="4188479" cy="5880411"/>
          <a:chOff x="-2657345" y="748707"/>
          <a:chExt cx="4188479" cy="5880411"/>
        </a:xfrm>
      </xdr:grpSpPr>
      <xdr:pic>
        <xdr:nvPicPr>
          <xdr:cNvPr id="73" name="Picture 72"/>
          <xdr:cNvPicPr>
            <a:picLocks noChangeAspect="1"/>
          </xdr:cNvPicPr>
        </xdr:nvPicPr>
        <xdr:blipFill>
          <a:blip xmlns:r="http://schemas.openxmlformats.org/officeDocument/2006/relationships" r:embed="rId44"/>
          <a:stretch>
            <a:fillRect/>
          </a:stretch>
        </xdr:blipFill>
        <xdr:spPr>
          <a:xfrm>
            <a:off x="-2657345" y="748707"/>
            <a:ext cx="1826714" cy="288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45"/>
          <a:stretch>
            <a:fillRect/>
          </a:stretch>
        </xdr:blipFill>
        <xdr:spPr>
          <a:xfrm>
            <a:off x="-685629" y="748707"/>
            <a:ext cx="2216763" cy="288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46"/>
          <a:stretch>
            <a:fillRect/>
          </a:stretch>
        </xdr:blipFill>
        <xdr:spPr>
          <a:xfrm>
            <a:off x="-2657345" y="3749118"/>
            <a:ext cx="1974375" cy="288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47"/>
          <a:stretch>
            <a:fillRect/>
          </a:stretch>
        </xdr:blipFill>
        <xdr:spPr>
          <a:xfrm>
            <a:off x="-515230" y="3749118"/>
            <a:ext cx="1875963" cy="2880000"/>
          </a:xfrm>
          <a:prstGeom prst="rect">
            <a:avLst/>
          </a:prstGeom>
          <a:ln>
            <a:solidFill>
              <a:schemeClr val="tx1"/>
            </a:solidFill>
          </a:ln>
        </xdr:spPr>
      </xdr:pic>
    </xdr:grpSp>
    <xdr:clientData/>
  </xdr:twoCellAnchor>
  <xdr:twoCellAnchor>
    <xdr:from>
      <xdr:col>8</xdr:col>
      <xdr:colOff>273050</xdr:colOff>
      <xdr:row>297</xdr:row>
      <xdr:rowOff>171450</xdr:rowOff>
    </xdr:from>
    <xdr:to>
      <xdr:col>17</xdr:col>
      <xdr:colOff>383996</xdr:colOff>
      <xdr:row>320</xdr:row>
      <xdr:rowOff>97402</xdr:rowOff>
    </xdr:to>
    <xdr:grpSp>
      <xdr:nvGrpSpPr>
        <xdr:cNvPr id="77" name="Group 76"/>
        <xdr:cNvGrpSpPr/>
      </xdr:nvGrpSpPr>
      <xdr:grpSpPr>
        <a:xfrm>
          <a:off x="6896100" y="66395600"/>
          <a:ext cx="7896046" cy="4453502"/>
          <a:chOff x="148732" y="254843"/>
          <a:chExt cx="7896046" cy="4453502"/>
        </a:xfrm>
      </xdr:grpSpPr>
      <xdr:pic>
        <xdr:nvPicPr>
          <xdr:cNvPr id="78" name="Picture 77"/>
          <xdr:cNvPicPr>
            <a:picLocks noChangeAspect="1"/>
          </xdr:cNvPicPr>
        </xdr:nvPicPr>
        <xdr:blipFill>
          <a:blip xmlns:r="http://schemas.openxmlformats.org/officeDocument/2006/relationships" r:embed="rId48"/>
          <a:stretch>
            <a:fillRect/>
          </a:stretch>
        </xdr:blipFill>
        <xdr:spPr>
          <a:xfrm>
            <a:off x="477809" y="254843"/>
            <a:ext cx="2815018" cy="21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49"/>
          <a:stretch>
            <a:fillRect/>
          </a:stretch>
        </xdr:blipFill>
        <xdr:spPr>
          <a:xfrm>
            <a:off x="3418428" y="254843"/>
            <a:ext cx="2610909" cy="2160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50"/>
          <a:stretch>
            <a:fillRect/>
          </a:stretch>
        </xdr:blipFill>
        <xdr:spPr>
          <a:xfrm>
            <a:off x="148732" y="2548345"/>
            <a:ext cx="2006975" cy="2160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51"/>
          <a:stretch>
            <a:fillRect/>
          </a:stretch>
        </xdr:blipFill>
        <xdr:spPr>
          <a:xfrm>
            <a:off x="2246998" y="2544142"/>
            <a:ext cx="2217600" cy="2160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52"/>
          <a:stretch>
            <a:fillRect/>
          </a:stretch>
        </xdr:blipFill>
        <xdr:spPr>
          <a:xfrm>
            <a:off x="4555889" y="2544142"/>
            <a:ext cx="1724816" cy="2160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53"/>
          <a:stretch>
            <a:fillRect/>
          </a:stretch>
        </xdr:blipFill>
        <xdr:spPr>
          <a:xfrm>
            <a:off x="6371996" y="2544142"/>
            <a:ext cx="1672782" cy="2160000"/>
          </a:xfrm>
          <a:prstGeom prst="rect">
            <a:avLst/>
          </a:prstGeom>
          <a:ln>
            <a:solidFill>
              <a:schemeClr val="tx1"/>
            </a:solidFill>
          </a:ln>
        </xdr:spPr>
      </xdr:pic>
    </xdr:grpSp>
    <xdr:clientData/>
  </xdr:twoCellAnchor>
  <xdr:twoCellAnchor>
    <xdr:from>
      <xdr:col>8</xdr:col>
      <xdr:colOff>260350</xdr:colOff>
      <xdr:row>322</xdr:row>
      <xdr:rowOff>139700</xdr:rowOff>
    </xdr:from>
    <xdr:to>
      <xdr:col>15</xdr:col>
      <xdr:colOff>710445</xdr:colOff>
      <xdr:row>344</xdr:row>
      <xdr:rowOff>171127</xdr:rowOff>
    </xdr:to>
    <xdr:grpSp>
      <xdr:nvGrpSpPr>
        <xdr:cNvPr id="84" name="Group 83"/>
        <xdr:cNvGrpSpPr/>
      </xdr:nvGrpSpPr>
      <xdr:grpSpPr>
        <a:xfrm>
          <a:off x="6883400" y="71285100"/>
          <a:ext cx="6774695" cy="4362127"/>
          <a:chOff x="188558" y="270190"/>
          <a:chExt cx="6774695" cy="4362127"/>
        </a:xfrm>
      </xdr:grpSpPr>
      <xdr:pic>
        <xdr:nvPicPr>
          <xdr:cNvPr id="85" name="Picture 84"/>
          <xdr:cNvPicPr>
            <a:picLocks noChangeAspect="1"/>
          </xdr:cNvPicPr>
        </xdr:nvPicPr>
        <xdr:blipFill>
          <a:blip xmlns:r="http://schemas.openxmlformats.org/officeDocument/2006/relationships" r:embed="rId54"/>
          <a:stretch>
            <a:fillRect/>
          </a:stretch>
        </xdr:blipFill>
        <xdr:spPr>
          <a:xfrm>
            <a:off x="188558" y="270190"/>
            <a:ext cx="2330029" cy="2160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55"/>
          <a:stretch>
            <a:fillRect/>
          </a:stretch>
        </xdr:blipFill>
        <xdr:spPr>
          <a:xfrm>
            <a:off x="2636062" y="270190"/>
            <a:ext cx="2434285" cy="2160000"/>
          </a:xfrm>
          <a:prstGeom prst="rect">
            <a:avLst/>
          </a:prstGeom>
          <a:ln>
            <a:solidFill>
              <a:schemeClr val="tx1"/>
            </a:solidFill>
          </a:ln>
        </xdr:spPr>
      </xdr:pic>
      <xdr:pic>
        <xdr:nvPicPr>
          <xdr:cNvPr id="87" name="Picture 86"/>
          <xdr:cNvPicPr>
            <a:picLocks noChangeAspect="1"/>
          </xdr:cNvPicPr>
        </xdr:nvPicPr>
        <xdr:blipFill>
          <a:blip xmlns:r="http://schemas.openxmlformats.org/officeDocument/2006/relationships" r:embed="rId56"/>
          <a:stretch>
            <a:fillRect/>
          </a:stretch>
        </xdr:blipFill>
        <xdr:spPr>
          <a:xfrm>
            <a:off x="188558" y="2472317"/>
            <a:ext cx="2165130" cy="2160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57"/>
          <a:stretch>
            <a:fillRect/>
          </a:stretch>
        </xdr:blipFill>
        <xdr:spPr>
          <a:xfrm>
            <a:off x="2501643" y="2472317"/>
            <a:ext cx="2703122" cy="2160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58"/>
          <a:stretch>
            <a:fillRect/>
          </a:stretch>
        </xdr:blipFill>
        <xdr:spPr>
          <a:xfrm>
            <a:off x="5187822" y="282190"/>
            <a:ext cx="1718540" cy="2160000"/>
          </a:xfrm>
          <a:prstGeom prst="rect">
            <a:avLst/>
          </a:prstGeom>
          <a:ln>
            <a:solidFill>
              <a:schemeClr val="tx1"/>
            </a:solidFill>
          </a:ln>
        </xdr:spPr>
      </xdr:pic>
      <xdr:pic>
        <xdr:nvPicPr>
          <xdr:cNvPr id="90" name="Picture 89"/>
          <xdr:cNvPicPr>
            <a:picLocks noChangeAspect="1"/>
          </xdr:cNvPicPr>
        </xdr:nvPicPr>
        <xdr:blipFill>
          <a:blip xmlns:r="http://schemas.openxmlformats.org/officeDocument/2006/relationships" r:embed="rId59"/>
          <a:stretch>
            <a:fillRect/>
          </a:stretch>
        </xdr:blipFill>
        <xdr:spPr>
          <a:xfrm>
            <a:off x="5284441" y="2472317"/>
            <a:ext cx="1678812" cy="2160000"/>
          </a:xfrm>
          <a:prstGeom prst="rect">
            <a:avLst/>
          </a:prstGeom>
          <a:ln>
            <a:solidFill>
              <a:schemeClr val="tx1"/>
            </a:solidFill>
          </a:ln>
        </xdr:spPr>
      </xdr:pic>
    </xdr:grpSp>
    <xdr:clientData/>
  </xdr:twoCellAnchor>
  <xdr:twoCellAnchor>
    <xdr:from>
      <xdr:col>8</xdr:col>
      <xdr:colOff>476250</xdr:colOff>
      <xdr:row>395</xdr:row>
      <xdr:rowOff>0</xdr:rowOff>
    </xdr:from>
    <xdr:to>
      <xdr:col>13</xdr:col>
      <xdr:colOff>449045</xdr:colOff>
      <xdr:row>417</xdr:row>
      <xdr:rowOff>146087</xdr:rowOff>
    </xdr:to>
    <xdr:grpSp>
      <xdr:nvGrpSpPr>
        <xdr:cNvPr id="91" name="Group 90"/>
        <xdr:cNvGrpSpPr/>
      </xdr:nvGrpSpPr>
      <xdr:grpSpPr>
        <a:xfrm>
          <a:off x="7099300" y="85515450"/>
          <a:ext cx="4570195" cy="4476787"/>
          <a:chOff x="630842" y="2049850"/>
          <a:chExt cx="4570195" cy="4476787"/>
        </a:xfrm>
      </xdr:grpSpPr>
      <xdr:pic>
        <xdr:nvPicPr>
          <xdr:cNvPr id="92" name="Picture 91"/>
          <xdr:cNvPicPr>
            <a:picLocks noChangeAspect="1"/>
          </xdr:cNvPicPr>
        </xdr:nvPicPr>
        <xdr:blipFill>
          <a:blip xmlns:r="http://schemas.openxmlformats.org/officeDocument/2006/relationships" r:embed="rId60"/>
          <a:stretch>
            <a:fillRect/>
          </a:stretch>
        </xdr:blipFill>
        <xdr:spPr>
          <a:xfrm>
            <a:off x="630842" y="2049850"/>
            <a:ext cx="2015599" cy="2160000"/>
          </a:xfrm>
          <a:prstGeom prst="rect">
            <a:avLst/>
          </a:prstGeom>
          <a:ln>
            <a:solidFill>
              <a:schemeClr val="tx1"/>
            </a:solidFill>
          </a:ln>
        </xdr:spPr>
      </xdr:pic>
      <xdr:pic>
        <xdr:nvPicPr>
          <xdr:cNvPr id="93" name="Picture 92"/>
          <xdr:cNvPicPr>
            <a:picLocks noChangeAspect="1"/>
          </xdr:cNvPicPr>
        </xdr:nvPicPr>
        <xdr:blipFill>
          <a:blip xmlns:r="http://schemas.openxmlformats.org/officeDocument/2006/relationships" r:embed="rId61"/>
          <a:stretch>
            <a:fillRect/>
          </a:stretch>
        </xdr:blipFill>
        <xdr:spPr>
          <a:xfrm>
            <a:off x="2783553" y="2049850"/>
            <a:ext cx="2417484" cy="2160000"/>
          </a:xfrm>
          <a:prstGeom prst="rect">
            <a:avLst/>
          </a:prstGeom>
          <a:ln>
            <a:solidFill>
              <a:schemeClr val="tx1"/>
            </a:solidFill>
          </a:ln>
        </xdr:spPr>
      </xdr:pic>
      <xdr:pic>
        <xdr:nvPicPr>
          <xdr:cNvPr id="94" name="Picture 93"/>
          <xdr:cNvPicPr>
            <a:picLocks noChangeAspect="1"/>
          </xdr:cNvPicPr>
        </xdr:nvPicPr>
        <xdr:blipFill>
          <a:blip xmlns:r="http://schemas.openxmlformats.org/officeDocument/2006/relationships" r:embed="rId62"/>
          <a:stretch>
            <a:fillRect/>
          </a:stretch>
        </xdr:blipFill>
        <xdr:spPr>
          <a:xfrm>
            <a:off x="630842" y="4366637"/>
            <a:ext cx="1748847" cy="2160000"/>
          </a:xfrm>
          <a:prstGeom prst="rect">
            <a:avLst/>
          </a:prstGeom>
          <a:ln>
            <a:solidFill>
              <a:schemeClr val="tx1"/>
            </a:solidFill>
          </a:ln>
        </xdr:spPr>
      </xdr:pic>
      <xdr:pic>
        <xdr:nvPicPr>
          <xdr:cNvPr id="95" name="Picture 94"/>
          <xdr:cNvPicPr>
            <a:picLocks noChangeAspect="1"/>
          </xdr:cNvPicPr>
        </xdr:nvPicPr>
        <xdr:blipFill>
          <a:blip xmlns:r="http://schemas.openxmlformats.org/officeDocument/2006/relationships" r:embed="rId63"/>
          <a:stretch>
            <a:fillRect/>
          </a:stretch>
        </xdr:blipFill>
        <xdr:spPr>
          <a:xfrm>
            <a:off x="2485823" y="4366637"/>
            <a:ext cx="1680627" cy="2160000"/>
          </a:xfrm>
          <a:prstGeom prst="rect">
            <a:avLst/>
          </a:prstGeom>
          <a:ln>
            <a:solidFill>
              <a:schemeClr val="tx1"/>
            </a:solidFill>
          </a:ln>
        </xdr:spPr>
      </xdr:pic>
    </xdr:grpSp>
    <xdr:clientData/>
  </xdr:twoCellAnchor>
  <xdr:twoCellAnchor>
    <xdr:from>
      <xdr:col>8</xdr:col>
      <xdr:colOff>361950</xdr:colOff>
      <xdr:row>384</xdr:row>
      <xdr:rowOff>50800</xdr:rowOff>
    </xdr:from>
    <xdr:to>
      <xdr:col>13</xdr:col>
      <xdr:colOff>608327</xdr:colOff>
      <xdr:row>395</xdr:row>
      <xdr:rowOff>45450</xdr:rowOff>
    </xdr:to>
    <xdr:grpSp>
      <xdr:nvGrpSpPr>
        <xdr:cNvPr id="96" name="Group 95"/>
        <xdr:cNvGrpSpPr/>
      </xdr:nvGrpSpPr>
      <xdr:grpSpPr>
        <a:xfrm>
          <a:off x="6985000" y="83400900"/>
          <a:ext cx="4843777" cy="2160000"/>
          <a:chOff x="1671393" y="2914418"/>
          <a:chExt cx="4843777" cy="2160000"/>
        </a:xfrm>
      </xdr:grpSpPr>
      <xdr:pic>
        <xdr:nvPicPr>
          <xdr:cNvPr id="97" name="Picture 96"/>
          <xdr:cNvPicPr>
            <a:picLocks noChangeAspect="1"/>
          </xdr:cNvPicPr>
        </xdr:nvPicPr>
        <xdr:blipFill>
          <a:blip xmlns:r="http://schemas.openxmlformats.org/officeDocument/2006/relationships" r:embed="rId64"/>
          <a:stretch>
            <a:fillRect/>
          </a:stretch>
        </xdr:blipFill>
        <xdr:spPr>
          <a:xfrm>
            <a:off x="1671393" y="2914418"/>
            <a:ext cx="2290345" cy="2160000"/>
          </a:xfrm>
          <a:prstGeom prst="rect">
            <a:avLst/>
          </a:prstGeom>
          <a:ln>
            <a:solidFill>
              <a:schemeClr val="tx1"/>
            </a:solidFill>
          </a:ln>
        </xdr:spPr>
      </xdr:pic>
      <xdr:pic>
        <xdr:nvPicPr>
          <xdr:cNvPr id="98" name="Picture 97"/>
          <xdr:cNvPicPr>
            <a:picLocks noChangeAspect="1"/>
          </xdr:cNvPicPr>
        </xdr:nvPicPr>
        <xdr:blipFill>
          <a:blip xmlns:r="http://schemas.openxmlformats.org/officeDocument/2006/relationships" r:embed="rId65"/>
          <a:stretch>
            <a:fillRect/>
          </a:stretch>
        </xdr:blipFill>
        <xdr:spPr>
          <a:xfrm>
            <a:off x="4067936" y="2914418"/>
            <a:ext cx="2447234" cy="2160000"/>
          </a:xfrm>
          <a:prstGeom prst="rect">
            <a:avLst/>
          </a:prstGeom>
          <a:ln>
            <a:solidFill>
              <a:schemeClr val="tx1"/>
            </a:solidFill>
          </a:ln>
        </xdr:spPr>
      </xdr:pic>
    </xdr:grpSp>
    <xdr:clientData/>
  </xdr:twoCellAnchor>
  <xdr:twoCellAnchor>
    <xdr:from>
      <xdr:col>8</xdr:col>
      <xdr:colOff>349250</xdr:colOff>
      <xdr:row>418</xdr:row>
      <xdr:rowOff>88900</xdr:rowOff>
    </xdr:from>
    <xdr:to>
      <xdr:col>12</xdr:col>
      <xdr:colOff>150502</xdr:colOff>
      <xdr:row>429</xdr:row>
      <xdr:rowOff>83550</xdr:rowOff>
    </xdr:to>
    <xdr:grpSp>
      <xdr:nvGrpSpPr>
        <xdr:cNvPr id="99" name="Group 98"/>
        <xdr:cNvGrpSpPr/>
      </xdr:nvGrpSpPr>
      <xdr:grpSpPr>
        <a:xfrm>
          <a:off x="6972300" y="90131900"/>
          <a:ext cx="3573152" cy="2160000"/>
          <a:chOff x="1742839" y="2471444"/>
          <a:chExt cx="3573152" cy="2160000"/>
        </a:xfrm>
      </xdr:grpSpPr>
      <xdr:pic>
        <xdr:nvPicPr>
          <xdr:cNvPr id="100" name="Picture 99"/>
          <xdr:cNvPicPr>
            <a:picLocks noChangeAspect="1"/>
          </xdr:cNvPicPr>
        </xdr:nvPicPr>
        <xdr:blipFill>
          <a:blip xmlns:r="http://schemas.openxmlformats.org/officeDocument/2006/relationships" r:embed="rId66"/>
          <a:stretch>
            <a:fillRect/>
          </a:stretch>
        </xdr:blipFill>
        <xdr:spPr>
          <a:xfrm>
            <a:off x="1742839" y="2471444"/>
            <a:ext cx="1733878" cy="2160000"/>
          </a:xfrm>
          <a:prstGeom prst="rect">
            <a:avLst/>
          </a:prstGeom>
          <a:ln>
            <a:solidFill>
              <a:schemeClr val="tx1"/>
            </a:solidFill>
          </a:ln>
        </xdr:spPr>
      </xdr:pic>
      <xdr:pic>
        <xdr:nvPicPr>
          <xdr:cNvPr id="101" name="Picture 100"/>
          <xdr:cNvPicPr>
            <a:picLocks noChangeAspect="1"/>
          </xdr:cNvPicPr>
        </xdr:nvPicPr>
        <xdr:blipFill>
          <a:blip xmlns:r="http://schemas.openxmlformats.org/officeDocument/2006/relationships" r:embed="rId67"/>
          <a:stretch>
            <a:fillRect/>
          </a:stretch>
        </xdr:blipFill>
        <xdr:spPr>
          <a:xfrm>
            <a:off x="3591583" y="2471444"/>
            <a:ext cx="1724408" cy="2160000"/>
          </a:xfrm>
          <a:prstGeom prst="rect">
            <a:avLst/>
          </a:prstGeom>
          <a:ln>
            <a:solidFill>
              <a:schemeClr val="tx1"/>
            </a:solidFill>
          </a:ln>
        </xdr:spPr>
      </xdr:pic>
    </xdr:grpSp>
    <xdr:clientData/>
  </xdr:twoCellAnchor>
  <xdr:twoCellAnchor>
    <xdr:from>
      <xdr:col>8</xdr:col>
      <xdr:colOff>133350</xdr:colOff>
      <xdr:row>452</xdr:row>
      <xdr:rowOff>0</xdr:rowOff>
    </xdr:from>
    <xdr:to>
      <xdr:col>17</xdr:col>
      <xdr:colOff>609421</xdr:colOff>
      <xdr:row>484</xdr:row>
      <xdr:rowOff>161750</xdr:rowOff>
    </xdr:to>
    <xdr:grpSp>
      <xdr:nvGrpSpPr>
        <xdr:cNvPr id="102" name="Group 101"/>
        <xdr:cNvGrpSpPr/>
      </xdr:nvGrpSpPr>
      <xdr:grpSpPr>
        <a:xfrm>
          <a:off x="6756400" y="96977200"/>
          <a:ext cx="8261171" cy="6480000"/>
          <a:chOff x="243636" y="186868"/>
          <a:chExt cx="8261171" cy="6480000"/>
        </a:xfrm>
      </xdr:grpSpPr>
      <xdr:pic>
        <xdr:nvPicPr>
          <xdr:cNvPr id="103" name="Picture 102"/>
          <xdr:cNvPicPr>
            <a:picLocks noChangeAspect="1"/>
          </xdr:cNvPicPr>
        </xdr:nvPicPr>
        <xdr:blipFill>
          <a:blip xmlns:r="http://schemas.openxmlformats.org/officeDocument/2006/relationships" r:embed="rId68"/>
          <a:stretch>
            <a:fillRect/>
          </a:stretch>
        </xdr:blipFill>
        <xdr:spPr>
          <a:xfrm>
            <a:off x="249588" y="186868"/>
            <a:ext cx="2882974" cy="2160000"/>
          </a:xfrm>
          <a:prstGeom prst="rect">
            <a:avLst/>
          </a:prstGeom>
          <a:ln>
            <a:solidFill>
              <a:schemeClr val="tx1"/>
            </a:solidFill>
          </a:ln>
        </xdr:spPr>
      </xdr:pic>
      <xdr:pic>
        <xdr:nvPicPr>
          <xdr:cNvPr id="104" name="Picture 103"/>
          <xdr:cNvPicPr>
            <a:picLocks noChangeAspect="1"/>
          </xdr:cNvPicPr>
        </xdr:nvPicPr>
        <xdr:blipFill>
          <a:blip xmlns:r="http://schemas.openxmlformats.org/officeDocument/2006/relationships" r:embed="rId69"/>
          <a:stretch>
            <a:fillRect/>
          </a:stretch>
        </xdr:blipFill>
        <xdr:spPr>
          <a:xfrm>
            <a:off x="3132562" y="186868"/>
            <a:ext cx="2426301" cy="2160000"/>
          </a:xfrm>
          <a:prstGeom prst="rect">
            <a:avLst/>
          </a:prstGeom>
          <a:ln>
            <a:solidFill>
              <a:schemeClr val="tx1"/>
            </a:solidFill>
          </a:ln>
        </xdr:spPr>
      </xdr:pic>
      <xdr:pic>
        <xdr:nvPicPr>
          <xdr:cNvPr id="105" name="Picture 104"/>
          <xdr:cNvPicPr>
            <a:picLocks noChangeAspect="1"/>
          </xdr:cNvPicPr>
        </xdr:nvPicPr>
        <xdr:blipFill>
          <a:blip xmlns:r="http://schemas.openxmlformats.org/officeDocument/2006/relationships" r:embed="rId70"/>
          <a:stretch>
            <a:fillRect/>
          </a:stretch>
        </xdr:blipFill>
        <xdr:spPr>
          <a:xfrm>
            <a:off x="243636" y="2346868"/>
            <a:ext cx="2332226" cy="2160000"/>
          </a:xfrm>
          <a:prstGeom prst="rect">
            <a:avLst/>
          </a:prstGeom>
          <a:ln>
            <a:solidFill>
              <a:schemeClr val="tx1"/>
            </a:solidFill>
          </a:ln>
        </xdr:spPr>
      </xdr:pic>
      <xdr:pic>
        <xdr:nvPicPr>
          <xdr:cNvPr id="106" name="Picture 105"/>
          <xdr:cNvPicPr>
            <a:picLocks noChangeAspect="1"/>
          </xdr:cNvPicPr>
        </xdr:nvPicPr>
        <xdr:blipFill>
          <a:blip xmlns:r="http://schemas.openxmlformats.org/officeDocument/2006/relationships" r:embed="rId71"/>
          <a:stretch>
            <a:fillRect/>
          </a:stretch>
        </xdr:blipFill>
        <xdr:spPr>
          <a:xfrm>
            <a:off x="2639028" y="2346868"/>
            <a:ext cx="2819808" cy="2160000"/>
          </a:xfrm>
          <a:prstGeom prst="rect">
            <a:avLst/>
          </a:prstGeom>
          <a:ln>
            <a:solidFill>
              <a:schemeClr val="tx1"/>
            </a:solidFill>
          </a:ln>
        </xdr:spPr>
      </xdr:pic>
      <xdr:pic>
        <xdr:nvPicPr>
          <xdr:cNvPr id="107" name="Picture 106"/>
          <xdr:cNvPicPr>
            <a:picLocks noChangeAspect="1"/>
          </xdr:cNvPicPr>
        </xdr:nvPicPr>
        <xdr:blipFill>
          <a:blip xmlns:r="http://schemas.openxmlformats.org/officeDocument/2006/relationships" r:embed="rId72"/>
          <a:stretch>
            <a:fillRect/>
          </a:stretch>
        </xdr:blipFill>
        <xdr:spPr>
          <a:xfrm>
            <a:off x="5549677" y="186868"/>
            <a:ext cx="2955130" cy="2160000"/>
          </a:xfrm>
          <a:prstGeom prst="rect">
            <a:avLst/>
          </a:prstGeom>
          <a:ln>
            <a:solidFill>
              <a:schemeClr val="tx1"/>
            </a:solidFill>
          </a:ln>
        </xdr:spPr>
      </xdr:pic>
      <xdr:pic>
        <xdr:nvPicPr>
          <xdr:cNvPr id="108" name="Picture 107"/>
          <xdr:cNvPicPr>
            <a:picLocks noChangeAspect="1"/>
          </xdr:cNvPicPr>
        </xdr:nvPicPr>
        <xdr:blipFill>
          <a:blip xmlns:r="http://schemas.openxmlformats.org/officeDocument/2006/relationships" r:embed="rId73"/>
          <a:stretch>
            <a:fillRect/>
          </a:stretch>
        </xdr:blipFill>
        <xdr:spPr>
          <a:xfrm>
            <a:off x="5458836" y="2346868"/>
            <a:ext cx="2312528" cy="2160000"/>
          </a:xfrm>
          <a:prstGeom prst="rect">
            <a:avLst/>
          </a:prstGeom>
          <a:ln>
            <a:solidFill>
              <a:schemeClr val="tx1"/>
            </a:solidFill>
          </a:ln>
        </xdr:spPr>
      </xdr:pic>
      <xdr:pic>
        <xdr:nvPicPr>
          <xdr:cNvPr id="109" name="Picture 108"/>
          <xdr:cNvPicPr>
            <a:picLocks noChangeAspect="1"/>
          </xdr:cNvPicPr>
        </xdr:nvPicPr>
        <xdr:blipFill>
          <a:blip xmlns:r="http://schemas.openxmlformats.org/officeDocument/2006/relationships" r:embed="rId74"/>
          <a:stretch>
            <a:fillRect/>
          </a:stretch>
        </xdr:blipFill>
        <xdr:spPr>
          <a:xfrm>
            <a:off x="243636" y="4506868"/>
            <a:ext cx="1929540" cy="2160000"/>
          </a:xfrm>
          <a:prstGeom prst="rect">
            <a:avLst/>
          </a:prstGeom>
          <a:ln>
            <a:solidFill>
              <a:schemeClr val="tx1"/>
            </a:solidFill>
          </a:ln>
        </xdr:spPr>
      </xdr:pic>
      <xdr:pic>
        <xdr:nvPicPr>
          <xdr:cNvPr id="110" name="Picture 109"/>
          <xdr:cNvPicPr>
            <a:picLocks noChangeAspect="1"/>
          </xdr:cNvPicPr>
        </xdr:nvPicPr>
        <xdr:blipFill>
          <a:blip xmlns:r="http://schemas.openxmlformats.org/officeDocument/2006/relationships" r:embed="rId75"/>
          <a:stretch>
            <a:fillRect/>
          </a:stretch>
        </xdr:blipFill>
        <xdr:spPr>
          <a:xfrm>
            <a:off x="2173176" y="4506868"/>
            <a:ext cx="1848201" cy="2160000"/>
          </a:xfrm>
          <a:prstGeom prst="rect">
            <a:avLst/>
          </a:prstGeom>
          <a:ln>
            <a:solidFill>
              <a:schemeClr val="tx1"/>
            </a:solidFill>
          </a:ln>
        </xdr:spPr>
      </xdr:pic>
    </xdr:grpSp>
    <xdr:clientData/>
  </xdr:twoCellAnchor>
  <xdr:twoCellAnchor>
    <xdr:from>
      <xdr:col>8</xdr:col>
      <xdr:colOff>381000</xdr:colOff>
      <xdr:row>485</xdr:row>
      <xdr:rowOff>127000</xdr:rowOff>
    </xdr:from>
    <xdr:to>
      <xdr:col>14</xdr:col>
      <xdr:colOff>438189</xdr:colOff>
      <xdr:row>518</xdr:row>
      <xdr:rowOff>79200</xdr:rowOff>
    </xdr:to>
    <xdr:grpSp>
      <xdr:nvGrpSpPr>
        <xdr:cNvPr id="111" name="Group 110"/>
        <xdr:cNvGrpSpPr/>
      </xdr:nvGrpSpPr>
      <xdr:grpSpPr>
        <a:xfrm>
          <a:off x="7004050" y="103619300"/>
          <a:ext cx="5530889" cy="6480000"/>
          <a:chOff x="393629" y="1037459"/>
          <a:chExt cx="5530889" cy="6480000"/>
        </a:xfrm>
      </xdr:grpSpPr>
      <xdr:pic>
        <xdr:nvPicPr>
          <xdr:cNvPr id="112" name="Picture 111"/>
          <xdr:cNvPicPr>
            <a:picLocks noChangeAspect="1"/>
          </xdr:cNvPicPr>
        </xdr:nvPicPr>
        <xdr:blipFill>
          <a:blip xmlns:r="http://schemas.openxmlformats.org/officeDocument/2006/relationships" r:embed="rId76"/>
          <a:stretch>
            <a:fillRect/>
          </a:stretch>
        </xdr:blipFill>
        <xdr:spPr>
          <a:xfrm>
            <a:off x="393629" y="1037459"/>
            <a:ext cx="2862295" cy="2160000"/>
          </a:xfrm>
          <a:prstGeom prst="rect">
            <a:avLst/>
          </a:prstGeom>
          <a:ln>
            <a:solidFill>
              <a:schemeClr val="tx1"/>
            </a:solidFill>
          </a:ln>
        </xdr:spPr>
      </xdr:pic>
      <xdr:pic>
        <xdr:nvPicPr>
          <xdr:cNvPr id="113" name="Picture 112"/>
          <xdr:cNvPicPr>
            <a:picLocks noChangeAspect="1"/>
          </xdr:cNvPicPr>
        </xdr:nvPicPr>
        <xdr:blipFill>
          <a:blip xmlns:r="http://schemas.openxmlformats.org/officeDocument/2006/relationships" r:embed="rId77"/>
          <a:stretch>
            <a:fillRect/>
          </a:stretch>
        </xdr:blipFill>
        <xdr:spPr>
          <a:xfrm>
            <a:off x="3310322" y="1037459"/>
            <a:ext cx="2371643" cy="2160000"/>
          </a:xfrm>
          <a:prstGeom prst="rect">
            <a:avLst/>
          </a:prstGeom>
          <a:ln>
            <a:solidFill>
              <a:schemeClr val="tx1"/>
            </a:solidFill>
          </a:ln>
        </xdr:spPr>
      </xdr:pic>
      <xdr:pic>
        <xdr:nvPicPr>
          <xdr:cNvPr id="114" name="Picture 113"/>
          <xdr:cNvPicPr>
            <a:picLocks noChangeAspect="1"/>
          </xdr:cNvPicPr>
        </xdr:nvPicPr>
        <xdr:blipFill>
          <a:blip xmlns:r="http://schemas.openxmlformats.org/officeDocument/2006/relationships" r:embed="rId78"/>
          <a:stretch>
            <a:fillRect/>
          </a:stretch>
        </xdr:blipFill>
        <xdr:spPr>
          <a:xfrm>
            <a:off x="393629" y="3197459"/>
            <a:ext cx="2426041" cy="2160000"/>
          </a:xfrm>
          <a:prstGeom prst="rect">
            <a:avLst/>
          </a:prstGeom>
          <a:ln>
            <a:solidFill>
              <a:schemeClr val="tx1"/>
            </a:solidFill>
          </a:ln>
        </xdr:spPr>
      </xdr:pic>
      <xdr:pic>
        <xdr:nvPicPr>
          <xdr:cNvPr id="115" name="Picture 114"/>
          <xdr:cNvPicPr>
            <a:picLocks noChangeAspect="1"/>
          </xdr:cNvPicPr>
        </xdr:nvPicPr>
        <xdr:blipFill>
          <a:blip xmlns:r="http://schemas.openxmlformats.org/officeDocument/2006/relationships" r:embed="rId79"/>
          <a:stretch>
            <a:fillRect/>
          </a:stretch>
        </xdr:blipFill>
        <xdr:spPr>
          <a:xfrm>
            <a:off x="2819670" y="3197459"/>
            <a:ext cx="2959999" cy="2160000"/>
          </a:xfrm>
          <a:prstGeom prst="rect">
            <a:avLst/>
          </a:prstGeom>
          <a:ln>
            <a:solidFill>
              <a:schemeClr val="tx1"/>
            </a:solidFill>
          </a:ln>
        </xdr:spPr>
      </xdr:pic>
      <xdr:pic>
        <xdr:nvPicPr>
          <xdr:cNvPr id="116" name="Picture 115"/>
          <xdr:cNvPicPr>
            <a:picLocks noChangeAspect="1"/>
          </xdr:cNvPicPr>
        </xdr:nvPicPr>
        <xdr:blipFill>
          <a:blip xmlns:r="http://schemas.openxmlformats.org/officeDocument/2006/relationships" r:embed="rId80"/>
          <a:stretch>
            <a:fillRect/>
          </a:stretch>
        </xdr:blipFill>
        <xdr:spPr>
          <a:xfrm>
            <a:off x="393629" y="5357459"/>
            <a:ext cx="1789290" cy="2160000"/>
          </a:xfrm>
          <a:prstGeom prst="rect">
            <a:avLst/>
          </a:prstGeom>
          <a:ln>
            <a:solidFill>
              <a:schemeClr val="tx1"/>
            </a:solidFill>
          </a:ln>
        </xdr:spPr>
      </xdr:pic>
      <xdr:pic>
        <xdr:nvPicPr>
          <xdr:cNvPr id="117" name="Picture 116"/>
          <xdr:cNvPicPr>
            <a:picLocks noChangeAspect="1"/>
          </xdr:cNvPicPr>
        </xdr:nvPicPr>
        <xdr:blipFill>
          <a:blip xmlns:r="http://schemas.openxmlformats.org/officeDocument/2006/relationships" r:embed="rId81"/>
          <a:stretch>
            <a:fillRect/>
          </a:stretch>
        </xdr:blipFill>
        <xdr:spPr>
          <a:xfrm>
            <a:off x="2277233" y="5357459"/>
            <a:ext cx="1715436" cy="2160000"/>
          </a:xfrm>
          <a:prstGeom prst="rect">
            <a:avLst/>
          </a:prstGeom>
          <a:ln>
            <a:solidFill>
              <a:schemeClr val="tx1"/>
            </a:solidFill>
          </a:ln>
        </xdr:spPr>
      </xdr:pic>
      <xdr:pic>
        <xdr:nvPicPr>
          <xdr:cNvPr id="118" name="Picture 117"/>
          <xdr:cNvPicPr>
            <a:picLocks noChangeAspect="1"/>
          </xdr:cNvPicPr>
        </xdr:nvPicPr>
        <xdr:blipFill>
          <a:blip xmlns:r="http://schemas.openxmlformats.org/officeDocument/2006/relationships" r:embed="rId82"/>
          <a:stretch>
            <a:fillRect/>
          </a:stretch>
        </xdr:blipFill>
        <xdr:spPr>
          <a:xfrm>
            <a:off x="4086983" y="5357459"/>
            <a:ext cx="1837535" cy="2160000"/>
          </a:xfrm>
          <a:prstGeom prst="rect">
            <a:avLst/>
          </a:prstGeom>
          <a:ln>
            <a:solidFill>
              <a:schemeClr val="tx1"/>
            </a:solidFill>
          </a:ln>
        </xdr:spPr>
      </xdr:pic>
    </xdr:grpSp>
    <xdr:clientData/>
  </xdr:twoCellAnchor>
  <xdr:twoCellAnchor>
    <xdr:from>
      <xdr:col>8</xdr:col>
      <xdr:colOff>368300</xdr:colOff>
      <xdr:row>528</xdr:row>
      <xdr:rowOff>139700</xdr:rowOff>
    </xdr:from>
    <xdr:to>
      <xdr:col>14</xdr:col>
      <xdr:colOff>148223</xdr:colOff>
      <xdr:row>560</xdr:row>
      <xdr:rowOff>122692</xdr:rowOff>
    </xdr:to>
    <xdr:grpSp>
      <xdr:nvGrpSpPr>
        <xdr:cNvPr id="119" name="Group 118"/>
        <xdr:cNvGrpSpPr/>
      </xdr:nvGrpSpPr>
      <xdr:grpSpPr>
        <a:xfrm>
          <a:off x="6991350" y="112134650"/>
          <a:ext cx="5253623" cy="6517142"/>
          <a:chOff x="1007696" y="599212"/>
          <a:chExt cx="5253623" cy="6517142"/>
        </a:xfrm>
      </xdr:grpSpPr>
      <xdr:pic>
        <xdr:nvPicPr>
          <xdr:cNvPr id="120" name="Picture 119"/>
          <xdr:cNvPicPr>
            <a:picLocks noChangeAspect="1"/>
          </xdr:cNvPicPr>
        </xdr:nvPicPr>
        <xdr:blipFill>
          <a:blip xmlns:r="http://schemas.openxmlformats.org/officeDocument/2006/relationships" r:embed="rId83"/>
          <a:stretch>
            <a:fillRect/>
          </a:stretch>
        </xdr:blipFill>
        <xdr:spPr>
          <a:xfrm>
            <a:off x="1007696" y="599212"/>
            <a:ext cx="2665823" cy="2160000"/>
          </a:xfrm>
          <a:prstGeom prst="rect">
            <a:avLst/>
          </a:prstGeom>
          <a:ln>
            <a:solidFill>
              <a:schemeClr val="tx1"/>
            </a:solidFill>
          </a:ln>
        </xdr:spPr>
      </xdr:pic>
      <xdr:pic>
        <xdr:nvPicPr>
          <xdr:cNvPr id="121" name="Picture 120"/>
          <xdr:cNvPicPr>
            <a:picLocks noChangeAspect="1"/>
          </xdr:cNvPicPr>
        </xdr:nvPicPr>
        <xdr:blipFill>
          <a:blip xmlns:r="http://schemas.openxmlformats.org/officeDocument/2006/relationships" r:embed="rId84"/>
          <a:stretch>
            <a:fillRect/>
          </a:stretch>
        </xdr:blipFill>
        <xdr:spPr>
          <a:xfrm>
            <a:off x="3728462" y="599212"/>
            <a:ext cx="2532857" cy="2160000"/>
          </a:xfrm>
          <a:prstGeom prst="rect">
            <a:avLst/>
          </a:prstGeom>
          <a:ln>
            <a:solidFill>
              <a:schemeClr val="tx1"/>
            </a:solidFill>
          </a:ln>
        </xdr:spPr>
      </xdr:pic>
      <xdr:pic>
        <xdr:nvPicPr>
          <xdr:cNvPr id="122" name="Picture 121"/>
          <xdr:cNvPicPr>
            <a:picLocks noChangeAspect="1"/>
          </xdr:cNvPicPr>
        </xdr:nvPicPr>
        <xdr:blipFill>
          <a:blip xmlns:r="http://schemas.openxmlformats.org/officeDocument/2006/relationships" r:embed="rId85"/>
          <a:stretch>
            <a:fillRect/>
          </a:stretch>
        </xdr:blipFill>
        <xdr:spPr>
          <a:xfrm>
            <a:off x="1060089" y="2759212"/>
            <a:ext cx="2120522" cy="2160000"/>
          </a:xfrm>
          <a:prstGeom prst="rect">
            <a:avLst/>
          </a:prstGeom>
          <a:ln>
            <a:solidFill>
              <a:schemeClr val="tx1"/>
            </a:solidFill>
          </a:ln>
        </xdr:spPr>
      </xdr:pic>
      <xdr:pic>
        <xdr:nvPicPr>
          <xdr:cNvPr id="123" name="Picture 122"/>
          <xdr:cNvPicPr>
            <a:picLocks noChangeAspect="1"/>
          </xdr:cNvPicPr>
        </xdr:nvPicPr>
        <xdr:blipFill>
          <a:blip xmlns:r="http://schemas.openxmlformats.org/officeDocument/2006/relationships" r:embed="rId86"/>
          <a:stretch>
            <a:fillRect/>
          </a:stretch>
        </xdr:blipFill>
        <xdr:spPr>
          <a:xfrm>
            <a:off x="3235554" y="2759212"/>
            <a:ext cx="2649320" cy="2160000"/>
          </a:xfrm>
          <a:prstGeom prst="rect">
            <a:avLst/>
          </a:prstGeom>
          <a:ln>
            <a:solidFill>
              <a:schemeClr val="tx1"/>
            </a:solidFill>
          </a:ln>
        </xdr:spPr>
      </xdr:pic>
      <xdr:pic>
        <xdr:nvPicPr>
          <xdr:cNvPr id="124" name="Picture 123"/>
          <xdr:cNvPicPr>
            <a:picLocks noChangeAspect="1"/>
          </xdr:cNvPicPr>
        </xdr:nvPicPr>
        <xdr:blipFill>
          <a:blip xmlns:r="http://schemas.openxmlformats.org/officeDocument/2006/relationships" r:embed="rId87"/>
          <a:stretch>
            <a:fillRect/>
          </a:stretch>
        </xdr:blipFill>
        <xdr:spPr>
          <a:xfrm>
            <a:off x="1666981" y="4956354"/>
            <a:ext cx="1556883" cy="2160000"/>
          </a:xfrm>
          <a:prstGeom prst="rect">
            <a:avLst/>
          </a:prstGeom>
          <a:ln>
            <a:solidFill>
              <a:schemeClr val="tx1"/>
            </a:solidFill>
          </a:ln>
        </xdr:spPr>
      </xdr:pic>
      <xdr:pic>
        <xdr:nvPicPr>
          <xdr:cNvPr id="125" name="Picture 124"/>
          <xdr:cNvPicPr>
            <a:picLocks noChangeAspect="1"/>
          </xdr:cNvPicPr>
        </xdr:nvPicPr>
        <xdr:blipFill>
          <a:blip xmlns:r="http://schemas.openxmlformats.org/officeDocument/2006/relationships" r:embed="rId88"/>
          <a:stretch>
            <a:fillRect/>
          </a:stretch>
        </xdr:blipFill>
        <xdr:spPr>
          <a:xfrm>
            <a:off x="3331200" y="4919212"/>
            <a:ext cx="1909787" cy="2160000"/>
          </a:xfrm>
          <a:prstGeom prst="rect">
            <a:avLst/>
          </a:prstGeom>
          <a:ln>
            <a:solidFill>
              <a:schemeClr val="tx1"/>
            </a:solidFill>
          </a:ln>
        </xdr:spPr>
      </xdr:pic>
    </xdr:grpSp>
    <xdr:clientData/>
  </xdr:twoCellAnchor>
  <xdr:twoCellAnchor>
    <xdr:from>
      <xdr:col>8</xdr:col>
      <xdr:colOff>285750</xdr:colOff>
      <xdr:row>517</xdr:row>
      <xdr:rowOff>120650</xdr:rowOff>
    </xdr:from>
    <xdr:to>
      <xdr:col>13</xdr:col>
      <xdr:colOff>857539</xdr:colOff>
      <xdr:row>528</xdr:row>
      <xdr:rowOff>108950</xdr:rowOff>
    </xdr:to>
    <xdr:grpSp>
      <xdr:nvGrpSpPr>
        <xdr:cNvPr id="126" name="Group 125"/>
        <xdr:cNvGrpSpPr/>
      </xdr:nvGrpSpPr>
      <xdr:grpSpPr>
        <a:xfrm>
          <a:off x="6908800" y="109943900"/>
          <a:ext cx="5169189" cy="2160000"/>
          <a:chOff x="1176023" y="2857260"/>
          <a:chExt cx="5169189" cy="2160000"/>
        </a:xfrm>
      </xdr:grpSpPr>
      <xdr:pic>
        <xdr:nvPicPr>
          <xdr:cNvPr id="127" name="Picture 126"/>
          <xdr:cNvPicPr>
            <a:picLocks noChangeAspect="1"/>
          </xdr:cNvPicPr>
        </xdr:nvPicPr>
        <xdr:blipFill>
          <a:blip xmlns:r="http://schemas.openxmlformats.org/officeDocument/2006/relationships" r:embed="rId89"/>
          <a:stretch>
            <a:fillRect/>
          </a:stretch>
        </xdr:blipFill>
        <xdr:spPr>
          <a:xfrm>
            <a:off x="1176023" y="2857260"/>
            <a:ext cx="2838000" cy="2160000"/>
          </a:xfrm>
          <a:prstGeom prst="rect">
            <a:avLst/>
          </a:prstGeom>
          <a:ln>
            <a:solidFill>
              <a:schemeClr val="tx1"/>
            </a:solidFill>
          </a:ln>
        </xdr:spPr>
      </xdr:pic>
      <xdr:pic>
        <xdr:nvPicPr>
          <xdr:cNvPr id="128" name="Picture 127"/>
          <xdr:cNvPicPr>
            <a:picLocks noChangeAspect="1"/>
          </xdr:cNvPicPr>
        </xdr:nvPicPr>
        <xdr:blipFill>
          <a:blip xmlns:r="http://schemas.openxmlformats.org/officeDocument/2006/relationships" r:embed="rId90"/>
          <a:stretch>
            <a:fillRect/>
          </a:stretch>
        </xdr:blipFill>
        <xdr:spPr>
          <a:xfrm>
            <a:off x="4014023" y="2857260"/>
            <a:ext cx="2331189" cy="2160000"/>
          </a:xfrm>
          <a:prstGeom prst="rect">
            <a:avLst/>
          </a:prstGeom>
          <a:ln>
            <a:solidFill>
              <a:schemeClr val="tx1"/>
            </a:solidFill>
          </a:ln>
        </xdr:spPr>
      </xdr:pic>
    </xdr:grpSp>
    <xdr:clientData/>
  </xdr:twoCellAnchor>
  <xdr:twoCellAnchor>
    <xdr:from>
      <xdr:col>0</xdr:col>
      <xdr:colOff>95250</xdr:colOff>
      <xdr:row>731</xdr:row>
      <xdr:rowOff>88900</xdr:rowOff>
    </xdr:from>
    <xdr:to>
      <xdr:col>7</xdr:col>
      <xdr:colOff>640441</xdr:colOff>
      <xdr:row>771</xdr:row>
      <xdr:rowOff>52648</xdr:rowOff>
    </xdr:to>
    <xdr:grpSp>
      <xdr:nvGrpSpPr>
        <xdr:cNvPr id="4" name="Group 3"/>
        <xdr:cNvGrpSpPr/>
      </xdr:nvGrpSpPr>
      <xdr:grpSpPr>
        <a:xfrm>
          <a:off x="95250" y="151225250"/>
          <a:ext cx="6399891" cy="7831398"/>
          <a:chOff x="95250" y="151657050"/>
          <a:chExt cx="6399891" cy="7831398"/>
        </a:xfrm>
      </xdr:grpSpPr>
      <xdr:pic>
        <xdr:nvPicPr>
          <xdr:cNvPr id="129" name="Picture 128"/>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a:ext>
            </a:extLst>
          </a:blip>
          <a:stretch>
            <a:fillRect/>
          </a:stretch>
        </xdr:blipFill>
        <xdr:spPr>
          <a:xfrm>
            <a:off x="2269893" y="154476016"/>
            <a:ext cx="2052000" cy="2736000"/>
          </a:xfrm>
          <a:prstGeom prst="rect">
            <a:avLst/>
          </a:prstGeom>
          <a:ln>
            <a:solidFill>
              <a:schemeClr val="tx1"/>
            </a:solidFill>
          </a:ln>
        </xdr:spPr>
      </xdr:pic>
      <xdr:pic>
        <xdr:nvPicPr>
          <xdr:cNvPr id="130" name="Picture 129"/>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a:ext>
            </a:extLst>
          </a:blip>
          <a:stretch>
            <a:fillRect/>
          </a:stretch>
        </xdr:blipFill>
        <xdr:spPr>
          <a:xfrm>
            <a:off x="4150322" y="157328448"/>
            <a:ext cx="1620000" cy="2160000"/>
          </a:xfrm>
          <a:prstGeom prst="rect">
            <a:avLst/>
          </a:prstGeom>
          <a:ln>
            <a:solidFill>
              <a:schemeClr val="tx1"/>
            </a:solidFill>
          </a:ln>
        </xdr:spPr>
      </xdr:pic>
      <xdr:pic>
        <xdr:nvPicPr>
          <xdr:cNvPr id="131" name="Picture 130"/>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a:ext>
            </a:extLst>
          </a:blip>
          <a:stretch>
            <a:fillRect/>
          </a:stretch>
        </xdr:blipFill>
        <xdr:spPr>
          <a:xfrm>
            <a:off x="2269893" y="151657050"/>
            <a:ext cx="2052000" cy="2736000"/>
          </a:xfrm>
          <a:prstGeom prst="rect">
            <a:avLst/>
          </a:prstGeom>
          <a:ln>
            <a:solidFill>
              <a:schemeClr val="tx1"/>
            </a:solidFill>
          </a:ln>
        </xdr:spPr>
      </xdr:pic>
      <xdr:pic>
        <xdr:nvPicPr>
          <xdr:cNvPr id="132" name="Picture 131"/>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a:ext>
            </a:extLst>
          </a:blip>
          <a:stretch>
            <a:fillRect/>
          </a:stretch>
        </xdr:blipFill>
        <xdr:spPr>
          <a:xfrm>
            <a:off x="96645" y="151657050"/>
            <a:ext cx="2052000" cy="2736000"/>
          </a:xfrm>
          <a:prstGeom prst="rect">
            <a:avLst/>
          </a:prstGeom>
          <a:ln>
            <a:solidFill>
              <a:schemeClr val="tx1"/>
            </a:solidFill>
          </a:ln>
        </xdr:spPr>
      </xdr:pic>
      <xdr:pic>
        <xdr:nvPicPr>
          <xdr:cNvPr id="133" name="Picture 132"/>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tretch>
            <a:fillRect/>
          </a:stretch>
        </xdr:blipFill>
        <xdr:spPr>
          <a:xfrm>
            <a:off x="665036" y="157328448"/>
            <a:ext cx="1620000" cy="2160000"/>
          </a:xfrm>
          <a:prstGeom prst="rect">
            <a:avLst/>
          </a:prstGeom>
          <a:ln>
            <a:solidFill>
              <a:schemeClr val="tx1"/>
            </a:solidFill>
          </a:ln>
        </xdr:spPr>
      </xdr:pic>
      <xdr:pic>
        <xdr:nvPicPr>
          <xdr:cNvPr id="134" name="Picture 133"/>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a:ext>
            </a:extLst>
          </a:blip>
          <a:stretch>
            <a:fillRect/>
          </a:stretch>
        </xdr:blipFill>
        <xdr:spPr>
          <a:xfrm>
            <a:off x="95250" y="154476016"/>
            <a:ext cx="2052000" cy="2736000"/>
          </a:xfrm>
          <a:prstGeom prst="rect">
            <a:avLst/>
          </a:prstGeom>
          <a:ln>
            <a:solidFill>
              <a:schemeClr val="tx1"/>
            </a:solidFill>
          </a:ln>
        </xdr:spPr>
      </xdr:pic>
      <xdr:pic>
        <xdr:nvPicPr>
          <xdr:cNvPr id="135" name="Picture 134"/>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a:ext>
            </a:extLst>
          </a:blip>
          <a:stretch>
            <a:fillRect/>
          </a:stretch>
        </xdr:blipFill>
        <xdr:spPr>
          <a:xfrm>
            <a:off x="4443141" y="154476016"/>
            <a:ext cx="2052000" cy="2736000"/>
          </a:xfrm>
          <a:prstGeom prst="rect">
            <a:avLst/>
          </a:prstGeom>
          <a:ln>
            <a:solidFill>
              <a:schemeClr val="tx1"/>
            </a:solidFill>
          </a:ln>
        </xdr:spPr>
      </xdr:pic>
      <xdr:pic>
        <xdr:nvPicPr>
          <xdr:cNvPr id="136" name="Picture 135"/>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tretch>
            <a:fillRect/>
          </a:stretch>
        </xdr:blipFill>
        <xdr:spPr>
          <a:xfrm>
            <a:off x="4443141" y="151657050"/>
            <a:ext cx="2052000" cy="2736000"/>
          </a:xfrm>
          <a:prstGeom prst="rect">
            <a:avLst/>
          </a:prstGeom>
          <a:ln>
            <a:solidFill>
              <a:schemeClr val="tx1"/>
            </a:solidFill>
          </a:ln>
        </xdr:spPr>
      </xdr:pic>
      <xdr:pic>
        <xdr:nvPicPr>
          <xdr:cNvPr id="137" name="Picture 136"/>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a:ext>
            </a:extLst>
          </a:blip>
          <a:stretch>
            <a:fillRect/>
          </a:stretch>
        </xdr:blipFill>
        <xdr:spPr>
          <a:xfrm>
            <a:off x="2407679" y="157328448"/>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aUbVuQ4s9v5SGsz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817"/>
  <sheetViews>
    <sheetView tabSelected="1" view="pageBreakPreview" topLeftCell="A724" zoomScaleNormal="100" zoomScaleSheetLayoutView="100" zoomScalePageLayoutView="85" workbookViewId="0">
      <selection activeCell="L711" sqref="L711"/>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1.7265625" style="36" customWidth="1"/>
    <col min="6" max="6" width="11.1796875" style="36" customWidth="1"/>
    <col min="7" max="8" width="11" style="36" customWidth="1"/>
    <col min="9" max="9" width="17.453125" style="17" customWidth="1"/>
    <col min="10" max="10" width="11.453125" style="17" customWidth="1"/>
    <col min="11" max="11" width="11.2695312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99" t="s">
        <v>370</v>
      </c>
      <c r="B1" s="199"/>
      <c r="C1" s="199"/>
      <c r="D1" s="199"/>
      <c r="E1" s="199"/>
      <c r="F1" s="199"/>
      <c r="G1" s="199"/>
      <c r="H1" s="199"/>
    </row>
    <row r="2" spans="1:26" ht="16.5" customHeight="1" x14ac:dyDescent="0.35">
      <c r="A2" s="200" t="s">
        <v>0</v>
      </c>
      <c r="B2" s="200"/>
      <c r="C2" s="200"/>
      <c r="D2" s="200"/>
      <c r="E2" s="200"/>
      <c r="F2" s="200"/>
      <c r="G2" s="200"/>
      <c r="H2" s="200"/>
    </row>
    <row r="3" spans="1:26" x14ac:dyDescent="0.35">
      <c r="A3" s="146" t="s">
        <v>1</v>
      </c>
      <c r="B3" s="146"/>
      <c r="C3" s="146"/>
      <c r="D3" s="146"/>
      <c r="E3" s="146" t="str">
        <f ca="1">TEXT(TODAY(),"DD/MM/YYYY")</f>
        <v>16/09/2025</v>
      </c>
      <c r="F3" s="146"/>
      <c r="G3" s="146"/>
      <c r="H3" s="146"/>
      <c r="K3" s="47" t="s">
        <v>230</v>
      </c>
      <c r="L3" s="46" t="s">
        <v>228</v>
      </c>
      <c r="M3" s="46" t="s">
        <v>233</v>
      </c>
      <c r="N3" s="46" t="s">
        <v>231</v>
      </c>
      <c r="O3" s="46" t="s">
        <v>348</v>
      </c>
      <c r="P3" s="46" t="s">
        <v>373</v>
      </c>
    </row>
    <row r="4" spans="1:26" ht="15" customHeight="1" x14ac:dyDescent="0.35">
      <c r="A4" s="146" t="s">
        <v>227</v>
      </c>
      <c r="B4" s="146"/>
      <c r="C4" s="146"/>
      <c r="D4" s="146"/>
      <c r="E4" s="146" t="s">
        <v>373</v>
      </c>
      <c r="F4" s="146"/>
      <c r="G4" s="146"/>
      <c r="H4" s="146"/>
      <c r="K4" s="45" t="s">
        <v>229</v>
      </c>
      <c r="L4" s="46" t="s">
        <v>163</v>
      </c>
      <c r="M4" s="46" t="s">
        <v>238</v>
      </c>
      <c r="N4" s="46" t="s">
        <v>240</v>
      </c>
      <c r="O4" s="46" t="s">
        <v>335</v>
      </c>
      <c r="P4" s="46" t="s">
        <v>374</v>
      </c>
    </row>
    <row r="5" spans="1:26" ht="15" customHeight="1" x14ac:dyDescent="0.35">
      <c r="A5" s="146" t="s">
        <v>2</v>
      </c>
      <c r="B5" s="146"/>
      <c r="C5" s="146"/>
      <c r="D5" s="146"/>
      <c r="E5" s="146" t="s">
        <v>374</v>
      </c>
      <c r="F5" s="146"/>
      <c r="G5" s="146"/>
      <c r="H5" s="146"/>
      <c r="K5" s="45"/>
      <c r="L5" s="46" t="s">
        <v>235</v>
      </c>
      <c r="M5" s="46" t="s">
        <v>239</v>
      </c>
      <c r="N5" s="46" t="s">
        <v>241</v>
      </c>
      <c r="O5" s="46" t="s">
        <v>336</v>
      </c>
      <c r="P5" s="46"/>
    </row>
    <row r="6" spans="1:26" x14ac:dyDescent="0.35">
      <c r="A6" s="146" t="s">
        <v>3</v>
      </c>
      <c r="B6" s="146"/>
      <c r="C6" s="146"/>
      <c r="D6" s="146"/>
      <c r="E6" s="201">
        <v>45915</v>
      </c>
      <c r="F6" s="146"/>
      <c r="G6" s="146"/>
      <c r="H6" s="146"/>
      <c r="K6" s="45"/>
      <c r="L6" s="46" t="s">
        <v>236</v>
      </c>
      <c r="M6" s="46" t="s">
        <v>346</v>
      </c>
      <c r="N6" s="46"/>
      <c r="O6" s="46" t="s">
        <v>337</v>
      </c>
      <c r="P6" s="46"/>
    </row>
    <row r="7" spans="1:26" ht="16.5" customHeight="1" x14ac:dyDescent="0.35">
      <c r="A7" s="146" t="s">
        <v>382</v>
      </c>
      <c r="B7" s="146"/>
      <c r="C7" s="146"/>
      <c r="D7" s="146"/>
      <c r="E7" s="146" t="s">
        <v>390</v>
      </c>
      <c r="F7" s="146"/>
      <c r="G7" s="146"/>
      <c r="H7" s="146"/>
      <c r="K7" s="45"/>
      <c r="L7" s="46" t="s">
        <v>237</v>
      </c>
      <c r="M7" s="46"/>
      <c r="N7" s="46"/>
      <c r="O7" s="46" t="s">
        <v>337</v>
      </c>
      <c r="P7" s="46"/>
    </row>
    <row r="8" spans="1:26" ht="15" customHeight="1" x14ac:dyDescent="0.35">
      <c r="A8" s="146" t="s">
        <v>4</v>
      </c>
      <c r="B8" s="146"/>
      <c r="C8" s="146"/>
      <c r="D8" s="146"/>
      <c r="E8" s="146" t="str">
        <f>E7</f>
        <v>Oberoi Realty Limited</v>
      </c>
      <c r="F8" s="146"/>
      <c r="G8" s="146"/>
      <c r="H8" s="146"/>
      <c r="K8" s="45"/>
      <c r="L8" s="46"/>
      <c r="M8" s="46"/>
      <c r="N8" s="46"/>
      <c r="O8" s="46" t="s">
        <v>338</v>
      </c>
      <c r="P8" s="46"/>
    </row>
    <row r="9" spans="1:26" x14ac:dyDescent="0.35">
      <c r="A9" s="146" t="s">
        <v>5</v>
      </c>
      <c r="B9" s="146"/>
      <c r="C9" s="146"/>
      <c r="D9" s="146"/>
      <c r="E9" s="137" t="s">
        <v>391</v>
      </c>
      <c r="F9" s="137"/>
      <c r="G9" s="137"/>
      <c r="H9" s="137"/>
      <c r="K9" s="45"/>
      <c r="L9" s="46"/>
      <c r="M9" s="46"/>
      <c r="N9" s="46"/>
      <c r="O9" s="46" t="s">
        <v>339</v>
      </c>
      <c r="P9" s="46"/>
    </row>
    <row r="10" spans="1:26" x14ac:dyDescent="0.35">
      <c r="A10" s="146" t="s">
        <v>160</v>
      </c>
      <c r="B10" s="146"/>
      <c r="C10" s="146"/>
      <c r="D10" s="146"/>
      <c r="E10" s="146" t="s">
        <v>392</v>
      </c>
      <c r="F10" s="146"/>
      <c r="G10" s="146"/>
      <c r="H10" s="146"/>
      <c r="K10" s="45"/>
      <c r="L10" s="46"/>
      <c r="M10" s="46"/>
      <c r="N10" s="46"/>
      <c r="O10" s="46" t="s">
        <v>340</v>
      </c>
      <c r="P10" s="46"/>
    </row>
    <row r="11" spans="1:26" x14ac:dyDescent="0.35">
      <c r="A11" s="146" t="s">
        <v>161</v>
      </c>
      <c r="B11" s="146"/>
      <c r="C11" s="146"/>
      <c r="D11" s="146"/>
      <c r="E11" s="146" t="s">
        <v>392</v>
      </c>
      <c r="F11" s="146"/>
      <c r="G11" s="146"/>
      <c r="H11" s="146"/>
      <c r="O11" s="46" t="s">
        <v>341</v>
      </c>
    </row>
    <row r="12" spans="1:26" ht="32.5" customHeight="1" x14ac:dyDescent="0.35">
      <c r="A12" s="146" t="s">
        <v>6</v>
      </c>
      <c r="B12" s="146"/>
      <c r="C12" s="146"/>
      <c r="D12" s="146"/>
      <c r="E12" s="145" t="s">
        <v>404</v>
      </c>
      <c r="F12" s="146"/>
      <c r="G12" s="146"/>
      <c r="H12" s="146"/>
    </row>
    <row r="13" spans="1:26" x14ac:dyDescent="0.35">
      <c r="A13" s="146" t="s">
        <v>164</v>
      </c>
      <c r="B13" s="146"/>
      <c r="C13" s="146"/>
      <c r="D13" s="146"/>
      <c r="E13" s="145" t="s">
        <v>27</v>
      </c>
      <c r="F13" s="145"/>
      <c r="G13" s="145"/>
      <c r="H13" s="145"/>
      <c r="S13" s="46" t="s">
        <v>174</v>
      </c>
      <c r="T13" s="46" t="s">
        <v>183</v>
      </c>
      <c r="U13" s="46" t="s">
        <v>165</v>
      </c>
      <c r="V13" s="46" t="s">
        <v>188</v>
      </c>
      <c r="W13" s="46" t="s">
        <v>206</v>
      </c>
      <c r="X13"/>
      <c r="Y13" t="s">
        <v>188</v>
      </c>
      <c r="Z13" t="e">
        <f ca="1">OFFSET($S$13,1,MATCH($G20,$S$13:$W$13,0)-1,15,1)</f>
        <v>#VALUE!</v>
      </c>
    </row>
    <row r="14" spans="1:26" x14ac:dyDescent="0.35">
      <c r="A14" s="146" t="s">
        <v>273</v>
      </c>
      <c r="B14" s="146"/>
      <c r="C14" s="146"/>
      <c r="D14" s="146"/>
      <c r="E14" s="145" t="s">
        <v>389</v>
      </c>
      <c r="F14" s="145"/>
      <c r="G14" s="145"/>
      <c r="H14" s="145"/>
      <c r="S14" s="46" t="s">
        <v>174</v>
      </c>
      <c r="T14" s="46" t="s">
        <v>181</v>
      </c>
      <c r="U14" s="46" t="s">
        <v>203</v>
      </c>
      <c r="V14" s="46" t="s">
        <v>189</v>
      </c>
      <c r="W14" s="46" t="s">
        <v>207</v>
      </c>
      <c r="X14"/>
      <c r="Y14"/>
      <c r="Z14"/>
    </row>
    <row r="15" spans="1:26" ht="48" customHeight="1" x14ac:dyDescent="0.35">
      <c r="A15" s="163" t="s">
        <v>7</v>
      </c>
      <c r="B15" s="163"/>
      <c r="C15" s="163"/>
      <c r="D15" s="163"/>
      <c r="E15" s="145" t="s">
        <v>393</v>
      </c>
      <c r="F15" s="146"/>
      <c r="G15" s="146"/>
      <c r="H15" s="146"/>
      <c r="I15" s="164" t="e">
        <f ca="1">OFFSET($D$5,1,MATCH($J13,$D$5:$H$5,0)-1,15,1)</f>
        <v>#N/A</v>
      </c>
      <c r="J15" s="165"/>
      <c r="K15" s="165"/>
      <c r="L15" s="165"/>
      <c r="M15" s="165"/>
      <c r="N15" s="165"/>
      <c r="O15" s="165"/>
      <c r="P15" s="165"/>
      <c r="S15" s="46" t="s">
        <v>175</v>
      </c>
      <c r="T15" s="46" t="s">
        <v>182</v>
      </c>
      <c r="U15" s="46" t="s">
        <v>204</v>
      </c>
      <c r="V15" s="46" t="s">
        <v>190</v>
      </c>
      <c r="W15" s="46" t="s">
        <v>220</v>
      </c>
      <c r="X15"/>
      <c r="Y15"/>
      <c r="Z15"/>
    </row>
    <row r="16" spans="1:26" ht="48.75" customHeight="1" x14ac:dyDescent="0.35">
      <c r="A16" s="173" t="s">
        <v>8</v>
      </c>
      <c r="B16" s="173"/>
      <c r="C16" s="173" t="str">
        <f>CONCATENATE((IF(OR(E9="",E9="NA"),"",E9)),", ",(IF(OR(A17="",A17="NA"),"",A17)),".",(IF(OR(C17="",C17="NA"),"",C17)),", near ",(IF(OR(C22="",C22="NA"),"",C22)),", ",(IF(OR(C19="",C19="NA"),"",C19)),", ",(IF(OR(C18="",C18="NA"),"",C18)),", ",(IF(OR(G19="",G19="NA"),"",G19)),", ",(IF(OR(C20="",C20="NA"),"",C20)),", ",(IF(OR(C21="",C21="NA"),"",C21)),", ",(IF(OR(G20="",G20="NA"),"",G20))," - ",(IF(OR(G21="",G21="NA"),"",G21)),".")</f>
        <v>Elysian Tower A, B, C, D &amp; E, CTS No.95/4/B/1(pt), 95/4/B/2 (Pt), 95/4/B/3, 95/4/B/4 &amp; 590/A/A/1, near Oberoi Esquire, Mohan Gokhale Road, Oberoi Garden City, Dindoshi &amp; Pahadi Goregaon, Goregaon (East), Borivali, Mumbai - 400063.</v>
      </c>
      <c r="D16" s="173"/>
      <c r="E16" s="173"/>
      <c r="F16" s="173"/>
      <c r="G16" s="173"/>
      <c r="H16" s="173"/>
      <c r="S16" s="46" t="s">
        <v>176</v>
      </c>
      <c r="T16" s="46" t="s">
        <v>184</v>
      </c>
      <c r="U16" s="46" t="s">
        <v>205</v>
      </c>
      <c r="V16" s="46" t="s">
        <v>191</v>
      </c>
      <c r="W16" s="46" t="s">
        <v>208</v>
      </c>
      <c r="X16"/>
      <c r="Y16"/>
      <c r="Z16"/>
    </row>
    <row r="17" spans="1:26" x14ac:dyDescent="0.35">
      <c r="A17" s="145" t="s">
        <v>169</v>
      </c>
      <c r="B17" s="145"/>
      <c r="C17" s="145" t="s">
        <v>394</v>
      </c>
      <c r="D17" s="145"/>
      <c r="E17" s="145"/>
      <c r="F17" s="145"/>
      <c r="G17" s="145"/>
      <c r="H17" s="145"/>
      <c r="S17" s="46" t="s">
        <v>177</v>
      </c>
      <c r="T17" s="46" t="s">
        <v>185</v>
      </c>
      <c r="U17" s="46" t="s">
        <v>165</v>
      </c>
      <c r="V17" s="46" t="s">
        <v>192</v>
      </c>
      <c r="W17" s="46" t="s">
        <v>209</v>
      </c>
      <c r="X17"/>
      <c r="Y17"/>
      <c r="Z17"/>
    </row>
    <row r="18" spans="1:26" ht="15.75" customHeight="1" x14ac:dyDescent="0.35">
      <c r="A18" s="145" t="s">
        <v>156</v>
      </c>
      <c r="B18" s="145"/>
      <c r="C18" s="145" t="s">
        <v>398</v>
      </c>
      <c r="D18" s="145"/>
      <c r="E18" s="145"/>
      <c r="F18" s="145"/>
      <c r="G18" s="145"/>
      <c r="H18" s="145"/>
      <c r="S18" s="46" t="s">
        <v>178</v>
      </c>
      <c r="T18" s="46" t="s">
        <v>183</v>
      </c>
      <c r="U18" s="46"/>
      <c r="V18" s="46" t="s">
        <v>193</v>
      </c>
      <c r="W18" s="46" t="s">
        <v>210</v>
      </c>
      <c r="X18"/>
      <c r="Y18"/>
      <c r="Z18"/>
    </row>
    <row r="19" spans="1:26" ht="31" customHeight="1" x14ac:dyDescent="0.35">
      <c r="A19" s="173" t="s">
        <v>9</v>
      </c>
      <c r="B19" s="173"/>
      <c r="C19" s="146" t="s">
        <v>397</v>
      </c>
      <c r="D19" s="146"/>
      <c r="E19" s="173" t="s">
        <v>68</v>
      </c>
      <c r="F19" s="173"/>
      <c r="G19" s="145" t="s">
        <v>395</v>
      </c>
      <c r="H19" s="145"/>
      <c r="S19" s="46" t="s">
        <v>179</v>
      </c>
      <c r="T19" s="46" t="s">
        <v>186</v>
      </c>
      <c r="U19" s="46"/>
      <c r="V19" s="46" t="s">
        <v>194</v>
      </c>
      <c r="W19" s="46" t="s">
        <v>211</v>
      </c>
      <c r="X19"/>
      <c r="Y19"/>
      <c r="Z19"/>
    </row>
    <row r="20" spans="1:26" x14ac:dyDescent="0.35">
      <c r="A20" s="163" t="s">
        <v>11</v>
      </c>
      <c r="B20" s="163"/>
      <c r="C20" s="145" t="s">
        <v>396</v>
      </c>
      <c r="D20" s="145"/>
      <c r="E20" s="173" t="s">
        <v>10</v>
      </c>
      <c r="F20" s="173"/>
      <c r="G20" s="202" t="s">
        <v>165</v>
      </c>
      <c r="H20" s="202"/>
      <c r="S20" s="46" t="s">
        <v>180</v>
      </c>
      <c r="T20" s="46" t="s">
        <v>187</v>
      </c>
      <c r="U20" s="46"/>
      <c r="V20" s="46" t="s">
        <v>195</v>
      </c>
      <c r="W20" s="46" t="s">
        <v>212</v>
      </c>
      <c r="X20"/>
      <c r="Y20"/>
      <c r="Z20"/>
    </row>
    <row r="21" spans="1:26" x14ac:dyDescent="0.35">
      <c r="A21" s="163" t="s">
        <v>69</v>
      </c>
      <c r="B21" s="163"/>
      <c r="C21" s="145" t="s">
        <v>204</v>
      </c>
      <c r="D21" s="145"/>
      <c r="E21" s="173" t="s">
        <v>12</v>
      </c>
      <c r="F21" s="173"/>
      <c r="G21" s="145">
        <v>400063</v>
      </c>
      <c r="H21" s="145"/>
      <c r="S21" s="46"/>
      <c r="T21" s="46"/>
      <c r="U21" s="46"/>
      <c r="V21" s="46" t="s">
        <v>196</v>
      </c>
      <c r="W21" s="46" t="s">
        <v>213</v>
      </c>
      <c r="X21"/>
      <c r="Y21"/>
      <c r="Z21"/>
    </row>
    <row r="22" spans="1:26" ht="32.25" customHeight="1" x14ac:dyDescent="0.35">
      <c r="A22" s="163" t="s">
        <v>116</v>
      </c>
      <c r="B22" s="163"/>
      <c r="C22" s="145" t="s">
        <v>399</v>
      </c>
      <c r="D22" s="145"/>
      <c r="E22" s="173" t="s">
        <v>13</v>
      </c>
      <c r="F22" s="173"/>
      <c r="G22" s="145" t="s">
        <v>403</v>
      </c>
      <c r="H22" s="145"/>
      <c r="S22" s="46"/>
      <c r="T22" s="46"/>
      <c r="U22" s="46"/>
      <c r="V22" s="46" t="s">
        <v>197</v>
      </c>
      <c r="W22" s="46" t="s">
        <v>214</v>
      </c>
      <c r="X22"/>
      <c r="Y22"/>
      <c r="Z22"/>
    </row>
    <row r="23" spans="1:26" ht="15" customHeight="1" x14ac:dyDescent="0.35">
      <c r="A23" s="173" t="s">
        <v>71</v>
      </c>
      <c r="B23" s="173"/>
      <c r="C23" s="173"/>
      <c r="D23" s="173"/>
      <c r="E23" s="146" t="s">
        <v>14</v>
      </c>
      <c r="F23" s="146"/>
      <c r="G23" s="146"/>
      <c r="H23" s="146"/>
      <c r="S23" s="46"/>
      <c r="T23" s="46"/>
      <c r="U23" s="46"/>
      <c r="V23" s="46" t="s">
        <v>198</v>
      </c>
      <c r="W23" s="46" t="s">
        <v>215</v>
      </c>
      <c r="X23"/>
      <c r="Y23"/>
      <c r="Z23"/>
    </row>
    <row r="24" spans="1:26" ht="18.75" customHeight="1" x14ac:dyDescent="0.35">
      <c r="A24" s="173"/>
      <c r="B24" s="173"/>
      <c r="C24" s="173"/>
      <c r="D24" s="173"/>
      <c r="E24" s="146"/>
      <c r="F24" s="146"/>
      <c r="G24" s="146"/>
      <c r="H24" s="146"/>
      <c r="S24" s="46"/>
      <c r="T24" s="46"/>
      <c r="U24" s="46"/>
      <c r="V24" s="46" t="s">
        <v>199</v>
      </c>
      <c r="W24" s="46" t="s">
        <v>216</v>
      </c>
      <c r="X24"/>
      <c r="Y24"/>
      <c r="Z24"/>
    </row>
    <row r="25" spans="1:26" ht="15" customHeight="1" x14ac:dyDescent="0.35">
      <c r="A25" s="173" t="s">
        <v>15</v>
      </c>
      <c r="B25" s="173"/>
      <c r="C25" s="173"/>
      <c r="D25" s="173"/>
      <c r="E25" s="145" t="s">
        <v>16</v>
      </c>
      <c r="F25" s="145"/>
      <c r="G25" s="145"/>
      <c r="H25" s="145"/>
      <c r="S25" s="46"/>
      <c r="T25" s="46"/>
      <c r="U25" s="46"/>
      <c r="V25" s="46" t="s">
        <v>200</v>
      </c>
      <c r="W25" s="46" t="s">
        <v>217</v>
      </c>
      <c r="X25"/>
      <c r="Y25"/>
      <c r="Z25"/>
    </row>
    <row r="26" spans="1:26" ht="15" customHeight="1" x14ac:dyDescent="0.35">
      <c r="A26" s="163" t="s">
        <v>17</v>
      </c>
      <c r="B26" s="163"/>
      <c r="C26" s="163"/>
      <c r="D26" s="163"/>
      <c r="E26" s="145" t="str">
        <f>IF(AND(G20="Mumbai"),"Upper Class","Middle Class")</f>
        <v>Upper Class</v>
      </c>
      <c r="F26" s="145"/>
      <c r="G26" s="145"/>
      <c r="H26" s="145"/>
      <c r="S26" s="46"/>
      <c r="T26" s="46"/>
      <c r="U26" s="46"/>
      <c r="V26" s="46" t="s">
        <v>201</v>
      </c>
      <c r="W26" s="46" t="s">
        <v>218</v>
      </c>
      <c r="X26"/>
      <c r="Y26"/>
      <c r="Z26"/>
    </row>
    <row r="27" spans="1:26" x14ac:dyDescent="0.35">
      <c r="A27" s="163" t="s">
        <v>18</v>
      </c>
      <c r="B27" s="163"/>
      <c r="C27" s="163"/>
      <c r="D27" s="163"/>
      <c r="E27" s="145" t="s">
        <v>19</v>
      </c>
      <c r="F27" s="145"/>
      <c r="G27" s="145"/>
      <c r="H27" s="145"/>
      <c r="S27" s="46"/>
      <c r="T27" s="46"/>
      <c r="U27" s="46"/>
      <c r="V27" s="46" t="s">
        <v>202</v>
      </c>
      <c r="W27" s="46" t="s">
        <v>219</v>
      </c>
      <c r="X27"/>
      <c r="Y27"/>
      <c r="Z27"/>
    </row>
    <row r="28" spans="1:26" ht="15.75" customHeight="1" x14ac:dyDescent="0.35">
      <c r="A28" s="163" t="s">
        <v>20</v>
      </c>
      <c r="B28" s="163"/>
      <c r="C28" s="163"/>
      <c r="D28" s="163"/>
      <c r="E28" s="145" t="str">
        <f>IF(AND(G20="Mumbai"),"Developed","Developing")</f>
        <v>Developed</v>
      </c>
      <c r="F28" s="145"/>
      <c r="G28" s="145"/>
      <c r="H28" s="145"/>
    </row>
    <row r="29" spans="1:26" x14ac:dyDescent="0.35">
      <c r="A29" s="163" t="s">
        <v>21</v>
      </c>
      <c r="B29" s="163"/>
      <c r="C29" s="163"/>
      <c r="D29" s="163"/>
      <c r="E29" s="145" t="s">
        <v>22</v>
      </c>
      <c r="F29" s="145"/>
      <c r="G29" s="145"/>
      <c r="H29" s="145"/>
    </row>
    <row r="30" spans="1:26" ht="15.75" customHeight="1" x14ac:dyDescent="0.35">
      <c r="A30" s="163" t="s">
        <v>76</v>
      </c>
      <c r="B30" s="163"/>
      <c r="C30" s="163"/>
      <c r="D30" s="163"/>
      <c r="E30" s="145" t="s">
        <v>77</v>
      </c>
      <c r="F30" s="145"/>
      <c r="G30" s="145"/>
      <c r="H30" s="145"/>
    </row>
    <row r="31" spans="1:26" ht="15" customHeight="1" x14ac:dyDescent="0.35">
      <c r="A31" s="163" t="s">
        <v>29</v>
      </c>
      <c r="B31" s="163"/>
      <c r="C31" s="163"/>
      <c r="D31" s="163"/>
      <c r="E31" s="145" t="str">
        <f>IF(AND(ISNUMBER(SEARCH("Flat",D72)),ISNUMBER(SEARCH("Shop",D72)),ISNUMBER(SEARCH("Office",D72))),"Residential + Commercial",IF(AND(ISNUMBER(SEARCH("Flat",D72)),ISNUMBER(SEARCH("Shop",D72))),"Residential + Commercial",IF(AND(ISNUMBER(SEARCH("Flat",D72)),ISNUMBER(SEARCH("Office",D72))),"Residential + Commercial",IF(AND(ISNUMBER(SEARCH("Shop",D72)),ISNUMBER(SEARCH("Office",D72))),"Commercial",IF(ISNUMBER(SEARCH("Shop",D72)),"Commercial",IF(ISNUMBER(SEARCH("Office",D72)),"Commercial",IF(ISNUMBER(SEARCH("Flat",D72)),"Residential")))))))</f>
        <v>Residential</v>
      </c>
      <c r="F31" s="145"/>
      <c r="G31" s="145"/>
      <c r="H31" s="145"/>
    </row>
    <row r="32" spans="1:26" ht="15.75" customHeight="1" x14ac:dyDescent="0.35">
      <c r="A32" s="163" t="s">
        <v>88</v>
      </c>
      <c r="B32" s="163"/>
      <c r="C32" s="163"/>
      <c r="D32" s="163"/>
      <c r="E32" s="145" t="s">
        <v>30</v>
      </c>
      <c r="F32" s="145"/>
      <c r="G32" s="145"/>
      <c r="H32" s="145"/>
    </row>
    <row r="33" spans="1:19" s="18" customFormat="1" x14ac:dyDescent="0.35">
      <c r="A33" s="211" t="s">
        <v>89</v>
      </c>
      <c r="B33" s="211"/>
      <c r="C33" s="208" t="s">
        <v>166</v>
      </c>
      <c r="D33" s="209"/>
      <c r="E33" s="210"/>
      <c r="F33" s="208" t="s">
        <v>28</v>
      </c>
      <c r="G33" s="209"/>
      <c r="H33" s="210"/>
      <c r="S33" s="18" t="e">
        <f ca="1">OFFSET($S$13,1,MATCH($G20,$S$13:$W$13,0)-1,15,1)</f>
        <v>#VALUE!</v>
      </c>
    </row>
    <row r="34" spans="1:19" s="18" customFormat="1" x14ac:dyDescent="0.35">
      <c r="A34" s="204" t="s">
        <v>23</v>
      </c>
      <c r="B34" s="204" t="s">
        <v>27</v>
      </c>
      <c r="C34" s="205" t="s">
        <v>496</v>
      </c>
      <c r="D34" s="206"/>
      <c r="E34" s="207"/>
      <c r="F34" s="205" t="s">
        <v>399</v>
      </c>
      <c r="G34" s="206"/>
      <c r="H34" s="207"/>
    </row>
    <row r="35" spans="1:19" x14ac:dyDescent="0.35">
      <c r="A35" s="204" t="s">
        <v>24</v>
      </c>
      <c r="B35" s="204" t="s">
        <v>27</v>
      </c>
      <c r="C35" s="205" t="s">
        <v>497</v>
      </c>
      <c r="D35" s="206"/>
      <c r="E35" s="207"/>
      <c r="F35" s="205" t="s">
        <v>500</v>
      </c>
      <c r="G35" s="206"/>
      <c r="H35" s="207"/>
    </row>
    <row r="36" spans="1:19" s="18" customFormat="1" x14ac:dyDescent="0.35">
      <c r="A36" s="204" t="s">
        <v>26</v>
      </c>
      <c r="B36" s="204" t="s">
        <v>27</v>
      </c>
      <c r="C36" s="205" t="s">
        <v>498</v>
      </c>
      <c r="D36" s="206"/>
      <c r="E36" s="207"/>
      <c r="F36" s="205" t="s">
        <v>501</v>
      </c>
      <c r="G36" s="206"/>
      <c r="H36" s="207"/>
    </row>
    <row r="37" spans="1:19" x14ac:dyDescent="0.35">
      <c r="A37" s="204" t="s">
        <v>25</v>
      </c>
      <c r="B37" s="204" t="s">
        <v>27</v>
      </c>
      <c r="C37" s="205" t="s">
        <v>499</v>
      </c>
      <c r="D37" s="206"/>
      <c r="E37" s="207"/>
      <c r="F37" s="205" t="s">
        <v>397</v>
      </c>
      <c r="G37" s="206"/>
      <c r="H37" s="207"/>
    </row>
    <row r="38" spans="1:19" x14ac:dyDescent="0.35">
      <c r="A38" s="163" t="s">
        <v>274</v>
      </c>
      <c r="B38" s="163"/>
      <c r="C38" s="163"/>
      <c r="D38" s="163"/>
      <c r="E38" s="163"/>
      <c r="F38" s="163"/>
      <c r="G38" s="163"/>
      <c r="H38" s="163"/>
    </row>
    <row r="39" spans="1:19" ht="15.75" customHeight="1" x14ac:dyDescent="0.35">
      <c r="A39" s="163" t="s">
        <v>158</v>
      </c>
      <c r="B39" s="163"/>
      <c r="C39" s="194" t="s">
        <v>402</v>
      </c>
      <c r="D39" s="194"/>
      <c r="E39" s="194"/>
      <c r="F39" s="194"/>
      <c r="G39" s="194"/>
      <c r="H39" s="194"/>
    </row>
    <row r="40" spans="1:19" x14ac:dyDescent="0.35">
      <c r="A40" s="163" t="s">
        <v>155</v>
      </c>
      <c r="B40" s="163"/>
      <c r="C40" s="248" t="s">
        <v>401</v>
      </c>
      <c r="D40" s="145"/>
      <c r="E40" s="145"/>
      <c r="F40" s="145"/>
      <c r="G40" s="145"/>
      <c r="H40" s="145"/>
    </row>
    <row r="41" spans="1:19" x14ac:dyDescent="0.35">
      <c r="A41" s="194" t="s">
        <v>31</v>
      </c>
      <c r="B41" s="194"/>
      <c r="C41" s="194"/>
      <c r="D41" s="194"/>
      <c r="E41" s="194"/>
      <c r="F41" s="194"/>
      <c r="G41" s="194"/>
      <c r="H41" s="194"/>
    </row>
    <row r="42" spans="1:19" x14ac:dyDescent="0.35">
      <c r="A42" s="163" t="s">
        <v>32</v>
      </c>
      <c r="B42" s="163"/>
      <c r="C42" s="163"/>
      <c r="D42" s="163"/>
      <c r="E42" s="212">
        <v>178264.1</v>
      </c>
      <c r="F42" s="212"/>
      <c r="G42" s="212"/>
      <c r="H42" s="212"/>
    </row>
    <row r="43" spans="1:19" x14ac:dyDescent="0.35">
      <c r="A43" s="163" t="s">
        <v>33</v>
      </c>
      <c r="B43" s="163"/>
      <c r="C43" s="163"/>
      <c r="D43" s="163"/>
      <c r="E43" s="203">
        <v>1</v>
      </c>
      <c r="F43" s="203"/>
      <c r="G43" s="203"/>
      <c r="H43" s="203"/>
    </row>
    <row r="44" spans="1:19" x14ac:dyDescent="0.35">
      <c r="A44" s="163" t="s">
        <v>34</v>
      </c>
      <c r="B44" s="163"/>
      <c r="C44" s="163"/>
      <c r="D44" s="163"/>
      <c r="E44" s="203">
        <f>E46/E42-E43</f>
        <v>2.6256470596154804</v>
      </c>
      <c r="F44" s="203"/>
      <c r="G44" s="203"/>
      <c r="H44" s="203"/>
    </row>
    <row r="45" spans="1:19" x14ac:dyDescent="0.35">
      <c r="A45" s="163" t="s">
        <v>35</v>
      </c>
      <c r="B45" s="163"/>
      <c r="C45" s="163"/>
      <c r="D45" s="163"/>
      <c r="E45" s="203">
        <f>E43+E44</f>
        <v>3.6256470596154804</v>
      </c>
      <c r="F45" s="203"/>
      <c r="G45" s="203"/>
      <c r="H45" s="203"/>
    </row>
    <row r="46" spans="1:19" x14ac:dyDescent="0.35">
      <c r="A46" s="163" t="s">
        <v>87</v>
      </c>
      <c r="B46" s="163"/>
      <c r="C46" s="163"/>
      <c r="D46" s="163"/>
      <c r="E46" s="241">
        <v>646322.71</v>
      </c>
      <c r="F46" s="241"/>
      <c r="G46" s="241"/>
      <c r="H46" s="241"/>
    </row>
    <row r="47" spans="1:19" x14ac:dyDescent="0.35">
      <c r="A47" s="146" t="s">
        <v>36</v>
      </c>
      <c r="B47" s="146"/>
      <c r="C47" s="146"/>
      <c r="D47" s="146"/>
      <c r="E47" s="146" t="s">
        <v>415</v>
      </c>
      <c r="F47" s="146"/>
      <c r="G47" s="146"/>
      <c r="H47" s="146"/>
    </row>
    <row r="48" spans="1:19" x14ac:dyDescent="0.35">
      <c r="A48" s="194" t="s">
        <v>37</v>
      </c>
      <c r="B48" s="194"/>
      <c r="C48" s="194"/>
      <c r="D48" s="194"/>
      <c r="E48" s="194"/>
      <c r="F48" s="194"/>
      <c r="G48" s="194"/>
      <c r="H48" s="194"/>
    </row>
    <row r="49" spans="1:24" ht="33.75" customHeight="1" x14ac:dyDescent="0.35">
      <c r="A49" s="141" t="s">
        <v>145</v>
      </c>
      <c r="B49" s="143"/>
      <c r="C49" s="254" t="s">
        <v>249</v>
      </c>
      <c r="D49" s="255"/>
      <c r="E49" s="255"/>
      <c r="F49" s="255"/>
      <c r="G49" s="255"/>
      <c r="H49" s="256"/>
      <c r="R49" t="s">
        <v>247</v>
      </c>
      <c r="S49" s="48" t="s">
        <v>165</v>
      </c>
      <c r="T49" s="48" t="s">
        <v>174</v>
      </c>
      <c r="U49" s="48" t="s">
        <v>188</v>
      </c>
      <c r="V49" s="48" t="s">
        <v>183</v>
      </c>
    </row>
    <row r="50" spans="1:24" x14ac:dyDescent="0.35">
      <c r="A50" s="144" t="s">
        <v>405</v>
      </c>
      <c r="B50" s="144"/>
      <c r="C50" s="144"/>
      <c r="D50" s="144"/>
      <c r="E50" s="144"/>
      <c r="F50" s="144"/>
      <c r="G50" s="144"/>
      <c r="H50" s="144"/>
    </row>
    <row r="51" spans="1:24" ht="31.5" customHeight="1" x14ac:dyDescent="0.35">
      <c r="A51" s="141" t="s">
        <v>38</v>
      </c>
      <c r="B51" s="143"/>
      <c r="C51" s="141" t="s">
        <v>408</v>
      </c>
      <c r="D51" s="142"/>
      <c r="E51" s="143"/>
      <c r="F51" s="15" t="s">
        <v>39</v>
      </c>
      <c r="G51" s="213">
        <v>45547</v>
      </c>
      <c r="H51" s="214"/>
      <c r="R51"/>
      <c r="S51" s="48" t="s">
        <v>248</v>
      </c>
      <c r="T51" s="48" t="s">
        <v>253</v>
      </c>
      <c r="U51" s="48" t="s">
        <v>264</v>
      </c>
      <c r="V51" s="48" t="s">
        <v>269</v>
      </c>
    </row>
    <row r="52" spans="1:24" ht="31.5" customHeight="1" x14ac:dyDescent="0.35">
      <c r="A52" s="141" t="s">
        <v>40</v>
      </c>
      <c r="B52" s="143"/>
      <c r="C52" s="141" t="str">
        <f>C51</f>
        <v>CHE/9107/BP(WS)/AP</v>
      </c>
      <c r="D52" s="142"/>
      <c r="E52" s="143"/>
      <c r="F52" s="15" t="s">
        <v>39</v>
      </c>
      <c r="G52" s="213">
        <f>G51</f>
        <v>45547</v>
      </c>
      <c r="H52" s="214"/>
      <c r="R52"/>
      <c r="S52" s="48" t="s">
        <v>249</v>
      </c>
      <c r="T52" s="48" t="s">
        <v>349</v>
      </c>
      <c r="U52" s="48" t="s">
        <v>262</v>
      </c>
      <c r="V52" s="48" t="s">
        <v>270</v>
      </c>
    </row>
    <row r="53" spans="1:24" s="19" customFormat="1" ht="15.75" customHeight="1" x14ac:dyDescent="0.35">
      <c r="A53" s="230" t="s">
        <v>383</v>
      </c>
      <c r="B53" s="231"/>
      <c r="C53" s="230" t="s">
        <v>409</v>
      </c>
      <c r="D53" s="236"/>
      <c r="E53" s="231"/>
      <c r="F53" s="15" t="s">
        <v>39</v>
      </c>
      <c r="G53" s="213">
        <v>45720</v>
      </c>
      <c r="H53" s="214"/>
      <c r="I53" s="18" t="str">
        <f ca="1">IF(G53&gt;EDATE(E3,-48),"NO REMARK","CC REMARK FOR CC")</f>
        <v>NO REMARK</v>
      </c>
      <c r="J53" s="67"/>
      <c r="R53"/>
      <c r="S53" s="48" t="s">
        <v>250</v>
      </c>
      <c r="T53" s="48" t="s">
        <v>255</v>
      </c>
      <c r="U53" s="48" t="s">
        <v>252</v>
      </c>
      <c r="V53" s="48" t="s">
        <v>271</v>
      </c>
    </row>
    <row r="54" spans="1:24" s="19" customFormat="1" ht="16.5" customHeight="1" x14ac:dyDescent="0.35">
      <c r="A54" s="232"/>
      <c r="B54" s="233"/>
      <c r="C54" s="234"/>
      <c r="D54" s="237"/>
      <c r="E54" s="235"/>
      <c r="F54" s="15" t="s">
        <v>115</v>
      </c>
      <c r="G54" s="213">
        <v>45963</v>
      </c>
      <c r="H54" s="214"/>
      <c r="R54"/>
      <c r="S54" s="48" t="s">
        <v>251</v>
      </c>
      <c r="T54" s="48" t="s">
        <v>258</v>
      </c>
      <c r="U54" s="48" t="s">
        <v>265</v>
      </c>
      <c r="V54" s="63" t="s">
        <v>343</v>
      </c>
    </row>
    <row r="55" spans="1:24" s="19" customFormat="1" ht="111.5" customHeight="1" x14ac:dyDescent="0.35">
      <c r="A55" s="234"/>
      <c r="B55" s="235"/>
      <c r="C55" s="141" t="s">
        <v>410</v>
      </c>
      <c r="D55" s="142"/>
      <c r="E55" s="142"/>
      <c r="F55" s="142"/>
      <c r="G55" s="142"/>
      <c r="H55" s="143"/>
      <c r="R55"/>
      <c r="S55" s="48"/>
      <c r="T55" s="48"/>
      <c r="U55" s="48"/>
      <c r="V55" s="63"/>
    </row>
    <row r="56" spans="1:24" x14ac:dyDescent="0.35">
      <c r="A56" s="144" t="s">
        <v>406</v>
      </c>
      <c r="B56" s="144"/>
      <c r="C56" s="144"/>
      <c r="D56" s="144"/>
      <c r="E56" s="144"/>
      <c r="F56" s="144"/>
      <c r="G56" s="144"/>
      <c r="H56" s="144"/>
    </row>
    <row r="57" spans="1:24" ht="31.5" customHeight="1" x14ac:dyDescent="0.35">
      <c r="A57" s="141" t="s">
        <v>38</v>
      </c>
      <c r="B57" s="143"/>
      <c r="C57" s="141" t="s">
        <v>407</v>
      </c>
      <c r="D57" s="142"/>
      <c r="E57" s="143"/>
      <c r="F57" s="15" t="s">
        <v>39</v>
      </c>
      <c r="G57" s="213">
        <v>45838</v>
      </c>
      <c r="H57" s="214"/>
      <c r="R57"/>
      <c r="S57" s="48" t="s">
        <v>248</v>
      </c>
      <c r="T57" s="48" t="s">
        <v>253</v>
      </c>
      <c r="U57" s="48" t="s">
        <v>264</v>
      </c>
      <c r="V57" s="48" t="s">
        <v>269</v>
      </c>
    </row>
    <row r="58" spans="1:24" ht="31.5" customHeight="1" x14ac:dyDescent="0.35">
      <c r="A58" s="141" t="s">
        <v>40</v>
      </c>
      <c r="B58" s="143"/>
      <c r="C58" s="141" t="str">
        <f>C57</f>
        <v>P-18877/2023/(95/4/B/1(pt.)And Other)/P/S Ward/DINDOSHI-P/S/337/1/New</v>
      </c>
      <c r="D58" s="142"/>
      <c r="E58" s="143"/>
      <c r="F58" s="15" t="s">
        <v>39</v>
      </c>
      <c r="G58" s="213">
        <f>G57</f>
        <v>45838</v>
      </c>
      <c r="H58" s="214"/>
      <c r="R58"/>
      <c r="S58" s="48" t="s">
        <v>249</v>
      </c>
      <c r="T58" s="48" t="s">
        <v>349</v>
      </c>
      <c r="U58" s="48" t="s">
        <v>262</v>
      </c>
      <c r="V58" s="48" t="s">
        <v>270</v>
      </c>
    </row>
    <row r="59" spans="1:24" s="19" customFormat="1" ht="50" customHeight="1" x14ac:dyDescent="0.35">
      <c r="A59" s="230" t="s">
        <v>412</v>
      </c>
      <c r="B59" s="231"/>
      <c r="C59" s="230" t="s">
        <v>411</v>
      </c>
      <c r="D59" s="236"/>
      <c r="E59" s="231"/>
      <c r="F59" s="15" t="s">
        <v>39</v>
      </c>
      <c r="G59" s="213">
        <v>45852</v>
      </c>
      <c r="H59" s="214"/>
      <c r="I59" s="18" t="e">
        <f>IF(G59&gt;EDATE(E8,-48),"NO REMARK","CC REMARK FOR CC")</f>
        <v>#VALUE!</v>
      </c>
      <c r="J59" s="67"/>
      <c r="R59"/>
      <c r="S59" s="48" t="s">
        <v>250</v>
      </c>
      <c r="T59" s="48" t="s">
        <v>255</v>
      </c>
      <c r="U59" s="48" t="s">
        <v>252</v>
      </c>
      <c r="V59" s="48" t="s">
        <v>271</v>
      </c>
    </row>
    <row r="60" spans="1:24" s="19" customFormat="1" ht="16.5" customHeight="1" x14ac:dyDescent="0.35">
      <c r="A60" s="232"/>
      <c r="B60" s="233"/>
      <c r="C60" s="234"/>
      <c r="D60" s="237"/>
      <c r="E60" s="235"/>
      <c r="F60" s="15" t="s">
        <v>115</v>
      </c>
      <c r="G60" s="213">
        <v>46085</v>
      </c>
      <c r="H60" s="214"/>
      <c r="R60"/>
      <c r="S60" s="48" t="s">
        <v>251</v>
      </c>
      <c r="T60" s="48" t="s">
        <v>258</v>
      </c>
      <c r="U60" s="48" t="s">
        <v>265</v>
      </c>
      <c r="V60" s="63" t="s">
        <v>343</v>
      </c>
    </row>
    <row r="61" spans="1:24" s="19" customFormat="1" ht="64" customHeight="1" x14ac:dyDescent="0.35">
      <c r="A61" s="234"/>
      <c r="B61" s="235"/>
      <c r="C61" s="141" t="s">
        <v>413</v>
      </c>
      <c r="D61" s="142"/>
      <c r="E61" s="142"/>
      <c r="F61" s="142"/>
      <c r="G61" s="142"/>
      <c r="H61" s="143"/>
      <c r="R61"/>
      <c r="S61" s="48"/>
      <c r="T61" s="48"/>
      <c r="U61" s="48"/>
      <c r="V61" s="63"/>
    </row>
    <row r="62" spans="1:24" s="19" customFormat="1" hidden="1" x14ac:dyDescent="0.35">
      <c r="A62" s="215" t="s">
        <v>275</v>
      </c>
      <c r="B62" s="216"/>
      <c r="C62" s="141">
        <f>C54</f>
        <v>0</v>
      </c>
      <c r="D62" s="142"/>
      <c r="E62" s="143"/>
      <c r="F62" s="15" t="s">
        <v>39</v>
      </c>
      <c r="G62" s="213"/>
      <c r="H62" s="214"/>
      <c r="K62" s="68"/>
      <c r="R62"/>
      <c r="S62" s="48" t="s">
        <v>250</v>
      </c>
      <c r="T62" s="48" t="s">
        <v>255</v>
      </c>
      <c r="U62" s="48" t="s">
        <v>252</v>
      </c>
      <c r="V62" s="48" t="s">
        <v>271</v>
      </c>
    </row>
    <row r="63" spans="1:24" s="19" customFormat="1" ht="32.25" hidden="1" customHeight="1" x14ac:dyDescent="0.35">
      <c r="A63" s="219"/>
      <c r="B63" s="220"/>
      <c r="C63" s="238"/>
      <c r="D63" s="239"/>
      <c r="E63" s="239"/>
      <c r="F63" s="239"/>
      <c r="G63" s="239"/>
      <c r="H63" s="240"/>
      <c r="R63"/>
      <c r="S63" s="48" t="s">
        <v>252</v>
      </c>
      <c r="T63" s="48" t="s">
        <v>256</v>
      </c>
      <c r="U63" s="48" t="s">
        <v>266</v>
      </c>
      <c r="V63" s="64"/>
      <c r="W63" s="17"/>
      <c r="X63" s="17"/>
    </row>
    <row r="64" spans="1:24" s="19" customFormat="1" ht="34.5" hidden="1" customHeight="1" x14ac:dyDescent="0.35">
      <c r="A64" s="215" t="s">
        <v>276</v>
      </c>
      <c r="B64" s="216"/>
      <c r="C64" s="141">
        <f>C63</f>
        <v>0</v>
      </c>
      <c r="D64" s="142"/>
      <c r="E64" s="143"/>
      <c r="F64" s="15" t="s">
        <v>39</v>
      </c>
      <c r="G64" s="213">
        <f>G63</f>
        <v>0</v>
      </c>
      <c r="H64" s="214"/>
      <c r="R64"/>
      <c r="S64" s="64"/>
      <c r="T64" s="48" t="s">
        <v>257</v>
      </c>
      <c r="U64" s="48" t="s">
        <v>267</v>
      </c>
      <c r="V64" s="64"/>
      <c r="W64" s="17"/>
      <c r="X64" s="17"/>
    </row>
    <row r="65" spans="1:24" s="19" customFormat="1" ht="41.25" hidden="1" customHeight="1" x14ac:dyDescent="0.35">
      <c r="A65" s="219"/>
      <c r="B65" s="220"/>
      <c r="C65" s="141"/>
      <c r="D65" s="142"/>
      <c r="E65" s="142"/>
      <c r="F65" s="142"/>
      <c r="G65" s="142"/>
      <c r="H65" s="143"/>
      <c r="R65"/>
      <c r="S65" s="64"/>
      <c r="T65" s="48" t="s">
        <v>259</v>
      </c>
      <c r="U65" s="48" t="s">
        <v>268</v>
      </c>
      <c r="V65" s="64"/>
      <c r="W65" s="17"/>
      <c r="X65" s="17"/>
    </row>
    <row r="66" spans="1:24" s="19" customFormat="1" ht="15.75" hidden="1" customHeight="1" x14ac:dyDescent="0.35">
      <c r="A66" s="215" t="s">
        <v>377</v>
      </c>
      <c r="B66" s="216"/>
      <c r="C66" s="215"/>
      <c r="D66" s="224"/>
      <c r="E66" s="216"/>
      <c r="F66" s="116" t="s">
        <v>39</v>
      </c>
      <c r="G66" s="228"/>
      <c r="H66" s="229"/>
      <c r="R66"/>
      <c r="S66" s="64"/>
      <c r="T66" s="48" t="s">
        <v>260</v>
      </c>
      <c r="U66" s="64" t="s">
        <v>290</v>
      </c>
      <c r="V66" s="64"/>
      <c r="W66" s="17"/>
      <c r="X66" s="17"/>
    </row>
    <row r="67" spans="1:24" s="19" customFormat="1" ht="33.75" hidden="1" customHeight="1" x14ac:dyDescent="0.35">
      <c r="A67" s="217"/>
      <c r="B67" s="218"/>
      <c r="C67" s="219"/>
      <c r="D67" s="225"/>
      <c r="E67" s="220"/>
      <c r="F67" s="116" t="s">
        <v>345</v>
      </c>
      <c r="G67" s="228"/>
      <c r="H67" s="229"/>
      <c r="R67"/>
      <c r="S67" s="64"/>
      <c r="T67" s="48" t="s">
        <v>261</v>
      </c>
      <c r="U67" s="64"/>
      <c r="V67" s="64"/>
      <c r="W67" s="17"/>
      <c r="X67" s="17"/>
    </row>
    <row r="68" spans="1:24" s="19" customFormat="1" ht="33.75" hidden="1" customHeight="1" x14ac:dyDescent="0.35">
      <c r="A68" s="219"/>
      <c r="B68" s="220"/>
      <c r="C68" s="221" t="s">
        <v>400</v>
      </c>
      <c r="D68" s="222"/>
      <c r="E68" s="222"/>
      <c r="F68" s="222"/>
      <c r="G68" s="222"/>
      <c r="H68" s="223"/>
      <c r="I68" s="89"/>
      <c r="R68"/>
      <c r="S68" s="64"/>
      <c r="T68" s="48"/>
      <c r="U68" s="64"/>
      <c r="V68" s="64"/>
      <c r="W68" s="17"/>
      <c r="X68" s="17"/>
    </row>
    <row r="69" spans="1:24" x14ac:dyDescent="0.35">
      <c r="A69" s="168" t="s">
        <v>41</v>
      </c>
      <c r="B69" s="169"/>
      <c r="C69" s="168" t="s">
        <v>101</v>
      </c>
      <c r="D69" s="170"/>
      <c r="E69" s="169"/>
      <c r="F69" s="39" t="s">
        <v>39</v>
      </c>
      <c r="G69" s="226" t="s">
        <v>27</v>
      </c>
      <c r="H69" s="227"/>
      <c r="R69"/>
      <c r="S69" s="64"/>
      <c r="T69" s="48" t="s">
        <v>263</v>
      </c>
      <c r="U69" s="64"/>
      <c r="V69" s="64"/>
    </row>
    <row r="70" spans="1:24" x14ac:dyDescent="0.35">
      <c r="A70" s="197" t="s">
        <v>43</v>
      </c>
      <c r="B70" s="197"/>
      <c r="C70" s="197"/>
      <c r="D70" s="197"/>
      <c r="E70" s="197"/>
      <c r="F70" s="197"/>
      <c r="G70" s="197"/>
      <c r="H70" s="197"/>
      <c r="S70" s="64"/>
      <c r="T70" s="48" t="s">
        <v>272</v>
      </c>
      <c r="U70" s="64"/>
      <c r="V70" s="64"/>
    </row>
    <row r="71" spans="1:24" x14ac:dyDescent="0.35">
      <c r="A71" s="173" t="s">
        <v>86</v>
      </c>
      <c r="B71" s="173"/>
      <c r="C71" s="173"/>
      <c r="D71" s="163">
        <f>170947.89+50048.62</f>
        <v>220996.51</v>
      </c>
      <c r="E71" s="163"/>
      <c r="F71" s="163"/>
      <c r="G71" s="163"/>
      <c r="H71" s="163"/>
      <c r="R71"/>
    </row>
    <row r="72" spans="1:24" x14ac:dyDescent="0.35">
      <c r="A72" s="145" t="s">
        <v>44</v>
      </c>
      <c r="B72" s="146"/>
      <c r="C72" s="146"/>
      <c r="D72" s="146" t="s">
        <v>495</v>
      </c>
      <c r="E72" s="146"/>
      <c r="F72" s="146"/>
      <c r="G72" s="146"/>
      <c r="H72" s="146"/>
      <c r="I72" s="20"/>
      <c r="R72"/>
    </row>
    <row r="73" spans="1:24" ht="113.5" customHeight="1" x14ac:dyDescent="0.35">
      <c r="A73" s="149" t="s">
        <v>45</v>
      </c>
      <c r="B73" s="150"/>
      <c r="C73" s="151"/>
      <c r="D73" s="252" t="s">
        <v>503</v>
      </c>
      <c r="E73" s="253"/>
      <c r="F73" s="253"/>
      <c r="G73" s="253"/>
      <c r="H73" s="253"/>
      <c r="R73"/>
    </row>
    <row r="74" spans="1:24" ht="32" customHeight="1" x14ac:dyDescent="0.35">
      <c r="A74" s="149" t="s">
        <v>84</v>
      </c>
      <c r="B74" s="150"/>
      <c r="C74" s="151"/>
      <c r="D74" s="145" t="s">
        <v>417</v>
      </c>
      <c r="E74" s="146"/>
      <c r="F74" s="146"/>
      <c r="G74" s="146"/>
      <c r="H74" s="146"/>
      <c r="I74" s="18"/>
      <c r="R74"/>
    </row>
    <row r="75" spans="1:24" ht="32" customHeight="1" x14ac:dyDescent="0.35">
      <c r="A75" s="152"/>
      <c r="B75" s="153"/>
      <c r="C75" s="154"/>
      <c r="D75" s="145" t="s">
        <v>418</v>
      </c>
      <c r="E75" s="146"/>
      <c r="F75" s="146"/>
      <c r="G75" s="146"/>
      <c r="H75" s="146"/>
      <c r="I75" s="18"/>
      <c r="R75"/>
    </row>
    <row r="76" spans="1:24" ht="32" customHeight="1" x14ac:dyDescent="0.35">
      <c r="A76" s="152"/>
      <c r="B76" s="153"/>
      <c r="C76" s="154"/>
      <c r="D76" s="145" t="s">
        <v>502</v>
      </c>
      <c r="E76" s="146"/>
      <c r="F76" s="146"/>
      <c r="G76" s="146"/>
      <c r="H76" s="146"/>
      <c r="I76" s="18"/>
      <c r="R76"/>
    </row>
    <row r="77" spans="1:24" ht="32" customHeight="1" x14ac:dyDescent="0.35">
      <c r="A77" s="152"/>
      <c r="B77" s="153"/>
      <c r="C77" s="154"/>
      <c r="D77" s="147" t="s">
        <v>419</v>
      </c>
      <c r="E77" s="148"/>
      <c r="F77" s="148"/>
      <c r="G77" s="148"/>
      <c r="H77" s="148"/>
      <c r="I77" s="18"/>
      <c r="R77"/>
    </row>
    <row r="78" spans="1:24" ht="32" customHeight="1" x14ac:dyDescent="0.35">
      <c r="A78" s="155"/>
      <c r="B78" s="156"/>
      <c r="C78" s="157"/>
      <c r="D78" s="147" t="s">
        <v>420</v>
      </c>
      <c r="E78" s="148"/>
      <c r="F78" s="148"/>
      <c r="G78" s="148"/>
      <c r="H78" s="148"/>
      <c r="I78" s="18"/>
      <c r="R78"/>
    </row>
    <row r="79" spans="1:24" ht="34" customHeight="1" x14ac:dyDescent="0.35">
      <c r="A79" s="163" t="s">
        <v>42</v>
      </c>
      <c r="B79" s="163"/>
      <c r="C79" s="163"/>
      <c r="D79" s="250" t="s">
        <v>414</v>
      </c>
      <c r="E79" s="250"/>
      <c r="F79" s="250"/>
      <c r="G79" s="250"/>
      <c r="H79" s="250"/>
      <c r="J79" s="21"/>
      <c r="K79" s="20"/>
      <c r="N79" s="20"/>
      <c r="S79"/>
    </row>
    <row r="80" spans="1:24" ht="15.75" customHeight="1" x14ac:dyDescent="0.35">
      <c r="A80" s="163" t="s">
        <v>82</v>
      </c>
      <c r="B80" s="163"/>
      <c r="C80" s="163"/>
      <c r="D80" s="251" t="str">
        <f>(IF(G69="NA","60 Years After Completion",IF(G69&lt;&gt;"NA",""&amp;60-ROUNDDOWN((E3-G69)/360,0)&amp;" Years"," ")))</f>
        <v>60 Years After Completion</v>
      </c>
      <c r="E80" s="251"/>
      <c r="F80" s="251"/>
      <c r="G80" s="251"/>
      <c r="H80" s="251"/>
      <c r="N80" s="20"/>
      <c r="S80"/>
    </row>
    <row r="81" spans="1:19" ht="15.75" customHeight="1" x14ac:dyDescent="0.35">
      <c r="A81" s="163" t="s">
        <v>83</v>
      </c>
      <c r="B81" s="163"/>
      <c r="C81" s="163"/>
      <c r="D81" s="173" t="s">
        <v>22</v>
      </c>
      <c r="E81" s="173"/>
      <c r="F81" s="173"/>
      <c r="G81" s="173"/>
      <c r="H81" s="173"/>
      <c r="J81" s="22"/>
      <c r="K81" s="22"/>
      <c r="S81"/>
    </row>
    <row r="82" spans="1:19" s="19" customFormat="1" ht="127.5" customHeight="1" x14ac:dyDescent="0.35">
      <c r="A82" s="146" t="s">
        <v>381</v>
      </c>
      <c r="B82" s="146"/>
      <c r="C82" s="146"/>
      <c r="D82" s="145" t="s">
        <v>416</v>
      </c>
      <c r="E82" s="145"/>
      <c r="F82" s="145"/>
      <c r="G82" s="145"/>
      <c r="H82" s="145"/>
      <c r="S82" s="98"/>
    </row>
    <row r="83" spans="1:19" x14ac:dyDescent="0.35">
      <c r="A83" s="173" t="s">
        <v>142</v>
      </c>
      <c r="B83" s="173"/>
      <c r="C83" s="173"/>
      <c r="D83" s="173" t="s">
        <v>27</v>
      </c>
      <c r="E83" s="173"/>
      <c r="F83" s="173"/>
      <c r="G83" s="173"/>
      <c r="H83" s="173"/>
      <c r="I83" s="23"/>
      <c r="J83" s="23"/>
      <c r="K83" s="23"/>
      <c r="L83" s="23"/>
      <c r="M83" s="23"/>
      <c r="N83" s="23"/>
    </row>
    <row r="84" spans="1:19" ht="15.75" customHeight="1" x14ac:dyDescent="0.35">
      <c r="A84" s="163" t="s">
        <v>81</v>
      </c>
      <c r="B84" s="163"/>
      <c r="C84" s="163"/>
      <c r="D84" s="145" t="str">
        <f ca="1">(IF(G90&gt;95%,"Nothing",IF(G90&gt;0%,"Cement, Aggregate, Steel, etc",IF(G90=0%,"Work not yet Started"))))</f>
        <v>Cement, Aggregate, Steel, etc</v>
      </c>
      <c r="E84" s="145"/>
      <c r="F84" s="145"/>
      <c r="G84" s="145"/>
      <c r="H84" s="145"/>
      <c r="J84" s="22"/>
      <c r="S84"/>
    </row>
    <row r="85" spans="1:19" ht="33.75" customHeight="1" thickBot="1" x14ac:dyDescent="0.4">
      <c r="A85" s="173" t="s">
        <v>114</v>
      </c>
      <c r="B85" s="173"/>
      <c r="C85" s="173"/>
      <c r="D85" s="145" t="str">
        <f ca="1">(IF(D84="Nothing","Yes",IF(D84="Cement, Aggregate, Steel, etc","Under Construction",IF(D84="Work not yet Started","Work not yet Started"))))</f>
        <v>Under Construction</v>
      </c>
      <c r="E85" s="145"/>
      <c r="F85" s="145" t="str">
        <f ca="1">(IF(D84="Nothing","Yes",IF(D84="Cement, Aggregate, Steel, etc","Under Construction",IF(D84="Work not yet Started","Work not yet Started"))))</f>
        <v>Under Construction</v>
      </c>
      <c r="G85" s="145"/>
      <c r="H85" s="145"/>
      <c r="S85"/>
    </row>
    <row r="86" spans="1:19" ht="32" customHeight="1" x14ac:dyDescent="0.35">
      <c r="A86" s="136" t="s">
        <v>134</v>
      </c>
      <c r="B86" s="136"/>
      <c r="C86" s="136" t="str">
        <f>D74</f>
        <v>Building No.3 (Tower A) = 2B + LG + Gr/St + P1 to P4 + 5th to 64th upper floor</v>
      </c>
      <c r="D86" s="136"/>
      <c r="E86" s="136"/>
      <c r="F86" s="136"/>
      <c r="G86" s="136"/>
      <c r="H86" s="136"/>
      <c r="I86" s="99" t="str">
        <f ca="1">IF(D99=100%,"All work Completed. Possession granted to the Building.",IF(D98=100%,"All work Completed, Waiting for OC",I87&amp;""&amp;I88&amp;""&amp;J87&amp;""&amp;J86&amp;" "&amp;J88))</f>
        <v>Excavation, Plinth Completed, RCC upto 65 Slab, Brickwork upto 62 Floor, Internal Plaster upto 46.5 Floor, External Plaster upto 43.4 Floor Completed</v>
      </c>
      <c r="J86" s="43" t="str">
        <f ca="1">(IF(C92=(D87+F87+H87),"",IF(C92&gt;0,", RCC upto "&amp;C92&amp;" Slab","")))&amp;(IF(C93=H87,"",IF(C93&gt;0,", Brickwork upto "&amp;C93&amp;" Floor","")))&amp;(IF(C94=H87,"",IF(C94&gt;0,", Internal Plaster upto "&amp;C94&amp;" Floor","")))&amp;(IF(C95=H87,"",IF(C95&gt;0,", External Plaster upto "&amp;C95&amp;" Floor","")))&amp;(IF(C96=H87,"",IF(C96&gt;0,", Flooring upto "&amp;C96&amp;" Floor","")))&amp;(IF(C97=H87,"",IF(C97&gt;0,", Painting upto "&amp;C97&amp;" Floor","")))&amp;(IF(C98=H87,"",IF(C98&gt;0,", Finishing upto "&amp;C98&amp;" Floor","")))&amp;(IF(C99=H87,"",IF(C99&gt;0,", Possession upto "&amp;C99&amp;" Floor","")))</f>
        <v>, RCC upto 65 Slab, Brickwork upto 62 Floor, Internal Plaster upto 46.5 Floor, External Plaster upto 43.4 Floor</v>
      </c>
      <c r="S86"/>
    </row>
    <row r="87" spans="1:19" x14ac:dyDescent="0.35">
      <c r="A87" s="41" t="s">
        <v>136</v>
      </c>
      <c r="B87" s="41">
        <f>IF(AND(ISNUMBER(SEARCH("1B",C86))),1,IF(AND(ISNUMBER(SEARCH("2B",C86))),2,IF(AND(ISNUMBER(SEARCH("3B",C86))),3,IF(AND(ISNUMBER(SEARCH("4B",C86))),4,IF(ISNUMBER(SEARCH("5B",C86)),5,0)))))</f>
        <v>2</v>
      </c>
      <c r="C87" s="41" t="s">
        <v>67</v>
      </c>
      <c r="D87" s="41">
        <v>1</v>
      </c>
      <c r="E87" s="41" t="s">
        <v>66</v>
      </c>
      <c r="F87" s="41">
        <v>1</v>
      </c>
      <c r="G87" s="42" t="s">
        <v>75</v>
      </c>
      <c r="H87" s="41">
        <f ca="1">--TRIM(RIGHT(SUBSTITUTE(LEFT(C86,_xlfn.AGGREGATE(16,6,FIND({0,1,2,3,4,5,6,7,8,9},C86,ROW(INDIRECT("1:"&amp;LEN(C86)))),1))," ",REPT(" ",LEN(C86))),LEN(C86)))</f>
        <v>64</v>
      </c>
      <c r="I87" s="100" t="str">
        <f ca="1">IF(D90=100%,"Excavation","")&amp;IF(D91=100%,", Plinth","")&amp;IF(D92=100%,", RCC Slab","")&amp;IF(D93=100%,", Brickwork","")&amp;IF(D94=100%,", Internal Plaster","")&amp;IF(D95=100%,", External Plaster","")&amp;IF(D96=100%,", Flooring","")&amp;IF(D97=100%,", Painting","")&amp;IF(D98=100%,", Building common Amenities","")</f>
        <v>Excavation, Plinth</v>
      </c>
      <c r="J87" s="44" t="str">
        <f ca="1">(IF(C90=0,"Work not yet Started.",IF(D90=25%,"Piling work in process",IF(D90=50%,"Excavation work in process",IF(D90=100%,"","0")))))&amp;(IF(C91=0%,"",IF(C91=J92,", Footing work is process",IF(C91=J93,", Footing work Completed",IF(C91=J94,", 1st Basement Completed",IF(C91=J95,", 1st &amp; 2nd Basement Completed",IF(C91=J96,", 1st to 3rd Basement Completed",IF(C91=J97,", 1st to 4th Basement Completed",IF(C91=J98,", Plinth work is process",IF(C91=J99,"","0"))))))))))</f>
        <v/>
      </c>
      <c r="S87"/>
    </row>
    <row r="88" spans="1:19" ht="51.5" customHeight="1" x14ac:dyDescent="0.35">
      <c r="A88" s="137" t="s">
        <v>85</v>
      </c>
      <c r="B88" s="137"/>
      <c r="C88" s="138" t="str">
        <f ca="1">I86</f>
        <v>Excavation, Plinth Completed, RCC upto 65 Slab, Brickwork upto 62 Floor, Internal Plaster upto 46.5 Floor, External Plaster upto 43.4 Floor Completed</v>
      </c>
      <c r="D88" s="138"/>
      <c r="E88" s="138"/>
      <c r="F88" s="138"/>
      <c r="G88" s="138"/>
      <c r="H88" s="138"/>
      <c r="I88" s="100" t="str">
        <f ca="1">IF(I87&lt;&gt;""," Completed","")</f>
        <v xml:space="preserve"> Completed</v>
      </c>
      <c r="J88" s="44" t="str">
        <f ca="1">IF(J86&lt;&gt;"","Completed","")</f>
        <v>Completed</v>
      </c>
      <c r="S88"/>
    </row>
    <row r="89" spans="1:19" ht="15.75" customHeight="1" x14ac:dyDescent="0.35">
      <c r="A89" s="139" t="s">
        <v>46</v>
      </c>
      <c r="B89" s="139"/>
      <c r="C89" s="95" t="s">
        <v>133</v>
      </c>
      <c r="D89" s="95" t="s">
        <v>78</v>
      </c>
      <c r="E89" s="139" t="s">
        <v>80</v>
      </c>
      <c r="F89" s="139"/>
      <c r="G89" s="139" t="s">
        <v>79</v>
      </c>
      <c r="H89" s="139"/>
      <c r="I89" s="13" t="s">
        <v>135</v>
      </c>
      <c r="J89" s="24">
        <f ca="1">H87*25%</f>
        <v>16</v>
      </c>
      <c r="S89"/>
    </row>
    <row r="90" spans="1:19" x14ac:dyDescent="0.35">
      <c r="A90" s="139" t="s">
        <v>122</v>
      </c>
      <c r="B90" s="139"/>
      <c r="C90" s="90">
        <f ca="1">J91</f>
        <v>64</v>
      </c>
      <c r="D90" s="16">
        <f ca="1">((100/H87)*C90)/100</f>
        <v>1</v>
      </c>
      <c r="E90" s="140">
        <f ca="1">(((C91/H87*10)+(40/(D87+F87+H87)*C92)+(7.5/(H87)*C93)+(7.5/(H87)*C94)+(10/H87*C95)+(10/H87*C96)+(5/H87*C97)+(5/H87*C98)+(5/H87*C99))/100)</f>
        <v>0.688900331439394</v>
      </c>
      <c r="F90" s="140"/>
      <c r="G90" s="140">
        <f ca="1">((((C90/H87)*20)+((C91/H87)*25)+(30/(H87+F87+D87)*C92)+(5/H87*C93)+(5/H87*C94)+(5/H87*C95)+(5/H87*C96)+(0/H87*C97)+(0/H87*C98)+(5/H87*C99))/100)</f>
        <v>0.86412642045454546</v>
      </c>
      <c r="H90" s="140"/>
      <c r="I90" s="13" t="s">
        <v>96</v>
      </c>
      <c r="J90" s="25">
        <f ca="1">H87*50%</f>
        <v>32</v>
      </c>
    </row>
    <row r="91" spans="1:19" x14ac:dyDescent="0.35">
      <c r="A91" s="139" t="s">
        <v>47</v>
      </c>
      <c r="B91" s="139"/>
      <c r="C91" s="91">
        <f ca="1">J99</f>
        <v>64</v>
      </c>
      <c r="D91" s="16">
        <f ca="1">((100/H87)*C91)/100</f>
        <v>1</v>
      </c>
      <c r="E91" s="140"/>
      <c r="F91" s="140"/>
      <c r="G91" s="140"/>
      <c r="H91" s="140"/>
      <c r="I91" s="13" t="s">
        <v>97</v>
      </c>
      <c r="J91" s="25">
        <f ca="1">H87</f>
        <v>64</v>
      </c>
      <c r="L91" s="84"/>
      <c r="S91"/>
    </row>
    <row r="92" spans="1:19" ht="15.75" customHeight="1" x14ac:dyDescent="0.35">
      <c r="A92" s="139" t="s">
        <v>123</v>
      </c>
      <c r="B92" s="139"/>
      <c r="C92" s="90">
        <f>F87+64</f>
        <v>65</v>
      </c>
      <c r="D92" s="16">
        <f ca="1">((100/(D87+F87+H87))*C92)/100</f>
        <v>0.98484848484848486</v>
      </c>
      <c r="E92" s="140"/>
      <c r="F92" s="140"/>
      <c r="G92" s="140"/>
      <c r="H92" s="140"/>
      <c r="I92" s="13" t="s">
        <v>98</v>
      </c>
      <c r="J92" s="26">
        <f ca="1">(IF(B87&gt;1,(H87/(B87+2)),H87/4))</f>
        <v>16</v>
      </c>
      <c r="L92" s="17">
        <f>0.86*65</f>
        <v>55.9</v>
      </c>
      <c r="S92"/>
    </row>
    <row r="93" spans="1:19" ht="15.75" customHeight="1" x14ac:dyDescent="0.35">
      <c r="A93" s="139" t="s">
        <v>130</v>
      </c>
      <c r="B93" s="139" t="s">
        <v>124</v>
      </c>
      <c r="C93" s="90">
        <f>C92-F87-D87-1</f>
        <v>62</v>
      </c>
      <c r="D93" s="16">
        <f ca="1">((100/H87)*C93)/100</f>
        <v>0.96875</v>
      </c>
      <c r="E93" s="140"/>
      <c r="F93" s="140"/>
      <c r="G93" s="140"/>
      <c r="H93" s="140"/>
      <c r="I93" s="13" t="s">
        <v>99</v>
      </c>
      <c r="J93" s="26">
        <f ca="1">(IF(B87&gt;1,(H87/(B87+2)+J92),H87/4+J92))</f>
        <v>32</v>
      </c>
    </row>
    <row r="94" spans="1:19" ht="15.75" customHeight="1" x14ac:dyDescent="0.35">
      <c r="A94" s="139" t="s">
        <v>131</v>
      </c>
      <c r="B94" s="139" t="s">
        <v>124</v>
      </c>
      <c r="C94" s="91">
        <f>C93*0.75</f>
        <v>46.5</v>
      </c>
      <c r="D94" s="16">
        <f ca="1">((100/H87)*C94)/100</f>
        <v>0.7265625</v>
      </c>
      <c r="E94" s="140"/>
      <c r="F94" s="140"/>
      <c r="G94" s="140"/>
      <c r="H94" s="140"/>
      <c r="I94" s="13" t="s">
        <v>140</v>
      </c>
      <c r="J94" s="26">
        <f ca="1">(IF(B87&gt;1,(H87/(B87+2)+J93),0))</f>
        <v>48</v>
      </c>
    </row>
    <row r="95" spans="1:19" ht="15" customHeight="1" x14ac:dyDescent="0.35">
      <c r="A95" s="139" t="s">
        <v>129</v>
      </c>
      <c r="B95" s="139" t="s">
        <v>126</v>
      </c>
      <c r="C95" s="91">
        <f>C93*0.7</f>
        <v>43.4</v>
      </c>
      <c r="D95" s="16">
        <f ca="1">((100/(H87))*C95)/100</f>
        <v>0.67812499999999998</v>
      </c>
      <c r="E95" s="140"/>
      <c r="F95" s="140"/>
      <c r="G95" s="140"/>
      <c r="H95" s="140"/>
      <c r="I95" s="13" t="s">
        <v>137</v>
      </c>
      <c r="J95" s="26">
        <f>(IF(B87&gt;2,(H87/(B87+2)+J94),0))</f>
        <v>0</v>
      </c>
    </row>
    <row r="96" spans="1:19" ht="15.75" customHeight="1" x14ac:dyDescent="0.35">
      <c r="A96" s="139" t="s">
        <v>125</v>
      </c>
      <c r="B96" s="139" t="s">
        <v>125</v>
      </c>
      <c r="C96" s="90">
        <v>0</v>
      </c>
      <c r="D96" s="16">
        <f ca="1">((100/H87)*C96)/100</f>
        <v>0</v>
      </c>
      <c r="E96" s="140"/>
      <c r="F96" s="140"/>
      <c r="G96" s="140"/>
      <c r="H96" s="140"/>
      <c r="I96" s="13" t="s">
        <v>138</v>
      </c>
      <c r="J96" s="27">
        <f>(IF(B87&gt;3,(H87/(B87+2)+J95),0))</f>
        <v>0</v>
      </c>
    </row>
    <row r="97" spans="1:19" ht="15.75" customHeight="1" x14ac:dyDescent="0.35">
      <c r="A97" s="139" t="s">
        <v>132</v>
      </c>
      <c r="B97" s="139"/>
      <c r="C97" s="90">
        <v>0</v>
      </c>
      <c r="D97" s="16">
        <f ca="1">((100/H87)*C97)/100</f>
        <v>0</v>
      </c>
      <c r="E97" s="140"/>
      <c r="F97" s="140"/>
      <c r="G97" s="140"/>
      <c r="H97" s="140"/>
      <c r="I97" s="13" t="s">
        <v>139</v>
      </c>
      <c r="J97" s="26">
        <f>(IF(B87&gt;4,(H87/(B87+2)+J96),0))</f>
        <v>0</v>
      </c>
    </row>
    <row r="98" spans="1:19" ht="15.75" customHeight="1" x14ac:dyDescent="0.35">
      <c r="A98" s="139" t="s">
        <v>127</v>
      </c>
      <c r="B98" s="139" t="s">
        <v>127</v>
      </c>
      <c r="C98" s="90">
        <v>0</v>
      </c>
      <c r="D98" s="16">
        <f ca="1">((100/(H87))*C98)/100</f>
        <v>0</v>
      </c>
      <c r="E98" s="140"/>
      <c r="F98" s="140"/>
      <c r="G98" s="140"/>
      <c r="H98" s="140"/>
      <c r="I98" s="13" t="s">
        <v>141</v>
      </c>
      <c r="J98" s="26">
        <f>(IF(B87=1,(H87/(B87+3)+J93),IF(B87=0,(H87/4+J93),IF(B87&gt;1,0))))</f>
        <v>0</v>
      </c>
    </row>
    <row r="99" spans="1:19" ht="16" thickBot="1" x14ac:dyDescent="0.4">
      <c r="A99" s="139" t="s">
        <v>128</v>
      </c>
      <c r="B99" s="139"/>
      <c r="C99" s="90">
        <v>0</v>
      </c>
      <c r="D99" s="16">
        <f ca="1">((100/(H87))*C99)/100</f>
        <v>0</v>
      </c>
      <c r="E99" s="140"/>
      <c r="F99" s="140"/>
      <c r="G99" s="140"/>
      <c r="H99" s="140"/>
      <c r="I99" s="14" t="s">
        <v>100</v>
      </c>
      <c r="J99" s="28">
        <f ca="1">(IF(B87&gt;1.5,(H87/(B87+2)+J93+MAX(0,J94-J93)+MAX(0,J95-J94)+MAX(0,J96-J95)+MAX(0,J97-J96)+MAX(0,J98-J97)),IF(B87=1,(H87/(B87+3)+J98),IF(B87=0,H87/4+J98))))</f>
        <v>64</v>
      </c>
    </row>
    <row r="100" spans="1:19" ht="32" customHeight="1" x14ac:dyDescent="0.35">
      <c r="A100" s="136" t="s">
        <v>134</v>
      </c>
      <c r="B100" s="136"/>
      <c r="C100" s="136" t="str">
        <f>D75</f>
        <v>Building No.3 (Tower B) = 2B + LG + Gr/St + P1 to P4 + 5th to 64th upper floor</v>
      </c>
      <c r="D100" s="136"/>
      <c r="E100" s="136"/>
      <c r="F100" s="136"/>
      <c r="G100" s="136"/>
      <c r="H100" s="136"/>
      <c r="I100" s="99" t="str">
        <f ca="1">IF(D113=100%,"All work Completed. Possession granted to the Building.",IF(D112=100%,"All work Completed, Waiting for OC",I101&amp;""&amp;I102&amp;""&amp;J101&amp;""&amp;J100&amp;" "&amp;J102))</f>
        <v>Excavation, Plinth Completed, RCC upto 61 Slab, Brickwork upto 58 Floor Completed</v>
      </c>
      <c r="J100" s="43" t="str">
        <f ca="1">(IF(C106=(D101+F101+H101),"",IF(C106&gt;0,", RCC upto "&amp;C106&amp;" Slab","")))&amp;(IF(C107=H101,"",IF(C107&gt;0,", Brickwork upto "&amp;C107&amp;" Floor","")))&amp;(IF(C108=H101,"",IF(C108&gt;0,", Internal Plaster upto "&amp;C108&amp;" Floor","")))&amp;(IF(C109=H101,"",IF(C109&gt;0,", External Plaster upto "&amp;C109&amp;" Floor","")))&amp;(IF(C110=H101,"",IF(C110&gt;0,", Flooring upto "&amp;C110&amp;" Floor","")))&amp;(IF(C111=H101,"",IF(C111&gt;0,", Painting upto "&amp;C111&amp;" Floor","")))&amp;(IF(C112=H101,"",IF(C112&gt;0,", Finishing upto "&amp;C112&amp;" Floor","")))&amp;(IF(C113=H101,"",IF(C113&gt;0,", Possession upto "&amp;C113&amp;" Floor","")))</f>
        <v>, RCC upto 61 Slab, Brickwork upto 58 Floor</v>
      </c>
      <c r="S100"/>
    </row>
    <row r="101" spans="1:19" x14ac:dyDescent="0.35">
      <c r="A101" s="41" t="s">
        <v>136</v>
      </c>
      <c r="B101" s="41">
        <f>IF(AND(ISNUMBER(SEARCH("1B",C100))),1,IF(AND(ISNUMBER(SEARCH("2B",C100))),2,IF(AND(ISNUMBER(SEARCH("3B",C100))),3,IF(AND(ISNUMBER(SEARCH("4B",C100))),4,IF(ISNUMBER(SEARCH("5B",C100)),5,0)))))</f>
        <v>2</v>
      </c>
      <c r="C101" s="41" t="s">
        <v>67</v>
      </c>
      <c r="D101" s="41">
        <v>1</v>
      </c>
      <c r="E101" s="41" t="s">
        <v>66</v>
      </c>
      <c r="F101" s="41">
        <v>1</v>
      </c>
      <c r="G101" s="42" t="s">
        <v>75</v>
      </c>
      <c r="H101" s="41">
        <f ca="1">--TRIM(RIGHT(SUBSTITUTE(LEFT(C100,_xlfn.AGGREGATE(16,6,FIND({0,1,2,3,4,5,6,7,8,9},C100,ROW(INDIRECT("1:"&amp;LEN(C100)))),1))," ",REPT(" ",LEN(C100))),LEN(C100)))</f>
        <v>64</v>
      </c>
      <c r="I101" s="100" t="str">
        <f ca="1">IF(D104=100%,"Excavation","")&amp;IF(D105=100%,", Plinth","")&amp;IF(D106=100%,", RCC Slab","")&amp;IF(D107=100%,", Brickwork","")&amp;IF(D108=100%,", Internal Plaster","")&amp;IF(D109=100%,", External Plaster","")&amp;IF(D110=100%,", Flooring","")&amp;IF(D111=100%,", Painting","")&amp;IF(D112=100%,", Building common Amenities","")</f>
        <v>Excavation, Plinth</v>
      </c>
      <c r="J101" s="44" t="str">
        <f ca="1">(IF(C104=0,"Work not yet Started.",IF(D104=25%,"Piling work in process",IF(D104=50%,"Excavation work in process",IF(D104=100%,"","0")))))&amp;(IF(C105=0%,"",IF(C105=J106,", Footing work is process",IF(C105=J107,", Footing work Completed",IF(C105=J108,", 1st Basement Completed",IF(C105=J109,", 1st &amp; 2nd Basement Completed",IF(C105=J110,", 1st to 3rd Basement Completed",IF(C105=J111,", 1st to 4th Basement Completed",IF(C105=J112,", Plinth work is process",IF(C105=J113,"","0"))))))))))</f>
        <v/>
      </c>
      <c r="S101"/>
    </row>
    <row r="102" spans="1:19" ht="32" customHeight="1" x14ac:dyDescent="0.35">
      <c r="A102" s="137" t="s">
        <v>85</v>
      </c>
      <c r="B102" s="137"/>
      <c r="C102" s="138" t="str">
        <f ca="1">I100</f>
        <v>Excavation, Plinth Completed, RCC upto 61 Slab, Brickwork upto 58 Floor Completed</v>
      </c>
      <c r="D102" s="138"/>
      <c r="E102" s="138"/>
      <c r="F102" s="138"/>
      <c r="G102" s="138"/>
      <c r="H102" s="138"/>
      <c r="I102" s="100" t="str">
        <f ca="1">IF(I101&lt;&gt;""," Completed","")</f>
        <v xml:space="preserve"> Completed</v>
      </c>
      <c r="J102" s="44" t="str">
        <f ca="1">IF(J100&lt;&gt;"","Completed","")</f>
        <v>Completed</v>
      </c>
      <c r="S102"/>
    </row>
    <row r="103" spans="1:19" ht="15.75" customHeight="1" x14ac:dyDescent="0.35">
      <c r="A103" s="139" t="s">
        <v>46</v>
      </c>
      <c r="B103" s="139"/>
      <c r="C103" s="112" t="s">
        <v>133</v>
      </c>
      <c r="D103" s="112" t="s">
        <v>78</v>
      </c>
      <c r="E103" s="139" t="s">
        <v>80</v>
      </c>
      <c r="F103" s="139"/>
      <c r="G103" s="139" t="s">
        <v>79</v>
      </c>
      <c r="H103" s="139"/>
      <c r="I103" s="13" t="s">
        <v>135</v>
      </c>
      <c r="J103" s="24">
        <f ca="1">H101*25%</f>
        <v>16</v>
      </c>
      <c r="S103"/>
    </row>
    <row r="104" spans="1:19" x14ac:dyDescent="0.35">
      <c r="A104" s="139" t="s">
        <v>122</v>
      </c>
      <c r="B104" s="139"/>
      <c r="C104" s="90">
        <f ca="1">J105</f>
        <v>64</v>
      </c>
      <c r="D104" s="16">
        <f ca="1">((100/H101)*C104)/100</f>
        <v>1</v>
      </c>
      <c r="E104" s="140">
        <f ca="1">(((C105/H101*10)+(40/(D101+F101+H101)*C106)+(7.5/(H101)*C107)+(7.5/(H101)*C108)+(10/H101*C109)+(10/H101*C110)+(5/H101*C111)+(5/H101*C112)+(5/H101*C113))/100)</f>
        <v>0.53766571969696964</v>
      </c>
      <c r="F104" s="140"/>
      <c r="G104" s="140">
        <f ca="1">((((C104/H101)*20)+((C105/H101)*25)+(30/(H101+F101+D101)*C106)+(5/H101*C107)+(5/H101*C108)+(5/H101*C109)+(5/H101*C110)+(0/H101*C111)+(0/H101*C112)+(5/H101*C113))/100)</f>
        <v>0.77258522727272716</v>
      </c>
      <c r="H104" s="140"/>
      <c r="I104" s="13" t="s">
        <v>96</v>
      </c>
      <c r="J104" s="25">
        <f ca="1">H101*50%</f>
        <v>32</v>
      </c>
    </row>
    <row r="105" spans="1:19" x14ac:dyDescent="0.35">
      <c r="A105" s="139" t="s">
        <v>47</v>
      </c>
      <c r="B105" s="139"/>
      <c r="C105" s="91">
        <f ca="1">J113</f>
        <v>64</v>
      </c>
      <c r="D105" s="16">
        <f ca="1">((100/H101)*C105)/100</f>
        <v>1</v>
      </c>
      <c r="E105" s="140"/>
      <c r="F105" s="140"/>
      <c r="G105" s="140"/>
      <c r="H105" s="140"/>
      <c r="I105" s="13" t="s">
        <v>97</v>
      </c>
      <c r="J105" s="25">
        <f ca="1">H101</f>
        <v>64</v>
      </c>
      <c r="L105" s="84"/>
      <c r="S105"/>
    </row>
    <row r="106" spans="1:19" ht="15.75" customHeight="1" x14ac:dyDescent="0.35">
      <c r="A106" s="139" t="s">
        <v>123</v>
      </c>
      <c r="B106" s="139"/>
      <c r="C106" s="90">
        <v>61</v>
      </c>
      <c r="D106" s="16">
        <f ca="1">((100/(D101+F101+H101))*C106)/100</f>
        <v>0.9242424242424242</v>
      </c>
      <c r="E106" s="140"/>
      <c r="F106" s="140"/>
      <c r="G106" s="140"/>
      <c r="H106" s="140"/>
      <c r="I106" s="13" t="s">
        <v>98</v>
      </c>
      <c r="J106" s="26">
        <f ca="1">(IF(B101&gt;1,(H101/(B101+2)),H101/4))</f>
        <v>16</v>
      </c>
      <c r="S106"/>
    </row>
    <row r="107" spans="1:19" ht="15.75" customHeight="1" x14ac:dyDescent="0.35">
      <c r="A107" s="139" t="s">
        <v>130</v>
      </c>
      <c r="B107" s="139" t="s">
        <v>124</v>
      </c>
      <c r="C107" s="90">
        <f>C106-F101-D101-1</f>
        <v>58</v>
      </c>
      <c r="D107" s="16">
        <f ca="1">((100/H101)*C107)/100</f>
        <v>0.90625</v>
      </c>
      <c r="E107" s="140"/>
      <c r="F107" s="140"/>
      <c r="G107" s="140"/>
      <c r="H107" s="140"/>
      <c r="I107" s="13" t="s">
        <v>99</v>
      </c>
      <c r="J107" s="26">
        <f ca="1">(IF(B101&gt;1,(H101/(B101+2)+J106),H101/4+J106))</f>
        <v>32</v>
      </c>
    </row>
    <row r="108" spans="1:19" ht="15.75" customHeight="1" x14ac:dyDescent="0.35">
      <c r="A108" s="139" t="s">
        <v>131</v>
      </c>
      <c r="B108" s="139" t="s">
        <v>124</v>
      </c>
      <c r="C108" s="90">
        <v>0</v>
      </c>
      <c r="D108" s="16">
        <f ca="1">((100/H101)*C108)/100</f>
        <v>0</v>
      </c>
      <c r="E108" s="140"/>
      <c r="F108" s="140"/>
      <c r="G108" s="140"/>
      <c r="H108" s="140"/>
      <c r="I108" s="13" t="s">
        <v>140</v>
      </c>
      <c r="J108" s="26">
        <f ca="1">(IF(B101&gt;1,(H101/(B101+2)+J107),0))</f>
        <v>48</v>
      </c>
    </row>
    <row r="109" spans="1:19" ht="15" customHeight="1" x14ac:dyDescent="0.35">
      <c r="A109" s="139" t="s">
        <v>129</v>
      </c>
      <c r="B109" s="139" t="s">
        <v>126</v>
      </c>
      <c r="C109" s="90">
        <v>0</v>
      </c>
      <c r="D109" s="16">
        <f ca="1">((100/(H101))*C109)/100</f>
        <v>0</v>
      </c>
      <c r="E109" s="140"/>
      <c r="F109" s="140"/>
      <c r="G109" s="140"/>
      <c r="H109" s="140"/>
      <c r="I109" s="13" t="s">
        <v>137</v>
      </c>
      <c r="J109" s="26">
        <f>(IF(B101&gt;2,(H101/(B101+2)+J108),0))</f>
        <v>0</v>
      </c>
    </row>
    <row r="110" spans="1:19" ht="15.75" customHeight="1" x14ac:dyDescent="0.35">
      <c r="A110" s="139" t="s">
        <v>125</v>
      </c>
      <c r="B110" s="139" t="s">
        <v>125</v>
      </c>
      <c r="C110" s="90">
        <v>0</v>
      </c>
      <c r="D110" s="16">
        <f ca="1">((100/H101)*C110)/100</f>
        <v>0</v>
      </c>
      <c r="E110" s="140"/>
      <c r="F110" s="140"/>
      <c r="G110" s="140"/>
      <c r="H110" s="140"/>
      <c r="I110" s="13" t="s">
        <v>138</v>
      </c>
      <c r="J110" s="27">
        <f>(IF(B101&gt;3,(H101/(B101+2)+J109),0))</f>
        <v>0</v>
      </c>
    </row>
    <row r="111" spans="1:19" ht="15.75" customHeight="1" x14ac:dyDescent="0.35">
      <c r="A111" s="139" t="s">
        <v>132</v>
      </c>
      <c r="B111" s="139"/>
      <c r="C111" s="90">
        <v>0</v>
      </c>
      <c r="D111" s="16">
        <f ca="1">((100/H101)*C111)/100</f>
        <v>0</v>
      </c>
      <c r="E111" s="140"/>
      <c r="F111" s="140"/>
      <c r="G111" s="140"/>
      <c r="H111" s="140"/>
      <c r="I111" s="13" t="s">
        <v>139</v>
      </c>
      <c r="J111" s="26">
        <f>(IF(B101&gt;4,(H101/(B101+2)+J110),0))</f>
        <v>0</v>
      </c>
    </row>
    <row r="112" spans="1:19" ht="15.75" customHeight="1" x14ac:dyDescent="0.35">
      <c r="A112" s="139" t="s">
        <v>127</v>
      </c>
      <c r="B112" s="139" t="s">
        <v>127</v>
      </c>
      <c r="C112" s="90">
        <v>0</v>
      </c>
      <c r="D112" s="16">
        <f ca="1">((100/(H101))*C112)/100</f>
        <v>0</v>
      </c>
      <c r="E112" s="140"/>
      <c r="F112" s="140"/>
      <c r="G112" s="140"/>
      <c r="H112" s="140"/>
      <c r="I112" s="13" t="s">
        <v>141</v>
      </c>
      <c r="J112" s="26">
        <f>(IF(B101=1,(H101/(B101+3)+J107),IF(B101=0,(H101/4+J107),IF(B101&gt;1,0))))</f>
        <v>0</v>
      </c>
    </row>
    <row r="113" spans="1:19" ht="16" thickBot="1" x14ac:dyDescent="0.4">
      <c r="A113" s="139" t="s">
        <v>128</v>
      </c>
      <c r="B113" s="139"/>
      <c r="C113" s="90">
        <v>0</v>
      </c>
      <c r="D113" s="16">
        <f ca="1">((100/(H101))*C113)/100</f>
        <v>0</v>
      </c>
      <c r="E113" s="140"/>
      <c r="F113" s="140"/>
      <c r="G113" s="140"/>
      <c r="H113" s="140"/>
      <c r="I113" s="14" t="s">
        <v>100</v>
      </c>
      <c r="J113" s="28">
        <f ca="1">(IF(B101&gt;1.5,(H101/(B101+2)+J107+MAX(0,J108-J107)+MAX(0,J109-J108)+MAX(0,J110-J109)+MAX(0,J111-J110)+MAX(0,J112-J111)),IF(B101=1,(H101/(B101+3)+J112),IF(B101=0,H101/4+J112))))</f>
        <v>64</v>
      </c>
    </row>
    <row r="114" spans="1:19" ht="34" customHeight="1" x14ac:dyDescent="0.35">
      <c r="A114" s="136" t="s">
        <v>134</v>
      </c>
      <c r="B114" s="136"/>
      <c r="C114" s="136" t="str">
        <f>D76</f>
        <v>Building No.3 (Tower C) = 1B + LG + Gr/St + P1 to P4 + 5th to 64th upper floor</v>
      </c>
      <c r="D114" s="136"/>
      <c r="E114" s="136"/>
      <c r="F114" s="136"/>
      <c r="G114" s="136"/>
      <c r="H114" s="136"/>
      <c r="I114" s="99" t="str">
        <f ca="1">IF(D127=100%,"All work Completed. Possession granted to the Building.",IF(D126=100%,"All work Completed, Waiting for OC",I115&amp;""&amp;I116&amp;""&amp;J115&amp;""&amp;J114&amp;" "&amp;J116))</f>
        <v>Excavation, Plinth Completed, RCC upto 38 Slab, Brickwork upto 35 Floor Completed</v>
      </c>
      <c r="J114" s="43" t="str">
        <f ca="1">(IF(C120=(D115+F115+H115),"",IF(C120&gt;0,", RCC upto "&amp;C120&amp;" Slab","")))&amp;(IF(C121=H115,"",IF(C121&gt;0,", Brickwork upto "&amp;C121&amp;" Floor","")))&amp;(IF(C122=H115,"",IF(C122&gt;0,", Internal Plaster upto "&amp;C122&amp;" Floor","")))&amp;(IF(C123=H115,"",IF(C123&gt;0,", External Plaster upto "&amp;C123&amp;" Floor","")))&amp;(IF(C124=H115,"",IF(C124&gt;0,", Flooring upto "&amp;C124&amp;" Floor","")))&amp;(IF(C125=H115,"",IF(C125&gt;0,", Painting upto "&amp;C125&amp;" Floor","")))&amp;(IF(C126=H115,"",IF(C126&gt;0,", Finishing upto "&amp;C126&amp;" Floor","")))&amp;(IF(C127=H115,"",IF(C127&gt;0,", Possession upto "&amp;C127&amp;" Floor","")))</f>
        <v>, RCC upto 38 Slab, Brickwork upto 35 Floor</v>
      </c>
      <c r="S114"/>
    </row>
    <row r="115" spans="1:19" ht="16.5" customHeight="1" x14ac:dyDescent="0.35">
      <c r="A115" s="41" t="s">
        <v>136</v>
      </c>
      <c r="B115" s="41">
        <f>IF(AND(ISNUMBER(SEARCH("1B",C114))),1,IF(AND(ISNUMBER(SEARCH("2B",C114))),2,IF(AND(ISNUMBER(SEARCH("3B",C114))),3,IF(AND(ISNUMBER(SEARCH("4B",C114))),4,IF(ISNUMBER(SEARCH("5B",C114)),5,0)))))</f>
        <v>1</v>
      </c>
      <c r="C115" s="41" t="s">
        <v>67</v>
      </c>
      <c r="D115" s="41">
        <v>1</v>
      </c>
      <c r="E115" s="41" t="s">
        <v>66</v>
      </c>
      <c r="F115" s="41">
        <v>1</v>
      </c>
      <c r="G115" s="42" t="s">
        <v>75</v>
      </c>
      <c r="H115" s="41">
        <f ca="1">--TRIM(RIGHT(SUBSTITUTE(LEFT(C114,_xlfn.AGGREGATE(16,6,FIND({0,1,2,3,4,5,6,7,8,9},C114,ROW(INDIRECT("1:"&amp;LEN(C114)))),1))," ",REPT(" ",LEN(C114))),LEN(C114)))</f>
        <v>64</v>
      </c>
      <c r="I115" s="100" t="str">
        <f ca="1">IF(D118=100%,"Excavation","")&amp;IF(D119=100%,", Plinth","")&amp;IF(D120=100%,", RCC Slab","")&amp;IF(D121=100%,", Brickwork","")&amp;IF(D122=100%,", Internal Plaster","")&amp;IF(D123=100%,", External Plaster","")&amp;IF(D124=100%,", Flooring","")&amp;IF(D125=100%,", Painting","")&amp;IF(D126=100%,", Building common Amenities","")</f>
        <v>Excavation, Plinth</v>
      </c>
      <c r="J115" s="44" t="str">
        <f ca="1">(IF(C118=0,"Work not yet Started.",IF(D118=25%,"Piling work in process",IF(D118=50%,"Excavation work in process",IF(D118=100%,"","0")))))&amp;(IF(C119=0%,"",IF(C119=J120,", Footing work is process",IF(C119=J121,", Footing work Completed",IF(C119=J122,", 1st Basement Completed",IF(C119=J123,", 1st &amp; 2nd Basement Completed",IF(C119=J124,", 1st to 3rd Basement Completed",IF(C119=J125,", 1st to 4th Basement Completed",IF(C119=J126,", Plinth work is process",IF(C119=J127,"","0"))))))))))</f>
        <v/>
      </c>
      <c r="S115"/>
    </row>
    <row r="116" spans="1:19" ht="32.5" customHeight="1" x14ac:dyDescent="0.35">
      <c r="A116" s="137" t="s">
        <v>85</v>
      </c>
      <c r="B116" s="137"/>
      <c r="C116" s="138" t="str">
        <f ca="1">I114</f>
        <v>Excavation, Plinth Completed, RCC upto 38 Slab, Brickwork upto 35 Floor Completed</v>
      </c>
      <c r="D116" s="138"/>
      <c r="E116" s="138"/>
      <c r="F116" s="138"/>
      <c r="G116" s="138"/>
      <c r="H116" s="138"/>
      <c r="I116" s="100" t="str">
        <f ca="1">IF(I115&lt;&gt;""," Completed","")</f>
        <v xml:space="preserve"> Completed</v>
      </c>
      <c r="J116" s="44" t="str">
        <f ca="1">IF(J114&lt;&gt;"","Completed","")</f>
        <v>Completed</v>
      </c>
      <c r="S116"/>
    </row>
    <row r="117" spans="1:19" ht="16.5" customHeight="1" x14ac:dyDescent="0.35">
      <c r="A117" s="139" t="s">
        <v>46</v>
      </c>
      <c r="B117" s="139"/>
      <c r="C117" s="112" t="s">
        <v>133</v>
      </c>
      <c r="D117" s="112" t="s">
        <v>78</v>
      </c>
      <c r="E117" s="139" t="s">
        <v>80</v>
      </c>
      <c r="F117" s="139"/>
      <c r="G117" s="139" t="s">
        <v>79</v>
      </c>
      <c r="H117" s="139"/>
      <c r="I117" s="13" t="s">
        <v>135</v>
      </c>
      <c r="J117" s="24">
        <f ca="1">H115*25%</f>
        <v>16</v>
      </c>
      <c r="S117"/>
    </row>
    <row r="118" spans="1:19" ht="16.5" customHeight="1" x14ac:dyDescent="0.35">
      <c r="A118" s="139" t="s">
        <v>122</v>
      </c>
      <c r="B118" s="139"/>
      <c r="C118" s="90">
        <f ca="1">J119</f>
        <v>64</v>
      </c>
      <c r="D118" s="16">
        <f ca="1">((100/H115)*C118)/100</f>
        <v>1</v>
      </c>
      <c r="E118" s="140">
        <f ca="1">(((C119/H115*10)+(40/(D115+F115+H115)*C120)+(7.5/(H115)*C121)+(7.5/(H115)*C122)+(10/H115*C123)+(10/H115*C124)+(5/H115*C125)+(5/H115*C126)+(5/H115*C127))/100)</f>
        <v>0.37131865530303032</v>
      </c>
      <c r="F118" s="140"/>
      <c r="G118" s="140">
        <f ca="1">((((C118/H115)*20)+((C119/H115)*25)+(30/(H115+F115+D115)*C120)+(5/H115*C121)+(5/H115*C122)+(5/H115*C123)+(5/H115*C124)+(0/H115*C125)+(0/H115*C126)+(5/H115*C127))/100)</f>
        <v>0.6500710227272728</v>
      </c>
      <c r="H118" s="140"/>
      <c r="I118" s="13" t="s">
        <v>96</v>
      </c>
      <c r="J118" s="25">
        <f ca="1">H115*50%</f>
        <v>32</v>
      </c>
    </row>
    <row r="119" spans="1:19" ht="16.5" customHeight="1" x14ac:dyDescent="0.35">
      <c r="A119" s="139" t="s">
        <v>47</v>
      </c>
      <c r="B119" s="139"/>
      <c r="C119" s="91">
        <f ca="1">J127</f>
        <v>64</v>
      </c>
      <c r="D119" s="16">
        <f ca="1">((100/H115)*C119)/100</f>
        <v>1</v>
      </c>
      <c r="E119" s="140"/>
      <c r="F119" s="140"/>
      <c r="G119" s="140"/>
      <c r="H119" s="140"/>
      <c r="I119" s="13" t="s">
        <v>97</v>
      </c>
      <c r="J119" s="25">
        <f ca="1">H115</f>
        <v>64</v>
      </c>
      <c r="L119" s="84"/>
      <c r="S119"/>
    </row>
    <row r="120" spans="1:19" ht="16.5" customHeight="1" x14ac:dyDescent="0.35">
      <c r="A120" s="139" t="s">
        <v>123</v>
      </c>
      <c r="B120" s="139"/>
      <c r="C120" s="90">
        <v>38</v>
      </c>
      <c r="D120" s="16">
        <f ca="1">((100/(D115+F115+H115))*C120)/100</f>
        <v>0.5757575757575758</v>
      </c>
      <c r="E120" s="140"/>
      <c r="F120" s="140"/>
      <c r="G120" s="140"/>
      <c r="H120" s="140"/>
      <c r="I120" s="13" t="s">
        <v>98</v>
      </c>
      <c r="J120" s="26">
        <f ca="1">(IF(B115&gt;1,(H115/(B115+2)),H115/4))</f>
        <v>16</v>
      </c>
      <c r="S120"/>
    </row>
    <row r="121" spans="1:19" ht="16.5" customHeight="1" x14ac:dyDescent="0.35">
      <c r="A121" s="139" t="s">
        <v>130</v>
      </c>
      <c r="B121" s="139" t="s">
        <v>124</v>
      </c>
      <c r="C121" s="90">
        <f>C120-F115-D115-1</f>
        <v>35</v>
      </c>
      <c r="D121" s="16">
        <f ca="1">((100/H115)*C121)/100</f>
        <v>0.546875</v>
      </c>
      <c r="E121" s="140"/>
      <c r="F121" s="140"/>
      <c r="G121" s="140"/>
      <c r="H121" s="140"/>
      <c r="I121" s="13" t="s">
        <v>99</v>
      </c>
      <c r="J121" s="26">
        <f ca="1">(IF(B115&gt;1,(H115/(B115+2)+J120),H115/4+J120))</f>
        <v>32</v>
      </c>
    </row>
    <row r="122" spans="1:19" ht="16.5" customHeight="1" x14ac:dyDescent="0.35">
      <c r="A122" s="139" t="s">
        <v>131</v>
      </c>
      <c r="B122" s="139" t="s">
        <v>124</v>
      </c>
      <c r="C122" s="90">
        <v>0</v>
      </c>
      <c r="D122" s="16">
        <f ca="1">((100/H115)*C122)/100</f>
        <v>0</v>
      </c>
      <c r="E122" s="140"/>
      <c r="F122" s="140"/>
      <c r="G122" s="140"/>
      <c r="H122" s="140"/>
      <c r="I122" s="13" t="s">
        <v>140</v>
      </c>
      <c r="J122" s="26">
        <f>(IF(B115&gt;1,(H115/(B115+2)+J121),0))</f>
        <v>0</v>
      </c>
    </row>
    <row r="123" spans="1:19" ht="16.5" customHeight="1" x14ac:dyDescent="0.35">
      <c r="A123" s="139" t="s">
        <v>129</v>
      </c>
      <c r="B123" s="139" t="s">
        <v>126</v>
      </c>
      <c r="C123" s="90">
        <v>0</v>
      </c>
      <c r="D123" s="16">
        <f ca="1">((100/(H115))*C123)/100</f>
        <v>0</v>
      </c>
      <c r="E123" s="140"/>
      <c r="F123" s="140"/>
      <c r="G123" s="140"/>
      <c r="H123" s="140"/>
      <c r="I123" s="13" t="s">
        <v>137</v>
      </c>
      <c r="J123" s="26">
        <f>(IF(B115&gt;2,(H115/(B115+2)+J122),0))</f>
        <v>0</v>
      </c>
    </row>
    <row r="124" spans="1:19" ht="16.5" customHeight="1" x14ac:dyDescent="0.35">
      <c r="A124" s="139" t="s">
        <v>125</v>
      </c>
      <c r="B124" s="139" t="s">
        <v>125</v>
      </c>
      <c r="C124" s="90">
        <v>0</v>
      </c>
      <c r="D124" s="16">
        <f ca="1">((100/H115)*C124)/100</f>
        <v>0</v>
      </c>
      <c r="E124" s="140"/>
      <c r="F124" s="140"/>
      <c r="G124" s="140"/>
      <c r="H124" s="140"/>
      <c r="I124" s="13" t="s">
        <v>138</v>
      </c>
      <c r="J124" s="27">
        <f>(IF(B115&gt;3,(H115/(B115+2)+J123),0))</f>
        <v>0</v>
      </c>
    </row>
    <row r="125" spans="1:19" ht="16.5" customHeight="1" x14ac:dyDescent="0.35">
      <c r="A125" s="139" t="s">
        <v>132</v>
      </c>
      <c r="B125" s="139"/>
      <c r="C125" s="90">
        <v>0</v>
      </c>
      <c r="D125" s="16">
        <f ca="1">((100/H115)*C125)/100</f>
        <v>0</v>
      </c>
      <c r="E125" s="140"/>
      <c r="F125" s="140"/>
      <c r="G125" s="140"/>
      <c r="H125" s="140"/>
      <c r="I125" s="13" t="s">
        <v>139</v>
      </c>
      <c r="J125" s="26">
        <f>(IF(B115&gt;4,(H115/(B115+2)+J124),0))</f>
        <v>0</v>
      </c>
    </row>
    <row r="126" spans="1:19" ht="16.5" customHeight="1" x14ac:dyDescent="0.35">
      <c r="A126" s="139" t="s">
        <v>127</v>
      </c>
      <c r="B126" s="139" t="s">
        <v>127</v>
      </c>
      <c r="C126" s="90">
        <v>0</v>
      </c>
      <c r="D126" s="16">
        <f ca="1">((100/(H115))*C126)/100</f>
        <v>0</v>
      </c>
      <c r="E126" s="140"/>
      <c r="F126" s="140"/>
      <c r="G126" s="140"/>
      <c r="H126" s="140"/>
      <c r="I126" s="13" t="s">
        <v>141</v>
      </c>
      <c r="J126" s="26">
        <f ca="1">(IF(B115=1,(H115/(B115+3)+J121),IF(B115=0,(H115/4+J121),IF(B115&gt;1,0))))</f>
        <v>48</v>
      </c>
    </row>
    <row r="127" spans="1:19" ht="16.5" customHeight="1" thickBot="1" x14ac:dyDescent="0.4">
      <c r="A127" s="139" t="s">
        <v>128</v>
      </c>
      <c r="B127" s="139"/>
      <c r="C127" s="90">
        <v>0</v>
      </c>
      <c r="D127" s="16">
        <f ca="1">((100/(H115))*C127)/100</f>
        <v>0</v>
      </c>
      <c r="E127" s="140"/>
      <c r="F127" s="140"/>
      <c r="G127" s="140"/>
      <c r="H127" s="140"/>
      <c r="I127" s="14" t="s">
        <v>100</v>
      </c>
      <c r="J127" s="28">
        <f ca="1">(IF(B115&gt;1.5,(H115/(B115+2)+J121+MAX(0,J122-J121)+MAX(0,J123-J122)+MAX(0,J124-J123)+MAX(0,J125-J124)+MAX(0,J126-J125)),IF(B115=1,(H115/(B115+3)+J126),IF(B115=0,H115/4+J126))))</f>
        <v>64</v>
      </c>
    </row>
    <row r="128" spans="1:19" ht="33" customHeight="1" x14ac:dyDescent="0.35">
      <c r="A128" s="136" t="s">
        <v>134</v>
      </c>
      <c r="B128" s="136"/>
      <c r="C128" s="136" t="str">
        <f>D77</f>
        <v>Building No.4 (Tower D) = 1B + LG + Gr/St + P1 to P4 + 5th to 64th upper floor</v>
      </c>
      <c r="D128" s="136"/>
      <c r="E128" s="136"/>
      <c r="F128" s="136"/>
      <c r="G128" s="136"/>
      <c r="H128" s="136"/>
      <c r="I128" s="99" t="str">
        <f ca="1">IF(D141=100%,"All work Completed. Possession granted to the Building.",IF(D140=100%,"All work Completed, Waiting for OC",I129&amp;""&amp;I130&amp;""&amp;J129&amp;""&amp;J128&amp;" "&amp;J130))</f>
        <v>Excavation, Plinth Completed, RCC upto 35 Slab, Brickwork upto 32 Floor Completed</v>
      </c>
      <c r="J128" s="43" t="str">
        <f ca="1">(IF(C134=(D129+F129+H129),"",IF(C134&gt;0,", RCC upto "&amp;C134&amp;" Slab","")))&amp;(IF(C135=H129,"",IF(C135&gt;0,", Brickwork upto "&amp;C135&amp;" Floor","")))&amp;(IF(C136=H129,"",IF(C136&gt;0,", Internal Plaster upto "&amp;C136&amp;" Floor","")))&amp;(IF(C137=H129,"",IF(C137&gt;0,", External Plaster upto "&amp;C137&amp;" Floor","")))&amp;(IF(C138=H129,"",IF(C138&gt;0,", Flooring upto "&amp;C138&amp;" Floor","")))&amp;(IF(C139=H129,"",IF(C139&gt;0,", Painting upto "&amp;C139&amp;" Floor","")))&amp;(IF(C140=H129,"",IF(C140&gt;0,", Finishing upto "&amp;C140&amp;" Floor","")))&amp;(IF(C141=H129,"",IF(C141&gt;0,", Possession upto "&amp;C141&amp;" Floor","")))</f>
        <v>, RCC upto 35 Slab, Brickwork upto 32 Floor</v>
      </c>
      <c r="S128"/>
    </row>
    <row r="129" spans="1:19" ht="16.5" customHeight="1" x14ac:dyDescent="0.35">
      <c r="A129" s="41" t="s">
        <v>136</v>
      </c>
      <c r="B129" s="41">
        <f>IF(AND(ISNUMBER(SEARCH("1B",C128))),1,IF(AND(ISNUMBER(SEARCH("2B",C128))),2,IF(AND(ISNUMBER(SEARCH("3B",C128))),3,IF(AND(ISNUMBER(SEARCH("4B",C128))),4,IF(ISNUMBER(SEARCH("5B",C128)),5,0)))))</f>
        <v>1</v>
      </c>
      <c r="C129" s="41" t="s">
        <v>67</v>
      </c>
      <c r="D129" s="41">
        <v>1</v>
      </c>
      <c r="E129" s="41" t="s">
        <v>66</v>
      </c>
      <c r="F129" s="41">
        <v>1</v>
      </c>
      <c r="G129" s="42" t="s">
        <v>75</v>
      </c>
      <c r="H129" s="41">
        <f ca="1">--TRIM(RIGHT(SUBSTITUTE(LEFT(C128,_xlfn.AGGREGATE(16,6,FIND({0,1,2,3,4,5,6,7,8,9},C128,ROW(INDIRECT("1:"&amp;LEN(C128)))),1))," ",REPT(" ",LEN(C128))),LEN(C128)))</f>
        <v>64</v>
      </c>
      <c r="I129" s="100" t="str">
        <f ca="1">IF(D132=100%,"Excavation","")&amp;IF(D133=100%,", Plinth","")&amp;IF(D134=100%,", RCC Slab","")&amp;IF(D135=100%,", Brickwork","")&amp;IF(D136=100%,", Internal Plaster","")&amp;IF(D137=100%,", External Plaster","")&amp;IF(D138=100%,", Flooring","")&amp;IF(D139=100%,", Painting","")&amp;IF(D140=100%,", Building common Amenities","")</f>
        <v>Excavation, Plinth</v>
      </c>
      <c r="J129" s="44" t="str">
        <f ca="1">(IF(C132=0,"Work not yet Started.",IF(D132=25%,"Piling work in process",IF(D132=50%,"Excavation work in process",IF(D132=100%,"","0")))))&amp;(IF(C133=0%,"",IF(C133=J134,", Footing work is process",IF(C133=J135,", Footing work Completed",IF(C133=J136,", 1st Basement Completed",IF(C133=J137,", 1st &amp; 2nd Basement Completed",IF(C133=J138,", 1st to 3rd Basement Completed",IF(C133=J139,", 1st to 4th Basement Completed",IF(C133=J140,", Plinth work is process",IF(C133=J141,"","0"))))))))))</f>
        <v/>
      </c>
      <c r="S129"/>
    </row>
    <row r="130" spans="1:19" ht="33.5" customHeight="1" x14ac:dyDescent="0.35">
      <c r="A130" s="137" t="s">
        <v>85</v>
      </c>
      <c r="B130" s="137"/>
      <c r="C130" s="138" t="str">
        <f ca="1">I128</f>
        <v>Excavation, Plinth Completed, RCC upto 35 Slab, Brickwork upto 32 Floor Completed</v>
      </c>
      <c r="D130" s="138"/>
      <c r="E130" s="138"/>
      <c r="F130" s="138"/>
      <c r="G130" s="138"/>
      <c r="H130" s="138"/>
      <c r="I130" s="100" t="str">
        <f ca="1">IF(I129&lt;&gt;""," Completed","")</f>
        <v xml:space="preserve"> Completed</v>
      </c>
      <c r="J130" s="44" t="str">
        <f ca="1">IF(J128&lt;&gt;"","Completed","")</f>
        <v>Completed</v>
      </c>
      <c r="S130"/>
    </row>
    <row r="131" spans="1:19" ht="16.5" customHeight="1" x14ac:dyDescent="0.35">
      <c r="A131" s="139" t="s">
        <v>46</v>
      </c>
      <c r="B131" s="139"/>
      <c r="C131" s="112" t="s">
        <v>133</v>
      </c>
      <c r="D131" s="112" t="s">
        <v>78</v>
      </c>
      <c r="E131" s="139" t="s">
        <v>80</v>
      </c>
      <c r="F131" s="139"/>
      <c r="G131" s="139" t="s">
        <v>79</v>
      </c>
      <c r="H131" s="139"/>
      <c r="I131" s="13" t="s">
        <v>135</v>
      </c>
      <c r="J131" s="24">
        <f ca="1">H129*25%</f>
        <v>16</v>
      </c>
      <c r="S131"/>
    </row>
    <row r="132" spans="1:19" ht="16.5" customHeight="1" x14ac:dyDescent="0.35">
      <c r="A132" s="139" t="s">
        <v>122</v>
      </c>
      <c r="B132" s="139"/>
      <c r="C132" s="90">
        <f ca="1">J133</f>
        <v>64</v>
      </c>
      <c r="D132" s="16">
        <f ca="1">((100/H129)*C132)/100</f>
        <v>1</v>
      </c>
      <c r="E132" s="140">
        <f ca="1">(((C133/H129*10)+(40/(D129+F129+H129)*C134)+(7.5/(H129)*C135)+(7.5/(H129)*C136)+(10/H129*C137)+(10/H129*C138)+(5/H129*C139)+(5/H129*C140)+(5/H129*C141))/100)</f>
        <v>0.34962121212121211</v>
      </c>
      <c r="F132" s="140"/>
      <c r="G132" s="140">
        <f ca="1">((((C132/H129)*20)+((C133/H129)*25)+(30/(H129+F129+D129)*C134)+(5/H129*C135)+(5/H129*C136)+(5/H129*C137)+(5/H129*C138)+(0/H129*C139)+(0/H129*C140)+(5/H129*C141))/100)</f>
        <v>0.63409090909090904</v>
      </c>
      <c r="H132" s="140"/>
      <c r="I132" s="13" t="s">
        <v>96</v>
      </c>
      <c r="J132" s="25">
        <f ca="1">H129*50%</f>
        <v>32</v>
      </c>
    </row>
    <row r="133" spans="1:19" ht="16.5" customHeight="1" x14ac:dyDescent="0.35">
      <c r="A133" s="139" t="s">
        <v>47</v>
      </c>
      <c r="B133" s="139"/>
      <c r="C133" s="91">
        <f ca="1">J141</f>
        <v>64</v>
      </c>
      <c r="D133" s="16">
        <f ca="1">((100/H129)*C133)/100</f>
        <v>1</v>
      </c>
      <c r="E133" s="140"/>
      <c r="F133" s="140"/>
      <c r="G133" s="140"/>
      <c r="H133" s="140"/>
      <c r="I133" s="13" t="s">
        <v>97</v>
      </c>
      <c r="J133" s="25">
        <f ca="1">H129</f>
        <v>64</v>
      </c>
      <c r="L133" s="84"/>
      <c r="S133"/>
    </row>
    <row r="134" spans="1:19" ht="16.5" customHeight="1" x14ac:dyDescent="0.35">
      <c r="A134" s="139" t="s">
        <v>123</v>
      </c>
      <c r="B134" s="139"/>
      <c r="C134" s="90">
        <v>35</v>
      </c>
      <c r="D134" s="16">
        <f ca="1">((100/(D129+F129+H129))*C134)/100</f>
        <v>0.53030303030303028</v>
      </c>
      <c r="E134" s="140"/>
      <c r="F134" s="140"/>
      <c r="G134" s="140"/>
      <c r="H134" s="140"/>
      <c r="I134" s="13" t="s">
        <v>98</v>
      </c>
      <c r="J134" s="26">
        <f ca="1">(IF(B129&gt;1,(H129/(B129+2)),H129/4))</f>
        <v>16</v>
      </c>
      <c r="S134"/>
    </row>
    <row r="135" spans="1:19" ht="16.5" customHeight="1" x14ac:dyDescent="0.35">
      <c r="A135" s="139" t="s">
        <v>130</v>
      </c>
      <c r="B135" s="139" t="s">
        <v>124</v>
      </c>
      <c r="C135" s="90">
        <f>C134-F129-D129-1</f>
        <v>32</v>
      </c>
      <c r="D135" s="16">
        <f ca="1">((100/H129)*C135)/100</f>
        <v>0.5</v>
      </c>
      <c r="E135" s="140"/>
      <c r="F135" s="140"/>
      <c r="G135" s="140"/>
      <c r="H135" s="140"/>
      <c r="I135" s="13" t="s">
        <v>99</v>
      </c>
      <c r="J135" s="26">
        <f ca="1">(IF(B129&gt;1,(H129/(B129+2)+J134),H129/4+J134))</f>
        <v>32</v>
      </c>
    </row>
    <row r="136" spans="1:19" ht="16.5" customHeight="1" x14ac:dyDescent="0.35">
      <c r="A136" s="139" t="s">
        <v>131</v>
      </c>
      <c r="B136" s="139" t="s">
        <v>124</v>
      </c>
      <c r="C136" s="90">
        <v>0</v>
      </c>
      <c r="D136" s="16">
        <f ca="1">((100/H129)*C136)/100</f>
        <v>0</v>
      </c>
      <c r="E136" s="140"/>
      <c r="F136" s="140"/>
      <c r="G136" s="140"/>
      <c r="H136" s="140"/>
      <c r="I136" s="13" t="s">
        <v>140</v>
      </c>
      <c r="J136" s="26">
        <f>(IF(B129&gt;1,(H129/(B129+2)+J135),0))</f>
        <v>0</v>
      </c>
    </row>
    <row r="137" spans="1:19" ht="16.5" customHeight="1" x14ac:dyDescent="0.35">
      <c r="A137" s="139" t="s">
        <v>129</v>
      </c>
      <c r="B137" s="139" t="s">
        <v>126</v>
      </c>
      <c r="C137" s="90">
        <v>0</v>
      </c>
      <c r="D137" s="16">
        <f ca="1">((100/(H129))*C137)/100</f>
        <v>0</v>
      </c>
      <c r="E137" s="140"/>
      <c r="F137" s="140"/>
      <c r="G137" s="140"/>
      <c r="H137" s="140"/>
      <c r="I137" s="13" t="s">
        <v>137</v>
      </c>
      <c r="J137" s="26">
        <f>(IF(B129&gt;2,(H129/(B129+2)+J136),0))</f>
        <v>0</v>
      </c>
    </row>
    <row r="138" spans="1:19" ht="16.5" customHeight="1" x14ac:dyDescent="0.35">
      <c r="A138" s="139" t="s">
        <v>125</v>
      </c>
      <c r="B138" s="139" t="s">
        <v>125</v>
      </c>
      <c r="C138" s="90">
        <v>0</v>
      </c>
      <c r="D138" s="16">
        <f ca="1">((100/H129)*C138)/100</f>
        <v>0</v>
      </c>
      <c r="E138" s="140"/>
      <c r="F138" s="140"/>
      <c r="G138" s="140"/>
      <c r="H138" s="140"/>
      <c r="I138" s="13" t="s">
        <v>138</v>
      </c>
      <c r="J138" s="27">
        <f>(IF(B129&gt;3,(H129/(B129+2)+J137),0))</f>
        <v>0</v>
      </c>
    </row>
    <row r="139" spans="1:19" ht="16.5" customHeight="1" x14ac:dyDescent="0.35">
      <c r="A139" s="139" t="s">
        <v>132</v>
      </c>
      <c r="B139" s="139"/>
      <c r="C139" s="90">
        <v>0</v>
      </c>
      <c r="D139" s="16">
        <f ca="1">((100/H129)*C139)/100</f>
        <v>0</v>
      </c>
      <c r="E139" s="140"/>
      <c r="F139" s="140"/>
      <c r="G139" s="140"/>
      <c r="H139" s="140"/>
      <c r="I139" s="13" t="s">
        <v>139</v>
      </c>
      <c r="J139" s="26">
        <f>(IF(B129&gt;4,(H129/(B129+2)+J138),0))</f>
        <v>0</v>
      </c>
    </row>
    <row r="140" spans="1:19" ht="16.5" customHeight="1" x14ac:dyDescent="0.35">
      <c r="A140" s="139" t="s">
        <v>127</v>
      </c>
      <c r="B140" s="139" t="s">
        <v>127</v>
      </c>
      <c r="C140" s="90">
        <v>0</v>
      </c>
      <c r="D140" s="16">
        <f ca="1">((100/(H129))*C140)/100</f>
        <v>0</v>
      </c>
      <c r="E140" s="140"/>
      <c r="F140" s="140"/>
      <c r="G140" s="140"/>
      <c r="H140" s="140"/>
      <c r="I140" s="13" t="s">
        <v>141</v>
      </c>
      <c r="J140" s="26">
        <f ca="1">(IF(B129=1,(H129/(B129+3)+J135),IF(B129=0,(H129/4+J135),IF(B129&gt;1,0))))</f>
        <v>48</v>
      </c>
    </row>
    <row r="141" spans="1:19" ht="16.5" customHeight="1" thickBot="1" x14ac:dyDescent="0.4">
      <c r="A141" s="139" t="s">
        <v>128</v>
      </c>
      <c r="B141" s="139"/>
      <c r="C141" s="90">
        <v>0</v>
      </c>
      <c r="D141" s="16">
        <f ca="1">((100/(H129))*C141)/100</f>
        <v>0</v>
      </c>
      <c r="E141" s="140"/>
      <c r="F141" s="140"/>
      <c r="G141" s="140"/>
      <c r="H141" s="140"/>
      <c r="I141" s="14" t="s">
        <v>100</v>
      </c>
      <c r="J141" s="28">
        <f ca="1">(IF(B129&gt;1.5,(H129/(B129+2)+J135+MAX(0,J136-J135)+MAX(0,J137-J136)+MAX(0,J138-J137)+MAX(0,J139-J138)+MAX(0,J140-J139)),IF(B129=1,(H129/(B129+3)+J140),IF(B129=0,H129/4+J140))))</f>
        <v>64</v>
      </c>
    </row>
    <row r="142" spans="1:19" ht="33.5" customHeight="1" x14ac:dyDescent="0.35">
      <c r="A142" s="136" t="s">
        <v>134</v>
      </c>
      <c r="B142" s="136"/>
      <c r="C142" s="136" t="str">
        <f>D78</f>
        <v>Building No.4 (Tower E) = 2B + LG + Gr/St + P1 to P4 + 5th to 64th upper floor</v>
      </c>
      <c r="D142" s="136"/>
      <c r="E142" s="136"/>
      <c r="F142" s="136"/>
      <c r="G142" s="136"/>
      <c r="H142" s="136"/>
      <c r="I142" s="99" t="str">
        <f ca="1">IF(D155=100%,"All work Completed. Possession granted to the Building.",IF(D154=100%,"All work Completed, Waiting for OC",I143&amp;""&amp;I144&amp;""&amp;J143&amp;""&amp;J142&amp;" "&amp;J144))</f>
        <v xml:space="preserve">Work not yet Started. </v>
      </c>
      <c r="J142" s="43" t="str">
        <f ca="1">(IF(C148=(D143+F143+H143),"",IF(C148&gt;0,", RCC upto "&amp;C148&amp;" Slab","")))&amp;(IF(C149=H143,"",IF(C149&gt;0,", Brickwork upto "&amp;C149&amp;" Floor","")))&amp;(IF(C150=H143,"",IF(C150&gt;0,", Internal Plaster upto "&amp;C150&amp;" Floor","")))&amp;(IF(C151=H143,"",IF(C151&gt;0,", External Plaster upto "&amp;C151&amp;" Floor","")))&amp;(IF(C152=H143,"",IF(C152&gt;0,", Flooring upto "&amp;C152&amp;" Floor","")))&amp;(IF(C153=H143,"",IF(C153&gt;0,", Painting upto "&amp;C153&amp;" Floor","")))&amp;(IF(C154=H143,"",IF(C154&gt;0,", Finishing upto "&amp;C154&amp;" Floor","")))&amp;(IF(C155=H143,"",IF(C155&gt;0,", Possession upto "&amp;C155&amp;" Floor","")))</f>
        <v/>
      </c>
      <c r="S142"/>
    </row>
    <row r="143" spans="1:19" ht="16.5" customHeight="1" x14ac:dyDescent="0.35">
      <c r="A143" s="41" t="s">
        <v>136</v>
      </c>
      <c r="B143" s="41">
        <f>IF(AND(ISNUMBER(SEARCH("1B",C142))),1,IF(AND(ISNUMBER(SEARCH("2B",C142))),2,IF(AND(ISNUMBER(SEARCH("3B",C142))),3,IF(AND(ISNUMBER(SEARCH("4B",C142))),4,IF(ISNUMBER(SEARCH("5B",C142)),5,0)))))</f>
        <v>2</v>
      </c>
      <c r="C143" s="41" t="s">
        <v>67</v>
      </c>
      <c r="D143" s="41">
        <v>1</v>
      </c>
      <c r="E143" s="41" t="s">
        <v>66</v>
      </c>
      <c r="F143" s="41">
        <v>1</v>
      </c>
      <c r="G143" s="42" t="s">
        <v>75</v>
      </c>
      <c r="H143" s="41">
        <f ca="1">--TRIM(RIGHT(SUBSTITUTE(LEFT(C142,_xlfn.AGGREGATE(16,6,FIND({0,1,2,3,4,5,6,7,8,9},C142,ROW(INDIRECT("1:"&amp;LEN(C142)))),1))," ",REPT(" ",LEN(C142))),LEN(C142)))</f>
        <v>64</v>
      </c>
      <c r="I143" s="100" t="str">
        <f ca="1">IF(D146=100%,"Excavation","")&amp;IF(D147=100%,", Plinth","")&amp;IF(D148=100%,", RCC Slab","")&amp;IF(D149=100%,", Brickwork","")&amp;IF(D150=100%,", Internal Plaster","")&amp;IF(D151=100%,", External Plaster","")&amp;IF(D152=100%,", Flooring","")&amp;IF(D153=100%,", Painting","")&amp;IF(D154=100%,", Building common Amenities","")</f>
        <v/>
      </c>
      <c r="J143" s="44" t="str">
        <f>(IF(C146=0,"Work not yet Started.",IF(D146=25%,"Piling work in process",IF(D146=50%,"Excavation work in process",IF(D146=100%,"","0")))))&amp;(IF(C147=0%,"",IF(C147=J148,", Footing work is process",IF(C147=J149,", Footing work Completed",IF(C147=J150,", 1st Basement Completed",IF(C147=J151,", 1st &amp; 2nd Basement Completed",IF(C147=J152,", 1st to 3rd Basement Completed",IF(C147=J153,", 1st to 4th Basement Completed",IF(C147=J154,", Plinth work is process",IF(C147=J155,"","0"))))))))))</f>
        <v>Work not yet Started.</v>
      </c>
      <c r="S143"/>
    </row>
    <row r="144" spans="1:19" ht="16.5" customHeight="1" x14ac:dyDescent="0.35">
      <c r="A144" s="137" t="s">
        <v>85</v>
      </c>
      <c r="B144" s="137"/>
      <c r="C144" s="138" t="str">
        <f ca="1">I142</f>
        <v xml:space="preserve">Work not yet Started. </v>
      </c>
      <c r="D144" s="138"/>
      <c r="E144" s="138"/>
      <c r="F144" s="138"/>
      <c r="G144" s="138"/>
      <c r="H144" s="138"/>
      <c r="I144" s="100" t="str">
        <f ca="1">IF(I143&lt;&gt;""," Completed","")</f>
        <v/>
      </c>
      <c r="J144" s="44" t="str">
        <f ca="1">IF(J142&lt;&gt;"","Completed","")</f>
        <v/>
      </c>
      <c r="S144"/>
    </row>
    <row r="145" spans="1:22" ht="16.5" customHeight="1" x14ac:dyDescent="0.35">
      <c r="A145" s="139" t="s">
        <v>46</v>
      </c>
      <c r="B145" s="139"/>
      <c r="C145" s="112" t="s">
        <v>133</v>
      </c>
      <c r="D145" s="112" t="s">
        <v>78</v>
      </c>
      <c r="E145" s="139" t="s">
        <v>80</v>
      </c>
      <c r="F145" s="139"/>
      <c r="G145" s="139" t="s">
        <v>79</v>
      </c>
      <c r="H145" s="139"/>
      <c r="I145" s="13" t="s">
        <v>135</v>
      </c>
      <c r="J145" s="24">
        <f ca="1">H143*25%</f>
        <v>16</v>
      </c>
      <c r="S145"/>
    </row>
    <row r="146" spans="1:22" ht="16.5" customHeight="1" x14ac:dyDescent="0.35">
      <c r="A146" s="139" t="s">
        <v>122</v>
      </c>
      <c r="B146" s="139"/>
      <c r="C146" s="90">
        <v>0</v>
      </c>
      <c r="D146" s="16">
        <f ca="1">((100/H143)*C146)/100</f>
        <v>0</v>
      </c>
      <c r="E146" s="140">
        <f ca="1">(((C147/H143*10)+(40/(D143+F143+H143)*C148)+(7.5/(H143)*C149)+(7.5/(H143)*C150)+(10/H143*C151)+(10/H143*C152)+(5/H143*C153)+(5/H143*C154)+(5/H143*C155))/100)</f>
        <v>0</v>
      </c>
      <c r="F146" s="140"/>
      <c r="G146" s="140">
        <f ca="1">((((C146/H143)*20)+((C147/H143)*25)+(30/(H143+F143+D143)*C148)+(5/H143*C149)+(5/H143*C150)+(5/H143*C151)+(5/H143*C152)+(0/H143*C153)+(0/H143*C154)+(5/H143*C155))/100)</f>
        <v>0</v>
      </c>
      <c r="H146" s="140"/>
      <c r="I146" s="13" t="s">
        <v>96</v>
      </c>
      <c r="J146" s="25">
        <f ca="1">H143*50%</f>
        <v>32</v>
      </c>
    </row>
    <row r="147" spans="1:22" ht="16.5" customHeight="1" x14ac:dyDescent="0.35">
      <c r="A147" s="139" t="s">
        <v>47</v>
      </c>
      <c r="B147" s="139"/>
      <c r="C147" s="91">
        <v>0</v>
      </c>
      <c r="D147" s="16">
        <f ca="1">((100/H143)*C147)/100</f>
        <v>0</v>
      </c>
      <c r="E147" s="140"/>
      <c r="F147" s="140"/>
      <c r="G147" s="140"/>
      <c r="H147" s="140"/>
      <c r="I147" s="13" t="s">
        <v>97</v>
      </c>
      <c r="J147" s="25">
        <f ca="1">H143</f>
        <v>64</v>
      </c>
      <c r="L147" s="84"/>
      <c r="S147"/>
    </row>
    <row r="148" spans="1:22" ht="16.5" customHeight="1" x14ac:dyDescent="0.35">
      <c r="A148" s="139" t="s">
        <v>123</v>
      </c>
      <c r="B148" s="139"/>
      <c r="C148" s="90">
        <v>0</v>
      </c>
      <c r="D148" s="16">
        <f ca="1">((100/(D143+F143+H143))*C148)/100</f>
        <v>0</v>
      </c>
      <c r="E148" s="140"/>
      <c r="F148" s="140"/>
      <c r="G148" s="140"/>
      <c r="H148" s="140"/>
      <c r="I148" s="13" t="s">
        <v>98</v>
      </c>
      <c r="J148" s="26">
        <f ca="1">(IF(B143&gt;1,(H143/(B143+2)),H143/4))</f>
        <v>16</v>
      </c>
      <c r="S148"/>
    </row>
    <row r="149" spans="1:22" ht="16.5" customHeight="1" x14ac:dyDescent="0.35">
      <c r="A149" s="139" t="s">
        <v>130</v>
      </c>
      <c r="B149" s="139" t="s">
        <v>124</v>
      </c>
      <c r="C149" s="90">
        <v>0</v>
      </c>
      <c r="D149" s="16">
        <f ca="1">((100/H143)*C149)/100</f>
        <v>0</v>
      </c>
      <c r="E149" s="140"/>
      <c r="F149" s="140"/>
      <c r="G149" s="140"/>
      <c r="H149" s="140"/>
      <c r="I149" s="13" t="s">
        <v>99</v>
      </c>
      <c r="J149" s="26">
        <f ca="1">(IF(B143&gt;1,(H143/(B143+2)+J148),H143/4+J148))</f>
        <v>32</v>
      </c>
    </row>
    <row r="150" spans="1:22" ht="16.5" customHeight="1" x14ac:dyDescent="0.35">
      <c r="A150" s="139" t="s">
        <v>131</v>
      </c>
      <c r="B150" s="139" t="s">
        <v>124</v>
      </c>
      <c r="C150" s="90">
        <v>0</v>
      </c>
      <c r="D150" s="16">
        <f ca="1">((100/H143)*C150)/100</f>
        <v>0</v>
      </c>
      <c r="E150" s="140"/>
      <c r="F150" s="140"/>
      <c r="G150" s="140"/>
      <c r="H150" s="140"/>
      <c r="I150" s="13" t="s">
        <v>140</v>
      </c>
      <c r="J150" s="26">
        <f ca="1">(IF(B143&gt;1,(H143/(B143+2)+J149),0))</f>
        <v>48</v>
      </c>
    </row>
    <row r="151" spans="1:22" ht="16.5" customHeight="1" x14ac:dyDescent="0.35">
      <c r="A151" s="139" t="s">
        <v>129</v>
      </c>
      <c r="B151" s="139" t="s">
        <v>126</v>
      </c>
      <c r="C151" s="90">
        <v>0</v>
      </c>
      <c r="D151" s="16">
        <f ca="1">((100/(H143))*C151)/100</f>
        <v>0</v>
      </c>
      <c r="E151" s="140"/>
      <c r="F151" s="140"/>
      <c r="G151" s="140"/>
      <c r="H151" s="140"/>
      <c r="I151" s="13" t="s">
        <v>137</v>
      </c>
      <c r="J151" s="26">
        <f>(IF(B143&gt;2,(H143/(B143+2)+J150),0))</f>
        <v>0</v>
      </c>
    </row>
    <row r="152" spans="1:22" ht="16.5" customHeight="1" x14ac:dyDescent="0.35">
      <c r="A152" s="139" t="s">
        <v>125</v>
      </c>
      <c r="B152" s="139" t="s">
        <v>125</v>
      </c>
      <c r="C152" s="90">
        <v>0</v>
      </c>
      <c r="D152" s="16">
        <f ca="1">((100/H143)*C152)/100</f>
        <v>0</v>
      </c>
      <c r="E152" s="140"/>
      <c r="F152" s="140"/>
      <c r="G152" s="140"/>
      <c r="H152" s="140"/>
      <c r="I152" s="13" t="s">
        <v>138</v>
      </c>
      <c r="J152" s="27">
        <f>(IF(B143&gt;3,(H143/(B143+2)+J151),0))</f>
        <v>0</v>
      </c>
    </row>
    <row r="153" spans="1:22" ht="16.5" customHeight="1" x14ac:dyDescent="0.35">
      <c r="A153" s="139" t="s">
        <v>132</v>
      </c>
      <c r="B153" s="139"/>
      <c r="C153" s="90">
        <v>0</v>
      </c>
      <c r="D153" s="16">
        <f ca="1">((100/H143)*C153)/100</f>
        <v>0</v>
      </c>
      <c r="E153" s="140"/>
      <c r="F153" s="140"/>
      <c r="G153" s="140"/>
      <c r="H153" s="140"/>
      <c r="I153" s="13" t="s">
        <v>139</v>
      </c>
      <c r="J153" s="26">
        <f>(IF(B143&gt;4,(H143/(B143+2)+J152),0))</f>
        <v>0</v>
      </c>
    </row>
    <row r="154" spans="1:22" ht="16.5" customHeight="1" x14ac:dyDescent="0.35">
      <c r="A154" s="139" t="s">
        <v>127</v>
      </c>
      <c r="B154" s="139" t="s">
        <v>127</v>
      </c>
      <c r="C154" s="90">
        <v>0</v>
      </c>
      <c r="D154" s="16">
        <f ca="1">((100/(H143))*C154)/100</f>
        <v>0</v>
      </c>
      <c r="E154" s="140"/>
      <c r="F154" s="140"/>
      <c r="G154" s="140"/>
      <c r="H154" s="140"/>
      <c r="I154" s="13" t="s">
        <v>141</v>
      </c>
      <c r="J154" s="26">
        <f>(IF(B143=1,(H143/(B143+3)+J149),IF(B143=0,(H143/4+J149),IF(B143&gt;1,0))))</f>
        <v>0</v>
      </c>
    </row>
    <row r="155" spans="1:22" ht="16.5" customHeight="1" thickBot="1" x14ac:dyDescent="0.4">
      <c r="A155" s="139" t="s">
        <v>128</v>
      </c>
      <c r="B155" s="139"/>
      <c r="C155" s="90">
        <v>0</v>
      </c>
      <c r="D155" s="16">
        <f ca="1">((100/(H143))*C155)/100</f>
        <v>0</v>
      </c>
      <c r="E155" s="140"/>
      <c r="F155" s="140"/>
      <c r="G155" s="140"/>
      <c r="H155" s="140"/>
      <c r="I155" s="14" t="s">
        <v>100</v>
      </c>
      <c r="J155" s="28">
        <f ca="1">(IF(B143&gt;1.5,(H143/(B143+2)+J149+MAX(0,J150-J149)+MAX(0,J151-J150)+MAX(0,J152-J151)+MAX(0,J153-J152)+MAX(0,J154-J153)),IF(B143=1,(H143/(B143+3)+J154),IF(B143=0,H143/4+J154))))</f>
        <v>64</v>
      </c>
    </row>
    <row r="156" spans="1:22" x14ac:dyDescent="0.35">
      <c r="A156" s="174" t="s">
        <v>150</v>
      </c>
      <c r="B156" s="174"/>
      <c r="C156" s="174"/>
      <c r="D156" s="174"/>
      <c r="E156" s="174"/>
      <c r="F156" s="160" t="s">
        <v>154</v>
      </c>
      <c r="G156" s="160"/>
      <c r="H156" s="160"/>
      <c r="I156" s="101"/>
      <c r="J156" s="101"/>
      <c r="K156" s="101"/>
      <c r="L156" s="101"/>
      <c r="M156" s="101"/>
      <c r="N156" s="18"/>
      <c r="R156" t="s">
        <v>247</v>
      </c>
      <c r="S156" t="s">
        <v>165</v>
      </c>
      <c r="T156" t="s">
        <v>174</v>
      </c>
      <c r="U156" t="s">
        <v>188</v>
      </c>
      <c r="V156" t="s">
        <v>183</v>
      </c>
    </row>
    <row r="157" spans="1:22" x14ac:dyDescent="0.35">
      <c r="A157" s="148" t="s">
        <v>152</v>
      </c>
      <c r="B157" s="148"/>
      <c r="C157" s="148"/>
      <c r="D157" s="148"/>
      <c r="E157" s="148"/>
      <c r="F157" s="275"/>
      <c r="G157" s="275"/>
      <c r="H157" s="275"/>
      <c r="I157" s="101"/>
      <c r="J157" s="87"/>
      <c r="K157" s="101"/>
      <c r="L157" s="87"/>
      <c r="M157" s="101"/>
      <c r="N157" s="18"/>
      <c r="R157"/>
      <c r="S157">
        <v>800000</v>
      </c>
      <c r="T157">
        <v>150000</v>
      </c>
      <c r="U157">
        <v>100000</v>
      </c>
      <c r="V157">
        <v>100000</v>
      </c>
    </row>
    <row r="158" spans="1:22" hidden="1" x14ac:dyDescent="0.35">
      <c r="A158" s="162" t="s">
        <v>151</v>
      </c>
      <c r="B158" s="162"/>
      <c r="C158" s="162"/>
      <c r="D158" s="162"/>
      <c r="E158" s="162"/>
      <c r="F158" s="161"/>
      <c r="G158" s="161"/>
      <c r="H158" s="161"/>
      <c r="I158" s="101"/>
      <c r="J158" s="101"/>
      <c r="K158" s="101"/>
      <c r="L158" s="101"/>
      <c r="M158" s="101"/>
      <c r="N158" s="18"/>
      <c r="R158"/>
      <c r="S158">
        <v>900000</v>
      </c>
      <c r="T158">
        <v>200000</v>
      </c>
      <c r="U158">
        <v>150000</v>
      </c>
      <c r="V158">
        <v>150000</v>
      </c>
    </row>
    <row r="159" spans="1:22" hidden="1" x14ac:dyDescent="0.35">
      <c r="A159" s="162" t="s">
        <v>153</v>
      </c>
      <c r="B159" s="162"/>
      <c r="C159" s="162"/>
      <c r="D159" s="162"/>
      <c r="E159" s="162"/>
      <c r="F159" s="161"/>
      <c r="G159" s="161"/>
      <c r="H159" s="161"/>
      <c r="I159" s="101"/>
      <c r="J159" s="101"/>
      <c r="K159" s="101"/>
      <c r="L159" s="101"/>
      <c r="M159" s="101"/>
      <c r="N159" s="18"/>
      <c r="R159"/>
      <c r="S159">
        <v>1000000</v>
      </c>
      <c r="T159">
        <v>250000</v>
      </c>
      <c r="U159">
        <v>200000</v>
      </c>
      <c r="V159">
        <v>200000</v>
      </c>
    </row>
    <row r="160" spans="1:22" s="29" customFormat="1" hidden="1" x14ac:dyDescent="0.35">
      <c r="A160" s="162" t="s">
        <v>168</v>
      </c>
      <c r="B160" s="162"/>
      <c r="C160" s="162"/>
      <c r="D160" s="162"/>
      <c r="E160" s="162"/>
      <c r="F160" s="161"/>
      <c r="G160" s="161"/>
      <c r="H160" s="161"/>
      <c r="I160" s="102"/>
      <c r="J160" s="102"/>
      <c r="K160" s="102"/>
      <c r="L160" s="102"/>
      <c r="M160" s="102"/>
      <c r="N160" s="104"/>
      <c r="R160"/>
      <c r="S160">
        <v>1100000</v>
      </c>
      <c r="T160">
        <v>300000</v>
      </c>
      <c r="U160">
        <v>250000</v>
      </c>
      <c r="V160" s="19">
        <v>250000</v>
      </c>
    </row>
    <row r="161" spans="1:22" s="29" customFormat="1" hidden="1" x14ac:dyDescent="0.35">
      <c r="A161" s="162" t="s">
        <v>90</v>
      </c>
      <c r="B161" s="162"/>
      <c r="C161" s="162"/>
      <c r="D161" s="162"/>
      <c r="E161" s="162"/>
      <c r="F161" s="161"/>
      <c r="G161" s="161"/>
      <c r="H161" s="161"/>
      <c r="I161" s="102"/>
      <c r="J161" s="102"/>
      <c r="K161" s="102"/>
      <c r="L161" s="102"/>
      <c r="M161" s="102"/>
      <c r="N161" s="104"/>
      <c r="R161"/>
      <c r="S161">
        <v>1200000</v>
      </c>
      <c r="T161">
        <v>350000</v>
      </c>
      <c r="U161">
        <v>300000</v>
      </c>
      <c r="V161">
        <v>300000</v>
      </c>
    </row>
    <row r="162" spans="1:22" s="29" customFormat="1" hidden="1" x14ac:dyDescent="0.35">
      <c r="A162" s="162" t="s">
        <v>91</v>
      </c>
      <c r="B162" s="162"/>
      <c r="C162" s="162"/>
      <c r="D162" s="162"/>
      <c r="E162" s="162"/>
      <c r="F162" s="161"/>
      <c r="G162" s="161"/>
      <c r="H162" s="161"/>
      <c r="I162" s="102"/>
      <c r="J162" s="102"/>
      <c r="K162" s="102"/>
      <c r="L162" s="102"/>
      <c r="M162" s="102"/>
      <c r="N162" s="104"/>
      <c r="R162"/>
      <c r="S162">
        <v>1300000</v>
      </c>
      <c r="T162">
        <v>400000</v>
      </c>
      <c r="U162">
        <v>350000</v>
      </c>
      <c r="V162" s="19">
        <v>400000</v>
      </c>
    </row>
    <row r="163" spans="1:22" s="29" customFormat="1" hidden="1" x14ac:dyDescent="0.35">
      <c r="A163" s="162" t="s">
        <v>92</v>
      </c>
      <c r="B163" s="162"/>
      <c r="C163" s="162"/>
      <c r="D163" s="162"/>
      <c r="E163" s="162"/>
      <c r="F163" s="161"/>
      <c r="G163" s="161"/>
      <c r="H163" s="161"/>
      <c r="I163" s="102"/>
      <c r="J163" s="102"/>
      <c r="K163" s="102"/>
      <c r="L163" s="102"/>
      <c r="M163" s="102"/>
      <c r="N163" s="104"/>
      <c r="R163"/>
      <c r="S163">
        <v>1400000</v>
      </c>
      <c r="T163">
        <v>500000</v>
      </c>
      <c r="U163">
        <v>400000</v>
      </c>
      <c r="V163"/>
    </row>
    <row r="164" spans="1:22" s="29" customFormat="1" hidden="1" x14ac:dyDescent="0.35">
      <c r="A164" s="162" t="s">
        <v>93</v>
      </c>
      <c r="B164" s="162"/>
      <c r="C164" s="162"/>
      <c r="D164" s="162"/>
      <c r="E164" s="162"/>
      <c r="F164" s="161"/>
      <c r="G164" s="161"/>
      <c r="H164" s="161"/>
      <c r="I164" s="102"/>
      <c r="J164" s="102"/>
      <c r="K164" s="102"/>
      <c r="L164" s="102"/>
      <c r="M164" s="102"/>
      <c r="N164" s="104"/>
      <c r="R164"/>
      <c r="S164">
        <v>1500000</v>
      </c>
      <c r="T164">
        <v>600000</v>
      </c>
      <c r="U164">
        <v>500000</v>
      </c>
      <c r="V164" s="19"/>
    </row>
    <row r="165" spans="1:22" s="29" customFormat="1" hidden="1" x14ac:dyDescent="0.35">
      <c r="A165" s="162" t="s">
        <v>94</v>
      </c>
      <c r="B165" s="162"/>
      <c r="C165" s="162"/>
      <c r="D165" s="162"/>
      <c r="E165" s="162"/>
      <c r="F165" s="161"/>
      <c r="G165" s="161"/>
      <c r="H165" s="161"/>
      <c r="I165" s="102"/>
      <c r="J165" s="102"/>
      <c r="K165" s="102"/>
      <c r="L165" s="102"/>
      <c r="M165" s="102"/>
      <c r="N165" s="104"/>
      <c r="R165"/>
      <c r="S165">
        <v>1600000</v>
      </c>
      <c r="T165">
        <v>700000</v>
      </c>
      <c r="U165">
        <v>600000</v>
      </c>
      <c r="V165"/>
    </row>
    <row r="166" spans="1:22" s="29" customFormat="1" hidden="1" x14ac:dyDescent="0.35">
      <c r="A166" s="162" t="s">
        <v>95</v>
      </c>
      <c r="B166" s="162"/>
      <c r="C166" s="162"/>
      <c r="D166" s="162"/>
      <c r="E166" s="162"/>
      <c r="F166" s="161"/>
      <c r="G166" s="161"/>
      <c r="H166" s="161"/>
      <c r="I166" s="102"/>
      <c r="J166" s="102"/>
      <c r="K166" s="102"/>
      <c r="L166" s="102"/>
      <c r="M166" s="102"/>
      <c r="N166" s="104"/>
      <c r="R166"/>
      <c r="S166">
        <v>1700000</v>
      </c>
      <c r="T166">
        <v>800000</v>
      </c>
      <c r="U166"/>
      <c r="V166" s="19"/>
    </row>
    <row r="167" spans="1:22" x14ac:dyDescent="0.35">
      <c r="A167" s="162" t="s">
        <v>48</v>
      </c>
      <c r="B167" s="162"/>
      <c r="C167" s="162"/>
      <c r="D167" s="162"/>
      <c r="E167" s="162"/>
      <c r="F167" s="161">
        <v>1500000</v>
      </c>
      <c r="G167" s="161"/>
      <c r="H167" s="161"/>
      <c r="I167" s="101"/>
      <c r="J167" s="101"/>
      <c r="L167" s="107"/>
      <c r="M167" s="101"/>
      <c r="N167" s="18"/>
      <c r="R167"/>
      <c r="S167">
        <v>1800000</v>
      </c>
      <c r="T167">
        <v>900000</v>
      </c>
      <c r="U167"/>
    </row>
    <row r="168" spans="1:22" s="30" customFormat="1" x14ac:dyDescent="0.35">
      <c r="A168" s="194" t="s">
        <v>49</v>
      </c>
      <c r="B168" s="194"/>
      <c r="C168" s="194"/>
      <c r="D168" s="194"/>
      <c r="E168" s="194"/>
      <c r="F168" s="195">
        <f>F157*0.8</f>
        <v>0</v>
      </c>
      <c r="G168" s="195"/>
      <c r="H168" s="195"/>
      <c r="I168" s="103"/>
      <c r="J168" s="103"/>
      <c r="K168" s="103"/>
      <c r="L168" s="103"/>
      <c r="M168" s="103"/>
      <c r="N168" s="105"/>
      <c r="R168" s="17"/>
      <c r="S168" s="17"/>
      <c r="T168">
        <v>1000000</v>
      </c>
      <c r="U168"/>
      <c r="V168" s="17"/>
    </row>
    <row r="169" spans="1:22" s="31" customFormat="1" ht="15.75" hidden="1" customHeight="1" x14ac:dyDescent="0.35">
      <c r="A169" s="193" t="s">
        <v>70</v>
      </c>
      <c r="B169" s="193"/>
      <c r="C169" s="193"/>
      <c r="D169" s="193"/>
      <c r="E169" s="193"/>
      <c r="F169" s="193"/>
      <c r="G169" s="193"/>
      <c r="H169" s="193"/>
      <c r="R169"/>
      <c r="S169" s="17"/>
      <c r="T169"/>
      <c r="U169"/>
      <c r="V169" s="17"/>
    </row>
    <row r="170" spans="1:22" s="31" customFormat="1" ht="15.75" hidden="1" customHeight="1" x14ac:dyDescent="0.35">
      <c r="A170" s="167" t="s">
        <v>50</v>
      </c>
      <c r="B170" s="167"/>
      <c r="C170" s="172" t="s">
        <v>73</v>
      </c>
      <c r="D170" s="172"/>
      <c r="E170" s="171" t="s">
        <v>51</v>
      </c>
      <c r="F170" s="171"/>
      <c r="G170" s="167" t="s">
        <v>52</v>
      </c>
      <c r="H170" s="167"/>
      <c r="R170"/>
      <c r="S170" s="17"/>
      <c r="T170"/>
      <c r="U170" s="17"/>
      <c r="V170" s="17"/>
    </row>
    <row r="171" spans="1:22" s="31" customFormat="1" hidden="1" x14ac:dyDescent="0.35">
      <c r="A171" s="196"/>
      <c r="B171" s="196"/>
      <c r="C171" s="132"/>
      <c r="D171" s="132"/>
      <c r="E171" s="132"/>
      <c r="F171" s="132"/>
      <c r="G171" s="132"/>
      <c r="H171" s="132"/>
      <c r="I171" s="88"/>
      <c r="R171"/>
      <c r="S171" s="17"/>
      <c r="T171"/>
      <c r="U171" s="17"/>
      <c r="V171" s="17"/>
    </row>
    <row r="172" spans="1:22" s="31" customFormat="1" hidden="1" x14ac:dyDescent="0.35">
      <c r="A172" s="193" t="s">
        <v>144</v>
      </c>
      <c r="B172" s="193"/>
      <c r="C172" s="263">
        <f>SUM(C171)</f>
        <v>0</v>
      </c>
      <c r="D172" s="172"/>
      <c r="E172" s="167">
        <f>SUM(E171)</f>
        <v>0</v>
      </c>
      <c r="F172" s="171"/>
      <c r="G172" s="167">
        <f>SUM(G171)</f>
        <v>0</v>
      </c>
      <c r="H172" s="167"/>
      <c r="R172"/>
      <c r="S172" s="17"/>
      <c r="T172"/>
      <c r="U172" s="17"/>
      <c r="V172" s="17"/>
    </row>
    <row r="173" spans="1:22" s="31" customFormat="1" x14ac:dyDescent="0.35">
      <c r="A173" s="193" t="s">
        <v>65</v>
      </c>
      <c r="B173" s="193"/>
      <c r="C173" s="193"/>
      <c r="D173" s="193"/>
      <c r="E173" s="193"/>
      <c r="F173" s="193"/>
      <c r="G173" s="193"/>
      <c r="H173" s="193"/>
      <c r="T173"/>
    </row>
    <row r="174" spans="1:22" s="31" customFormat="1" ht="15.75" customHeight="1" x14ac:dyDescent="0.35">
      <c r="A174" s="167" t="s">
        <v>50</v>
      </c>
      <c r="B174" s="167"/>
      <c r="C174" s="172" t="s">
        <v>73</v>
      </c>
      <c r="D174" s="172"/>
      <c r="E174" s="171" t="s">
        <v>51</v>
      </c>
      <c r="F174" s="171"/>
      <c r="G174" s="167" t="s">
        <v>52</v>
      </c>
      <c r="H174" s="167"/>
      <c r="T174"/>
    </row>
    <row r="175" spans="1:22" s="31" customFormat="1" x14ac:dyDescent="0.35">
      <c r="A175" s="133" t="s">
        <v>421</v>
      </c>
      <c r="B175" s="113" t="s">
        <v>423</v>
      </c>
      <c r="C175" s="132">
        <f>COUNT(F201:F206)+COUNT(F208:F213)*11+COUNT(F215:F216,F219:F220)*2+COUNT(F222:F227)*14+COUNT(F229:F230,F233:F234)*2+COUNT(F236:F241)*3+COUNT(F243:F244,F247:F248)+COUNT(F250:F255)*4+COUNT(F257:F258,F261:F262)+COUNT(F264:F269)*5+COUNT(F271:F272,F275:F276)+COUNT(F278:F283)*10+COUNT(F285:F286,F289:F290)+COUNT(F292:F297)</f>
        <v>326</v>
      </c>
      <c r="D175" s="132"/>
      <c r="E175" s="132">
        <f>SUM(F201:F206)+SUM(F208:F213)*11+SUM(F215:F216,F219:F220)*2+SUM(F222:F227)*14+SUM(F229:F230,F233:F234)*2+SUM(F236:F241)*3+SUM(F243:F244,F247:F248)+SUM(F250:F255)*4+SUM(F257:F258,F261:F262)+SUM(F264:F269)*5+SUM(F271:F272,F275:F276)+SUM(F278:F283)*10+SUM(F285:F286,F289:F290)+SUM(F292:F297)</f>
        <v>724462.45713035995</v>
      </c>
      <c r="F175" s="132"/>
      <c r="G175" s="132">
        <f>SUM(H201:H206)+SUM(H208:H213)*11+SUM(H215:H216,H219:H220)*2+SUM(H222:H227)*14+SUM(H229:H230,H233:H234)*2+SUM(H236:H241)*3+SUM(H243:H244,H247:H248)+SUM(H250:H255)*4+SUM(H257:H258,H261:H262)+SUM(H264:H269)*5+SUM(H271:H272,H275:H276)+SUM(H278:H283)*10+SUM(H285:H286,H289:H290)+SUM(H292:H297)</f>
        <v>1122916.8085520582</v>
      </c>
      <c r="H175" s="132"/>
      <c r="I175" s="88"/>
      <c r="J175" s="130" t="s">
        <v>428</v>
      </c>
      <c r="T175"/>
    </row>
    <row r="176" spans="1:22" s="31" customFormat="1" x14ac:dyDescent="0.35">
      <c r="A176" s="134"/>
      <c r="B176" s="113" t="s">
        <v>424</v>
      </c>
      <c r="C176" s="132">
        <f>COUNT(F306:F307,F310:F311)+COUNT(F313:F318)*12+COUNT(F322:F325)*2+COUNT(F327:F332)*4+COUNT(F336:F339)+COUNT(F341:F346)+COUNT(F348:F353)+COUNT(F355:F360)+COUNT(F362:F367)+COUNT(F371:F374)+COUNT(F376:F381)*6+COUNT(F385:F388)+COUNT(F390:F395)*3+COUNT(F397:F402)*4+COUNT(F406:F409)+COUNT(F411:F416)*5+COUNT(F420:F423)+COUNT(F425:F430)*10+COUNT(F434:F437)+COUNT(F439:F444)</f>
        <v>330</v>
      </c>
      <c r="D176" s="132"/>
      <c r="E176" s="132">
        <f>SUM(F306:F307,F310:F311)+SUM(F313:F318)*12+SUM(F322:F325)*2+SUM(F327:F332)*4+SUM(F336:F339)+SUM(F341:F346)+SUM(F348:F353)+SUM(F355:F360)+SUM(F362:F367)+SUM(F371:F374)+SUM(F376:F381)*6+SUM(F385:F388)+SUM(F390:F395)*3+SUM(F397:F402)*4+SUM(F406:F409)+SUM(F411:F416)*5+SUM(F420:F423)+SUM(F425:F430)*10+SUM(F434:F437)+SUM(F439:F444)</f>
        <v>772860.52688832011</v>
      </c>
      <c r="F176" s="132"/>
      <c r="G176" s="132">
        <f>SUM(H306:H307,H310:H311)+SUM(H313:H318)*12+SUM(H322:H325)*2+SUM(H327:H332)*4+SUM(H336:H339)+SUM(H341:H346)+SUM(H348:H353)+SUM(H355:H360)+SUM(H362:H367)+SUM(H371:H374)+SUM(H376:H381)*6+SUM(H385:H388)+SUM(H390:H395)*3+SUM(H397:H402)*4+SUM(H406:H409)+SUM(H411:H416)*5+SUM(H420:H423)+SUM(H425:H430)*10+SUM(H434:H437)+SUM(H439:H444)</f>
        <v>1197933.8166768961</v>
      </c>
      <c r="H176" s="132"/>
      <c r="I176" s="274">
        <f>C175+C176+C177</f>
        <v>984</v>
      </c>
      <c r="J176" s="130"/>
      <c r="T176"/>
    </row>
    <row r="177" spans="1:20" s="31" customFormat="1" x14ac:dyDescent="0.35">
      <c r="A177" s="135"/>
      <c r="B177" s="113" t="s">
        <v>425</v>
      </c>
      <c r="C177" s="132">
        <f>COUNT(F453:F454)+COUNT(F460:F465)+COUNT(F467:F472)*15+COUNT(F476:F479)*3+COUNT(F481:F486)+COUNT(F488:F493)+COUNT(F495:F500)*2+COUNT(F504:F507)+COUNT(F509:F514)*13+COUNT(F518:F521)*2+COUNT(F523:F528)*5+COUNT(F532:F535)+COUNT(F537:F542)*10+COUNT(F546:F549)+COUNT(F551:F556)</f>
        <v>328</v>
      </c>
      <c r="D177" s="132"/>
      <c r="E177" s="132">
        <f>SUM(F453:F454)+SUM(F460:F465)+SUM(F467:F472)*15+SUM(F476:F479)*3+SUM(F481:F486)+SUM(F488:F493)+SUM(F495:F500)*2+SUM(F504:F507)+SUM(F509:F514)*13+SUM(F518:F521)*2+SUM(F523:F528)*5+SUM(F532:F535)+SUM(F537:F542)*10+SUM(F546:F549)+SUM(F551:F556)</f>
        <v>790799.37302339997</v>
      </c>
      <c r="F177" s="132"/>
      <c r="G177" s="132">
        <f>SUM(H453:H454)+SUM(H460:H465)+SUM(H467:H472)*15+SUM(H476:H479)*3+SUM(H481:H486)+SUM(H488:H493)+SUM(H495:H500)*2+SUM(H504:H507)+SUM(H509:H514)*13+SUM(H518:H521)*2+SUM(H523:H528)*5+SUM(H532:H535)+SUM(H537:H542)*10+SUM(H546:H549)+SUM(H551:H556)</f>
        <v>1225739.02818627</v>
      </c>
      <c r="H177" s="132"/>
      <c r="I177" s="88"/>
      <c r="J177" s="130"/>
      <c r="T177"/>
    </row>
    <row r="178" spans="1:20" s="31" customFormat="1" x14ac:dyDescent="0.35">
      <c r="A178" s="133" t="s">
        <v>422</v>
      </c>
      <c r="B178" s="113" t="s">
        <v>426</v>
      </c>
      <c r="C178" s="132">
        <f>COUNT(F568:F569)+COUNT(F571:F576)*5+COUNT(F578:F579,F582:F583)+COUNT(F585:F590)*7+COUNT(F592:F593,F596:F597)+COUNT(F599:F604)*4+COUNT(F606:F607,F610:F611)+COUNT(F613:F618)+COUNT(F620:F625)+COUNT(F627:F632)*8+COUNT(F634:F635,F638:F639)+COUNT(F641:F642,F645:F646)+COUNT(F648:F653)*3+COUNT(F655:F660)*4+COUNT(F662:F663,F666:F667)+COUNT(F669:F674)*5+COUNT(F676:F677,F680:F681)</f>
        <v>258</v>
      </c>
      <c r="D178" s="132"/>
      <c r="E178" s="132">
        <f>SUM(F568:F569)+SUM(F571:F576)*5+SUM(F578:F579,F582:F583)+SUM(F585:F590)*7+SUM(F592:F593,F596:F597)+SUM(F599:F604)*4+SUM(F606:F607,F610:F611)+SUM(F613:F618)+SUM(F620:F625)+SUM(F627:F632)*8+SUM(F634:F635,F638:F639)+SUM(F641:F642,F645:F646)+SUM(F648:F653)*3+SUM(F655:F660)*4+SUM(F662:F663,F666:F667)+SUM(F669:F674)*5+SUM(F676:F677,F680:F681)</f>
        <v>667751.96479679982</v>
      </c>
      <c r="F178" s="132"/>
      <c r="G178" s="132">
        <f>SUM(H568:H569)+SUM(H571:H576)*5+SUM(H578:H579,H582:H583)+SUM(H585:H590)*7+SUM(H592:H593,H596:H597)+SUM(H599:H604)*4+SUM(H606:H607,H610:H611)+SUM(H613:H618)+SUM(H620:H625)+SUM(H627:H632)*8+SUM(H634:H635,H638:H639)+SUM(H641:H642,H645:H646)+SUM(H648:H653)*3+SUM(H655:H660)*4+SUM(H662:H663,H666:H667)+SUM(H669:H674)*5+SUM(H676:H677,H680:H681)</f>
        <v>1035015.54543504</v>
      </c>
      <c r="H178" s="132"/>
      <c r="I178" s="88"/>
      <c r="J178" s="130" t="s">
        <v>429</v>
      </c>
      <c r="T178"/>
    </row>
    <row r="179" spans="1:20" s="31" customFormat="1" x14ac:dyDescent="0.35">
      <c r="A179" s="135"/>
      <c r="B179" s="113" t="s">
        <v>427</v>
      </c>
      <c r="C179" s="132">
        <f>COUNT(F686:F687)+COUNT(F693:F694)</f>
        <v>4</v>
      </c>
      <c r="D179" s="132"/>
      <c r="E179" s="132">
        <f>SUM(F686:F687)+SUM(F693:F694)</f>
        <v>7897.8184833599989</v>
      </c>
      <c r="F179" s="132"/>
      <c r="G179" s="132">
        <f>SUM(H686:H687)+SUM(H693:H694)</f>
        <v>12241.618649207998</v>
      </c>
      <c r="H179" s="132"/>
      <c r="I179" s="88"/>
      <c r="J179" s="130"/>
      <c r="T179"/>
    </row>
    <row r="180" spans="1:20" s="31" customFormat="1" ht="16" thickBot="1" x14ac:dyDescent="0.4">
      <c r="A180" s="260" t="s">
        <v>144</v>
      </c>
      <c r="B180" s="260"/>
      <c r="C180" s="182">
        <f>SUM(C175:D179)</f>
        <v>1246</v>
      </c>
      <c r="D180" s="183"/>
      <c r="E180" s="261">
        <f>SUM(E175:F179)</f>
        <v>2963772.1403222401</v>
      </c>
      <c r="F180" s="262"/>
      <c r="G180" s="261">
        <f>SUM(G175:H179)</f>
        <v>4593846.8174994728</v>
      </c>
      <c r="H180" s="261"/>
      <c r="T180"/>
    </row>
    <row r="181" spans="1:20" s="31" customFormat="1" ht="16" thickBot="1" x14ac:dyDescent="0.4">
      <c r="A181" s="187" t="s">
        <v>159</v>
      </c>
      <c r="B181" s="188"/>
      <c r="C181" s="198">
        <f>C172+C180</f>
        <v>1246</v>
      </c>
      <c r="D181" s="198"/>
      <c r="E181" s="245">
        <f>E172+E180</f>
        <v>2963772.1403222401</v>
      </c>
      <c r="F181" s="245"/>
      <c r="G181" s="245">
        <f>G172+G180</f>
        <v>4593846.8174994728</v>
      </c>
      <c r="H181" s="249"/>
      <c r="I181" s="117"/>
      <c r="J181" s="117"/>
      <c r="T181"/>
    </row>
    <row r="182" spans="1:20" s="30" customFormat="1" x14ac:dyDescent="0.35">
      <c r="A182" s="184" t="s">
        <v>347</v>
      </c>
      <c r="B182" s="184"/>
      <c r="C182" s="184"/>
      <c r="D182" s="184"/>
      <c r="E182" s="184"/>
      <c r="F182" s="184"/>
      <c r="G182" s="184"/>
      <c r="H182" s="184"/>
      <c r="I182" s="117"/>
      <c r="J182" s="117"/>
      <c r="T182" s="31"/>
    </row>
    <row r="183" spans="1:20" x14ac:dyDescent="0.35">
      <c r="A183" s="166" t="s">
        <v>167</v>
      </c>
      <c r="B183" s="166"/>
      <c r="C183" s="166"/>
      <c r="D183" s="166"/>
      <c r="E183" s="166"/>
      <c r="F183" s="166"/>
      <c r="G183" s="166"/>
      <c r="H183" s="166"/>
      <c r="I183" s="117"/>
      <c r="J183" s="117"/>
      <c r="T183" s="31"/>
    </row>
    <row r="184" spans="1:20" ht="47.25" hidden="1" customHeight="1" x14ac:dyDescent="0.35">
      <c r="A184" s="185" t="s">
        <v>380</v>
      </c>
      <c r="B184" s="185" t="s">
        <v>170</v>
      </c>
      <c r="C184" s="185" t="s">
        <v>53</v>
      </c>
      <c r="D184" s="185" t="s">
        <v>226</v>
      </c>
      <c r="E184" s="189" t="s">
        <v>149</v>
      </c>
      <c r="F184" s="185" t="s">
        <v>54</v>
      </c>
      <c r="G184" s="189" t="s">
        <v>55</v>
      </c>
      <c r="H184" s="85" t="s">
        <v>143</v>
      </c>
      <c r="I184" s="117"/>
      <c r="J184" s="117"/>
      <c r="T184" s="31"/>
    </row>
    <row r="185" spans="1:20" s="33" customFormat="1" hidden="1" x14ac:dyDescent="0.35">
      <c r="A185" s="186"/>
      <c r="B185" s="186"/>
      <c r="C185" s="186"/>
      <c r="D185" s="186"/>
      <c r="E185" s="190"/>
      <c r="F185" s="186"/>
      <c r="G185" s="190"/>
      <c r="H185" s="86">
        <v>0.55000000000000004</v>
      </c>
      <c r="I185" s="117"/>
      <c r="J185" s="117"/>
      <c r="T185" s="31"/>
    </row>
    <row r="186" spans="1:20" s="33" customFormat="1" hidden="1" x14ac:dyDescent="0.35">
      <c r="A186" s="242" t="s">
        <v>384</v>
      </c>
      <c r="B186" s="243"/>
      <c r="C186" s="243"/>
      <c r="D186" s="243"/>
      <c r="E186" s="243"/>
      <c r="F186" s="243"/>
      <c r="G186" s="243"/>
      <c r="H186" s="244"/>
      <c r="J186" s="32"/>
      <c r="T186" s="31"/>
    </row>
    <row r="187" spans="1:20" s="33" customFormat="1" ht="31" hidden="1" customHeight="1" x14ac:dyDescent="0.35">
      <c r="A187" s="246">
        <v>1</v>
      </c>
      <c r="B187" s="247"/>
      <c r="C187" s="38" t="s">
        <v>378</v>
      </c>
      <c r="D187" s="97"/>
      <c r="E187" s="38">
        <v>0</v>
      </c>
      <c r="F187" s="38">
        <f t="shared" ref="F187" si="0">D187+(IF(E187&lt;201,E187,IF(E187&lt;301,E187/2,E187/3)))</f>
        <v>0</v>
      </c>
      <c r="G187" s="38">
        <v>0</v>
      </c>
      <c r="H187" s="38">
        <f>(F187+(IF(G187&lt;101,G187,IF(G187&lt;201,G187/2,IF(G187&lt;=301,G187/3,G187/4)))))*(($H$185)+1)</f>
        <v>0</v>
      </c>
      <c r="I187" s="32"/>
      <c r="L187" s="119"/>
      <c r="M187" s="119"/>
      <c r="N187" s="32"/>
      <c r="T187" s="31"/>
    </row>
    <row r="188" spans="1:20" s="33" customFormat="1" hidden="1" x14ac:dyDescent="0.35">
      <c r="A188" s="120"/>
      <c r="B188" s="120"/>
      <c r="C188" s="120"/>
      <c r="D188" s="120"/>
      <c r="E188" s="120"/>
      <c r="F188" s="120"/>
      <c r="G188" s="120"/>
      <c r="H188" s="120"/>
      <c r="I188" s="32"/>
      <c r="N188" s="32"/>
    </row>
    <row r="189" spans="1:20" ht="47.25" customHeight="1" x14ac:dyDescent="0.35">
      <c r="A189" s="158" t="s">
        <v>379</v>
      </c>
      <c r="B189" s="158" t="s">
        <v>171</v>
      </c>
      <c r="C189" s="158" t="s">
        <v>53</v>
      </c>
      <c r="D189" s="158" t="s">
        <v>367</v>
      </c>
      <c r="E189" s="158" t="s">
        <v>454</v>
      </c>
      <c r="F189" s="158" t="s">
        <v>54</v>
      </c>
      <c r="G189" s="159" t="s">
        <v>55</v>
      </c>
      <c r="H189" s="108" t="s">
        <v>143</v>
      </c>
      <c r="I189" s="64">
        <f>10.764</f>
        <v>10.763999999999999</v>
      </c>
      <c r="T189" s="33"/>
    </row>
    <row r="190" spans="1:20" s="33" customFormat="1" x14ac:dyDescent="0.35">
      <c r="A190" s="158"/>
      <c r="B190" s="158"/>
      <c r="C190" s="158"/>
      <c r="D190" s="158"/>
      <c r="E190" s="158"/>
      <c r="F190" s="158"/>
      <c r="G190" s="159"/>
      <c r="H190" s="109">
        <v>0.55000000000000004</v>
      </c>
      <c r="I190" s="32"/>
      <c r="J190" s="106"/>
    </row>
    <row r="191" spans="1:20" s="110" customFormat="1" x14ac:dyDescent="0.35">
      <c r="A191" s="131" t="s">
        <v>421</v>
      </c>
      <c r="B191" s="131"/>
      <c r="C191" s="131"/>
      <c r="D191" s="131"/>
      <c r="E191" s="131"/>
      <c r="F191" s="131"/>
      <c r="G191" s="131"/>
      <c r="H191" s="131"/>
      <c r="I191" s="87"/>
      <c r="J191" s="97">
        <v>10.763999999999999</v>
      </c>
      <c r="L191" s="119"/>
      <c r="M191" s="119"/>
    </row>
    <row r="192" spans="1:20" s="110" customFormat="1" x14ac:dyDescent="0.35">
      <c r="A192" s="131" t="s">
        <v>423</v>
      </c>
      <c r="B192" s="131"/>
      <c r="C192" s="131"/>
      <c r="D192" s="131"/>
      <c r="E192" s="131"/>
      <c r="F192" s="131"/>
      <c r="G192" s="131"/>
      <c r="H192" s="131"/>
      <c r="I192" s="87"/>
      <c r="J192" s="106"/>
      <c r="L192" s="119"/>
      <c r="M192" s="119"/>
    </row>
    <row r="193" spans="1:14" s="110" customFormat="1" x14ac:dyDescent="0.35">
      <c r="A193" s="118" t="s">
        <v>460</v>
      </c>
      <c r="B193" s="118"/>
      <c r="C193" s="118"/>
      <c r="D193" s="118"/>
      <c r="E193" s="118"/>
      <c r="F193" s="118"/>
      <c r="G193" s="118"/>
      <c r="H193" s="118"/>
      <c r="I193" s="87"/>
      <c r="J193" s="106"/>
      <c r="L193" s="119"/>
      <c r="M193" s="119"/>
    </row>
    <row r="194" spans="1:14" s="110" customFormat="1" x14ac:dyDescent="0.35">
      <c r="A194" s="118" t="s">
        <v>461</v>
      </c>
      <c r="B194" s="118"/>
      <c r="C194" s="118"/>
      <c r="D194" s="118"/>
      <c r="E194" s="118"/>
      <c r="F194" s="118"/>
      <c r="G194" s="118"/>
      <c r="H194" s="118"/>
      <c r="I194" s="87"/>
      <c r="J194" s="106"/>
      <c r="L194" s="119"/>
      <c r="M194" s="119"/>
    </row>
    <row r="195" spans="1:14" s="110" customFormat="1" x14ac:dyDescent="0.35">
      <c r="A195" s="118" t="s">
        <v>431</v>
      </c>
      <c r="B195" s="118"/>
      <c r="C195" s="118"/>
      <c r="D195" s="118"/>
      <c r="E195" s="118"/>
      <c r="F195" s="118"/>
      <c r="G195" s="118"/>
      <c r="H195" s="118"/>
      <c r="I195" s="87"/>
      <c r="J195" s="106"/>
      <c r="L195" s="119"/>
      <c r="M195" s="119"/>
    </row>
    <row r="196" spans="1:14" s="110" customFormat="1" x14ac:dyDescent="0.35">
      <c r="A196" s="118" t="s">
        <v>432</v>
      </c>
      <c r="B196" s="118"/>
      <c r="C196" s="118"/>
      <c r="D196" s="118"/>
      <c r="E196" s="118"/>
      <c r="F196" s="118"/>
      <c r="G196" s="118"/>
      <c r="H196" s="118"/>
      <c r="I196" s="87"/>
      <c r="J196" s="106"/>
      <c r="L196" s="119"/>
      <c r="M196" s="119"/>
    </row>
    <row r="197" spans="1:14" s="110" customFormat="1" x14ac:dyDescent="0.35">
      <c r="A197" s="118" t="s">
        <v>464</v>
      </c>
      <c r="B197" s="118"/>
      <c r="C197" s="118"/>
      <c r="D197" s="118"/>
      <c r="E197" s="118"/>
      <c r="F197" s="118"/>
      <c r="G197" s="118"/>
      <c r="H197" s="118"/>
      <c r="I197" s="87"/>
      <c r="J197" s="106"/>
      <c r="L197" s="119"/>
      <c r="M197" s="119"/>
    </row>
    <row r="198" spans="1:14" s="110" customFormat="1" x14ac:dyDescent="0.35">
      <c r="A198" s="118" t="s">
        <v>466</v>
      </c>
      <c r="B198" s="118"/>
      <c r="C198" s="118"/>
      <c r="D198" s="118"/>
      <c r="E198" s="118"/>
      <c r="F198" s="118"/>
      <c r="G198" s="118"/>
      <c r="H198" s="118"/>
      <c r="I198" s="87"/>
      <c r="J198" s="106"/>
      <c r="L198" s="119"/>
      <c r="M198" s="119"/>
    </row>
    <row r="199" spans="1:14" s="110" customFormat="1" x14ac:dyDescent="0.35">
      <c r="A199" s="118" t="s">
        <v>468</v>
      </c>
      <c r="B199" s="118"/>
      <c r="C199" s="118"/>
      <c r="D199" s="118"/>
      <c r="E199" s="118"/>
      <c r="F199" s="118"/>
      <c r="G199" s="118"/>
      <c r="H199" s="118"/>
      <c r="I199" s="87"/>
      <c r="J199" s="106"/>
      <c r="L199" s="119"/>
      <c r="M199" s="119"/>
    </row>
    <row r="200" spans="1:14" s="110" customFormat="1" x14ac:dyDescent="0.35">
      <c r="A200" s="118" t="s">
        <v>469</v>
      </c>
      <c r="B200" s="118"/>
      <c r="C200" s="118"/>
      <c r="D200" s="118"/>
      <c r="E200" s="118"/>
      <c r="F200" s="118"/>
      <c r="G200" s="118"/>
      <c r="H200" s="118"/>
      <c r="I200" s="87"/>
      <c r="L200" s="119"/>
      <c r="M200" s="119"/>
    </row>
    <row r="201" spans="1:14" s="110" customFormat="1" x14ac:dyDescent="0.35">
      <c r="A201" s="120">
        <v>1</v>
      </c>
      <c r="B201" s="120"/>
      <c r="C201" s="111" t="s">
        <v>476</v>
      </c>
      <c r="D201" s="97">
        <f>(223)*10.764</f>
        <v>2400.3719999999998</v>
      </c>
      <c r="E201" s="97">
        <f>(6.73*1.83+0.605*0.915)*10.764</f>
        <v>138.5270289</v>
      </c>
      <c r="F201" s="111">
        <f t="shared" ref="F201:F206" si="1">D201+E201</f>
        <v>2538.8990288999998</v>
      </c>
      <c r="G201" s="111">
        <v>0</v>
      </c>
      <c r="H201" s="111">
        <f t="shared" ref="H201:H206" si="2">F201*(($H$190)+1)+(IF(G201&lt;101,G201,IF(G201&lt;201,G201/2,IF(G201&lt;=301,G201/3,G201/4))))</f>
        <v>3935.2934947949998</v>
      </c>
      <c r="I201" s="32"/>
      <c r="J201" s="32"/>
      <c r="N201" s="32"/>
    </row>
    <row r="202" spans="1:14" s="110" customFormat="1" x14ac:dyDescent="0.35">
      <c r="A202" s="120">
        <f>A201+1</f>
        <v>2</v>
      </c>
      <c r="B202" s="120"/>
      <c r="C202" s="111" t="s">
        <v>477</v>
      </c>
      <c r="D202" s="97">
        <f>(171.55)*10.764</f>
        <v>1846.5642</v>
      </c>
      <c r="E202" s="97">
        <f>(6.53*1.83+0.615*0.915)*10.764</f>
        <v>134.68589550000002</v>
      </c>
      <c r="F202" s="111">
        <f t="shared" si="1"/>
        <v>1981.2500955</v>
      </c>
      <c r="G202" s="111">
        <v>0</v>
      </c>
      <c r="H202" s="111">
        <f t="shared" si="2"/>
        <v>3070.9376480250003</v>
      </c>
      <c r="I202" s="32"/>
      <c r="J202" s="32"/>
      <c r="N202" s="32"/>
    </row>
    <row r="203" spans="1:14" s="110" customFormat="1" x14ac:dyDescent="0.35">
      <c r="A203" s="120">
        <f t="shared" ref="A203:A206" si="3">A202+1</f>
        <v>3</v>
      </c>
      <c r="B203" s="120"/>
      <c r="C203" s="115" t="s">
        <v>477</v>
      </c>
      <c r="D203" s="97">
        <f>(162.25)*10.764</f>
        <v>1746.4589999999998</v>
      </c>
      <c r="E203" s="97">
        <f>(6.465*1.83+0.113*1.36+0.645*1.135)*10.764</f>
        <v>136.88261261999997</v>
      </c>
      <c r="F203" s="111">
        <f t="shared" si="1"/>
        <v>1883.3416126199998</v>
      </c>
      <c r="G203" s="111">
        <v>0</v>
      </c>
      <c r="H203" s="111">
        <f t="shared" si="2"/>
        <v>2919.1794995609998</v>
      </c>
      <c r="I203" s="32"/>
      <c r="J203" s="32"/>
      <c r="N203" s="32"/>
    </row>
    <row r="204" spans="1:14" s="110" customFormat="1" x14ac:dyDescent="0.35">
      <c r="A204" s="120">
        <f t="shared" si="3"/>
        <v>4</v>
      </c>
      <c r="B204" s="120"/>
      <c r="C204" s="115" t="s">
        <v>477</v>
      </c>
      <c r="D204" s="97">
        <f>(161.34)*10.764</f>
        <v>1736.6637599999999</v>
      </c>
      <c r="E204" s="97">
        <f>(6.465*1.83+0.113*1.36+0.645*1.135)*10.764</f>
        <v>136.88261261999997</v>
      </c>
      <c r="F204" s="111">
        <f t="shared" si="1"/>
        <v>1873.5463726199998</v>
      </c>
      <c r="G204" s="111">
        <v>0</v>
      </c>
      <c r="H204" s="111">
        <f t="shared" si="2"/>
        <v>2903.996877561</v>
      </c>
      <c r="I204" s="32"/>
      <c r="J204" s="32"/>
      <c r="N204" s="32"/>
    </row>
    <row r="205" spans="1:14" s="110" customFormat="1" x14ac:dyDescent="0.35">
      <c r="A205" s="120">
        <f t="shared" si="3"/>
        <v>5</v>
      </c>
      <c r="B205" s="120"/>
      <c r="C205" s="115" t="s">
        <v>477</v>
      </c>
      <c r="D205" s="97">
        <f>(171.55)*10.764</f>
        <v>1846.5642</v>
      </c>
      <c r="E205" s="97">
        <f>(6.53*1.83+0.615*0.915)*10.764</f>
        <v>134.68589550000002</v>
      </c>
      <c r="F205" s="111">
        <f t="shared" si="1"/>
        <v>1981.2500955</v>
      </c>
      <c r="G205" s="111">
        <v>0</v>
      </c>
      <c r="H205" s="111">
        <f t="shared" si="2"/>
        <v>3070.9376480250003</v>
      </c>
      <c r="I205" s="32"/>
      <c r="J205" s="32"/>
      <c r="N205" s="32"/>
    </row>
    <row r="206" spans="1:14" s="110" customFormat="1" x14ac:dyDescent="0.35">
      <c r="A206" s="120">
        <f t="shared" si="3"/>
        <v>6</v>
      </c>
      <c r="B206" s="120"/>
      <c r="C206" s="115" t="s">
        <v>476</v>
      </c>
      <c r="D206" s="97">
        <f>(223)*10.764</f>
        <v>2400.3719999999998</v>
      </c>
      <c r="E206" s="97">
        <f>(6.73*1.83+0.605*0.915)*10.764</f>
        <v>138.5270289</v>
      </c>
      <c r="F206" s="111">
        <f t="shared" si="1"/>
        <v>2538.8990288999998</v>
      </c>
      <c r="G206" s="111">
        <v>0</v>
      </c>
      <c r="H206" s="111">
        <f t="shared" si="2"/>
        <v>3935.2934947949998</v>
      </c>
      <c r="I206" s="32"/>
      <c r="J206" s="32"/>
      <c r="N206" s="32"/>
    </row>
    <row r="207" spans="1:14" s="114" customFormat="1" x14ac:dyDescent="0.35">
      <c r="A207" s="118" t="s">
        <v>471</v>
      </c>
      <c r="B207" s="118"/>
      <c r="C207" s="118"/>
      <c r="D207" s="118"/>
      <c r="E207" s="118"/>
      <c r="F207" s="118"/>
      <c r="G207" s="118"/>
      <c r="H207" s="118"/>
      <c r="I207" s="87"/>
      <c r="L207" s="119"/>
      <c r="M207" s="119"/>
    </row>
    <row r="208" spans="1:14" s="114" customFormat="1" x14ac:dyDescent="0.35">
      <c r="A208" s="120">
        <v>1</v>
      </c>
      <c r="B208" s="120"/>
      <c r="C208" s="115" t="s">
        <v>476</v>
      </c>
      <c r="D208" s="97">
        <f>(223)*10.764</f>
        <v>2400.3719999999998</v>
      </c>
      <c r="E208" s="97">
        <f>(6.73*1.83+0.605*0.915)*10.764</f>
        <v>138.5270289</v>
      </c>
      <c r="F208" s="115">
        <f t="shared" ref="F208:F213" si="4">D208+E208</f>
        <v>2538.8990288999998</v>
      </c>
      <c r="G208" s="115">
        <v>0</v>
      </c>
      <c r="H208" s="115">
        <f t="shared" ref="H208:H213" si="5">F208*(($H$190)+1)+(IF(G208&lt;101,G208,IF(G208&lt;201,G208/2,IF(G208&lt;=301,G208/3,G208/4))))</f>
        <v>3935.2934947949998</v>
      </c>
      <c r="I208" s="32"/>
      <c r="J208" s="32"/>
      <c r="N208" s="32"/>
    </row>
    <row r="209" spans="1:14" s="114" customFormat="1" x14ac:dyDescent="0.35">
      <c r="A209" s="120">
        <f>A208+1</f>
        <v>2</v>
      </c>
      <c r="B209" s="120"/>
      <c r="C209" s="115" t="s">
        <v>477</v>
      </c>
      <c r="D209" s="97">
        <f>(171.55)*10.764</f>
        <v>1846.5642</v>
      </c>
      <c r="E209" s="97">
        <f>(6.53*1.83+0.615*0.915)*10.764</f>
        <v>134.68589550000002</v>
      </c>
      <c r="F209" s="115">
        <f t="shared" si="4"/>
        <v>1981.2500955</v>
      </c>
      <c r="G209" s="115">
        <v>0</v>
      </c>
      <c r="H209" s="115">
        <f t="shared" si="5"/>
        <v>3070.9376480250003</v>
      </c>
      <c r="I209" s="32"/>
      <c r="J209" s="32"/>
      <c r="N209" s="32"/>
    </row>
    <row r="210" spans="1:14" s="114" customFormat="1" x14ac:dyDescent="0.35">
      <c r="A210" s="120">
        <f t="shared" ref="A210:A213" si="6">A209+1</f>
        <v>3</v>
      </c>
      <c r="B210" s="120"/>
      <c r="C210" s="115" t="s">
        <v>477</v>
      </c>
      <c r="D210" s="97">
        <f>(162.25)*10.764</f>
        <v>1746.4589999999998</v>
      </c>
      <c r="E210" s="97">
        <f>(6.465*1.83+0.113*1.36+0.645*1.135)*10.764</f>
        <v>136.88261261999997</v>
      </c>
      <c r="F210" s="115">
        <f t="shared" si="4"/>
        <v>1883.3416126199998</v>
      </c>
      <c r="G210" s="115">
        <v>0</v>
      </c>
      <c r="H210" s="115">
        <f t="shared" si="5"/>
        <v>2919.1794995609998</v>
      </c>
      <c r="I210" s="32"/>
      <c r="J210" s="32"/>
      <c r="N210" s="32"/>
    </row>
    <row r="211" spans="1:14" s="114" customFormat="1" x14ac:dyDescent="0.35">
      <c r="A211" s="120">
        <f t="shared" si="6"/>
        <v>4</v>
      </c>
      <c r="B211" s="120"/>
      <c r="C211" s="115" t="s">
        <v>477</v>
      </c>
      <c r="D211" s="97">
        <f>(161.34)*10.764</f>
        <v>1736.6637599999999</v>
      </c>
      <c r="E211" s="97">
        <f>(6.465*1.83+0.113*1.36+0.645*1.135)*10.764</f>
        <v>136.88261261999997</v>
      </c>
      <c r="F211" s="115">
        <f t="shared" si="4"/>
        <v>1873.5463726199998</v>
      </c>
      <c r="G211" s="115">
        <v>0</v>
      </c>
      <c r="H211" s="115">
        <f t="shared" si="5"/>
        <v>2903.996877561</v>
      </c>
      <c r="I211" s="32"/>
      <c r="J211" s="32"/>
      <c r="N211" s="32"/>
    </row>
    <row r="212" spans="1:14" s="114" customFormat="1" x14ac:dyDescent="0.35">
      <c r="A212" s="120">
        <f t="shared" si="6"/>
        <v>5</v>
      </c>
      <c r="B212" s="120"/>
      <c r="C212" s="115" t="s">
        <v>477</v>
      </c>
      <c r="D212" s="97">
        <f>(171.55)*10.764</f>
        <v>1846.5642</v>
      </c>
      <c r="E212" s="97">
        <f>(6.53*1.83+0.615*0.915)*10.764</f>
        <v>134.68589550000002</v>
      </c>
      <c r="F212" s="115">
        <f t="shared" si="4"/>
        <v>1981.2500955</v>
      </c>
      <c r="G212" s="115">
        <v>0</v>
      </c>
      <c r="H212" s="115">
        <f t="shared" si="5"/>
        <v>3070.9376480250003</v>
      </c>
      <c r="I212" s="32"/>
      <c r="J212" s="32"/>
      <c r="N212" s="32"/>
    </row>
    <row r="213" spans="1:14" s="114" customFormat="1" x14ac:dyDescent="0.35">
      <c r="A213" s="120">
        <f t="shared" si="6"/>
        <v>6</v>
      </c>
      <c r="B213" s="120"/>
      <c r="C213" s="115" t="s">
        <v>476</v>
      </c>
      <c r="D213" s="97">
        <f>(223)*10.764</f>
        <v>2400.3719999999998</v>
      </c>
      <c r="E213" s="97">
        <f>(6.73*1.83+0.605*0.915)*10.764</f>
        <v>138.5270289</v>
      </c>
      <c r="F213" s="115">
        <f t="shared" si="4"/>
        <v>2538.8990288999998</v>
      </c>
      <c r="G213" s="115">
        <v>0</v>
      </c>
      <c r="H213" s="115">
        <f t="shared" si="5"/>
        <v>3935.2934947949998</v>
      </c>
      <c r="I213" s="32"/>
      <c r="J213" s="32"/>
      <c r="N213" s="32"/>
    </row>
    <row r="214" spans="1:14" s="114" customFormat="1" x14ac:dyDescent="0.35">
      <c r="A214" s="118" t="s">
        <v>472</v>
      </c>
      <c r="B214" s="118"/>
      <c r="C214" s="118"/>
      <c r="D214" s="118"/>
      <c r="E214" s="118"/>
      <c r="F214" s="118"/>
      <c r="G214" s="118"/>
      <c r="H214" s="118"/>
      <c r="I214" s="87"/>
      <c r="L214" s="119"/>
      <c r="M214" s="119"/>
    </row>
    <row r="215" spans="1:14" s="114" customFormat="1" x14ac:dyDescent="0.35">
      <c r="A215" s="120">
        <v>1</v>
      </c>
      <c r="B215" s="120"/>
      <c r="C215" s="115" t="s">
        <v>476</v>
      </c>
      <c r="D215" s="97">
        <f>(223)*10.764</f>
        <v>2400.3719999999998</v>
      </c>
      <c r="E215" s="97">
        <f>(6.73*1.83+0.605*0.915)*10.764</f>
        <v>138.5270289</v>
      </c>
      <c r="F215" s="115">
        <f t="shared" ref="F215:F220" si="7">D215+E215</f>
        <v>2538.8990288999998</v>
      </c>
      <c r="G215" s="115">
        <v>0</v>
      </c>
      <c r="H215" s="115">
        <f t="shared" ref="H215:H220" si="8">F215*(($H$190)+1)+(IF(G215&lt;101,G215,IF(G215&lt;201,G215/2,IF(G215&lt;=301,G215/3,G215/4))))</f>
        <v>3935.2934947949998</v>
      </c>
      <c r="I215" s="32"/>
      <c r="J215" s="32"/>
      <c r="N215" s="32"/>
    </row>
    <row r="216" spans="1:14" s="114" customFormat="1" x14ac:dyDescent="0.35">
      <c r="A216" s="120">
        <f>A215+1</f>
        <v>2</v>
      </c>
      <c r="B216" s="120"/>
      <c r="C216" s="115" t="s">
        <v>477</v>
      </c>
      <c r="D216" s="97">
        <f>(171.55)*10.764</f>
        <v>1846.5642</v>
      </c>
      <c r="E216" s="97">
        <f>(6.53*1.83+0.615*0.915)*10.764</f>
        <v>134.68589550000002</v>
      </c>
      <c r="F216" s="115">
        <f t="shared" si="7"/>
        <v>1981.2500955</v>
      </c>
      <c r="G216" s="115">
        <v>0</v>
      </c>
      <c r="H216" s="115">
        <f t="shared" si="8"/>
        <v>3070.9376480250003</v>
      </c>
      <c r="I216" s="32"/>
      <c r="J216" s="32"/>
      <c r="N216" s="32"/>
    </row>
    <row r="217" spans="1:14" s="114" customFormat="1" x14ac:dyDescent="0.35">
      <c r="A217" s="120">
        <f t="shared" ref="A217:A220" si="9">A216+1</f>
        <v>3</v>
      </c>
      <c r="B217" s="120"/>
      <c r="C217" s="121" t="s">
        <v>438</v>
      </c>
      <c r="D217" s="122"/>
      <c r="E217" s="122"/>
      <c r="F217" s="122"/>
      <c r="G217" s="122"/>
      <c r="H217" s="123"/>
      <c r="I217" s="32"/>
      <c r="J217" s="32"/>
      <c r="N217" s="32"/>
    </row>
    <row r="218" spans="1:14" s="114" customFormat="1" x14ac:dyDescent="0.35">
      <c r="A218" s="120">
        <f t="shared" si="9"/>
        <v>4</v>
      </c>
      <c r="B218" s="120"/>
      <c r="C218" s="127"/>
      <c r="D218" s="128"/>
      <c r="E218" s="128"/>
      <c r="F218" s="128"/>
      <c r="G218" s="128"/>
      <c r="H218" s="129"/>
      <c r="I218" s="32"/>
      <c r="J218" s="32"/>
      <c r="N218" s="32"/>
    </row>
    <row r="219" spans="1:14" s="114" customFormat="1" x14ac:dyDescent="0.35">
      <c r="A219" s="120">
        <f t="shared" si="9"/>
        <v>5</v>
      </c>
      <c r="B219" s="120"/>
      <c r="C219" s="115" t="s">
        <v>477</v>
      </c>
      <c r="D219" s="97">
        <f>(171.55)*10.764</f>
        <v>1846.5642</v>
      </c>
      <c r="E219" s="97">
        <f>(6.53*1.83+0.615*0.915)*10.764</f>
        <v>134.68589550000002</v>
      </c>
      <c r="F219" s="115">
        <f t="shared" si="7"/>
        <v>1981.2500955</v>
      </c>
      <c r="G219" s="115">
        <v>0</v>
      </c>
      <c r="H219" s="115">
        <f t="shared" si="8"/>
        <v>3070.9376480250003</v>
      </c>
      <c r="I219" s="32"/>
      <c r="J219" s="32"/>
      <c r="N219" s="32"/>
    </row>
    <row r="220" spans="1:14" s="114" customFormat="1" x14ac:dyDescent="0.35">
      <c r="A220" s="120">
        <f t="shared" si="9"/>
        <v>6</v>
      </c>
      <c r="B220" s="120"/>
      <c r="C220" s="115" t="s">
        <v>476</v>
      </c>
      <c r="D220" s="97">
        <f>(223)*10.764</f>
        <v>2400.3719999999998</v>
      </c>
      <c r="E220" s="97">
        <f>(6.73*1.83+0.605*0.915)*10.764</f>
        <v>138.5270289</v>
      </c>
      <c r="F220" s="115">
        <f t="shared" si="7"/>
        <v>2538.8990288999998</v>
      </c>
      <c r="G220" s="115">
        <v>0</v>
      </c>
      <c r="H220" s="115">
        <f t="shared" si="8"/>
        <v>3935.2934947949998</v>
      </c>
      <c r="I220" s="32"/>
      <c r="J220" s="32"/>
      <c r="N220" s="32"/>
    </row>
    <row r="221" spans="1:14" s="114" customFormat="1" x14ac:dyDescent="0.35">
      <c r="A221" s="118" t="s">
        <v>473</v>
      </c>
      <c r="B221" s="118"/>
      <c r="C221" s="118"/>
      <c r="D221" s="118"/>
      <c r="E221" s="118"/>
      <c r="F221" s="118"/>
      <c r="G221" s="118"/>
      <c r="H221" s="118"/>
      <c r="I221" s="87"/>
      <c r="L221" s="119"/>
      <c r="M221" s="119"/>
    </row>
    <row r="222" spans="1:14" s="114" customFormat="1" x14ac:dyDescent="0.35">
      <c r="A222" s="120">
        <v>1</v>
      </c>
      <c r="B222" s="120"/>
      <c r="C222" s="115" t="s">
        <v>476</v>
      </c>
      <c r="D222" s="97">
        <f>(223.37)*10.764</f>
        <v>2404.3546799999999</v>
      </c>
      <c r="E222" s="97">
        <f>(6.73*1.83+0.605*0.915)*10.764</f>
        <v>138.5270289</v>
      </c>
      <c r="F222" s="115">
        <f t="shared" ref="F222:F227" si="10">D222+E222</f>
        <v>2542.8817088999999</v>
      </c>
      <c r="G222" s="115">
        <v>0</v>
      </c>
      <c r="H222" s="115">
        <f t="shared" ref="H222:H227" si="11">F222*(($H$190)+1)+(IF(G222&lt;101,G222,IF(G222&lt;201,G222/2,IF(G222&lt;=301,G222/3,G222/4))))</f>
        <v>3941.4666487949999</v>
      </c>
      <c r="I222" s="32"/>
      <c r="J222" s="32"/>
      <c r="N222" s="32"/>
    </row>
    <row r="223" spans="1:14" s="114" customFormat="1" x14ac:dyDescent="0.35">
      <c r="A223" s="120">
        <f>A222+1</f>
        <v>2</v>
      </c>
      <c r="B223" s="120"/>
      <c r="C223" s="115" t="s">
        <v>477</v>
      </c>
      <c r="D223" s="97">
        <f>(171.77)*10.764</f>
        <v>1848.93228</v>
      </c>
      <c r="E223" s="97">
        <f>(6.53*1.83+0.615*0.915)*10.764</f>
        <v>134.68589550000002</v>
      </c>
      <c r="F223" s="115">
        <f t="shared" si="10"/>
        <v>1983.6181755</v>
      </c>
      <c r="G223" s="115">
        <v>0</v>
      </c>
      <c r="H223" s="115">
        <f t="shared" si="11"/>
        <v>3074.6081720249999</v>
      </c>
      <c r="I223" s="32"/>
      <c r="J223" s="32"/>
      <c r="N223" s="32"/>
    </row>
    <row r="224" spans="1:14" s="114" customFormat="1" x14ac:dyDescent="0.35">
      <c r="A224" s="120">
        <f t="shared" ref="A224:A227" si="12">A223+1</f>
        <v>3</v>
      </c>
      <c r="B224" s="120"/>
      <c r="C224" s="115" t="s">
        <v>477</v>
      </c>
      <c r="D224" s="97">
        <f>(162.46)*10.764</f>
        <v>1748.7194400000001</v>
      </c>
      <c r="E224" s="97">
        <f>(6.465*1.83+0.113*1.36+0.645*1.135)*10.764</f>
        <v>136.88261261999997</v>
      </c>
      <c r="F224" s="115">
        <f t="shared" si="10"/>
        <v>1885.60205262</v>
      </c>
      <c r="G224" s="115">
        <v>0</v>
      </c>
      <c r="H224" s="115">
        <f t="shared" si="11"/>
        <v>2922.6831815609999</v>
      </c>
      <c r="I224" s="32"/>
      <c r="J224" s="32"/>
      <c r="N224" s="32"/>
    </row>
    <row r="225" spans="1:14" s="114" customFormat="1" x14ac:dyDescent="0.35">
      <c r="A225" s="120">
        <f t="shared" si="12"/>
        <v>4</v>
      </c>
      <c r="B225" s="120"/>
      <c r="C225" s="115" t="s">
        <v>477</v>
      </c>
      <c r="D225" s="97">
        <f>(161.55)*10.764</f>
        <v>1738.9241999999999</v>
      </c>
      <c r="E225" s="97">
        <f>(6.465*1.83+0.113*1.36+0.645*1.135)*10.764</f>
        <v>136.88261261999997</v>
      </c>
      <c r="F225" s="115">
        <f t="shared" si="10"/>
        <v>1875.8068126199998</v>
      </c>
      <c r="G225" s="115">
        <v>0</v>
      </c>
      <c r="H225" s="115">
        <f t="shared" si="11"/>
        <v>2907.500559561</v>
      </c>
      <c r="I225" s="32"/>
      <c r="J225" s="32"/>
      <c r="N225" s="32"/>
    </row>
    <row r="226" spans="1:14" s="114" customFormat="1" x14ac:dyDescent="0.35">
      <c r="A226" s="120">
        <f t="shared" si="12"/>
        <v>5</v>
      </c>
      <c r="B226" s="120"/>
      <c r="C226" s="115" t="s">
        <v>477</v>
      </c>
      <c r="D226" s="97">
        <f>(171.77)*10.764</f>
        <v>1848.93228</v>
      </c>
      <c r="E226" s="97">
        <f>(6.53*1.83+0.615*0.915)*10.764</f>
        <v>134.68589550000002</v>
      </c>
      <c r="F226" s="115">
        <f t="shared" si="10"/>
        <v>1983.6181755</v>
      </c>
      <c r="G226" s="115">
        <v>0</v>
      </c>
      <c r="H226" s="115">
        <f t="shared" si="11"/>
        <v>3074.6081720249999</v>
      </c>
      <c r="I226" s="32"/>
      <c r="J226" s="32"/>
      <c r="N226" s="32"/>
    </row>
    <row r="227" spans="1:14" s="114" customFormat="1" x14ac:dyDescent="0.35">
      <c r="A227" s="120">
        <f t="shared" si="12"/>
        <v>6</v>
      </c>
      <c r="B227" s="120"/>
      <c r="C227" s="115" t="s">
        <v>476</v>
      </c>
      <c r="D227" s="97">
        <f>(223.37)*10.764</f>
        <v>2404.3546799999999</v>
      </c>
      <c r="E227" s="97">
        <f>(6.73*1.83+0.605*0.915)*10.764</f>
        <v>138.5270289</v>
      </c>
      <c r="F227" s="115">
        <f t="shared" si="10"/>
        <v>2542.8817088999999</v>
      </c>
      <c r="G227" s="115">
        <v>0</v>
      </c>
      <c r="H227" s="115">
        <f t="shared" si="11"/>
        <v>3941.4666487949999</v>
      </c>
      <c r="I227" s="32"/>
      <c r="J227" s="32"/>
      <c r="N227" s="32"/>
    </row>
    <row r="228" spans="1:14" s="114" customFormat="1" x14ac:dyDescent="0.35">
      <c r="A228" s="118" t="s">
        <v>474</v>
      </c>
      <c r="B228" s="118"/>
      <c r="C228" s="118"/>
      <c r="D228" s="118"/>
      <c r="E228" s="118"/>
      <c r="F228" s="118"/>
      <c r="G228" s="118"/>
      <c r="H228" s="118"/>
      <c r="I228" s="87"/>
      <c r="L228" s="119"/>
      <c r="M228" s="119"/>
    </row>
    <row r="229" spans="1:14" s="114" customFormat="1" x14ac:dyDescent="0.35">
      <c r="A229" s="120">
        <v>1</v>
      </c>
      <c r="B229" s="120"/>
      <c r="C229" s="115" t="s">
        <v>476</v>
      </c>
      <c r="D229" s="97">
        <f>(223.37)*10.764</f>
        <v>2404.3546799999999</v>
      </c>
      <c r="E229" s="97">
        <f>(6.73*1.83+0.605*0.915)*10.764</f>
        <v>138.5270289</v>
      </c>
      <c r="F229" s="115">
        <f t="shared" ref="F229:F230" si="13">D229+E229</f>
        <v>2542.8817088999999</v>
      </c>
      <c r="G229" s="115">
        <v>0</v>
      </c>
      <c r="H229" s="115">
        <f t="shared" ref="H229:H230" si="14">F229*(($H$190)+1)+(IF(G229&lt;101,G229,IF(G229&lt;201,G229/2,IF(G229&lt;=301,G229/3,G229/4))))</f>
        <v>3941.4666487949999</v>
      </c>
      <c r="I229" s="32"/>
      <c r="J229" s="32"/>
      <c r="N229" s="32"/>
    </row>
    <row r="230" spans="1:14" s="114" customFormat="1" x14ac:dyDescent="0.35">
      <c r="A230" s="120">
        <f>A229+1</f>
        <v>2</v>
      </c>
      <c r="B230" s="120"/>
      <c r="C230" s="115" t="s">
        <v>477</v>
      </c>
      <c r="D230" s="97">
        <f>(171.77)*10.764</f>
        <v>1848.93228</v>
      </c>
      <c r="E230" s="97">
        <f>(6.53*1.83+0.615*0.915)*10.764</f>
        <v>134.68589550000002</v>
      </c>
      <c r="F230" s="115">
        <f t="shared" si="13"/>
        <v>1983.6181755</v>
      </c>
      <c r="G230" s="115">
        <v>0</v>
      </c>
      <c r="H230" s="115">
        <f t="shared" si="14"/>
        <v>3074.6081720249999</v>
      </c>
      <c r="I230" s="32"/>
      <c r="J230" s="32"/>
      <c r="N230" s="32"/>
    </row>
    <row r="231" spans="1:14" s="114" customFormat="1" x14ac:dyDescent="0.35">
      <c r="A231" s="120">
        <f t="shared" ref="A231:A234" si="15">A230+1</f>
        <v>3</v>
      </c>
      <c r="B231" s="120"/>
      <c r="C231" s="121" t="s">
        <v>438</v>
      </c>
      <c r="D231" s="122"/>
      <c r="E231" s="122"/>
      <c r="F231" s="122"/>
      <c r="G231" s="122"/>
      <c r="H231" s="123"/>
      <c r="I231" s="32"/>
      <c r="J231" s="32"/>
      <c r="N231" s="32"/>
    </row>
    <row r="232" spans="1:14" s="114" customFormat="1" x14ac:dyDescent="0.35">
      <c r="A232" s="120">
        <f t="shared" si="15"/>
        <v>4</v>
      </c>
      <c r="B232" s="120"/>
      <c r="C232" s="127"/>
      <c r="D232" s="128"/>
      <c r="E232" s="128"/>
      <c r="F232" s="128"/>
      <c r="G232" s="128"/>
      <c r="H232" s="129"/>
      <c r="I232" s="32"/>
      <c r="J232" s="32"/>
      <c r="N232" s="32"/>
    </row>
    <row r="233" spans="1:14" s="114" customFormat="1" x14ac:dyDescent="0.35">
      <c r="A233" s="120">
        <f t="shared" si="15"/>
        <v>5</v>
      </c>
      <c r="B233" s="120"/>
      <c r="C233" s="115" t="s">
        <v>477</v>
      </c>
      <c r="D233" s="97">
        <f>(171.77)*10.764</f>
        <v>1848.93228</v>
      </c>
      <c r="E233" s="97">
        <f>(6.53*1.83+0.615*0.915)*10.764</f>
        <v>134.68589550000002</v>
      </c>
      <c r="F233" s="115">
        <f t="shared" ref="F233:F234" si="16">D233+E233</f>
        <v>1983.6181755</v>
      </c>
      <c r="G233" s="115">
        <v>0</v>
      </c>
      <c r="H233" s="115">
        <f t="shared" ref="H233:H234" si="17">F233*(($H$190)+1)+(IF(G233&lt;101,G233,IF(G233&lt;201,G233/2,IF(G233&lt;=301,G233/3,G233/4))))</f>
        <v>3074.6081720249999</v>
      </c>
      <c r="I233" s="32"/>
      <c r="J233" s="32"/>
      <c r="N233" s="32"/>
    </row>
    <row r="234" spans="1:14" s="114" customFormat="1" x14ac:dyDescent="0.35">
      <c r="A234" s="120">
        <f t="shared" si="15"/>
        <v>6</v>
      </c>
      <c r="B234" s="120"/>
      <c r="C234" s="115" t="s">
        <v>476</v>
      </c>
      <c r="D234" s="97">
        <f>(223.37)*10.764</f>
        <v>2404.3546799999999</v>
      </c>
      <c r="E234" s="97">
        <f>(6.73*1.83+0.605*0.915)*10.764</f>
        <v>138.5270289</v>
      </c>
      <c r="F234" s="115">
        <f t="shared" si="16"/>
        <v>2542.8817088999999</v>
      </c>
      <c r="G234" s="115">
        <v>0</v>
      </c>
      <c r="H234" s="115">
        <f t="shared" si="17"/>
        <v>3941.4666487949999</v>
      </c>
      <c r="I234" s="32"/>
      <c r="J234" s="32"/>
      <c r="N234" s="32"/>
    </row>
    <row r="235" spans="1:14" s="114" customFormat="1" x14ac:dyDescent="0.35">
      <c r="A235" s="118" t="s">
        <v>475</v>
      </c>
      <c r="B235" s="118"/>
      <c r="C235" s="118"/>
      <c r="D235" s="118"/>
      <c r="E235" s="118"/>
      <c r="F235" s="118"/>
      <c r="G235" s="118"/>
      <c r="H235" s="118"/>
      <c r="I235" s="87"/>
      <c r="L235" s="119"/>
      <c r="M235" s="119"/>
    </row>
    <row r="236" spans="1:14" s="114" customFormat="1" x14ac:dyDescent="0.35">
      <c r="A236" s="120">
        <v>1</v>
      </c>
      <c r="B236" s="120"/>
      <c r="C236" s="115" t="s">
        <v>476</v>
      </c>
      <c r="D236" s="97">
        <f>(223.37)*10.764</f>
        <v>2404.3546799999999</v>
      </c>
      <c r="E236" s="97">
        <f>(6.73*1.83+0.605*0.915)*10.764</f>
        <v>138.5270289</v>
      </c>
      <c r="F236" s="115">
        <f t="shared" ref="F236:F241" si="18">D236+E236</f>
        <v>2542.8817088999999</v>
      </c>
      <c r="G236" s="115">
        <v>0</v>
      </c>
      <c r="H236" s="115">
        <f t="shared" ref="H236:H241" si="19">F236*(($H$190)+1)+(IF(G236&lt;101,G236,IF(G236&lt;201,G236/2,IF(G236&lt;=301,G236/3,G236/4))))</f>
        <v>3941.4666487949999</v>
      </c>
      <c r="I236" s="32"/>
      <c r="J236" s="32"/>
      <c r="N236" s="32"/>
    </row>
    <row r="237" spans="1:14" s="114" customFormat="1" x14ac:dyDescent="0.35">
      <c r="A237" s="120">
        <f>A236+1</f>
        <v>2</v>
      </c>
      <c r="B237" s="120"/>
      <c r="C237" s="115" t="s">
        <v>477</v>
      </c>
      <c r="D237" s="97">
        <f>(171.77)*10.764</f>
        <v>1848.93228</v>
      </c>
      <c r="E237" s="97">
        <f>(6.53*1.83+0.615*0.915)*10.764</f>
        <v>134.68589550000002</v>
      </c>
      <c r="F237" s="115">
        <f t="shared" si="18"/>
        <v>1983.6181755</v>
      </c>
      <c r="G237" s="115">
        <v>0</v>
      </c>
      <c r="H237" s="115">
        <f t="shared" si="19"/>
        <v>3074.6081720249999</v>
      </c>
      <c r="I237" s="32"/>
      <c r="J237" s="32"/>
      <c r="N237" s="32"/>
    </row>
    <row r="238" spans="1:14" s="114" customFormat="1" x14ac:dyDescent="0.35">
      <c r="A238" s="120">
        <f t="shared" ref="A238:A241" si="20">A237+1</f>
        <v>3</v>
      </c>
      <c r="B238" s="120"/>
      <c r="C238" s="115" t="s">
        <v>477</v>
      </c>
      <c r="D238" s="97">
        <f>(162.46)*10.764</f>
        <v>1748.7194400000001</v>
      </c>
      <c r="E238" s="97">
        <f>(6.465*1.83+0.113*1.36+0.645*1.135)*10.764</f>
        <v>136.88261261999997</v>
      </c>
      <c r="F238" s="115">
        <f t="shared" si="18"/>
        <v>1885.60205262</v>
      </c>
      <c r="G238" s="115">
        <v>0</v>
      </c>
      <c r="H238" s="115">
        <f t="shared" si="19"/>
        <v>2922.6831815609999</v>
      </c>
      <c r="I238" s="32"/>
      <c r="J238" s="32"/>
      <c r="N238" s="32"/>
    </row>
    <row r="239" spans="1:14" s="114" customFormat="1" x14ac:dyDescent="0.35">
      <c r="A239" s="120">
        <f t="shared" si="20"/>
        <v>4</v>
      </c>
      <c r="B239" s="120"/>
      <c r="C239" s="115" t="s">
        <v>477</v>
      </c>
      <c r="D239" s="97">
        <f>(161.55)*10.764</f>
        <v>1738.9241999999999</v>
      </c>
      <c r="E239" s="97">
        <f>(6.465*1.83+0.113*1.36+0.645*1.135)*10.764</f>
        <v>136.88261261999997</v>
      </c>
      <c r="F239" s="115">
        <f t="shared" si="18"/>
        <v>1875.8068126199998</v>
      </c>
      <c r="G239" s="115">
        <v>0</v>
      </c>
      <c r="H239" s="115">
        <f t="shared" si="19"/>
        <v>2907.500559561</v>
      </c>
      <c r="I239" s="32"/>
      <c r="J239" s="32"/>
      <c r="N239" s="32"/>
    </row>
    <row r="240" spans="1:14" s="114" customFormat="1" x14ac:dyDescent="0.35">
      <c r="A240" s="120">
        <f t="shared" si="20"/>
        <v>5</v>
      </c>
      <c r="B240" s="120"/>
      <c r="C240" s="115" t="s">
        <v>477</v>
      </c>
      <c r="D240" s="97">
        <f>(171.77)*10.764</f>
        <v>1848.93228</v>
      </c>
      <c r="E240" s="97">
        <f>(6.53*1.83+0.615*0.915)*10.764</f>
        <v>134.68589550000002</v>
      </c>
      <c r="F240" s="115">
        <f t="shared" si="18"/>
        <v>1983.6181755</v>
      </c>
      <c r="G240" s="115">
        <v>0</v>
      </c>
      <c r="H240" s="115">
        <f t="shared" si="19"/>
        <v>3074.6081720249999</v>
      </c>
      <c r="I240" s="32"/>
      <c r="J240" s="32"/>
      <c r="N240" s="32"/>
    </row>
    <row r="241" spans="1:14" s="114" customFormat="1" x14ac:dyDescent="0.35">
      <c r="A241" s="120">
        <f t="shared" si="20"/>
        <v>6</v>
      </c>
      <c r="B241" s="120"/>
      <c r="C241" s="115" t="s">
        <v>476</v>
      </c>
      <c r="D241" s="97">
        <f>(223.37)*10.764</f>
        <v>2404.3546799999999</v>
      </c>
      <c r="E241" s="97">
        <f>(6.73*1.83+0.605*0.915)*10.764</f>
        <v>138.5270289</v>
      </c>
      <c r="F241" s="115">
        <f t="shared" si="18"/>
        <v>2542.8817088999999</v>
      </c>
      <c r="G241" s="115">
        <v>0</v>
      </c>
      <c r="H241" s="115">
        <f t="shared" si="19"/>
        <v>3941.4666487949999</v>
      </c>
      <c r="I241" s="32"/>
      <c r="J241" s="32"/>
      <c r="N241" s="32"/>
    </row>
    <row r="242" spans="1:14" s="114" customFormat="1" x14ac:dyDescent="0.35">
      <c r="A242" s="118" t="s">
        <v>447</v>
      </c>
      <c r="B242" s="118"/>
      <c r="C242" s="118"/>
      <c r="D242" s="118"/>
      <c r="E242" s="118"/>
      <c r="F242" s="118"/>
      <c r="G242" s="118"/>
      <c r="H242" s="118"/>
      <c r="I242" s="87"/>
      <c r="L242" s="119"/>
      <c r="M242" s="119"/>
    </row>
    <row r="243" spans="1:14" s="114" customFormat="1" x14ac:dyDescent="0.35">
      <c r="A243" s="120">
        <v>1</v>
      </c>
      <c r="B243" s="120"/>
      <c r="C243" s="115" t="s">
        <v>476</v>
      </c>
      <c r="D243" s="97">
        <f>(223.37)*10.764</f>
        <v>2404.3546799999999</v>
      </c>
      <c r="E243" s="97">
        <f>(6.73*1.83+0.605*0.915)*10.764</f>
        <v>138.5270289</v>
      </c>
      <c r="F243" s="115">
        <f t="shared" ref="F243:F244" si="21">D243+E243</f>
        <v>2542.8817088999999</v>
      </c>
      <c r="G243" s="115">
        <v>0</v>
      </c>
      <c r="H243" s="115">
        <f t="shared" ref="H243:H244" si="22">F243*(($H$190)+1)+(IF(G243&lt;101,G243,IF(G243&lt;201,G243/2,IF(G243&lt;=301,G243/3,G243/4))))</f>
        <v>3941.4666487949999</v>
      </c>
      <c r="I243" s="32"/>
      <c r="J243" s="32"/>
      <c r="N243" s="32"/>
    </row>
    <row r="244" spans="1:14" s="114" customFormat="1" x14ac:dyDescent="0.35">
      <c r="A244" s="120">
        <f>A243+1</f>
        <v>2</v>
      </c>
      <c r="B244" s="120"/>
      <c r="C244" s="115" t="s">
        <v>477</v>
      </c>
      <c r="D244" s="97">
        <f>(171.77)*10.764</f>
        <v>1848.93228</v>
      </c>
      <c r="E244" s="97">
        <f>(6.53*1.83+0.615*0.915)*10.764</f>
        <v>134.68589550000002</v>
      </c>
      <c r="F244" s="115">
        <f t="shared" si="21"/>
        <v>1983.6181755</v>
      </c>
      <c r="G244" s="115">
        <v>0</v>
      </c>
      <c r="H244" s="115">
        <f t="shared" si="22"/>
        <v>3074.6081720249999</v>
      </c>
      <c r="I244" s="32"/>
      <c r="J244" s="32"/>
      <c r="N244" s="32"/>
    </row>
    <row r="245" spans="1:14" s="114" customFormat="1" x14ac:dyDescent="0.35">
      <c r="A245" s="120">
        <f t="shared" ref="A245:A248" si="23">A244+1</f>
        <v>3</v>
      </c>
      <c r="B245" s="120"/>
      <c r="C245" s="121" t="s">
        <v>438</v>
      </c>
      <c r="D245" s="122"/>
      <c r="E245" s="122"/>
      <c r="F245" s="122"/>
      <c r="G245" s="122"/>
      <c r="H245" s="123"/>
      <c r="I245" s="32"/>
      <c r="J245" s="32"/>
      <c r="N245" s="32"/>
    </row>
    <row r="246" spans="1:14" s="114" customFormat="1" x14ac:dyDescent="0.35">
      <c r="A246" s="120">
        <f t="shared" si="23"/>
        <v>4</v>
      </c>
      <c r="B246" s="120"/>
      <c r="C246" s="127"/>
      <c r="D246" s="128"/>
      <c r="E246" s="128"/>
      <c r="F246" s="128"/>
      <c r="G246" s="128"/>
      <c r="H246" s="129"/>
      <c r="I246" s="32"/>
      <c r="J246" s="32"/>
      <c r="N246" s="32"/>
    </row>
    <row r="247" spans="1:14" s="114" customFormat="1" x14ac:dyDescent="0.35">
      <c r="A247" s="120">
        <f t="shared" si="23"/>
        <v>5</v>
      </c>
      <c r="B247" s="120"/>
      <c r="C247" s="115" t="s">
        <v>477</v>
      </c>
      <c r="D247" s="97">
        <f>(171.77)*10.764</f>
        <v>1848.93228</v>
      </c>
      <c r="E247" s="97">
        <f>(6.53*1.83+0.615*0.915)*10.764</f>
        <v>134.68589550000002</v>
      </c>
      <c r="F247" s="115">
        <f t="shared" ref="F247:F248" si="24">D247+E247</f>
        <v>1983.6181755</v>
      </c>
      <c r="G247" s="115">
        <v>0</v>
      </c>
      <c r="H247" s="115">
        <f t="shared" ref="H247:H248" si="25">F247*(($H$190)+1)+(IF(G247&lt;101,G247,IF(G247&lt;201,G247/2,IF(G247&lt;=301,G247/3,G247/4))))</f>
        <v>3074.6081720249999</v>
      </c>
      <c r="I247" s="32"/>
      <c r="J247" s="32"/>
      <c r="N247" s="32"/>
    </row>
    <row r="248" spans="1:14" s="114" customFormat="1" x14ac:dyDescent="0.35">
      <c r="A248" s="120">
        <f t="shared" si="23"/>
        <v>6</v>
      </c>
      <c r="B248" s="120"/>
      <c r="C248" s="115" t="s">
        <v>476</v>
      </c>
      <c r="D248" s="97">
        <f>(223.37)*10.764</f>
        <v>2404.3546799999999</v>
      </c>
      <c r="E248" s="97">
        <f>(6.73*1.83+0.605*0.915)*10.764</f>
        <v>138.5270289</v>
      </c>
      <c r="F248" s="115">
        <f t="shared" si="24"/>
        <v>2542.8817088999999</v>
      </c>
      <c r="G248" s="115">
        <v>0</v>
      </c>
      <c r="H248" s="115">
        <f t="shared" si="25"/>
        <v>3941.4666487949999</v>
      </c>
      <c r="I248" s="32"/>
      <c r="J248" s="32"/>
      <c r="N248" s="32"/>
    </row>
    <row r="249" spans="1:14" s="114" customFormat="1" x14ac:dyDescent="0.35">
      <c r="A249" s="118" t="s">
        <v>449</v>
      </c>
      <c r="B249" s="118"/>
      <c r="C249" s="118"/>
      <c r="D249" s="118"/>
      <c r="E249" s="118"/>
      <c r="F249" s="118"/>
      <c r="G249" s="118"/>
      <c r="H249" s="118"/>
      <c r="I249" s="87"/>
      <c r="L249" s="119"/>
      <c r="M249" s="119"/>
    </row>
    <row r="250" spans="1:14" s="114" customFormat="1" x14ac:dyDescent="0.35">
      <c r="A250" s="120">
        <v>1</v>
      </c>
      <c r="B250" s="120"/>
      <c r="C250" s="115" t="s">
        <v>476</v>
      </c>
      <c r="D250" s="97">
        <f>(223.91)*10.764</f>
        <v>2410.1672399999998</v>
      </c>
      <c r="E250" s="97">
        <f>(6.73*1.83+0.605*0.915)*10.764</f>
        <v>138.5270289</v>
      </c>
      <c r="F250" s="115">
        <f t="shared" ref="F250:F255" si="26">D250+E250</f>
        <v>2548.6942688999998</v>
      </c>
      <c r="G250" s="115">
        <v>0</v>
      </c>
      <c r="H250" s="115">
        <f t="shared" ref="H250:H255" si="27">F250*(($H$190)+1)+(IF(G250&lt;101,G250,IF(G250&lt;201,G250/2,IF(G250&lt;=301,G250/3,G250/4))))</f>
        <v>3950.4761167949996</v>
      </c>
      <c r="I250" s="32"/>
      <c r="J250" s="32"/>
      <c r="N250" s="32"/>
    </row>
    <row r="251" spans="1:14" s="114" customFormat="1" x14ac:dyDescent="0.35">
      <c r="A251" s="120">
        <f>A250+1</f>
        <v>2</v>
      </c>
      <c r="B251" s="120"/>
      <c r="C251" s="115" t="s">
        <v>477</v>
      </c>
      <c r="D251" s="97">
        <f>(172.1)*10.764</f>
        <v>1852.4843999999998</v>
      </c>
      <c r="E251" s="97">
        <f>(6.53*1.83+0.615*0.915)*10.764</f>
        <v>134.68589550000002</v>
      </c>
      <c r="F251" s="115">
        <f t="shared" si="26"/>
        <v>1987.1702954999998</v>
      </c>
      <c r="G251" s="115">
        <v>0</v>
      </c>
      <c r="H251" s="115">
        <f t="shared" si="27"/>
        <v>3080.1139580249996</v>
      </c>
      <c r="I251" s="32"/>
      <c r="J251" s="32"/>
      <c r="N251" s="32"/>
    </row>
    <row r="252" spans="1:14" s="114" customFormat="1" x14ac:dyDescent="0.35">
      <c r="A252" s="120">
        <f t="shared" ref="A252:A255" si="28">A251+1</f>
        <v>3</v>
      </c>
      <c r="B252" s="120"/>
      <c r="C252" s="115" t="s">
        <v>477</v>
      </c>
      <c r="D252" s="97">
        <f>(162.78)*10.764</f>
        <v>1752.16392</v>
      </c>
      <c r="E252" s="97">
        <f>(6.465*1.83+0.113*1.36+0.645*1.135)*10.764</f>
        <v>136.88261261999997</v>
      </c>
      <c r="F252" s="115">
        <f t="shared" si="26"/>
        <v>1889.0465326199999</v>
      </c>
      <c r="G252" s="115">
        <v>0</v>
      </c>
      <c r="H252" s="115">
        <f t="shared" si="27"/>
        <v>2928.0221255609999</v>
      </c>
      <c r="I252" s="32"/>
      <c r="J252" s="32"/>
      <c r="N252" s="32"/>
    </row>
    <row r="253" spans="1:14" s="114" customFormat="1" x14ac:dyDescent="0.35">
      <c r="A253" s="120">
        <f t="shared" si="28"/>
        <v>4</v>
      </c>
      <c r="B253" s="120"/>
      <c r="C253" s="115" t="s">
        <v>477</v>
      </c>
      <c r="D253" s="97">
        <f>(161.87)*10.764</f>
        <v>1742.36868</v>
      </c>
      <c r="E253" s="97">
        <f>(6.465*1.83+0.113*1.36+0.645*1.135)*10.764</f>
        <v>136.88261261999997</v>
      </c>
      <c r="F253" s="115">
        <f t="shared" si="26"/>
        <v>1879.25129262</v>
      </c>
      <c r="G253" s="115">
        <v>0</v>
      </c>
      <c r="H253" s="115">
        <f t="shared" si="27"/>
        <v>2912.8395035610001</v>
      </c>
      <c r="I253" s="32"/>
      <c r="J253" s="32"/>
      <c r="N253" s="32"/>
    </row>
    <row r="254" spans="1:14" s="114" customFormat="1" x14ac:dyDescent="0.35">
      <c r="A254" s="120">
        <f t="shared" si="28"/>
        <v>5</v>
      </c>
      <c r="B254" s="120"/>
      <c r="C254" s="115" t="s">
        <v>477</v>
      </c>
      <c r="D254" s="97">
        <f>(172.1)*10.764</f>
        <v>1852.4843999999998</v>
      </c>
      <c r="E254" s="97">
        <f>(6.53*1.83+0.615*0.915)*10.764</f>
        <v>134.68589550000002</v>
      </c>
      <c r="F254" s="115">
        <f t="shared" si="26"/>
        <v>1987.1702954999998</v>
      </c>
      <c r="G254" s="115">
        <v>0</v>
      </c>
      <c r="H254" s="115">
        <f t="shared" si="27"/>
        <v>3080.1139580249996</v>
      </c>
      <c r="I254" s="32"/>
      <c r="J254" s="32"/>
      <c r="N254" s="32"/>
    </row>
    <row r="255" spans="1:14" s="114" customFormat="1" x14ac:dyDescent="0.35">
      <c r="A255" s="120">
        <f t="shared" si="28"/>
        <v>6</v>
      </c>
      <c r="B255" s="120"/>
      <c r="C255" s="115" t="s">
        <v>476</v>
      </c>
      <c r="D255" s="97">
        <f>(223.91)*10.764</f>
        <v>2410.1672399999998</v>
      </c>
      <c r="E255" s="97">
        <f>(6.73*1.83+0.605*0.915)*10.764</f>
        <v>138.5270289</v>
      </c>
      <c r="F255" s="115">
        <f t="shared" si="26"/>
        <v>2548.6942688999998</v>
      </c>
      <c r="G255" s="115">
        <v>0</v>
      </c>
      <c r="H255" s="115">
        <f t="shared" si="27"/>
        <v>3950.4761167949996</v>
      </c>
      <c r="I255" s="32"/>
      <c r="J255" s="32"/>
      <c r="N255" s="32"/>
    </row>
    <row r="256" spans="1:14" s="114" customFormat="1" x14ac:dyDescent="0.35">
      <c r="A256" s="118" t="s">
        <v>450</v>
      </c>
      <c r="B256" s="118"/>
      <c r="C256" s="118"/>
      <c r="D256" s="118"/>
      <c r="E256" s="118"/>
      <c r="F256" s="118"/>
      <c r="G256" s="118"/>
      <c r="H256" s="118"/>
      <c r="I256" s="87"/>
      <c r="L256" s="119"/>
      <c r="M256" s="119"/>
    </row>
    <row r="257" spans="1:14" s="114" customFormat="1" x14ac:dyDescent="0.35">
      <c r="A257" s="120">
        <v>1</v>
      </c>
      <c r="B257" s="120"/>
      <c r="C257" s="115" t="s">
        <v>476</v>
      </c>
      <c r="D257" s="97">
        <f>(223.91)*10.764</f>
        <v>2410.1672399999998</v>
      </c>
      <c r="E257" s="97">
        <f>(6.73*1.83+0.605*0.915)*10.764</f>
        <v>138.5270289</v>
      </c>
      <c r="F257" s="115">
        <f t="shared" ref="F257:F258" si="29">D257+E257</f>
        <v>2548.6942688999998</v>
      </c>
      <c r="G257" s="115">
        <v>0</v>
      </c>
      <c r="H257" s="115">
        <f t="shared" ref="H257:H258" si="30">F257*(($H$190)+1)+(IF(G257&lt;101,G257,IF(G257&lt;201,G257/2,IF(G257&lt;=301,G257/3,G257/4))))</f>
        <v>3950.4761167949996</v>
      </c>
      <c r="I257" s="32"/>
      <c r="J257" s="32"/>
      <c r="N257" s="32"/>
    </row>
    <row r="258" spans="1:14" s="114" customFormat="1" x14ac:dyDescent="0.35">
      <c r="A258" s="120">
        <f>A257+1</f>
        <v>2</v>
      </c>
      <c r="B258" s="120"/>
      <c r="C258" s="115" t="s">
        <v>477</v>
      </c>
      <c r="D258" s="97">
        <f>(172.1)*10.764</f>
        <v>1852.4843999999998</v>
      </c>
      <c r="E258" s="97">
        <f>(6.53*1.83+0.615*0.915)*10.764</f>
        <v>134.68589550000002</v>
      </c>
      <c r="F258" s="115">
        <f t="shared" si="29"/>
        <v>1987.1702954999998</v>
      </c>
      <c r="G258" s="115">
        <v>0</v>
      </c>
      <c r="H258" s="115">
        <f t="shared" si="30"/>
        <v>3080.1139580249996</v>
      </c>
      <c r="I258" s="32"/>
      <c r="J258" s="32"/>
      <c r="N258" s="32"/>
    </row>
    <row r="259" spans="1:14" s="114" customFormat="1" x14ac:dyDescent="0.35">
      <c r="A259" s="120">
        <f t="shared" ref="A259:A262" si="31">A258+1</f>
        <v>3</v>
      </c>
      <c r="B259" s="120"/>
      <c r="C259" s="121" t="s">
        <v>438</v>
      </c>
      <c r="D259" s="122"/>
      <c r="E259" s="122"/>
      <c r="F259" s="122"/>
      <c r="G259" s="122"/>
      <c r="H259" s="123"/>
      <c r="I259" s="32"/>
      <c r="J259" s="32"/>
      <c r="N259" s="32"/>
    </row>
    <row r="260" spans="1:14" s="114" customFormat="1" x14ac:dyDescent="0.35">
      <c r="A260" s="120">
        <f t="shared" si="31"/>
        <v>4</v>
      </c>
      <c r="B260" s="120"/>
      <c r="C260" s="127"/>
      <c r="D260" s="128"/>
      <c r="E260" s="128"/>
      <c r="F260" s="128"/>
      <c r="G260" s="128"/>
      <c r="H260" s="129"/>
      <c r="I260" s="32"/>
      <c r="J260" s="32"/>
      <c r="N260" s="32"/>
    </row>
    <row r="261" spans="1:14" s="114" customFormat="1" x14ac:dyDescent="0.35">
      <c r="A261" s="120">
        <f t="shared" si="31"/>
        <v>5</v>
      </c>
      <c r="B261" s="120"/>
      <c r="C261" s="115" t="s">
        <v>477</v>
      </c>
      <c r="D261" s="97">
        <f>(172.1)*10.764</f>
        <v>1852.4843999999998</v>
      </c>
      <c r="E261" s="97">
        <f>(6.53*1.83+0.615*0.915)*10.764</f>
        <v>134.68589550000002</v>
      </c>
      <c r="F261" s="115">
        <f t="shared" ref="F261:F262" si="32">D261+E261</f>
        <v>1987.1702954999998</v>
      </c>
      <c r="G261" s="115">
        <v>0</v>
      </c>
      <c r="H261" s="115">
        <f t="shared" ref="H261:H262" si="33">F261*(($H$190)+1)+(IF(G261&lt;101,G261,IF(G261&lt;201,G261/2,IF(G261&lt;=301,G261/3,G261/4))))</f>
        <v>3080.1139580249996</v>
      </c>
      <c r="I261" s="32"/>
      <c r="J261" s="32"/>
      <c r="N261" s="32"/>
    </row>
    <row r="262" spans="1:14" s="114" customFormat="1" x14ac:dyDescent="0.35">
      <c r="A262" s="120">
        <f t="shared" si="31"/>
        <v>6</v>
      </c>
      <c r="B262" s="120"/>
      <c r="C262" s="115" t="s">
        <v>476</v>
      </c>
      <c r="D262" s="97">
        <f>(223.91)*10.764</f>
        <v>2410.1672399999998</v>
      </c>
      <c r="E262" s="97">
        <f>(6.73*1.83+0.605*0.915)*10.764</f>
        <v>138.5270289</v>
      </c>
      <c r="F262" s="115">
        <f t="shared" si="32"/>
        <v>2548.6942688999998</v>
      </c>
      <c r="G262" s="115">
        <v>0</v>
      </c>
      <c r="H262" s="115">
        <f t="shared" si="33"/>
        <v>3950.4761167949996</v>
      </c>
      <c r="I262" s="32"/>
      <c r="J262" s="32"/>
      <c r="N262" s="32"/>
    </row>
    <row r="263" spans="1:14" s="114" customFormat="1" x14ac:dyDescent="0.35">
      <c r="A263" s="118" t="s">
        <v>451</v>
      </c>
      <c r="B263" s="118"/>
      <c r="C263" s="118"/>
      <c r="D263" s="118"/>
      <c r="E263" s="118"/>
      <c r="F263" s="118"/>
      <c r="G263" s="118"/>
      <c r="H263" s="118"/>
      <c r="I263" s="87"/>
      <c r="L263" s="119"/>
      <c r="M263" s="119"/>
    </row>
    <row r="264" spans="1:14" s="114" customFormat="1" x14ac:dyDescent="0.35">
      <c r="A264" s="120">
        <v>1</v>
      </c>
      <c r="B264" s="120"/>
      <c r="C264" s="115" t="s">
        <v>476</v>
      </c>
      <c r="D264" s="97">
        <f>(223.88)*10.764</f>
        <v>2409.8443199999997</v>
      </c>
      <c r="E264" s="97">
        <f>(6.88*1.83+0.455*0.915)*10.764</f>
        <v>140.00438790000001</v>
      </c>
      <c r="F264" s="115">
        <f t="shared" ref="F264:F269" si="34">D264+E264</f>
        <v>2549.8487078999997</v>
      </c>
      <c r="G264" s="115">
        <v>0</v>
      </c>
      <c r="H264" s="115">
        <f t="shared" ref="H264:H269" si="35">F264*(($H$190)+1)+(IF(G264&lt;101,G264,IF(G264&lt;201,G264/2,IF(G264&lt;=301,G264/3,G264/4))))</f>
        <v>3952.2654972449996</v>
      </c>
      <c r="I264" s="32"/>
      <c r="J264" s="32"/>
      <c r="N264" s="32"/>
    </row>
    <row r="265" spans="1:14" s="114" customFormat="1" x14ac:dyDescent="0.35">
      <c r="A265" s="120">
        <f>A264+1</f>
        <v>2</v>
      </c>
      <c r="B265" s="120"/>
      <c r="C265" s="115" t="s">
        <v>477</v>
      </c>
      <c r="D265" s="97">
        <f>(172.07)*10.764</f>
        <v>1852.1614799999998</v>
      </c>
      <c r="E265" s="97">
        <f>(6.68*1.83+0.465*0.915)*10.764</f>
        <v>136.16325449999999</v>
      </c>
      <c r="F265" s="115">
        <f t="shared" si="34"/>
        <v>1988.3247344999997</v>
      </c>
      <c r="G265" s="115">
        <v>0</v>
      </c>
      <c r="H265" s="115">
        <f t="shared" si="35"/>
        <v>3081.9033384749996</v>
      </c>
      <c r="I265" s="32"/>
      <c r="J265" s="32"/>
      <c r="N265" s="32"/>
    </row>
    <row r="266" spans="1:14" s="114" customFormat="1" x14ac:dyDescent="0.35">
      <c r="A266" s="120">
        <f t="shared" ref="A266:A269" si="36">A265+1</f>
        <v>3</v>
      </c>
      <c r="B266" s="120"/>
      <c r="C266" s="115" t="s">
        <v>477</v>
      </c>
      <c r="D266" s="97">
        <f>(162.78)*10.764</f>
        <v>1752.16392</v>
      </c>
      <c r="E266" s="97">
        <f>(6.615*1.83+0.113*1.36+0.495*1.135)*10.764</f>
        <v>138.00475962000002</v>
      </c>
      <c r="F266" s="115">
        <f t="shared" si="34"/>
        <v>1890.1686796199999</v>
      </c>
      <c r="G266" s="115">
        <v>0</v>
      </c>
      <c r="H266" s="115">
        <f t="shared" si="35"/>
        <v>2929.7614534109998</v>
      </c>
      <c r="I266" s="32"/>
      <c r="J266" s="32"/>
      <c r="N266" s="32"/>
    </row>
    <row r="267" spans="1:14" s="114" customFormat="1" x14ac:dyDescent="0.35">
      <c r="A267" s="120">
        <f t="shared" si="36"/>
        <v>4</v>
      </c>
      <c r="B267" s="120"/>
      <c r="C267" s="115" t="s">
        <v>477</v>
      </c>
      <c r="D267" s="97">
        <f>(161.87)*10.764</f>
        <v>1742.36868</v>
      </c>
      <c r="E267" s="97">
        <f>(6.615*1.83+0.113*1.36+0.495*1.135)*10.764</f>
        <v>138.00475962000002</v>
      </c>
      <c r="F267" s="115">
        <f t="shared" si="34"/>
        <v>1880.37343962</v>
      </c>
      <c r="G267" s="115">
        <v>0</v>
      </c>
      <c r="H267" s="115">
        <f t="shared" si="35"/>
        <v>2914.578831411</v>
      </c>
      <c r="I267" s="32"/>
      <c r="J267" s="32"/>
      <c r="N267" s="32"/>
    </row>
    <row r="268" spans="1:14" s="114" customFormat="1" x14ac:dyDescent="0.35">
      <c r="A268" s="120">
        <f t="shared" si="36"/>
        <v>5</v>
      </c>
      <c r="B268" s="120"/>
      <c r="C268" s="115" t="s">
        <v>477</v>
      </c>
      <c r="D268" s="97">
        <f>(172.07)*10.764</f>
        <v>1852.1614799999998</v>
      </c>
      <c r="E268" s="97">
        <f>(6.68*1.83+0.465*0.915)*10.764</f>
        <v>136.16325449999999</v>
      </c>
      <c r="F268" s="115">
        <f t="shared" si="34"/>
        <v>1988.3247344999997</v>
      </c>
      <c r="G268" s="115">
        <v>0</v>
      </c>
      <c r="H268" s="115">
        <f t="shared" si="35"/>
        <v>3081.9033384749996</v>
      </c>
      <c r="I268" s="32"/>
      <c r="J268" s="32"/>
      <c r="N268" s="32"/>
    </row>
    <row r="269" spans="1:14" s="114" customFormat="1" x14ac:dyDescent="0.35">
      <c r="A269" s="120">
        <f t="shared" si="36"/>
        <v>6</v>
      </c>
      <c r="B269" s="120"/>
      <c r="C269" s="115" t="s">
        <v>476</v>
      </c>
      <c r="D269" s="97">
        <f>(223.88)*10.764</f>
        <v>2409.8443199999997</v>
      </c>
      <c r="E269" s="97">
        <f>(6.88*1.83+0.455*0.915)*10.764</f>
        <v>140.00438790000001</v>
      </c>
      <c r="F269" s="115">
        <f t="shared" si="34"/>
        <v>2549.8487078999997</v>
      </c>
      <c r="G269" s="115">
        <v>0</v>
      </c>
      <c r="H269" s="115">
        <f t="shared" si="35"/>
        <v>3952.2654972449996</v>
      </c>
      <c r="I269" s="32"/>
      <c r="J269" s="32"/>
      <c r="N269" s="32"/>
    </row>
    <row r="270" spans="1:14" s="114" customFormat="1" x14ac:dyDescent="0.35">
      <c r="A270" s="118" t="s">
        <v>478</v>
      </c>
      <c r="B270" s="118"/>
      <c r="C270" s="118"/>
      <c r="D270" s="118"/>
      <c r="E270" s="118"/>
      <c r="F270" s="118"/>
      <c r="G270" s="118"/>
      <c r="H270" s="118"/>
      <c r="I270" s="87"/>
      <c r="L270" s="119"/>
      <c r="M270" s="119"/>
    </row>
    <row r="271" spans="1:14" s="114" customFormat="1" x14ac:dyDescent="0.35">
      <c r="A271" s="120">
        <v>1</v>
      </c>
      <c r="B271" s="120"/>
      <c r="C271" s="115" t="s">
        <v>476</v>
      </c>
      <c r="D271" s="97">
        <f>(223.88)*10.764</f>
        <v>2409.8443199999997</v>
      </c>
      <c r="E271" s="97">
        <f>(6.88*1.83+0.455*0.915)*10.764</f>
        <v>140.00438790000001</v>
      </c>
      <c r="F271" s="115">
        <f t="shared" ref="F271:F272" si="37">D271+E271</f>
        <v>2549.8487078999997</v>
      </c>
      <c r="G271" s="115">
        <v>0</v>
      </c>
      <c r="H271" s="115">
        <f t="shared" ref="H271:H272" si="38">F271*(($H$190)+1)+(IF(G271&lt;101,G271,IF(G271&lt;201,G271/2,IF(G271&lt;=301,G271/3,G271/4))))</f>
        <v>3952.2654972449996</v>
      </c>
      <c r="I271" s="32"/>
      <c r="J271" s="32"/>
      <c r="N271" s="32"/>
    </row>
    <row r="272" spans="1:14" s="114" customFormat="1" x14ac:dyDescent="0.35">
      <c r="A272" s="120">
        <f>A271+1</f>
        <v>2</v>
      </c>
      <c r="B272" s="120"/>
      <c r="C272" s="115" t="s">
        <v>477</v>
      </c>
      <c r="D272" s="97">
        <f>(172.07)*10.764</f>
        <v>1852.1614799999998</v>
      </c>
      <c r="E272" s="97">
        <f>(6.68*1.83+0.465*0.915)*10.764</f>
        <v>136.16325449999999</v>
      </c>
      <c r="F272" s="115">
        <f t="shared" si="37"/>
        <v>1988.3247344999997</v>
      </c>
      <c r="G272" s="115">
        <v>0</v>
      </c>
      <c r="H272" s="115">
        <f t="shared" si="38"/>
        <v>3081.9033384749996</v>
      </c>
      <c r="I272" s="32"/>
      <c r="J272" s="32"/>
      <c r="N272" s="32"/>
    </row>
    <row r="273" spans="1:14" s="114" customFormat="1" x14ac:dyDescent="0.35">
      <c r="A273" s="120">
        <f t="shared" ref="A273:A276" si="39">A272+1</f>
        <v>3</v>
      </c>
      <c r="B273" s="120"/>
      <c r="C273" s="121" t="s">
        <v>438</v>
      </c>
      <c r="D273" s="122"/>
      <c r="E273" s="122"/>
      <c r="F273" s="122"/>
      <c r="G273" s="122"/>
      <c r="H273" s="123"/>
      <c r="I273" s="32"/>
      <c r="J273" s="32"/>
      <c r="N273" s="32"/>
    </row>
    <row r="274" spans="1:14" s="114" customFormat="1" x14ac:dyDescent="0.35">
      <c r="A274" s="120">
        <f t="shared" si="39"/>
        <v>4</v>
      </c>
      <c r="B274" s="120"/>
      <c r="C274" s="127"/>
      <c r="D274" s="128"/>
      <c r="E274" s="128"/>
      <c r="F274" s="128"/>
      <c r="G274" s="128"/>
      <c r="H274" s="129"/>
      <c r="I274" s="32"/>
      <c r="J274" s="32"/>
      <c r="N274" s="32"/>
    </row>
    <row r="275" spans="1:14" s="114" customFormat="1" x14ac:dyDescent="0.35">
      <c r="A275" s="120">
        <f t="shared" si="39"/>
        <v>5</v>
      </c>
      <c r="B275" s="120"/>
      <c r="C275" s="115" t="s">
        <v>477</v>
      </c>
      <c r="D275" s="97">
        <f>(172.07)*10.764</f>
        <v>1852.1614799999998</v>
      </c>
      <c r="E275" s="97">
        <f>(6.68*1.83+0.465*0.915)*10.764</f>
        <v>136.16325449999999</v>
      </c>
      <c r="F275" s="115">
        <f t="shared" ref="F275:F276" si="40">D275+E275</f>
        <v>1988.3247344999997</v>
      </c>
      <c r="G275" s="115">
        <v>0</v>
      </c>
      <c r="H275" s="115">
        <f t="shared" ref="H275:H276" si="41">F275*(($H$190)+1)+(IF(G275&lt;101,G275,IF(G275&lt;201,G275/2,IF(G275&lt;=301,G275/3,G275/4))))</f>
        <v>3081.9033384749996</v>
      </c>
      <c r="I275" s="32"/>
      <c r="J275" s="32"/>
      <c r="N275" s="32"/>
    </row>
    <row r="276" spans="1:14" s="114" customFormat="1" x14ac:dyDescent="0.35">
      <c r="A276" s="120">
        <f t="shared" si="39"/>
        <v>6</v>
      </c>
      <c r="B276" s="120"/>
      <c r="C276" s="115" t="s">
        <v>476</v>
      </c>
      <c r="D276" s="97">
        <f>(223.88)*10.764</f>
        <v>2409.8443199999997</v>
      </c>
      <c r="E276" s="97">
        <f>(6.88*1.83+0.455*0.915)*10.764</f>
        <v>140.00438790000001</v>
      </c>
      <c r="F276" s="115">
        <f t="shared" si="40"/>
        <v>2549.8487078999997</v>
      </c>
      <c r="G276" s="115">
        <v>0</v>
      </c>
      <c r="H276" s="115">
        <f t="shared" si="41"/>
        <v>3952.2654972449996</v>
      </c>
      <c r="I276" s="32"/>
      <c r="J276" s="32"/>
      <c r="N276" s="32"/>
    </row>
    <row r="277" spans="1:14" s="114" customFormat="1" x14ac:dyDescent="0.35">
      <c r="A277" s="118" t="s">
        <v>479</v>
      </c>
      <c r="B277" s="118"/>
      <c r="C277" s="118"/>
      <c r="D277" s="118"/>
      <c r="E277" s="118"/>
      <c r="F277" s="118"/>
      <c r="G277" s="118"/>
      <c r="H277" s="118"/>
      <c r="I277" s="87"/>
      <c r="L277" s="119"/>
      <c r="M277" s="119"/>
    </row>
    <row r="278" spans="1:14" s="114" customFormat="1" x14ac:dyDescent="0.35">
      <c r="A278" s="120">
        <v>1</v>
      </c>
      <c r="B278" s="120"/>
      <c r="C278" s="115" t="s">
        <v>476</v>
      </c>
      <c r="D278" s="97">
        <f>(224.72)*10.764</f>
        <v>2418.8860799999998</v>
      </c>
      <c r="E278" s="97">
        <f>(6.88*1.83+0.455*0.915)*10.764</f>
        <v>140.00438790000001</v>
      </c>
      <c r="F278" s="115">
        <f t="shared" ref="F278:F283" si="42">D278+E278</f>
        <v>2558.8904678999997</v>
      </c>
      <c r="G278" s="115">
        <v>0</v>
      </c>
      <c r="H278" s="115">
        <f t="shared" ref="H278:H283" si="43">F278*(($H$190)+1)+(IF(G278&lt;101,G278,IF(G278&lt;201,G278/2,IF(G278&lt;=301,G278/3,G278/4))))</f>
        <v>3966.2802252449997</v>
      </c>
      <c r="I278" s="32"/>
      <c r="J278" s="32"/>
      <c r="N278" s="32"/>
    </row>
    <row r="279" spans="1:14" s="114" customFormat="1" x14ac:dyDescent="0.35">
      <c r="A279" s="120">
        <f>A278+1</f>
        <v>2</v>
      </c>
      <c r="B279" s="120"/>
      <c r="C279" s="115" t="s">
        <v>477</v>
      </c>
      <c r="D279" s="97">
        <f>(172.69)*10.764</f>
        <v>1858.8351599999999</v>
      </c>
      <c r="E279" s="97">
        <f>(6.68*1.83+0.465*0.915)*10.764</f>
        <v>136.16325449999999</v>
      </c>
      <c r="F279" s="115">
        <f t="shared" si="42"/>
        <v>1994.9984144999999</v>
      </c>
      <c r="G279" s="115">
        <v>0</v>
      </c>
      <c r="H279" s="115">
        <f t="shared" si="43"/>
        <v>3092.247542475</v>
      </c>
      <c r="I279" s="32"/>
      <c r="J279" s="32"/>
      <c r="N279" s="32"/>
    </row>
    <row r="280" spans="1:14" s="114" customFormat="1" x14ac:dyDescent="0.35">
      <c r="A280" s="120">
        <f t="shared" ref="A280:A283" si="44">A279+1</f>
        <v>3</v>
      </c>
      <c r="B280" s="120"/>
      <c r="C280" s="115" t="s">
        <v>477</v>
      </c>
      <c r="D280" s="97">
        <f>(163.49)*10.764</f>
        <v>1759.80636</v>
      </c>
      <c r="E280" s="97">
        <f>(6.615*1.83+0.113*1.36+0.495*1.135)*10.764</f>
        <v>138.00475962000002</v>
      </c>
      <c r="F280" s="115">
        <f t="shared" si="42"/>
        <v>1897.81111962</v>
      </c>
      <c r="G280" s="115">
        <v>0</v>
      </c>
      <c r="H280" s="115">
        <f t="shared" si="43"/>
        <v>2941.6072354110001</v>
      </c>
      <c r="I280" s="32"/>
      <c r="J280" s="32"/>
      <c r="N280" s="32"/>
    </row>
    <row r="281" spans="1:14" s="114" customFormat="1" x14ac:dyDescent="0.35">
      <c r="A281" s="120">
        <f t="shared" si="44"/>
        <v>4</v>
      </c>
      <c r="B281" s="120"/>
      <c r="C281" s="115" t="s">
        <v>477</v>
      </c>
      <c r="D281" s="97">
        <f>(163.01)*10.764</f>
        <v>1754.6396399999999</v>
      </c>
      <c r="E281" s="97">
        <f>(6.615*1.83+0.113*1.36+0.495*1.135)*10.764</f>
        <v>138.00475962000002</v>
      </c>
      <c r="F281" s="115">
        <f t="shared" si="42"/>
        <v>1892.6443996199998</v>
      </c>
      <c r="G281" s="115">
        <v>0</v>
      </c>
      <c r="H281" s="115">
        <f t="shared" si="43"/>
        <v>2933.598819411</v>
      </c>
      <c r="I281" s="32"/>
      <c r="J281" s="32"/>
      <c r="N281" s="32"/>
    </row>
    <row r="282" spans="1:14" s="114" customFormat="1" x14ac:dyDescent="0.35">
      <c r="A282" s="120">
        <f t="shared" si="44"/>
        <v>5</v>
      </c>
      <c r="B282" s="120"/>
      <c r="C282" s="115" t="s">
        <v>477</v>
      </c>
      <c r="D282" s="97">
        <f>(172.69)*10.764</f>
        <v>1858.8351599999999</v>
      </c>
      <c r="E282" s="97">
        <f>(6.68*1.83+0.465*0.915)*10.764</f>
        <v>136.16325449999999</v>
      </c>
      <c r="F282" s="115">
        <f t="shared" si="42"/>
        <v>1994.9984144999999</v>
      </c>
      <c r="G282" s="115">
        <v>0</v>
      </c>
      <c r="H282" s="115">
        <f t="shared" si="43"/>
        <v>3092.247542475</v>
      </c>
      <c r="I282" s="32"/>
      <c r="J282" s="32"/>
      <c r="N282" s="32"/>
    </row>
    <row r="283" spans="1:14" s="114" customFormat="1" x14ac:dyDescent="0.35">
      <c r="A283" s="120">
        <f t="shared" si="44"/>
        <v>6</v>
      </c>
      <c r="B283" s="120"/>
      <c r="C283" s="115" t="s">
        <v>476</v>
      </c>
      <c r="D283" s="97">
        <f>(224.72)*10.764</f>
        <v>2418.8860799999998</v>
      </c>
      <c r="E283" s="97">
        <f>(6.88*1.83+0.455*0.915)*10.764</f>
        <v>140.00438790000001</v>
      </c>
      <c r="F283" s="115">
        <f t="shared" si="42"/>
        <v>2558.8904678999997</v>
      </c>
      <c r="G283" s="115">
        <v>0</v>
      </c>
      <c r="H283" s="115">
        <f t="shared" si="43"/>
        <v>3966.2802252449997</v>
      </c>
      <c r="I283" s="32"/>
      <c r="J283" s="32"/>
      <c r="N283" s="32"/>
    </row>
    <row r="284" spans="1:14" s="114" customFormat="1" x14ac:dyDescent="0.35">
      <c r="A284" s="118" t="s">
        <v>480</v>
      </c>
      <c r="B284" s="118"/>
      <c r="C284" s="118"/>
      <c r="D284" s="118"/>
      <c r="E284" s="118"/>
      <c r="F284" s="118"/>
      <c r="G284" s="118"/>
      <c r="H284" s="118"/>
      <c r="I284" s="87"/>
      <c r="L284" s="119"/>
      <c r="M284" s="119"/>
    </row>
    <row r="285" spans="1:14" s="114" customFormat="1" x14ac:dyDescent="0.35">
      <c r="A285" s="120">
        <v>1</v>
      </c>
      <c r="B285" s="120"/>
      <c r="C285" s="115" t="s">
        <v>476</v>
      </c>
      <c r="D285" s="97">
        <f>(224.72)*10.764</f>
        <v>2418.8860799999998</v>
      </c>
      <c r="E285" s="97">
        <f>(6.88*1.83+0.455*0.915)*10.764</f>
        <v>140.00438790000001</v>
      </c>
      <c r="F285" s="115">
        <f t="shared" ref="F285:F286" si="45">D285+E285</f>
        <v>2558.8904678999997</v>
      </c>
      <c r="G285" s="115">
        <v>0</v>
      </c>
      <c r="H285" s="115">
        <f t="shared" ref="H285:H286" si="46">F285*(($H$190)+1)+(IF(G285&lt;101,G285,IF(G285&lt;201,G285/2,IF(G285&lt;=301,G285/3,G285/4))))</f>
        <v>3966.2802252449997</v>
      </c>
      <c r="I285" s="32"/>
      <c r="J285" s="32"/>
      <c r="N285" s="32"/>
    </row>
    <row r="286" spans="1:14" s="114" customFormat="1" x14ac:dyDescent="0.35">
      <c r="A286" s="120">
        <f>A285+1</f>
        <v>2</v>
      </c>
      <c r="B286" s="120"/>
      <c r="C286" s="115" t="s">
        <v>477</v>
      </c>
      <c r="D286" s="97">
        <f>(172.69)*10.764</f>
        <v>1858.8351599999999</v>
      </c>
      <c r="E286" s="97">
        <f>(6.68*1.83+0.465*0.915)*10.764</f>
        <v>136.16325449999999</v>
      </c>
      <c r="F286" s="115">
        <f t="shared" si="45"/>
        <v>1994.9984144999999</v>
      </c>
      <c r="G286" s="115">
        <v>0</v>
      </c>
      <c r="H286" s="115">
        <f t="shared" si="46"/>
        <v>3092.247542475</v>
      </c>
      <c r="I286" s="32"/>
      <c r="J286" s="32"/>
      <c r="N286" s="32"/>
    </row>
    <row r="287" spans="1:14" s="114" customFormat="1" x14ac:dyDescent="0.35">
      <c r="A287" s="120">
        <f t="shared" ref="A287:A290" si="47">A286+1</f>
        <v>3</v>
      </c>
      <c r="B287" s="120"/>
      <c r="C287" s="121" t="s">
        <v>438</v>
      </c>
      <c r="D287" s="122"/>
      <c r="E287" s="122"/>
      <c r="F287" s="122"/>
      <c r="G287" s="122"/>
      <c r="H287" s="123"/>
      <c r="I287" s="32"/>
      <c r="J287" s="32"/>
      <c r="N287" s="32"/>
    </row>
    <row r="288" spans="1:14" s="114" customFormat="1" x14ac:dyDescent="0.35">
      <c r="A288" s="120">
        <f t="shared" si="47"/>
        <v>4</v>
      </c>
      <c r="B288" s="120"/>
      <c r="C288" s="127"/>
      <c r="D288" s="128"/>
      <c r="E288" s="128"/>
      <c r="F288" s="128"/>
      <c r="G288" s="128"/>
      <c r="H288" s="129"/>
      <c r="I288" s="32"/>
      <c r="J288" s="32"/>
      <c r="N288" s="32"/>
    </row>
    <row r="289" spans="1:14" s="114" customFormat="1" x14ac:dyDescent="0.35">
      <c r="A289" s="120">
        <f t="shared" si="47"/>
        <v>5</v>
      </c>
      <c r="B289" s="120"/>
      <c r="C289" s="115" t="s">
        <v>477</v>
      </c>
      <c r="D289" s="97">
        <f>(172.69)*10.764</f>
        <v>1858.8351599999999</v>
      </c>
      <c r="E289" s="97">
        <f>(6.68*1.83+0.465*0.915)*10.764</f>
        <v>136.16325449999999</v>
      </c>
      <c r="F289" s="115">
        <f t="shared" ref="F289:F290" si="48">D289+E289</f>
        <v>1994.9984144999999</v>
      </c>
      <c r="G289" s="115">
        <v>0</v>
      </c>
      <c r="H289" s="115">
        <f t="shared" ref="H289:H290" si="49">F289*(($H$190)+1)+(IF(G289&lt;101,G289,IF(G289&lt;201,G289/2,IF(G289&lt;=301,G289/3,G289/4))))</f>
        <v>3092.247542475</v>
      </c>
      <c r="I289" s="32"/>
      <c r="J289" s="32"/>
      <c r="N289" s="32"/>
    </row>
    <row r="290" spans="1:14" s="114" customFormat="1" x14ac:dyDescent="0.35">
      <c r="A290" s="120">
        <f t="shared" si="47"/>
        <v>6</v>
      </c>
      <c r="B290" s="120"/>
      <c r="C290" s="115" t="s">
        <v>476</v>
      </c>
      <c r="D290" s="97">
        <f>(224.72)*10.764</f>
        <v>2418.8860799999998</v>
      </c>
      <c r="E290" s="97">
        <f>(6.88*1.83+0.455*0.915)*10.764</f>
        <v>140.00438790000001</v>
      </c>
      <c r="F290" s="115">
        <f t="shared" si="48"/>
        <v>2558.8904678999997</v>
      </c>
      <c r="G290" s="115">
        <v>0</v>
      </c>
      <c r="H290" s="115">
        <f t="shared" si="49"/>
        <v>3966.2802252449997</v>
      </c>
      <c r="I290" s="32"/>
      <c r="J290" s="32"/>
      <c r="N290" s="32"/>
    </row>
    <row r="291" spans="1:14" s="114" customFormat="1" ht="31" customHeight="1" x14ac:dyDescent="0.35">
      <c r="A291" s="118" t="s">
        <v>481</v>
      </c>
      <c r="B291" s="118"/>
      <c r="C291" s="118"/>
      <c r="D291" s="118"/>
      <c r="E291" s="118"/>
      <c r="F291" s="118"/>
      <c r="G291" s="118"/>
      <c r="H291" s="118"/>
      <c r="I291" s="87"/>
      <c r="L291" s="119"/>
      <c r="M291" s="119"/>
    </row>
    <row r="292" spans="1:14" s="114" customFormat="1" x14ac:dyDescent="0.35">
      <c r="A292" s="120">
        <v>1</v>
      </c>
      <c r="B292" s="120"/>
      <c r="C292" s="115" t="s">
        <v>482</v>
      </c>
      <c r="D292" s="97">
        <f>(224.72+194.877+236.14)*10.764</f>
        <v>7058.3530679999994</v>
      </c>
      <c r="E292" s="97">
        <f>(6.88*1.83+0.455*0.915)*10.764</f>
        <v>140.00438790000001</v>
      </c>
      <c r="F292" s="115">
        <f t="shared" ref="F292:F297" si="50">D292+E292</f>
        <v>7198.3574558999999</v>
      </c>
      <c r="G292" s="115">
        <v>0</v>
      </c>
      <c r="H292" s="115">
        <f t="shared" ref="H292:H297" si="51">F292*(($H$190)+1)+(IF(G292&lt;101,G292,IF(G292&lt;201,G292/2,IF(G292&lt;=301,G292/3,G292/4))))</f>
        <v>11157.454056645</v>
      </c>
      <c r="I292" s="32"/>
      <c r="J292" s="32"/>
      <c r="N292" s="32"/>
    </row>
    <row r="293" spans="1:14" s="114" customFormat="1" x14ac:dyDescent="0.35">
      <c r="A293" s="120">
        <f>A292+1</f>
        <v>2</v>
      </c>
      <c r="B293" s="120"/>
      <c r="C293" s="115" t="s">
        <v>483</v>
      </c>
      <c r="D293" s="97">
        <f>(172.69+144.893+183.87)*10.764</f>
        <v>5397.6400919999996</v>
      </c>
      <c r="E293" s="97">
        <f>(6.68*1.83+0.465*0.915)*10.764</f>
        <v>136.16325449999999</v>
      </c>
      <c r="F293" s="115">
        <f t="shared" si="50"/>
        <v>5533.8033464999999</v>
      </c>
      <c r="G293" s="115">
        <v>0</v>
      </c>
      <c r="H293" s="115">
        <f t="shared" si="51"/>
        <v>8577.3951870750006</v>
      </c>
      <c r="I293" s="32"/>
      <c r="J293" s="32"/>
      <c r="N293" s="32"/>
    </row>
    <row r="294" spans="1:14" s="114" customFormat="1" x14ac:dyDescent="0.35">
      <c r="A294" s="120">
        <f t="shared" ref="A294:A297" si="52">A293+1</f>
        <v>3</v>
      </c>
      <c r="B294" s="120"/>
      <c r="C294" s="115" t="s">
        <v>483</v>
      </c>
      <c r="D294" s="97">
        <f>(163.49+135.984+176.89)*10.764</f>
        <v>5127.5820960000001</v>
      </c>
      <c r="E294" s="97">
        <f>(6.615*1.83+0.113*1.36+0.495*1.135)*10.764</f>
        <v>138.00475962000002</v>
      </c>
      <c r="F294" s="115">
        <f t="shared" si="50"/>
        <v>5265.5868556200003</v>
      </c>
      <c r="G294" s="115">
        <v>0</v>
      </c>
      <c r="H294" s="115">
        <f t="shared" si="51"/>
        <v>8161.6596262110006</v>
      </c>
      <c r="I294" s="32"/>
      <c r="J294" s="32"/>
      <c r="N294" s="32"/>
    </row>
    <row r="295" spans="1:14" s="114" customFormat="1" x14ac:dyDescent="0.35">
      <c r="A295" s="120">
        <f t="shared" si="52"/>
        <v>4</v>
      </c>
      <c r="B295" s="120"/>
      <c r="C295" s="115" t="s">
        <v>483</v>
      </c>
      <c r="D295" s="97">
        <f>(163.01+135.496+176.32)*10.764</f>
        <v>5111.027063999999</v>
      </c>
      <c r="E295" s="97">
        <f>(6.615*1.83+0.113*1.36+0.495*1.135)*10.764</f>
        <v>138.00475962000002</v>
      </c>
      <c r="F295" s="115">
        <f t="shared" si="50"/>
        <v>5249.0318236199992</v>
      </c>
      <c r="G295" s="115">
        <v>0</v>
      </c>
      <c r="H295" s="115">
        <f t="shared" si="51"/>
        <v>8135.9993266109987</v>
      </c>
      <c r="I295" s="32"/>
      <c r="J295" s="32"/>
      <c r="N295" s="32"/>
    </row>
    <row r="296" spans="1:14" s="114" customFormat="1" x14ac:dyDescent="0.35">
      <c r="A296" s="120">
        <f t="shared" si="52"/>
        <v>5</v>
      </c>
      <c r="B296" s="120"/>
      <c r="C296" s="115" t="s">
        <v>483</v>
      </c>
      <c r="D296" s="97">
        <f>(172.69+144.893+183.87)*10.764</f>
        <v>5397.6400919999996</v>
      </c>
      <c r="E296" s="97">
        <f>(6.68*1.83+0.465*0.915)*10.764</f>
        <v>136.16325449999999</v>
      </c>
      <c r="F296" s="115">
        <f t="shared" si="50"/>
        <v>5533.8033464999999</v>
      </c>
      <c r="G296" s="115">
        <v>0</v>
      </c>
      <c r="H296" s="115">
        <f t="shared" si="51"/>
        <v>8577.3951870750006</v>
      </c>
      <c r="I296" s="32"/>
      <c r="J296" s="32"/>
      <c r="N296" s="32"/>
    </row>
    <row r="297" spans="1:14" s="114" customFormat="1" x14ac:dyDescent="0.35">
      <c r="A297" s="120">
        <f t="shared" si="52"/>
        <v>6</v>
      </c>
      <c r="B297" s="120"/>
      <c r="C297" s="115" t="s">
        <v>482</v>
      </c>
      <c r="D297" s="97">
        <f>(224.72+194.877+236.14)*10.764</f>
        <v>7058.3530679999994</v>
      </c>
      <c r="E297" s="97">
        <f>(6.88*1.83+0.455*0.915)*10.764</f>
        <v>140.00438790000001</v>
      </c>
      <c r="F297" s="115">
        <f t="shared" si="50"/>
        <v>7198.3574558999999</v>
      </c>
      <c r="G297" s="115">
        <v>0</v>
      </c>
      <c r="H297" s="115">
        <f t="shared" si="51"/>
        <v>11157.454056645</v>
      </c>
      <c r="I297" s="32"/>
      <c r="J297" s="32"/>
      <c r="N297" s="32"/>
    </row>
    <row r="298" spans="1:14" s="110" customFormat="1" x14ac:dyDescent="0.35">
      <c r="A298" s="270" t="s">
        <v>424</v>
      </c>
      <c r="B298" s="271"/>
      <c r="C298" s="271"/>
      <c r="D298" s="271"/>
      <c r="E298" s="271"/>
      <c r="F298" s="271"/>
      <c r="G298" s="271"/>
      <c r="H298" s="272"/>
      <c r="I298" s="87"/>
      <c r="J298" s="106"/>
      <c r="L298" s="119"/>
      <c r="M298" s="119"/>
    </row>
    <row r="299" spans="1:14" s="110" customFormat="1" x14ac:dyDescent="0.35">
      <c r="A299" s="118" t="s">
        <v>461</v>
      </c>
      <c r="B299" s="118"/>
      <c r="C299" s="118"/>
      <c r="D299" s="118"/>
      <c r="E299" s="118"/>
      <c r="F299" s="118"/>
      <c r="G299" s="118"/>
      <c r="H299" s="118"/>
      <c r="I299" s="87"/>
      <c r="J299" s="106"/>
      <c r="L299" s="119"/>
      <c r="M299" s="119"/>
    </row>
    <row r="300" spans="1:14" s="110" customFormat="1" x14ac:dyDescent="0.35">
      <c r="A300" s="118" t="s">
        <v>462</v>
      </c>
      <c r="B300" s="118"/>
      <c r="C300" s="118"/>
      <c r="D300" s="118"/>
      <c r="E300" s="118"/>
      <c r="F300" s="118"/>
      <c r="G300" s="118"/>
      <c r="H300" s="118"/>
      <c r="I300" s="87"/>
      <c r="J300" s="106"/>
      <c r="L300" s="119"/>
      <c r="M300" s="119"/>
    </row>
    <row r="301" spans="1:14" s="110" customFormat="1" x14ac:dyDescent="0.35">
      <c r="A301" s="118" t="s">
        <v>432</v>
      </c>
      <c r="B301" s="118"/>
      <c r="C301" s="118"/>
      <c r="D301" s="118"/>
      <c r="E301" s="118"/>
      <c r="F301" s="118"/>
      <c r="G301" s="118"/>
      <c r="H301" s="118"/>
      <c r="I301" s="87"/>
      <c r="J301" s="106"/>
      <c r="L301" s="119"/>
      <c r="M301" s="119"/>
    </row>
    <row r="302" spans="1:14" s="110" customFormat="1" x14ac:dyDescent="0.35">
      <c r="A302" s="118" t="s">
        <v>463</v>
      </c>
      <c r="B302" s="118"/>
      <c r="C302" s="118"/>
      <c r="D302" s="118"/>
      <c r="E302" s="118"/>
      <c r="F302" s="118"/>
      <c r="G302" s="118"/>
      <c r="H302" s="118"/>
      <c r="I302" s="87"/>
      <c r="J302" s="106"/>
      <c r="L302" s="119"/>
      <c r="M302" s="119"/>
    </row>
    <row r="303" spans="1:14" s="110" customFormat="1" x14ac:dyDescent="0.35">
      <c r="A303" s="118" t="s">
        <v>465</v>
      </c>
      <c r="B303" s="118"/>
      <c r="C303" s="118"/>
      <c r="D303" s="118"/>
      <c r="E303" s="118"/>
      <c r="F303" s="118"/>
      <c r="G303" s="118"/>
      <c r="H303" s="118"/>
      <c r="I303" s="87"/>
      <c r="J303" s="106"/>
      <c r="L303" s="119"/>
      <c r="M303" s="119"/>
    </row>
    <row r="304" spans="1:14" s="110" customFormat="1" x14ac:dyDescent="0.35">
      <c r="A304" s="118" t="s">
        <v>467</v>
      </c>
      <c r="B304" s="118"/>
      <c r="C304" s="118"/>
      <c r="D304" s="118"/>
      <c r="E304" s="118"/>
      <c r="F304" s="118"/>
      <c r="G304" s="118"/>
      <c r="H304" s="118"/>
      <c r="I304" s="87"/>
      <c r="J304" s="106"/>
      <c r="L304" s="119"/>
      <c r="M304" s="119"/>
    </row>
    <row r="305" spans="1:14" s="114" customFormat="1" x14ac:dyDescent="0.35">
      <c r="A305" s="118" t="s">
        <v>470</v>
      </c>
      <c r="B305" s="118"/>
      <c r="C305" s="118"/>
      <c r="D305" s="118"/>
      <c r="E305" s="118"/>
      <c r="F305" s="118"/>
      <c r="G305" s="118"/>
      <c r="H305" s="118"/>
      <c r="I305" s="87"/>
      <c r="L305" s="119"/>
      <c r="M305" s="119"/>
    </row>
    <row r="306" spans="1:14" s="114" customFormat="1" x14ac:dyDescent="0.35">
      <c r="A306" s="120">
        <v>1</v>
      </c>
      <c r="B306" s="120"/>
      <c r="C306" s="115" t="s">
        <v>477</v>
      </c>
      <c r="D306" s="97">
        <f>(158.76)*10.764</f>
        <v>1708.8926399999998</v>
      </c>
      <c r="E306" s="97">
        <f>(6.49*1.22+0.112*0.565+0.595*0.375)*10.764</f>
        <v>88.310062619999997</v>
      </c>
      <c r="F306" s="115">
        <f t="shared" ref="F306:F311" si="53">D306+E306</f>
        <v>1797.2027026199999</v>
      </c>
      <c r="G306" s="115">
        <v>0</v>
      </c>
      <c r="H306" s="115">
        <f t="shared" ref="H306:H311" si="54">F306*(($H$190)+1)+(IF(G306&lt;101,G306,IF(G306&lt;201,G306/2,IF(G306&lt;=301,G306/3,G306/4))))</f>
        <v>2785.6641890609999</v>
      </c>
      <c r="I306" s="32"/>
      <c r="J306" s="32"/>
      <c r="N306" s="32"/>
    </row>
    <row r="307" spans="1:14" s="114" customFormat="1" x14ac:dyDescent="0.35">
      <c r="A307" s="120">
        <f>A306+1</f>
        <v>2</v>
      </c>
      <c r="B307" s="120"/>
      <c r="C307" s="115" t="s">
        <v>477</v>
      </c>
      <c r="D307" s="97">
        <f>(158.76)*10.764</f>
        <v>1708.8926399999998</v>
      </c>
      <c r="E307" s="97">
        <f>(6.49*1.22+0.112*0.565+0.595*0.375)*10.764</f>
        <v>88.310062619999997</v>
      </c>
      <c r="F307" s="115">
        <f t="shared" si="53"/>
        <v>1797.2027026199999</v>
      </c>
      <c r="G307" s="115">
        <v>0</v>
      </c>
      <c r="H307" s="115">
        <f t="shared" si="54"/>
        <v>2785.6641890609999</v>
      </c>
      <c r="I307" s="32"/>
      <c r="J307" s="32"/>
      <c r="N307" s="32"/>
    </row>
    <row r="308" spans="1:14" s="114" customFormat="1" x14ac:dyDescent="0.35">
      <c r="A308" s="120">
        <f t="shared" ref="A308:A311" si="55">A307+1</f>
        <v>3</v>
      </c>
      <c r="B308" s="120"/>
      <c r="C308" s="121" t="s">
        <v>435</v>
      </c>
      <c r="D308" s="122"/>
      <c r="E308" s="122"/>
      <c r="F308" s="122"/>
      <c r="G308" s="122"/>
      <c r="H308" s="123"/>
      <c r="I308" s="32"/>
      <c r="J308" s="32"/>
      <c r="N308" s="32"/>
    </row>
    <row r="309" spans="1:14" s="114" customFormat="1" x14ac:dyDescent="0.35">
      <c r="A309" s="120">
        <f t="shared" si="55"/>
        <v>4</v>
      </c>
      <c r="B309" s="120"/>
      <c r="C309" s="127"/>
      <c r="D309" s="128"/>
      <c r="E309" s="128"/>
      <c r="F309" s="128"/>
      <c r="G309" s="128"/>
      <c r="H309" s="129"/>
      <c r="I309" s="32"/>
      <c r="J309" s="32"/>
      <c r="N309" s="32"/>
    </row>
    <row r="310" spans="1:14" s="114" customFormat="1" x14ac:dyDescent="0.35">
      <c r="A310" s="120">
        <f t="shared" si="55"/>
        <v>5</v>
      </c>
      <c r="B310" s="120"/>
      <c r="C310" s="115" t="s">
        <v>476</v>
      </c>
      <c r="D310" s="97">
        <f>(281.75)*10.764</f>
        <v>3032.7569999999996</v>
      </c>
      <c r="E310" s="97">
        <v>0</v>
      </c>
      <c r="F310" s="115">
        <f t="shared" si="53"/>
        <v>3032.7569999999996</v>
      </c>
      <c r="G310" s="115">
        <v>0</v>
      </c>
      <c r="H310" s="115">
        <f t="shared" si="54"/>
        <v>4700.7733499999995</v>
      </c>
      <c r="I310" s="32"/>
      <c r="J310" s="32"/>
      <c r="N310" s="32"/>
    </row>
    <row r="311" spans="1:14" s="114" customFormat="1" x14ac:dyDescent="0.35">
      <c r="A311" s="120">
        <f t="shared" si="55"/>
        <v>6</v>
      </c>
      <c r="B311" s="120"/>
      <c r="C311" s="115" t="s">
        <v>476</v>
      </c>
      <c r="D311" s="97">
        <f>(281.3)*10.764</f>
        <v>3027.9132</v>
      </c>
      <c r="E311" s="97">
        <v>0</v>
      </c>
      <c r="F311" s="115">
        <f t="shared" si="53"/>
        <v>3027.9132</v>
      </c>
      <c r="G311" s="115">
        <v>0</v>
      </c>
      <c r="H311" s="115">
        <f t="shared" si="54"/>
        <v>4693.2654599999996</v>
      </c>
      <c r="I311" s="32"/>
      <c r="J311" s="32"/>
      <c r="N311" s="32"/>
    </row>
    <row r="312" spans="1:14" s="114" customFormat="1" x14ac:dyDescent="0.35">
      <c r="A312" s="118" t="s">
        <v>484</v>
      </c>
      <c r="B312" s="118"/>
      <c r="C312" s="118"/>
      <c r="D312" s="118"/>
      <c r="E312" s="118"/>
      <c r="F312" s="118"/>
      <c r="G312" s="118"/>
      <c r="H312" s="118"/>
      <c r="I312" s="87"/>
      <c r="L312" s="119"/>
      <c r="M312" s="119"/>
    </row>
    <row r="313" spans="1:14" s="114" customFormat="1" x14ac:dyDescent="0.35">
      <c r="A313" s="120">
        <v>1</v>
      </c>
      <c r="B313" s="120"/>
      <c r="C313" s="115" t="s">
        <v>477</v>
      </c>
      <c r="D313" s="97">
        <f>(158.76)*10.764</f>
        <v>1708.8926399999998</v>
      </c>
      <c r="E313" s="97">
        <f>(6.49*1.22+0.112*0.565+0.595*0.375)*10.764</f>
        <v>88.310062619999997</v>
      </c>
      <c r="F313" s="115">
        <f t="shared" ref="F313:F318" si="56">D313+E313</f>
        <v>1797.2027026199999</v>
      </c>
      <c r="G313" s="115">
        <v>0</v>
      </c>
      <c r="H313" s="115">
        <f t="shared" ref="H313:H318" si="57">F313*(($H$190)+1)+(IF(G313&lt;101,G313,IF(G313&lt;201,G313/2,IF(G313&lt;=301,G313/3,G313/4))))</f>
        <v>2785.6641890609999</v>
      </c>
      <c r="I313" s="32"/>
      <c r="J313" s="32"/>
      <c r="N313" s="32"/>
    </row>
    <row r="314" spans="1:14" s="114" customFormat="1" x14ac:dyDescent="0.35">
      <c r="A314" s="120">
        <f>A313+1</f>
        <v>2</v>
      </c>
      <c r="B314" s="120"/>
      <c r="C314" s="115" t="s">
        <v>477</v>
      </c>
      <c r="D314" s="97">
        <f>(158.76)*10.764</f>
        <v>1708.8926399999998</v>
      </c>
      <c r="E314" s="97">
        <f>(6.49*1.22+0.112*0.565+0.595*0.375)*10.764</f>
        <v>88.310062619999997</v>
      </c>
      <c r="F314" s="115">
        <f t="shared" si="56"/>
        <v>1797.2027026199999</v>
      </c>
      <c r="G314" s="115">
        <v>0</v>
      </c>
      <c r="H314" s="115">
        <f t="shared" si="57"/>
        <v>2785.6641890609999</v>
      </c>
      <c r="I314" s="32"/>
      <c r="J314" s="32"/>
      <c r="N314" s="32"/>
    </row>
    <row r="315" spans="1:14" s="114" customFormat="1" x14ac:dyDescent="0.35">
      <c r="A315" s="120">
        <f t="shared" ref="A315:A318" si="58">A314+1</f>
        <v>3</v>
      </c>
      <c r="B315" s="120"/>
      <c r="C315" s="115" t="s">
        <v>477</v>
      </c>
      <c r="D315" s="97">
        <f>(163.96)*10.764</f>
        <v>1764.86544</v>
      </c>
      <c r="E315" s="97">
        <f>(6.465*1.83+0.646*1.15+0.112*1.36)*10.764</f>
        <v>136.98449388</v>
      </c>
      <c r="F315" s="115">
        <f t="shared" si="56"/>
        <v>1901.84993388</v>
      </c>
      <c r="G315" s="115">
        <v>0</v>
      </c>
      <c r="H315" s="115">
        <f t="shared" si="57"/>
        <v>2947.867397514</v>
      </c>
      <c r="I315" s="32"/>
      <c r="J315" s="32"/>
      <c r="N315" s="32"/>
    </row>
    <row r="316" spans="1:14" s="114" customFormat="1" x14ac:dyDescent="0.35">
      <c r="A316" s="120">
        <f t="shared" si="58"/>
        <v>4</v>
      </c>
      <c r="B316" s="120"/>
      <c r="C316" s="115" t="s">
        <v>477</v>
      </c>
      <c r="D316" s="97">
        <f>(163.37)*10.764</f>
        <v>1758.51468</v>
      </c>
      <c r="E316" s="97">
        <f>(6.465*1.83+0.646*1.15+0.112*1.36)*10.764</f>
        <v>136.98449388</v>
      </c>
      <c r="F316" s="115">
        <f t="shared" si="56"/>
        <v>1895.4991738799999</v>
      </c>
      <c r="G316" s="115">
        <v>0</v>
      </c>
      <c r="H316" s="115">
        <f t="shared" si="57"/>
        <v>2938.0237195139998</v>
      </c>
      <c r="I316" s="32"/>
      <c r="J316" s="32"/>
      <c r="N316" s="32"/>
    </row>
    <row r="317" spans="1:14" s="114" customFormat="1" x14ac:dyDescent="0.35">
      <c r="A317" s="120">
        <f t="shared" si="58"/>
        <v>5</v>
      </c>
      <c r="B317" s="120"/>
      <c r="C317" s="115" t="s">
        <v>476</v>
      </c>
      <c r="D317" s="97">
        <f>(281.75)*10.764</f>
        <v>3032.7569999999996</v>
      </c>
      <c r="E317" s="97">
        <v>0</v>
      </c>
      <c r="F317" s="115">
        <f t="shared" si="56"/>
        <v>3032.7569999999996</v>
      </c>
      <c r="G317" s="115">
        <v>0</v>
      </c>
      <c r="H317" s="115">
        <f t="shared" si="57"/>
        <v>4700.7733499999995</v>
      </c>
      <c r="I317" s="32"/>
      <c r="J317" s="32"/>
      <c r="N317" s="32"/>
    </row>
    <row r="318" spans="1:14" s="114" customFormat="1" x14ac:dyDescent="0.35">
      <c r="A318" s="120">
        <f t="shared" si="58"/>
        <v>6</v>
      </c>
      <c r="B318" s="120"/>
      <c r="C318" s="115" t="s">
        <v>476</v>
      </c>
      <c r="D318" s="97">
        <f>(281.3)*10.764</f>
        <v>3027.9132</v>
      </c>
      <c r="E318" s="97">
        <v>0</v>
      </c>
      <c r="F318" s="115">
        <f t="shared" si="56"/>
        <v>3027.9132</v>
      </c>
      <c r="G318" s="115">
        <v>0</v>
      </c>
      <c r="H318" s="115">
        <f t="shared" si="57"/>
        <v>4693.2654599999996</v>
      </c>
      <c r="I318" s="32"/>
      <c r="J318" s="32"/>
      <c r="N318" s="32"/>
    </row>
    <row r="319" spans="1:14" s="114" customFormat="1" x14ac:dyDescent="0.35">
      <c r="A319" s="118" t="s">
        <v>472</v>
      </c>
      <c r="B319" s="118"/>
      <c r="C319" s="118"/>
      <c r="D319" s="118"/>
      <c r="E319" s="118"/>
      <c r="F319" s="118"/>
      <c r="G319" s="118"/>
      <c r="H319" s="118"/>
      <c r="I319" s="87"/>
      <c r="L319" s="119"/>
      <c r="M319" s="119"/>
    </row>
    <row r="320" spans="1:14" s="114" customFormat="1" x14ac:dyDescent="0.35">
      <c r="A320" s="120">
        <v>1</v>
      </c>
      <c r="B320" s="120"/>
      <c r="C320" s="121" t="s">
        <v>438</v>
      </c>
      <c r="D320" s="122"/>
      <c r="E320" s="122"/>
      <c r="F320" s="122"/>
      <c r="G320" s="122"/>
      <c r="H320" s="123"/>
      <c r="I320" s="32"/>
      <c r="J320" s="32"/>
      <c r="N320" s="32"/>
    </row>
    <row r="321" spans="1:14" s="114" customFormat="1" x14ac:dyDescent="0.35">
      <c r="A321" s="120">
        <f>A320+1</f>
        <v>2</v>
      </c>
      <c r="B321" s="120"/>
      <c r="C321" s="127"/>
      <c r="D321" s="128"/>
      <c r="E321" s="128"/>
      <c r="F321" s="128"/>
      <c r="G321" s="128"/>
      <c r="H321" s="129"/>
      <c r="I321" s="32"/>
      <c r="J321" s="32"/>
      <c r="N321" s="32"/>
    </row>
    <row r="322" spans="1:14" s="114" customFormat="1" x14ac:dyDescent="0.35">
      <c r="A322" s="120">
        <f t="shared" ref="A322:A325" si="59">A321+1</f>
        <v>3</v>
      </c>
      <c r="B322" s="120"/>
      <c r="C322" s="115" t="s">
        <v>477</v>
      </c>
      <c r="D322" s="97">
        <f>(163.96)*10.764</f>
        <v>1764.86544</v>
      </c>
      <c r="E322" s="97">
        <f>(6.465*1.83+0.646*1.15+0.112*1.36)*10.764</f>
        <v>136.98449388</v>
      </c>
      <c r="F322" s="115">
        <f t="shared" ref="F322:F325" si="60">D322+E322</f>
        <v>1901.84993388</v>
      </c>
      <c r="G322" s="115">
        <v>0</v>
      </c>
      <c r="H322" s="115">
        <f t="shared" ref="H322:H325" si="61">F322*(($H$190)+1)+(IF(G322&lt;101,G322,IF(G322&lt;201,G322/2,IF(G322&lt;=301,G322/3,G322/4))))</f>
        <v>2947.867397514</v>
      </c>
      <c r="I322" s="32"/>
      <c r="J322" s="32"/>
      <c r="N322" s="32"/>
    </row>
    <row r="323" spans="1:14" s="114" customFormat="1" x14ac:dyDescent="0.35">
      <c r="A323" s="120">
        <f t="shared" si="59"/>
        <v>4</v>
      </c>
      <c r="B323" s="120"/>
      <c r="C323" s="115" t="s">
        <v>477</v>
      </c>
      <c r="D323" s="97">
        <f>(163.37)*10.764</f>
        <v>1758.51468</v>
      </c>
      <c r="E323" s="97">
        <f>(6.465*1.83+0.646*1.15+0.112*1.36)*10.764</f>
        <v>136.98449388</v>
      </c>
      <c r="F323" s="115">
        <f t="shared" si="60"/>
        <v>1895.4991738799999</v>
      </c>
      <c r="G323" s="115">
        <v>0</v>
      </c>
      <c r="H323" s="115">
        <f t="shared" si="61"/>
        <v>2938.0237195139998</v>
      </c>
      <c r="I323" s="32"/>
      <c r="J323" s="32"/>
      <c r="N323" s="32"/>
    </row>
    <row r="324" spans="1:14" s="114" customFormat="1" x14ac:dyDescent="0.35">
      <c r="A324" s="120">
        <f t="shared" si="59"/>
        <v>5</v>
      </c>
      <c r="B324" s="120"/>
      <c r="C324" s="115" t="s">
        <v>476</v>
      </c>
      <c r="D324" s="97">
        <f>(281.75)*10.764</f>
        <v>3032.7569999999996</v>
      </c>
      <c r="E324" s="97">
        <v>0</v>
      </c>
      <c r="F324" s="115">
        <f t="shared" si="60"/>
        <v>3032.7569999999996</v>
      </c>
      <c r="G324" s="115">
        <v>0</v>
      </c>
      <c r="H324" s="115">
        <f t="shared" si="61"/>
        <v>4700.7733499999995</v>
      </c>
      <c r="I324" s="32"/>
      <c r="J324" s="32"/>
      <c r="N324" s="32"/>
    </row>
    <row r="325" spans="1:14" s="114" customFormat="1" x14ac:dyDescent="0.35">
      <c r="A325" s="120">
        <f t="shared" si="59"/>
        <v>6</v>
      </c>
      <c r="B325" s="120"/>
      <c r="C325" s="115" t="s">
        <v>476</v>
      </c>
      <c r="D325" s="97">
        <f>(281.3)*10.764</f>
        <v>3027.9132</v>
      </c>
      <c r="E325" s="97">
        <v>0</v>
      </c>
      <c r="F325" s="115">
        <f t="shared" si="60"/>
        <v>3027.9132</v>
      </c>
      <c r="G325" s="115">
        <v>0</v>
      </c>
      <c r="H325" s="115">
        <f t="shared" si="61"/>
        <v>4693.2654599999996</v>
      </c>
      <c r="I325" s="32"/>
      <c r="J325" s="32"/>
      <c r="N325" s="32"/>
    </row>
    <row r="326" spans="1:14" s="114" customFormat="1" x14ac:dyDescent="0.35">
      <c r="A326" s="118" t="s">
        <v>441</v>
      </c>
      <c r="B326" s="118"/>
      <c r="C326" s="118"/>
      <c r="D326" s="118"/>
      <c r="E326" s="118"/>
      <c r="F326" s="118"/>
      <c r="G326" s="118"/>
      <c r="H326" s="118"/>
      <c r="I326" s="87"/>
      <c r="L326" s="119"/>
      <c r="M326" s="119"/>
    </row>
    <row r="327" spans="1:14" s="114" customFormat="1" x14ac:dyDescent="0.35">
      <c r="A327" s="120">
        <v>1</v>
      </c>
      <c r="B327" s="120"/>
      <c r="C327" s="115" t="s">
        <v>477</v>
      </c>
      <c r="D327" s="97">
        <f>(158.87)*10.764</f>
        <v>1710.0766799999999</v>
      </c>
      <c r="E327" s="97">
        <f>(6.49*1.22+0.112*0.565+0.595*0.375)*10.764</f>
        <v>88.310062619999997</v>
      </c>
      <c r="F327" s="115">
        <f t="shared" ref="F327:F332" si="62">D327+E327</f>
        <v>1798.3867426199999</v>
      </c>
      <c r="G327" s="115">
        <v>0</v>
      </c>
      <c r="H327" s="115">
        <f t="shared" ref="H327:H332" si="63">F327*(($H$190)+1)+(IF(G327&lt;101,G327,IF(G327&lt;201,G327/2,IF(G327&lt;=301,G327/3,G327/4))))</f>
        <v>2787.4994510609999</v>
      </c>
      <c r="I327" s="32"/>
      <c r="J327" s="32"/>
      <c r="N327" s="32"/>
    </row>
    <row r="328" spans="1:14" s="114" customFormat="1" x14ac:dyDescent="0.35">
      <c r="A328" s="120">
        <f>A327+1</f>
        <v>2</v>
      </c>
      <c r="B328" s="120"/>
      <c r="C328" s="115" t="s">
        <v>477</v>
      </c>
      <c r="D328" s="97">
        <f>(158.86)*10.764</f>
        <v>1709.9690399999999</v>
      </c>
      <c r="E328" s="97">
        <f>(6.49*1.22+0.112*0.565+0.595*0.375)*10.764</f>
        <v>88.310062619999997</v>
      </c>
      <c r="F328" s="115">
        <f t="shared" si="62"/>
        <v>1798.27910262</v>
      </c>
      <c r="G328" s="115">
        <v>0</v>
      </c>
      <c r="H328" s="115">
        <f t="shared" si="63"/>
        <v>2787.3326090610003</v>
      </c>
      <c r="I328" s="32"/>
      <c r="J328" s="32"/>
      <c r="N328" s="32"/>
    </row>
    <row r="329" spans="1:14" s="114" customFormat="1" x14ac:dyDescent="0.35">
      <c r="A329" s="120">
        <f t="shared" ref="A329:A332" si="64">A328+1</f>
        <v>3</v>
      </c>
      <c r="B329" s="120"/>
      <c r="C329" s="115" t="s">
        <v>477</v>
      </c>
      <c r="D329" s="97">
        <f>(164.06)*10.764</f>
        <v>1765.94184</v>
      </c>
      <c r="E329" s="97">
        <f>(6.465*1.83+0.646*1.15+0.112*1.36)*10.764</f>
        <v>136.98449388</v>
      </c>
      <c r="F329" s="115">
        <f t="shared" si="62"/>
        <v>1902.9263338799999</v>
      </c>
      <c r="G329" s="115">
        <v>0</v>
      </c>
      <c r="H329" s="115">
        <f t="shared" si="63"/>
        <v>2949.535817514</v>
      </c>
      <c r="I329" s="32"/>
      <c r="J329" s="32"/>
      <c r="N329" s="32"/>
    </row>
    <row r="330" spans="1:14" s="114" customFormat="1" x14ac:dyDescent="0.35">
      <c r="A330" s="120">
        <f t="shared" si="64"/>
        <v>4</v>
      </c>
      <c r="B330" s="120"/>
      <c r="C330" s="115" t="s">
        <v>477</v>
      </c>
      <c r="D330" s="97">
        <f>(163.48)*10.764</f>
        <v>1759.6987199999999</v>
      </c>
      <c r="E330" s="97">
        <f>(6.465*1.83+0.646*1.15+0.112*1.36)*10.764</f>
        <v>136.98449388</v>
      </c>
      <c r="F330" s="115">
        <f t="shared" si="62"/>
        <v>1896.6832138799998</v>
      </c>
      <c r="G330" s="115">
        <v>0</v>
      </c>
      <c r="H330" s="115">
        <f t="shared" si="63"/>
        <v>2939.8589815139999</v>
      </c>
      <c r="I330" s="32"/>
      <c r="J330" s="32"/>
      <c r="N330" s="32"/>
    </row>
    <row r="331" spans="1:14" s="114" customFormat="1" x14ac:dyDescent="0.35">
      <c r="A331" s="120">
        <f t="shared" si="64"/>
        <v>5</v>
      </c>
      <c r="B331" s="120"/>
      <c r="C331" s="115" t="s">
        <v>476</v>
      </c>
      <c r="D331" s="97">
        <f>(281.93)*10.764</f>
        <v>3034.69452</v>
      </c>
      <c r="E331" s="97">
        <v>0</v>
      </c>
      <c r="F331" s="115">
        <f t="shared" si="62"/>
        <v>3034.69452</v>
      </c>
      <c r="G331" s="115">
        <v>0</v>
      </c>
      <c r="H331" s="115">
        <f t="shared" si="63"/>
        <v>4703.7765060000002</v>
      </c>
      <c r="I331" s="32"/>
      <c r="J331" s="32"/>
      <c r="N331" s="32"/>
    </row>
    <row r="332" spans="1:14" s="114" customFormat="1" x14ac:dyDescent="0.35">
      <c r="A332" s="120">
        <f t="shared" si="64"/>
        <v>6</v>
      </c>
      <c r="B332" s="120"/>
      <c r="C332" s="115" t="s">
        <v>476</v>
      </c>
      <c r="D332" s="97">
        <f>(281.49)*10.764</f>
        <v>3029.9583600000001</v>
      </c>
      <c r="E332" s="97">
        <v>0</v>
      </c>
      <c r="F332" s="115">
        <f t="shared" si="62"/>
        <v>3029.9583600000001</v>
      </c>
      <c r="G332" s="115">
        <v>0</v>
      </c>
      <c r="H332" s="115">
        <f t="shared" si="63"/>
        <v>4696.4354579999999</v>
      </c>
      <c r="I332" s="32"/>
      <c r="J332" s="32"/>
      <c r="N332" s="32"/>
    </row>
    <row r="333" spans="1:14" s="114" customFormat="1" x14ac:dyDescent="0.35">
      <c r="A333" s="118" t="s">
        <v>442</v>
      </c>
      <c r="B333" s="118"/>
      <c r="C333" s="118"/>
      <c r="D333" s="118"/>
      <c r="E333" s="118"/>
      <c r="F333" s="118"/>
      <c r="G333" s="118"/>
      <c r="H333" s="118"/>
      <c r="I333" s="87"/>
      <c r="L333" s="119"/>
      <c r="M333" s="119"/>
    </row>
    <row r="334" spans="1:14" s="114" customFormat="1" x14ac:dyDescent="0.35">
      <c r="A334" s="120">
        <v>1</v>
      </c>
      <c r="B334" s="120"/>
      <c r="C334" s="121" t="s">
        <v>438</v>
      </c>
      <c r="D334" s="122"/>
      <c r="E334" s="122"/>
      <c r="F334" s="122"/>
      <c r="G334" s="122"/>
      <c r="H334" s="123"/>
      <c r="I334" s="32"/>
      <c r="J334" s="32"/>
      <c r="N334" s="32"/>
    </row>
    <row r="335" spans="1:14" s="114" customFormat="1" x14ac:dyDescent="0.35">
      <c r="A335" s="120">
        <f>A334+1</f>
        <v>2</v>
      </c>
      <c r="B335" s="120"/>
      <c r="C335" s="127"/>
      <c r="D335" s="128"/>
      <c r="E335" s="128"/>
      <c r="F335" s="128"/>
      <c r="G335" s="128"/>
      <c r="H335" s="129"/>
      <c r="I335" s="32"/>
      <c r="J335" s="32"/>
      <c r="N335" s="32"/>
    </row>
    <row r="336" spans="1:14" s="114" customFormat="1" x14ac:dyDescent="0.35">
      <c r="A336" s="120">
        <f t="shared" ref="A336:A339" si="65">A335+1</f>
        <v>3</v>
      </c>
      <c r="B336" s="120"/>
      <c r="C336" s="115" t="s">
        <v>477</v>
      </c>
      <c r="D336" s="97">
        <f>(164.06)*10.764</f>
        <v>1765.94184</v>
      </c>
      <c r="E336" s="97">
        <f>(6.465*1.83+0.646*1.15+0.112*1.36)*10.764</f>
        <v>136.98449388</v>
      </c>
      <c r="F336" s="115">
        <f t="shared" ref="F336:F339" si="66">D336+E336</f>
        <v>1902.9263338799999</v>
      </c>
      <c r="G336" s="115">
        <v>0</v>
      </c>
      <c r="H336" s="115">
        <f t="shared" ref="H336:H339" si="67">F336*(($H$190)+1)+(IF(G336&lt;101,G336,IF(G336&lt;201,G336/2,IF(G336&lt;=301,G336/3,G336/4))))</f>
        <v>2949.535817514</v>
      </c>
      <c r="I336" s="32"/>
      <c r="J336" s="32"/>
      <c r="N336" s="32"/>
    </row>
    <row r="337" spans="1:14" s="114" customFormat="1" x14ac:dyDescent="0.35">
      <c r="A337" s="120">
        <f t="shared" si="65"/>
        <v>4</v>
      </c>
      <c r="B337" s="120"/>
      <c r="C337" s="115" t="s">
        <v>477</v>
      </c>
      <c r="D337" s="97">
        <f>(163.48)*10.764</f>
        <v>1759.6987199999999</v>
      </c>
      <c r="E337" s="97">
        <f>(6.465*1.83+0.646*1.15+0.112*1.36)*10.764</f>
        <v>136.98449388</v>
      </c>
      <c r="F337" s="115">
        <f t="shared" si="66"/>
        <v>1896.6832138799998</v>
      </c>
      <c r="G337" s="115">
        <v>0</v>
      </c>
      <c r="H337" s="115">
        <f t="shared" si="67"/>
        <v>2939.8589815139999</v>
      </c>
      <c r="I337" s="32"/>
      <c r="J337" s="32"/>
      <c r="N337" s="32"/>
    </row>
    <row r="338" spans="1:14" s="114" customFormat="1" x14ac:dyDescent="0.35">
      <c r="A338" s="120">
        <f t="shared" si="65"/>
        <v>5</v>
      </c>
      <c r="B338" s="120"/>
      <c r="C338" s="115" t="s">
        <v>476</v>
      </c>
      <c r="D338" s="97">
        <f>(281.93)*10.764</f>
        <v>3034.69452</v>
      </c>
      <c r="E338" s="97">
        <v>0</v>
      </c>
      <c r="F338" s="115">
        <f t="shared" si="66"/>
        <v>3034.69452</v>
      </c>
      <c r="G338" s="115">
        <v>0</v>
      </c>
      <c r="H338" s="115">
        <f t="shared" si="67"/>
        <v>4703.7765060000002</v>
      </c>
      <c r="I338" s="32"/>
      <c r="J338" s="32"/>
      <c r="N338" s="32"/>
    </row>
    <row r="339" spans="1:14" s="114" customFormat="1" x14ac:dyDescent="0.35">
      <c r="A339" s="120">
        <f t="shared" si="65"/>
        <v>6</v>
      </c>
      <c r="B339" s="120"/>
      <c r="C339" s="115" t="s">
        <v>476</v>
      </c>
      <c r="D339" s="97">
        <f>(281.49)*10.764</f>
        <v>3029.9583600000001</v>
      </c>
      <c r="E339" s="97">
        <v>0</v>
      </c>
      <c r="F339" s="115">
        <f t="shared" si="66"/>
        <v>3029.9583600000001</v>
      </c>
      <c r="G339" s="115">
        <v>0</v>
      </c>
      <c r="H339" s="115">
        <f t="shared" si="67"/>
        <v>4696.4354579999999</v>
      </c>
      <c r="I339" s="32"/>
      <c r="J339" s="32"/>
      <c r="N339" s="32"/>
    </row>
    <row r="340" spans="1:14" s="114" customFormat="1" x14ac:dyDescent="0.35">
      <c r="A340" s="118" t="s">
        <v>443</v>
      </c>
      <c r="B340" s="118"/>
      <c r="C340" s="118"/>
      <c r="D340" s="118"/>
      <c r="E340" s="118"/>
      <c r="F340" s="118"/>
      <c r="G340" s="118"/>
      <c r="H340" s="118"/>
      <c r="I340" s="87"/>
      <c r="L340" s="119"/>
      <c r="M340" s="119"/>
    </row>
    <row r="341" spans="1:14" s="114" customFormat="1" x14ac:dyDescent="0.35">
      <c r="A341" s="120">
        <v>1</v>
      </c>
      <c r="B341" s="120"/>
      <c r="C341" s="115" t="s">
        <v>477</v>
      </c>
      <c r="D341" s="97">
        <f>(158.87)*10.764</f>
        <v>1710.0766799999999</v>
      </c>
      <c r="E341" s="97">
        <f>(6.49*1.22+0.112*0.565+0.595*0.375)*10.764</f>
        <v>88.310062619999997</v>
      </c>
      <c r="F341" s="115">
        <f t="shared" ref="F341:F346" si="68">D341+E341</f>
        <v>1798.3867426199999</v>
      </c>
      <c r="G341" s="115">
        <v>0</v>
      </c>
      <c r="H341" s="115">
        <f t="shared" ref="H341:H346" si="69">F341*(($H$190)+1)+(IF(G341&lt;101,G341,IF(G341&lt;201,G341/2,IF(G341&lt;=301,G341/3,G341/4))))</f>
        <v>2787.4994510609999</v>
      </c>
      <c r="I341" s="32"/>
      <c r="J341" s="32"/>
      <c r="N341" s="32"/>
    </row>
    <row r="342" spans="1:14" s="114" customFormat="1" x14ac:dyDescent="0.35">
      <c r="A342" s="120">
        <f>A341+1</f>
        <v>2</v>
      </c>
      <c r="B342" s="120"/>
      <c r="C342" s="115" t="s">
        <v>477</v>
      </c>
      <c r="D342" s="97">
        <f>(158.86)*10.764</f>
        <v>1709.9690399999999</v>
      </c>
      <c r="E342" s="97">
        <f>(6.49*1.22+0.112*0.565+0.595*0.375)*10.764</f>
        <v>88.310062619999997</v>
      </c>
      <c r="F342" s="115">
        <f t="shared" si="68"/>
        <v>1798.27910262</v>
      </c>
      <c r="G342" s="115">
        <v>0</v>
      </c>
      <c r="H342" s="115">
        <f t="shared" si="69"/>
        <v>2787.3326090610003</v>
      </c>
      <c r="I342" s="32"/>
      <c r="J342" s="32"/>
      <c r="N342" s="32"/>
    </row>
    <row r="343" spans="1:14" s="114" customFormat="1" x14ac:dyDescent="0.35">
      <c r="A343" s="120">
        <f t="shared" ref="A343:A346" si="70">A342+1</f>
        <v>3</v>
      </c>
      <c r="B343" s="120"/>
      <c r="C343" s="115" t="s">
        <v>477</v>
      </c>
      <c r="D343" s="97">
        <f>(164.06)*10.764</f>
        <v>1765.94184</v>
      </c>
      <c r="E343" s="97">
        <f>(6.465*1.83+0.646*1.15+0.112*1.36)*10.764</f>
        <v>136.98449388</v>
      </c>
      <c r="F343" s="115">
        <f t="shared" si="68"/>
        <v>1902.9263338799999</v>
      </c>
      <c r="G343" s="115">
        <v>0</v>
      </c>
      <c r="H343" s="115">
        <f t="shared" si="69"/>
        <v>2949.535817514</v>
      </c>
      <c r="I343" s="32"/>
      <c r="J343" s="32"/>
      <c r="N343" s="32"/>
    </row>
    <row r="344" spans="1:14" s="114" customFormat="1" x14ac:dyDescent="0.35">
      <c r="A344" s="120">
        <f t="shared" si="70"/>
        <v>4</v>
      </c>
      <c r="B344" s="120"/>
      <c r="C344" s="115" t="s">
        <v>477</v>
      </c>
      <c r="D344" s="97">
        <f>(163.48)*10.764</f>
        <v>1759.6987199999999</v>
      </c>
      <c r="E344" s="97">
        <f>(6.465*1.83+0.646*1.15+0.112*1.36)*10.764</f>
        <v>136.98449388</v>
      </c>
      <c r="F344" s="115">
        <f t="shared" si="68"/>
        <v>1896.6832138799998</v>
      </c>
      <c r="G344" s="115">
        <v>0</v>
      </c>
      <c r="H344" s="115">
        <f t="shared" si="69"/>
        <v>2939.8589815139999</v>
      </c>
      <c r="I344" s="32"/>
      <c r="J344" s="32"/>
      <c r="N344" s="32"/>
    </row>
    <row r="345" spans="1:14" s="114" customFormat="1" x14ac:dyDescent="0.35">
      <c r="A345" s="120">
        <f t="shared" si="70"/>
        <v>5</v>
      </c>
      <c r="B345" s="120"/>
      <c r="C345" s="115" t="s">
        <v>476</v>
      </c>
      <c r="D345" s="97">
        <f>(281.93)*10.764</f>
        <v>3034.69452</v>
      </c>
      <c r="E345" s="97">
        <v>0</v>
      </c>
      <c r="F345" s="115">
        <f t="shared" si="68"/>
        <v>3034.69452</v>
      </c>
      <c r="G345" s="115">
        <v>0</v>
      </c>
      <c r="H345" s="115">
        <f t="shared" si="69"/>
        <v>4703.7765060000002</v>
      </c>
      <c r="I345" s="32"/>
      <c r="J345" s="32"/>
      <c r="N345" s="32"/>
    </row>
    <row r="346" spans="1:14" s="114" customFormat="1" x14ac:dyDescent="0.35">
      <c r="A346" s="120">
        <f t="shared" si="70"/>
        <v>6</v>
      </c>
      <c r="B346" s="120"/>
      <c r="C346" s="115" t="s">
        <v>476</v>
      </c>
      <c r="D346" s="97">
        <f>(281.49)*10.764</f>
        <v>3029.9583600000001</v>
      </c>
      <c r="E346" s="97">
        <v>0</v>
      </c>
      <c r="F346" s="115">
        <f t="shared" si="68"/>
        <v>3029.9583600000001</v>
      </c>
      <c r="G346" s="115">
        <v>0</v>
      </c>
      <c r="H346" s="115">
        <f t="shared" si="69"/>
        <v>4696.4354579999999</v>
      </c>
      <c r="I346" s="32"/>
      <c r="J346" s="32"/>
      <c r="N346" s="32"/>
    </row>
    <row r="347" spans="1:14" s="114" customFormat="1" x14ac:dyDescent="0.35">
      <c r="A347" s="118" t="s">
        <v>444</v>
      </c>
      <c r="B347" s="118"/>
      <c r="C347" s="118"/>
      <c r="D347" s="118"/>
      <c r="E347" s="118"/>
      <c r="F347" s="118"/>
      <c r="G347" s="118"/>
      <c r="H347" s="118"/>
      <c r="I347" s="87"/>
      <c r="L347" s="119"/>
      <c r="M347" s="119"/>
    </row>
    <row r="348" spans="1:14" s="114" customFormat="1" x14ac:dyDescent="0.35">
      <c r="A348" s="120">
        <v>1</v>
      </c>
      <c r="B348" s="120"/>
      <c r="C348" s="115" t="s">
        <v>477</v>
      </c>
      <c r="D348" s="97">
        <f>(158.87)*10.764</f>
        <v>1710.0766799999999</v>
      </c>
      <c r="E348" s="97">
        <f>(6.49*1.22+0.112*0.565+0.595*0.375)*10.764</f>
        <v>88.310062619999997</v>
      </c>
      <c r="F348" s="115">
        <f t="shared" ref="F348:F353" si="71">D348+E348</f>
        <v>1798.3867426199999</v>
      </c>
      <c r="G348" s="115">
        <v>0</v>
      </c>
      <c r="H348" s="115">
        <f t="shared" ref="H348:H353" si="72">F348*(($H$190)+1)+(IF(G348&lt;101,G348,IF(G348&lt;201,G348/2,IF(G348&lt;=301,G348/3,G348/4))))</f>
        <v>2787.4994510609999</v>
      </c>
      <c r="I348" s="32"/>
      <c r="J348" s="32"/>
      <c r="N348" s="32"/>
    </row>
    <row r="349" spans="1:14" s="114" customFormat="1" x14ac:dyDescent="0.35">
      <c r="A349" s="120">
        <f>A348+1</f>
        <v>2</v>
      </c>
      <c r="B349" s="120"/>
      <c r="C349" s="115" t="s">
        <v>477</v>
      </c>
      <c r="D349" s="97">
        <f>(158.86)*10.764</f>
        <v>1709.9690399999999</v>
      </c>
      <c r="E349" s="97">
        <f>(6.49*1.22+0.112*0.565+0.595*0.375)*10.764</f>
        <v>88.310062619999997</v>
      </c>
      <c r="F349" s="115">
        <f t="shared" si="71"/>
        <v>1798.27910262</v>
      </c>
      <c r="G349" s="115">
        <v>0</v>
      </c>
      <c r="H349" s="115">
        <f t="shared" si="72"/>
        <v>2787.3326090610003</v>
      </c>
      <c r="I349" s="32"/>
      <c r="J349" s="32"/>
      <c r="N349" s="32"/>
    </row>
    <row r="350" spans="1:14" s="114" customFormat="1" x14ac:dyDescent="0.35">
      <c r="A350" s="120">
        <f t="shared" ref="A350:A353" si="73">A349+1</f>
        <v>3</v>
      </c>
      <c r="B350" s="120"/>
      <c r="C350" s="115" t="s">
        <v>477</v>
      </c>
      <c r="D350" s="97">
        <f>(164.06)*10.764</f>
        <v>1765.94184</v>
      </c>
      <c r="E350" s="97">
        <f>(6.465*1.83+0.646*1.15+0.112*1.36)*10.764</f>
        <v>136.98449388</v>
      </c>
      <c r="F350" s="115">
        <f t="shared" si="71"/>
        <v>1902.9263338799999</v>
      </c>
      <c r="G350" s="115">
        <v>0</v>
      </c>
      <c r="H350" s="115">
        <f t="shared" si="72"/>
        <v>2949.535817514</v>
      </c>
      <c r="I350" s="32"/>
      <c r="J350" s="32"/>
      <c r="N350" s="32"/>
    </row>
    <row r="351" spans="1:14" s="114" customFormat="1" x14ac:dyDescent="0.35">
      <c r="A351" s="120">
        <f t="shared" si="73"/>
        <v>4</v>
      </c>
      <c r="B351" s="120"/>
      <c r="C351" s="115" t="s">
        <v>477</v>
      </c>
      <c r="D351" s="97">
        <f>(163.48)*10.764</f>
        <v>1759.6987199999999</v>
      </c>
      <c r="E351" s="97">
        <f>(6.465*1.83+0.646*1.15+0.112*1.36)*10.764</f>
        <v>136.98449388</v>
      </c>
      <c r="F351" s="115">
        <f t="shared" si="71"/>
        <v>1896.6832138799998</v>
      </c>
      <c r="G351" s="115">
        <v>0</v>
      </c>
      <c r="H351" s="115">
        <f t="shared" si="72"/>
        <v>2939.8589815139999</v>
      </c>
      <c r="I351" s="32"/>
      <c r="J351" s="32"/>
      <c r="N351" s="32"/>
    </row>
    <row r="352" spans="1:14" s="114" customFormat="1" x14ac:dyDescent="0.35">
      <c r="A352" s="120">
        <f t="shared" si="73"/>
        <v>5</v>
      </c>
      <c r="B352" s="120"/>
      <c r="C352" s="115" t="s">
        <v>476</v>
      </c>
      <c r="D352" s="97">
        <f>(281.93)*10.764</f>
        <v>3034.69452</v>
      </c>
      <c r="E352" s="97">
        <v>0</v>
      </c>
      <c r="F352" s="115">
        <f t="shared" si="71"/>
        <v>3034.69452</v>
      </c>
      <c r="G352" s="115">
        <v>0</v>
      </c>
      <c r="H352" s="115">
        <f t="shared" si="72"/>
        <v>4703.7765060000002</v>
      </c>
      <c r="I352" s="32"/>
      <c r="J352" s="32"/>
      <c r="N352" s="32"/>
    </row>
    <row r="353" spans="1:14" s="114" customFormat="1" x14ac:dyDescent="0.35">
      <c r="A353" s="120">
        <f t="shared" si="73"/>
        <v>6</v>
      </c>
      <c r="B353" s="120"/>
      <c r="C353" s="115" t="s">
        <v>476</v>
      </c>
      <c r="D353" s="97">
        <f>(281.49)*10.764</f>
        <v>3029.9583600000001</v>
      </c>
      <c r="E353" s="97">
        <v>0</v>
      </c>
      <c r="F353" s="115">
        <f t="shared" si="71"/>
        <v>3029.9583600000001</v>
      </c>
      <c r="G353" s="115">
        <v>0</v>
      </c>
      <c r="H353" s="115">
        <f t="shared" si="72"/>
        <v>4696.4354579999999</v>
      </c>
      <c r="I353" s="32"/>
      <c r="J353" s="32"/>
      <c r="N353" s="32"/>
    </row>
    <row r="354" spans="1:14" s="114" customFormat="1" x14ac:dyDescent="0.35">
      <c r="A354" s="118" t="s">
        <v>485</v>
      </c>
      <c r="B354" s="118"/>
      <c r="C354" s="118"/>
      <c r="D354" s="118"/>
      <c r="E354" s="118"/>
      <c r="F354" s="118"/>
      <c r="G354" s="118"/>
      <c r="H354" s="118"/>
      <c r="I354" s="87"/>
      <c r="L354" s="119"/>
      <c r="M354" s="119"/>
    </row>
    <row r="355" spans="1:14" s="114" customFormat="1" x14ac:dyDescent="0.35">
      <c r="A355" s="120">
        <v>1</v>
      </c>
      <c r="B355" s="120"/>
      <c r="C355" s="115" t="s">
        <v>477</v>
      </c>
      <c r="D355" s="97">
        <f>(158.87)*10.764</f>
        <v>1710.0766799999999</v>
      </c>
      <c r="E355" s="97">
        <f>(6.49*1.22+0.112*0.565+0.595*0.375)*10.764</f>
        <v>88.310062619999997</v>
      </c>
      <c r="F355" s="115">
        <f t="shared" ref="F355:F360" si="74">D355+E355</f>
        <v>1798.3867426199999</v>
      </c>
      <c r="G355" s="115">
        <v>0</v>
      </c>
      <c r="H355" s="115">
        <f t="shared" ref="H355:H360" si="75">F355*(($H$190)+1)+(IF(G355&lt;101,G355,IF(G355&lt;201,G355/2,IF(G355&lt;=301,G355/3,G355/4))))</f>
        <v>2787.4994510609999</v>
      </c>
      <c r="I355" s="32"/>
      <c r="J355" s="32"/>
      <c r="N355" s="32"/>
    </row>
    <row r="356" spans="1:14" s="114" customFormat="1" x14ac:dyDescent="0.35">
      <c r="A356" s="120">
        <f>A355+1</f>
        <v>2</v>
      </c>
      <c r="B356" s="120"/>
      <c r="C356" s="115" t="s">
        <v>477</v>
      </c>
      <c r="D356" s="97">
        <f>(158.86)*10.764</f>
        <v>1709.9690399999999</v>
      </c>
      <c r="E356" s="97">
        <f>(6.49*1.22+0.112*0.565+0.595*0.375)*10.764</f>
        <v>88.310062619999997</v>
      </c>
      <c r="F356" s="115">
        <f t="shared" si="74"/>
        <v>1798.27910262</v>
      </c>
      <c r="G356" s="115">
        <v>0</v>
      </c>
      <c r="H356" s="115">
        <f t="shared" si="75"/>
        <v>2787.3326090610003</v>
      </c>
      <c r="I356" s="32"/>
      <c r="J356" s="32"/>
      <c r="N356" s="32"/>
    </row>
    <row r="357" spans="1:14" s="114" customFormat="1" x14ac:dyDescent="0.35">
      <c r="A357" s="120">
        <f t="shared" ref="A357:A360" si="76">A356+1</f>
        <v>3</v>
      </c>
      <c r="B357" s="120"/>
      <c r="C357" s="115" t="s">
        <v>477</v>
      </c>
      <c r="D357" s="97">
        <f>(164.06)*10.764</f>
        <v>1765.94184</v>
      </c>
      <c r="E357" s="97">
        <f>(6.465*1.83+0.646*1.15+0.112*1.36)*10.764</f>
        <v>136.98449388</v>
      </c>
      <c r="F357" s="115">
        <f t="shared" si="74"/>
        <v>1902.9263338799999</v>
      </c>
      <c r="G357" s="115">
        <v>0</v>
      </c>
      <c r="H357" s="115">
        <f t="shared" si="75"/>
        <v>2949.535817514</v>
      </c>
      <c r="I357" s="32"/>
      <c r="J357" s="32"/>
      <c r="N357" s="32"/>
    </row>
    <row r="358" spans="1:14" s="114" customFormat="1" x14ac:dyDescent="0.35">
      <c r="A358" s="120">
        <f t="shared" si="76"/>
        <v>4</v>
      </c>
      <c r="B358" s="120"/>
      <c r="C358" s="115" t="s">
        <v>477</v>
      </c>
      <c r="D358" s="97">
        <f>(163.48)*10.764</f>
        <v>1759.6987199999999</v>
      </c>
      <c r="E358" s="97">
        <f>(6.465*1.83+0.646*1.15+0.112*1.36)*10.764</f>
        <v>136.98449388</v>
      </c>
      <c r="F358" s="115">
        <f t="shared" si="74"/>
        <v>1896.6832138799998</v>
      </c>
      <c r="G358" s="115">
        <v>0</v>
      </c>
      <c r="H358" s="115">
        <f t="shared" si="75"/>
        <v>2939.8589815139999</v>
      </c>
      <c r="I358" s="32"/>
      <c r="J358" s="32"/>
      <c r="N358" s="32"/>
    </row>
    <row r="359" spans="1:14" s="114" customFormat="1" x14ac:dyDescent="0.35">
      <c r="A359" s="120">
        <f t="shared" si="76"/>
        <v>5</v>
      </c>
      <c r="B359" s="120"/>
      <c r="C359" s="115" t="s">
        <v>476</v>
      </c>
      <c r="D359" s="97">
        <f>(281.93)*10.764</f>
        <v>3034.69452</v>
      </c>
      <c r="E359" s="97">
        <v>0</v>
      </c>
      <c r="F359" s="115">
        <f t="shared" si="74"/>
        <v>3034.69452</v>
      </c>
      <c r="G359" s="115">
        <v>0</v>
      </c>
      <c r="H359" s="115">
        <f t="shared" si="75"/>
        <v>4703.7765060000002</v>
      </c>
      <c r="I359" s="32"/>
      <c r="J359" s="32"/>
      <c r="N359" s="32"/>
    </row>
    <row r="360" spans="1:14" s="114" customFormat="1" x14ac:dyDescent="0.35">
      <c r="A360" s="120">
        <f t="shared" si="76"/>
        <v>6</v>
      </c>
      <c r="B360" s="120"/>
      <c r="C360" s="115" t="s">
        <v>476</v>
      </c>
      <c r="D360" s="97">
        <f>(281.49)*10.764</f>
        <v>3029.9583600000001</v>
      </c>
      <c r="E360" s="97">
        <v>0</v>
      </c>
      <c r="F360" s="115">
        <f t="shared" si="74"/>
        <v>3029.9583600000001</v>
      </c>
      <c r="G360" s="115">
        <v>0</v>
      </c>
      <c r="H360" s="115">
        <f t="shared" si="75"/>
        <v>4696.4354579999999</v>
      </c>
      <c r="I360" s="32"/>
      <c r="J360" s="32"/>
      <c r="N360" s="32"/>
    </row>
    <row r="361" spans="1:14" s="114" customFormat="1" x14ac:dyDescent="0.35">
      <c r="A361" s="118" t="s">
        <v>486</v>
      </c>
      <c r="B361" s="118"/>
      <c r="C361" s="118"/>
      <c r="D361" s="118"/>
      <c r="E361" s="118"/>
      <c r="F361" s="118"/>
      <c r="G361" s="118"/>
      <c r="H361" s="118"/>
      <c r="I361" s="87"/>
      <c r="L361" s="119"/>
      <c r="M361" s="119"/>
    </row>
    <row r="362" spans="1:14" s="114" customFormat="1" x14ac:dyDescent="0.35">
      <c r="A362" s="120">
        <v>1</v>
      </c>
      <c r="B362" s="120"/>
      <c r="C362" s="115" t="s">
        <v>477</v>
      </c>
      <c r="D362" s="97">
        <f>(158.87)*10.764</f>
        <v>1710.0766799999999</v>
      </c>
      <c r="E362" s="97">
        <f>(6.49*1.22+0.112*0.565+0.595*0.375)*10.764</f>
        <v>88.310062619999997</v>
      </c>
      <c r="F362" s="115">
        <f t="shared" ref="F362:F367" si="77">D362+E362</f>
        <v>1798.3867426199999</v>
      </c>
      <c r="G362" s="115">
        <v>0</v>
      </c>
      <c r="H362" s="115">
        <f t="shared" ref="H362:H367" si="78">F362*(($H$190)+1)+(IF(G362&lt;101,G362,IF(G362&lt;201,G362/2,IF(G362&lt;=301,G362/3,G362/4))))</f>
        <v>2787.4994510609999</v>
      </c>
      <c r="I362" s="32"/>
      <c r="J362" s="32"/>
      <c r="N362" s="32"/>
    </row>
    <row r="363" spans="1:14" s="114" customFormat="1" x14ac:dyDescent="0.35">
      <c r="A363" s="120">
        <f>A362+1</f>
        <v>2</v>
      </c>
      <c r="B363" s="120"/>
      <c r="C363" s="115" t="s">
        <v>477</v>
      </c>
      <c r="D363" s="97">
        <f>(158.86)*10.764</f>
        <v>1709.9690399999999</v>
      </c>
      <c r="E363" s="97">
        <f>(6.49*1.22+0.112*0.565+0.595*0.375)*10.764</f>
        <v>88.310062619999997</v>
      </c>
      <c r="F363" s="115">
        <f t="shared" si="77"/>
        <v>1798.27910262</v>
      </c>
      <c r="G363" s="115">
        <v>0</v>
      </c>
      <c r="H363" s="115">
        <f t="shared" si="78"/>
        <v>2787.3326090610003</v>
      </c>
      <c r="I363" s="32"/>
      <c r="J363" s="32"/>
      <c r="N363" s="32"/>
    </row>
    <row r="364" spans="1:14" s="114" customFormat="1" x14ac:dyDescent="0.35">
      <c r="A364" s="120">
        <f t="shared" ref="A364:A367" si="79">A363+1</f>
        <v>3</v>
      </c>
      <c r="B364" s="120"/>
      <c r="C364" s="115" t="s">
        <v>477</v>
      </c>
      <c r="D364" s="97">
        <f>(164.06)*10.764</f>
        <v>1765.94184</v>
      </c>
      <c r="E364" s="97">
        <f>(6.465*1.83+0.646*1.15+0.112*1.36)*10.764</f>
        <v>136.98449388</v>
      </c>
      <c r="F364" s="115">
        <f t="shared" si="77"/>
        <v>1902.9263338799999</v>
      </c>
      <c r="G364" s="115">
        <v>0</v>
      </c>
      <c r="H364" s="115">
        <f t="shared" si="78"/>
        <v>2949.535817514</v>
      </c>
      <c r="I364" s="32"/>
      <c r="J364" s="32"/>
      <c r="N364" s="32"/>
    </row>
    <row r="365" spans="1:14" s="114" customFormat="1" x14ac:dyDescent="0.35">
      <c r="A365" s="120">
        <f t="shared" si="79"/>
        <v>4</v>
      </c>
      <c r="B365" s="120"/>
      <c r="C365" s="115" t="s">
        <v>477</v>
      </c>
      <c r="D365" s="97">
        <f>(163.48)*10.764</f>
        <v>1759.6987199999999</v>
      </c>
      <c r="E365" s="97">
        <f>(6.465*1.83+0.646*1.15+0.112*1.36)*10.764</f>
        <v>136.98449388</v>
      </c>
      <c r="F365" s="115">
        <f t="shared" si="77"/>
        <v>1896.6832138799998</v>
      </c>
      <c r="G365" s="115">
        <v>0</v>
      </c>
      <c r="H365" s="115">
        <f t="shared" si="78"/>
        <v>2939.8589815139999</v>
      </c>
      <c r="I365" s="32"/>
      <c r="J365" s="32"/>
      <c r="N365" s="32"/>
    </row>
    <row r="366" spans="1:14" s="114" customFormat="1" x14ac:dyDescent="0.35">
      <c r="A366" s="120">
        <f t="shared" si="79"/>
        <v>5</v>
      </c>
      <c r="B366" s="120"/>
      <c r="C366" s="115" t="s">
        <v>476</v>
      </c>
      <c r="D366" s="97">
        <f>(281.93)*10.764</f>
        <v>3034.69452</v>
      </c>
      <c r="E366" s="97">
        <v>0</v>
      </c>
      <c r="F366" s="115">
        <f t="shared" si="77"/>
        <v>3034.69452</v>
      </c>
      <c r="G366" s="115">
        <v>0</v>
      </c>
      <c r="H366" s="115">
        <f t="shared" si="78"/>
        <v>4703.7765060000002</v>
      </c>
      <c r="I366" s="32"/>
      <c r="J366" s="32"/>
      <c r="N366" s="32"/>
    </row>
    <row r="367" spans="1:14" s="114" customFormat="1" x14ac:dyDescent="0.35">
      <c r="A367" s="120">
        <f t="shared" si="79"/>
        <v>6</v>
      </c>
      <c r="B367" s="120"/>
      <c r="C367" s="115" t="s">
        <v>476</v>
      </c>
      <c r="D367" s="97">
        <f>(281.49)*10.764</f>
        <v>3029.9583600000001</v>
      </c>
      <c r="E367" s="97">
        <v>0</v>
      </c>
      <c r="F367" s="115">
        <f t="shared" si="77"/>
        <v>3029.9583600000001</v>
      </c>
      <c r="G367" s="115">
        <v>0</v>
      </c>
      <c r="H367" s="115">
        <f t="shared" si="78"/>
        <v>4696.4354579999999</v>
      </c>
      <c r="I367" s="32"/>
      <c r="J367" s="32"/>
      <c r="N367" s="32"/>
    </row>
    <row r="368" spans="1:14" s="114" customFormat="1" x14ac:dyDescent="0.35">
      <c r="A368" s="118" t="s">
        <v>446</v>
      </c>
      <c r="B368" s="118"/>
      <c r="C368" s="118"/>
      <c r="D368" s="118"/>
      <c r="E368" s="118"/>
      <c r="F368" s="118"/>
      <c r="G368" s="118"/>
      <c r="H368" s="118"/>
      <c r="I368" s="87"/>
      <c r="L368" s="119"/>
      <c r="M368" s="119"/>
    </row>
    <row r="369" spans="1:14" s="114" customFormat="1" x14ac:dyDescent="0.35">
      <c r="A369" s="120">
        <v>1</v>
      </c>
      <c r="B369" s="120"/>
      <c r="C369" s="121" t="s">
        <v>438</v>
      </c>
      <c r="D369" s="122"/>
      <c r="E369" s="122"/>
      <c r="F369" s="122"/>
      <c r="G369" s="122"/>
      <c r="H369" s="123"/>
      <c r="I369" s="32"/>
      <c r="J369" s="32"/>
      <c r="N369" s="32"/>
    </row>
    <row r="370" spans="1:14" s="114" customFormat="1" x14ac:dyDescent="0.35">
      <c r="A370" s="120">
        <f>A369+1</f>
        <v>2</v>
      </c>
      <c r="B370" s="120"/>
      <c r="C370" s="127"/>
      <c r="D370" s="128"/>
      <c r="E370" s="128"/>
      <c r="F370" s="128"/>
      <c r="G370" s="128"/>
      <c r="H370" s="129"/>
      <c r="I370" s="32"/>
      <c r="J370" s="32"/>
      <c r="N370" s="32"/>
    </row>
    <row r="371" spans="1:14" s="114" customFormat="1" x14ac:dyDescent="0.35">
      <c r="A371" s="120">
        <f t="shared" ref="A371:A374" si="80">A370+1</f>
        <v>3</v>
      </c>
      <c r="B371" s="120"/>
      <c r="C371" s="115" t="s">
        <v>477</v>
      </c>
      <c r="D371" s="97">
        <f>(164.06)*10.764</f>
        <v>1765.94184</v>
      </c>
      <c r="E371" s="97">
        <f>(6.465*1.83+0.646*1.15+0.112*1.36)*10.764</f>
        <v>136.98449388</v>
      </c>
      <c r="F371" s="115">
        <f t="shared" ref="F371:F374" si="81">D371+E371</f>
        <v>1902.9263338799999</v>
      </c>
      <c r="G371" s="115">
        <v>0</v>
      </c>
      <c r="H371" s="115">
        <f t="shared" ref="H371:H374" si="82">F371*(($H$190)+1)+(IF(G371&lt;101,G371,IF(G371&lt;201,G371/2,IF(G371&lt;=301,G371/3,G371/4))))</f>
        <v>2949.535817514</v>
      </c>
      <c r="I371" s="32"/>
      <c r="J371" s="32"/>
      <c r="N371" s="32"/>
    </row>
    <row r="372" spans="1:14" s="114" customFormat="1" x14ac:dyDescent="0.35">
      <c r="A372" s="120">
        <f t="shared" si="80"/>
        <v>4</v>
      </c>
      <c r="B372" s="120"/>
      <c r="C372" s="115" t="s">
        <v>477</v>
      </c>
      <c r="D372" s="97">
        <f>(163.48)*10.764</f>
        <v>1759.6987199999999</v>
      </c>
      <c r="E372" s="97">
        <f>(6.465*1.83+0.646*1.15+0.112*1.36)*10.764</f>
        <v>136.98449388</v>
      </c>
      <c r="F372" s="115">
        <f t="shared" si="81"/>
        <v>1896.6832138799998</v>
      </c>
      <c r="G372" s="115">
        <v>0</v>
      </c>
      <c r="H372" s="115">
        <f t="shared" si="82"/>
        <v>2939.8589815139999</v>
      </c>
      <c r="I372" s="32"/>
      <c r="J372" s="32"/>
      <c r="N372" s="32"/>
    </row>
    <row r="373" spans="1:14" s="114" customFormat="1" x14ac:dyDescent="0.35">
      <c r="A373" s="120">
        <f t="shared" si="80"/>
        <v>5</v>
      </c>
      <c r="B373" s="120"/>
      <c r="C373" s="115" t="s">
        <v>476</v>
      </c>
      <c r="D373" s="97">
        <f>(281.93)*10.764</f>
        <v>3034.69452</v>
      </c>
      <c r="E373" s="97">
        <v>0</v>
      </c>
      <c r="F373" s="115">
        <f t="shared" si="81"/>
        <v>3034.69452</v>
      </c>
      <c r="G373" s="115">
        <v>0</v>
      </c>
      <c r="H373" s="115">
        <f t="shared" si="82"/>
        <v>4703.7765060000002</v>
      </c>
      <c r="I373" s="32"/>
      <c r="J373" s="32"/>
      <c r="N373" s="32"/>
    </row>
    <row r="374" spans="1:14" s="114" customFormat="1" x14ac:dyDescent="0.35">
      <c r="A374" s="120">
        <f t="shared" si="80"/>
        <v>6</v>
      </c>
      <c r="B374" s="120"/>
      <c r="C374" s="115" t="s">
        <v>476</v>
      </c>
      <c r="D374" s="97">
        <f>(281.49)*10.764</f>
        <v>3029.9583600000001</v>
      </c>
      <c r="E374" s="97">
        <v>0</v>
      </c>
      <c r="F374" s="115">
        <f t="shared" si="81"/>
        <v>3029.9583600000001</v>
      </c>
      <c r="G374" s="115">
        <v>0</v>
      </c>
      <c r="H374" s="115">
        <f t="shared" si="82"/>
        <v>4696.4354579999999</v>
      </c>
      <c r="I374" s="32"/>
      <c r="J374" s="32"/>
      <c r="N374" s="32"/>
    </row>
    <row r="375" spans="1:14" s="114" customFormat="1" x14ac:dyDescent="0.35">
      <c r="A375" s="118" t="s">
        <v>487</v>
      </c>
      <c r="B375" s="118"/>
      <c r="C375" s="118"/>
      <c r="D375" s="118"/>
      <c r="E375" s="118"/>
      <c r="F375" s="118"/>
      <c r="G375" s="118"/>
      <c r="H375" s="118"/>
      <c r="I375" s="87"/>
      <c r="L375" s="119"/>
      <c r="M375" s="119"/>
    </row>
    <row r="376" spans="1:14" s="114" customFormat="1" x14ac:dyDescent="0.35">
      <c r="A376" s="120">
        <v>1</v>
      </c>
      <c r="B376" s="120"/>
      <c r="C376" s="115" t="s">
        <v>477</v>
      </c>
      <c r="D376" s="97">
        <f>(158.87)*10.764</f>
        <v>1710.0766799999999</v>
      </c>
      <c r="E376" s="97">
        <f>(6.49*1.22+0.112*0.565+0.595*0.375)*10.764</f>
        <v>88.310062619999997</v>
      </c>
      <c r="F376" s="115">
        <f t="shared" ref="F376:F381" si="83">D376+E376</f>
        <v>1798.3867426199999</v>
      </c>
      <c r="G376" s="115">
        <v>0</v>
      </c>
      <c r="H376" s="115">
        <f t="shared" ref="H376:H381" si="84">F376*(($H$190)+1)+(IF(G376&lt;101,G376,IF(G376&lt;201,G376/2,IF(G376&lt;=301,G376/3,G376/4))))</f>
        <v>2787.4994510609999</v>
      </c>
      <c r="I376" s="32"/>
      <c r="J376" s="32"/>
      <c r="N376" s="32"/>
    </row>
    <row r="377" spans="1:14" s="114" customFormat="1" x14ac:dyDescent="0.35">
      <c r="A377" s="120">
        <f>A376+1</f>
        <v>2</v>
      </c>
      <c r="B377" s="120"/>
      <c r="C377" s="115" t="s">
        <v>477</v>
      </c>
      <c r="D377" s="97">
        <f>(158.86)*10.764</f>
        <v>1709.9690399999999</v>
      </c>
      <c r="E377" s="97">
        <f>(6.49*1.22+0.112*0.565+0.595*0.375)*10.764</f>
        <v>88.310062619999997</v>
      </c>
      <c r="F377" s="115">
        <f t="shared" si="83"/>
        <v>1798.27910262</v>
      </c>
      <c r="G377" s="115">
        <v>0</v>
      </c>
      <c r="H377" s="115">
        <f t="shared" si="84"/>
        <v>2787.3326090610003</v>
      </c>
      <c r="I377" s="32"/>
      <c r="J377" s="32"/>
      <c r="N377" s="32"/>
    </row>
    <row r="378" spans="1:14" s="114" customFormat="1" x14ac:dyDescent="0.35">
      <c r="A378" s="120">
        <f t="shared" ref="A378:A381" si="85">A377+1</f>
        <v>3</v>
      </c>
      <c r="B378" s="120"/>
      <c r="C378" s="115" t="s">
        <v>477</v>
      </c>
      <c r="D378" s="97">
        <f>(164.06)*10.764</f>
        <v>1765.94184</v>
      </c>
      <c r="E378" s="97">
        <f>(6.465*1.83+0.646*1.15+0.112*1.36)*10.764</f>
        <v>136.98449388</v>
      </c>
      <c r="F378" s="115">
        <f t="shared" si="83"/>
        <v>1902.9263338799999</v>
      </c>
      <c r="G378" s="115">
        <v>0</v>
      </c>
      <c r="H378" s="115">
        <f t="shared" si="84"/>
        <v>2949.535817514</v>
      </c>
      <c r="I378" s="32"/>
      <c r="J378" s="32"/>
      <c r="N378" s="32"/>
    </row>
    <row r="379" spans="1:14" s="114" customFormat="1" x14ac:dyDescent="0.35">
      <c r="A379" s="120">
        <f t="shared" si="85"/>
        <v>4</v>
      </c>
      <c r="B379" s="120"/>
      <c r="C379" s="115" t="s">
        <v>477</v>
      </c>
      <c r="D379" s="97">
        <f>(163.48)*10.764</f>
        <v>1759.6987199999999</v>
      </c>
      <c r="E379" s="97">
        <f>(6.465*1.83+0.646*1.15+0.112*1.36)*10.764</f>
        <v>136.98449388</v>
      </c>
      <c r="F379" s="115">
        <f t="shared" si="83"/>
        <v>1896.6832138799998</v>
      </c>
      <c r="G379" s="115">
        <v>0</v>
      </c>
      <c r="H379" s="115">
        <f t="shared" si="84"/>
        <v>2939.8589815139999</v>
      </c>
      <c r="I379" s="32"/>
      <c r="J379" s="32"/>
      <c r="N379" s="32"/>
    </row>
    <row r="380" spans="1:14" s="114" customFormat="1" x14ac:dyDescent="0.35">
      <c r="A380" s="120">
        <f t="shared" si="85"/>
        <v>5</v>
      </c>
      <c r="B380" s="120"/>
      <c r="C380" s="115" t="s">
        <v>476</v>
      </c>
      <c r="D380" s="97">
        <f>(281.93)*10.764</f>
        <v>3034.69452</v>
      </c>
      <c r="E380" s="97">
        <v>0</v>
      </c>
      <c r="F380" s="115">
        <f t="shared" si="83"/>
        <v>3034.69452</v>
      </c>
      <c r="G380" s="115">
        <v>0</v>
      </c>
      <c r="H380" s="115">
        <f t="shared" si="84"/>
        <v>4703.7765060000002</v>
      </c>
      <c r="I380" s="32"/>
      <c r="J380" s="32"/>
      <c r="N380" s="32"/>
    </row>
    <row r="381" spans="1:14" s="114" customFormat="1" x14ac:dyDescent="0.35">
      <c r="A381" s="120">
        <f t="shared" si="85"/>
        <v>6</v>
      </c>
      <c r="B381" s="120"/>
      <c r="C381" s="115" t="s">
        <v>476</v>
      </c>
      <c r="D381" s="97">
        <f>(281.49)*10.764</f>
        <v>3029.9583600000001</v>
      </c>
      <c r="E381" s="97">
        <v>0</v>
      </c>
      <c r="F381" s="115">
        <f t="shared" si="83"/>
        <v>3029.9583600000001</v>
      </c>
      <c r="G381" s="115">
        <v>0</v>
      </c>
      <c r="H381" s="115">
        <f t="shared" si="84"/>
        <v>4696.4354579999999</v>
      </c>
      <c r="I381" s="32"/>
      <c r="J381" s="32"/>
      <c r="N381" s="32"/>
    </row>
    <row r="382" spans="1:14" s="114" customFormat="1" x14ac:dyDescent="0.35">
      <c r="A382" s="118" t="s">
        <v>447</v>
      </c>
      <c r="B382" s="118"/>
      <c r="C382" s="118"/>
      <c r="D382" s="118"/>
      <c r="E382" s="118"/>
      <c r="F382" s="118"/>
      <c r="G382" s="118"/>
      <c r="H382" s="118"/>
      <c r="I382" s="87"/>
      <c r="L382" s="119"/>
      <c r="M382" s="119"/>
    </row>
    <row r="383" spans="1:14" s="114" customFormat="1" x14ac:dyDescent="0.35">
      <c r="A383" s="120">
        <v>1</v>
      </c>
      <c r="B383" s="120"/>
      <c r="C383" s="121" t="s">
        <v>438</v>
      </c>
      <c r="D383" s="122"/>
      <c r="E383" s="122"/>
      <c r="F383" s="122"/>
      <c r="G383" s="122"/>
      <c r="H383" s="123"/>
      <c r="I383" s="32"/>
      <c r="J383" s="32"/>
      <c r="N383" s="32"/>
    </row>
    <row r="384" spans="1:14" s="114" customFormat="1" x14ac:dyDescent="0.35">
      <c r="A384" s="120">
        <f>A383+1</f>
        <v>2</v>
      </c>
      <c r="B384" s="120"/>
      <c r="C384" s="127"/>
      <c r="D384" s="128"/>
      <c r="E384" s="128"/>
      <c r="F384" s="128"/>
      <c r="G384" s="128"/>
      <c r="H384" s="129"/>
      <c r="I384" s="32"/>
      <c r="J384" s="32"/>
      <c r="N384" s="32"/>
    </row>
    <row r="385" spans="1:14" s="114" customFormat="1" x14ac:dyDescent="0.35">
      <c r="A385" s="120">
        <f t="shared" ref="A385:A388" si="86">A384+1</f>
        <v>3</v>
      </c>
      <c r="B385" s="120"/>
      <c r="C385" s="115" t="s">
        <v>477</v>
      </c>
      <c r="D385" s="97">
        <f>(164.06)*10.764</f>
        <v>1765.94184</v>
      </c>
      <c r="E385" s="97">
        <f>(6.465*1.83+0.646*1.15+0.112*1.36)*10.764</f>
        <v>136.98449388</v>
      </c>
      <c r="F385" s="115">
        <f t="shared" ref="F385:F388" si="87">D385+E385</f>
        <v>1902.9263338799999</v>
      </c>
      <c r="G385" s="115">
        <v>0</v>
      </c>
      <c r="H385" s="115">
        <f t="shared" ref="H385:H388" si="88">F385*(($H$190)+1)+(IF(G385&lt;101,G385,IF(G385&lt;201,G385/2,IF(G385&lt;=301,G385/3,G385/4))))</f>
        <v>2949.535817514</v>
      </c>
      <c r="I385" s="32"/>
      <c r="J385" s="32"/>
      <c r="N385" s="32"/>
    </row>
    <row r="386" spans="1:14" s="114" customFormat="1" x14ac:dyDescent="0.35">
      <c r="A386" s="120">
        <f t="shared" si="86"/>
        <v>4</v>
      </c>
      <c r="B386" s="120"/>
      <c r="C386" s="115" t="s">
        <v>477</v>
      </c>
      <c r="D386" s="97">
        <f>(163.48)*10.764</f>
        <v>1759.6987199999999</v>
      </c>
      <c r="E386" s="97">
        <f>(6.465*1.83+0.646*1.15+0.112*1.36)*10.764</f>
        <v>136.98449388</v>
      </c>
      <c r="F386" s="115">
        <f t="shared" si="87"/>
        <v>1896.6832138799998</v>
      </c>
      <c r="G386" s="115">
        <v>0</v>
      </c>
      <c r="H386" s="115">
        <f t="shared" si="88"/>
        <v>2939.8589815139999</v>
      </c>
      <c r="I386" s="32"/>
      <c r="J386" s="32"/>
      <c r="N386" s="32"/>
    </row>
    <row r="387" spans="1:14" s="114" customFormat="1" x14ac:dyDescent="0.35">
      <c r="A387" s="120">
        <f t="shared" si="86"/>
        <v>5</v>
      </c>
      <c r="B387" s="120"/>
      <c r="C387" s="115" t="s">
        <v>476</v>
      </c>
      <c r="D387" s="97">
        <f>(281.93)*10.764</f>
        <v>3034.69452</v>
      </c>
      <c r="E387" s="97">
        <v>0</v>
      </c>
      <c r="F387" s="115">
        <f t="shared" si="87"/>
        <v>3034.69452</v>
      </c>
      <c r="G387" s="115">
        <v>0</v>
      </c>
      <c r="H387" s="115">
        <f t="shared" si="88"/>
        <v>4703.7765060000002</v>
      </c>
      <c r="I387" s="32"/>
      <c r="J387" s="32"/>
      <c r="N387" s="32"/>
    </row>
    <row r="388" spans="1:14" s="114" customFormat="1" x14ac:dyDescent="0.35">
      <c r="A388" s="120">
        <f t="shared" si="86"/>
        <v>6</v>
      </c>
      <c r="B388" s="120"/>
      <c r="C388" s="115" t="s">
        <v>476</v>
      </c>
      <c r="D388" s="97">
        <f>(281.49)*10.764</f>
        <v>3029.9583600000001</v>
      </c>
      <c r="E388" s="97">
        <v>0</v>
      </c>
      <c r="F388" s="115">
        <f t="shared" si="87"/>
        <v>3029.9583600000001</v>
      </c>
      <c r="G388" s="115">
        <v>0</v>
      </c>
      <c r="H388" s="115">
        <f t="shared" si="88"/>
        <v>4696.4354579999999</v>
      </c>
      <c r="I388" s="32"/>
      <c r="J388" s="32"/>
      <c r="N388" s="32"/>
    </row>
    <row r="389" spans="1:14" s="114" customFormat="1" x14ac:dyDescent="0.35">
      <c r="A389" s="118" t="s">
        <v>475</v>
      </c>
      <c r="B389" s="118"/>
      <c r="C389" s="118"/>
      <c r="D389" s="118"/>
      <c r="E389" s="118"/>
      <c r="F389" s="118"/>
      <c r="G389" s="118"/>
      <c r="H389" s="118"/>
      <c r="I389" s="87"/>
      <c r="L389" s="119"/>
      <c r="M389" s="119"/>
    </row>
    <row r="390" spans="1:14" s="114" customFormat="1" x14ac:dyDescent="0.35">
      <c r="A390" s="120">
        <v>1</v>
      </c>
      <c r="B390" s="120"/>
      <c r="C390" s="115" t="s">
        <v>477</v>
      </c>
      <c r="D390" s="97">
        <f>(158.87)*10.764</f>
        <v>1710.0766799999999</v>
      </c>
      <c r="E390" s="97">
        <f>(6.49*1.22+0.112*0.565+0.595*0.375)*10.764</f>
        <v>88.310062619999997</v>
      </c>
      <c r="F390" s="115">
        <f t="shared" ref="F390:F395" si="89">D390+E390</f>
        <v>1798.3867426199999</v>
      </c>
      <c r="G390" s="115">
        <v>0</v>
      </c>
      <c r="H390" s="115">
        <f t="shared" ref="H390:H395" si="90">F390*(($H$190)+1)+(IF(G390&lt;101,G390,IF(G390&lt;201,G390/2,IF(G390&lt;=301,G390/3,G390/4))))</f>
        <v>2787.4994510609999</v>
      </c>
      <c r="I390" s="32"/>
      <c r="J390" s="32"/>
      <c r="N390" s="32"/>
    </row>
    <row r="391" spans="1:14" s="114" customFormat="1" x14ac:dyDescent="0.35">
      <c r="A391" s="120">
        <f>A390+1</f>
        <v>2</v>
      </c>
      <c r="B391" s="120"/>
      <c r="C391" s="115" t="s">
        <v>477</v>
      </c>
      <c r="D391" s="97">
        <f>(158.86)*10.764</f>
        <v>1709.9690399999999</v>
      </c>
      <c r="E391" s="97">
        <f>(6.49*1.22+0.112*0.565+0.595*0.375)*10.764</f>
        <v>88.310062619999997</v>
      </c>
      <c r="F391" s="115">
        <f t="shared" si="89"/>
        <v>1798.27910262</v>
      </c>
      <c r="G391" s="115">
        <v>0</v>
      </c>
      <c r="H391" s="115">
        <f t="shared" si="90"/>
        <v>2787.3326090610003</v>
      </c>
      <c r="I391" s="32"/>
      <c r="J391" s="32"/>
      <c r="N391" s="32"/>
    </row>
    <row r="392" spans="1:14" s="114" customFormat="1" x14ac:dyDescent="0.35">
      <c r="A392" s="120">
        <f t="shared" ref="A392:A395" si="91">A391+1</f>
        <v>3</v>
      </c>
      <c r="B392" s="120"/>
      <c r="C392" s="115" t="s">
        <v>477</v>
      </c>
      <c r="D392" s="97">
        <f>(164.06)*10.764</f>
        <v>1765.94184</v>
      </c>
      <c r="E392" s="97">
        <f>(6.465*1.83+0.646*1.15+0.112*1.36)*10.764</f>
        <v>136.98449388</v>
      </c>
      <c r="F392" s="115">
        <f t="shared" si="89"/>
        <v>1902.9263338799999</v>
      </c>
      <c r="G392" s="115">
        <v>0</v>
      </c>
      <c r="H392" s="115">
        <f t="shared" si="90"/>
        <v>2949.535817514</v>
      </c>
      <c r="I392" s="32"/>
      <c r="J392" s="32"/>
      <c r="N392" s="32"/>
    </row>
    <row r="393" spans="1:14" s="114" customFormat="1" x14ac:dyDescent="0.35">
      <c r="A393" s="120">
        <f t="shared" si="91"/>
        <v>4</v>
      </c>
      <c r="B393" s="120"/>
      <c r="C393" s="115" t="s">
        <v>477</v>
      </c>
      <c r="D393" s="97">
        <f>(163.48)*10.764</f>
        <v>1759.6987199999999</v>
      </c>
      <c r="E393" s="97">
        <f>(6.465*1.83+0.646*1.15+0.112*1.36)*10.764</f>
        <v>136.98449388</v>
      </c>
      <c r="F393" s="115">
        <f t="shared" si="89"/>
        <v>1896.6832138799998</v>
      </c>
      <c r="G393" s="115">
        <v>0</v>
      </c>
      <c r="H393" s="115">
        <f t="shared" si="90"/>
        <v>2939.8589815139999</v>
      </c>
      <c r="I393" s="32"/>
      <c r="J393" s="32"/>
      <c r="N393" s="32"/>
    </row>
    <row r="394" spans="1:14" s="114" customFormat="1" x14ac:dyDescent="0.35">
      <c r="A394" s="120">
        <f t="shared" si="91"/>
        <v>5</v>
      </c>
      <c r="B394" s="120"/>
      <c r="C394" s="115" t="s">
        <v>476</v>
      </c>
      <c r="D394" s="97">
        <f>(281.93)*10.764</f>
        <v>3034.69452</v>
      </c>
      <c r="E394" s="97">
        <v>0</v>
      </c>
      <c r="F394" s="115">
        <f t="shared" si="89"/>
        <v>3034.69452</v>
      </c>
      <c r="G394" s="115">
        <v>0</v>
      </c>
      <c r="H394" s="115">
        <f t="shared" si="90"/>
        <v>4703.7765060000002</v>
      </c>
      <c r="I394" s="32"/>
      <c r="J394" s="32"/>
      <c r="N394" s="32"/>
    </row>
    <row r="395" spans="1:14" s="114" customFormat="1" x14ac:dyDescent="0.35">
      <c r="A395" s="120">
        <f t="shared" si="91"/>
        <v>6</v>
      </c>
      <c r="B395" s="120"/>
      <c r="C395" s="115" t="s">
        <v>476</v>
      </c>
      <c r="D395" s="97">
        <f>(281.49)*10.764</f>
        <v>3029.9583600000001</v>
      </c>
      <c r="E395" s="97">
        <v>0</v>
      </c>
      <c r="F395" s="115">
        <f t="shared" si="89"/>
        <v>3029.9583600000001</v>
      </c>
      <c r="G395" s="115">
        <v>0</v>
      </c>
      <c r="H395" s="115">
        <f t="shared" si="90"/>
        <v>4696.4354579999999</v>
      </c>
      <c r="I395" s="32"/>
      <c r="J395" s="32"/>
      <c r="N395" s="32"/>
    </row>
    <row r="396" spans="1:14" s="114" customFormat="1" x14ac:dyDescent="0.35">
      <c r="A396" s="118" t="s">
        <v>449</v>
      </c>
      <c r="B396" s="118"/>
      <c r="C396" s="118"/>
      <c r="D396" s="118"/>
      <c r="E396" s="118"/>
      <c r="F396" s="118"/>
      <c r="G396" s="118"/>
      <c r="H396" s="118"/>
      <c r="I396" s="87"/>
      <c r="L396" s="119"/>
      <c r="M396" s="119"/>
    </row>
    <row r="397" spans="1:14" s="114" customFormat="1" x14ac:dyDescent="0.35">
      <c r="A397" s="120">
        <v>1</v>
      </c>
      <c r="B397" s="120"/>
      <c r="C397" s="115" t="s">
        <v>477</v>
      </c>
      <c r="D397" s="97">
        <f>(159.19)*10.764</f>
        <v>1713.5211599999998</v>
      </c>
      <c r="E397" s="97">
        <f>(6.49*1.22+0.112*0.565+0.595*0.375)*10.764</f>
        <v>88.310062619999997</v>
      </c>
      <c r="F397" s="115">
        <f t="shared" ref="F397:F402" si="92">D397+E397</f>
        <v>1801.8312226199998</v>
      </c>
      <c r="G397" s="115">
        <v>0</v>
      </c>
      <c r="H397" s="115">
        <f t="shared" ref="H397:H402" si="93">F397*(($H$190)+1)+(IF(G397&lt;101,G397,IF(G397&lt;201,G397/2,IF(G397&lt;=301,G397/3,G397/4))))</f>
        <v>2792.838395061</v>
      </c>
      <c r="I397" s="32"/>
      <c r="J397" s="32"/>
      <c r="N397" s="32"/>
    </row>
    <row r="398" spans="1:14" s="114" customFormat="1" x14ac:dyDescent="0.35">
      <c r="A398" s="120">
        <f>A397+1</f>
        <v>2</v>
      </c>
      <c r="B398" s="120"/>
      <c r="C398" s="115" t="s">
        <v>477</v>
      </c>
      <c r="D398" s="97">
        <f>(159.19)*10.764</f>
        <v>1713.5211599999998</v>
      </c>
      <c r="E398" s="97">
        <f>(6.49*1.22+0.112*0.565+0.595*0.375)*10.764</f>
        <v>88.310062619999997</v>
      </c>
      <c r="F398" s="115">
        <f t="shared" si="92"/>
        <v>1801.8312226199998</v>
      </c>
      <c r="G398" s="115">
        <v>0</v>
      </c>
      <c r="H398" s="115">
        <f t="shared" si="93"/>
        <v>2792.838395061</v>
      </c>
      <c r="I398" s="32"/>
      <c r="J398" s="32"/>
      <c r="N398" s="32"/>
    </row>
    <row r="399" spans="1:14" s="114" customFormat="1" x14ac:dyDescent="0.35">
      <c r="A399" s="120">
        <f t="shared" ref="A399:A402" si="94">A398+1</f>
        <v>3</v>
      </c>
      <c r="B399" s="120"/>
      <c r="C399" s="115" t="s">
        <v>477</v>
      </c>
      <c r="D399" s="97">
        <f>(164.39)*10.764</f>
        <v>1769.4939599999998</v>
      </c>
      <c r="E399" s="97">
        <f>(6.465*1.83+0.646*1.15+0.112*1.36)*10.764</f>
        <v>136.98449388</v>
      </c>
      <c r="F399" s="115">
        <f t="shared" si="92"/>
        <v>1906.4784538799997</v>
      </c>
      <c r="G399" s="115">
        <v>0</v>
      </c>
      <c r="H399" s="115">
        <f t="shared" si="93"/>
        <v>2955.0416035139997</v>
      </c>
      <c r="I399" s="32"/>
      <c r="J399" s="32"/>
      <c r="N399" s="32"/>
    </row>
    <row r="400" spans="1:14" s="114" customFormat="1" x14ac:dyDescent="0.35">
      <c r="A400" s="120">
        <f t="shared" si="94"/>
        <v>4</v>
      </c>
      <c r="B400" s="120"/>
      <c r="C400" s="115" t="s">
        <v>477</v>
      </c>
      <c r="D400" s="97">
        <f>(163.8)*10.764</f>
        <v>1763.1432</v>
      </c>
      <c r="E400" s="97">
        <f>(6.465*1.83+0.646*1.15+0.112*1.36)*10.764</f>
        <v>136.98449388</v>
      </c>
      <c r="F400" s="115">
        <f t="shared" si="92"/>
        <v>1900.1276938799999</v>
      </c>
      <c r="G400" s="115">
        <v>0</v>
      </c>
      <c r="H400" s="115">
        <f t="shared" si="93"/>
        <v>2945.197925514</v>
      </c>
      <c r="I400" s="32"/>
      <c r="J400" s="32"/>
      <c r="N400" s="32"/>
    </row>
    <row r="401" spans="1:14" s="114" customFormat="1" x14ac:dyDescent="0.35">
      <c r="A401" s="120">
        <f t="shared" si="94"/>
        <v>5</v>
      </c>
      <c r="B401" s="120"/>
      <c r="C401" s="115" t="s">
        <v>476</v>
      </c>
      <c r="D401" s="97">
        <f>(282.47)*10.764</f>
        <v>3040.5070800000003</v>
      </c>
      <c r="E401" s="97">
        <v>0</v>
      </c>
      <c r="F401" s="115">
        <f t="shared" si="92"/>
        <v>3040.5070800000003</v>
      </c>
      <c r="G401" s="115">
        <v>0</v>
      </c>
      <c r="H401" s="115">
        <f t="shared" si="93"/>
        <v>4712.7859740000004</v>
      </c>
      <c r="I401" s="32"/>
      <c r="J401" s="32"/>
      <c r="N401" s="32"/>
    </row>
    <row r="402" spans="1:14" s="114" customFormat="1" x14ac:dyDescent="0.35">
      <c r="A402" s="120">
        <f t="shared" si="94"/>
        <v>6</v>
      </c>
      <c r="B402" s="120"/>
      <c r="C402" s="115" t="s">
        <v>476</v>
      </c>
      <c r="D402" s="97">
        <f>(282.03)*10.764</f>
        <v>3035.7709199999995</v>
      </c>
      <c r="E402" s="97">
        <v>0</v>
      </c>
      <c r="F402" s="115">
        <f t="shared" si="92"/>
        <v>3035.7709199999995</v>
      </c>
      <c r="G402" s="115">
        <v>0</v>
      </c>
      <c r="H402" s="115">
        <f t="shared" si="93"/>
        <v>4705.4449259999992</v>
      </c>
      <c r="I402" s="32"/>
      <c r="J402" s="32"/>
      <c r="N402" s="32"/>
    </row>
    <row r="403" spans="1:14" s="114" customFormat="1" x14ac:dyDescent="0.35">
      <c r="A403" s="118" t="s">
        <v>450</v>
      </c>
      <c r="B403" s="118"/>
      <c r="C403" s="118"/>
      <c r="D403" s="118"/>
      <c r="E403" s="118"/>
      <c r="F403" s="118"/>
      <c r="G403" s="118"/>
      <c r="H403" s="118"/>
      <c r="I403" s="87"/>
      <c r="L403" s="119"/>
      <c r="M403" s="119"/>
    </row>
    <row r="404" spans="1:14" s="114" customFormat="1" x14ac:dyDescent="0.35">
      <c r="A404" s="120">
        <v>1</v>
      </c>
      <c r="B404" s="120"/>
      <c r="C404" s="121" t="s">
        <v>438</v>
      </c>
      <c r="D404" s="122"/>
      <c r="E404" s="122"/>
      <c r="F404" s="122"/>
      <c r="G404" s="122"/>
      <c r="H404" s="123"/>
      <c r="I404" s="32"/>
      <c r="J404" s="32"/>
      <c r="N404" s="32"/>
    </row>
    <row r="405" spans="1:14" s="114" customFormat="1" x14ac:dyDescent="0.35">
      <c r="A405" s="120">
        <f>A404+1</f>
        <v>2</v>
      </c>
      <c r="B405" s="120"/>
      <c r="C405" s="127"/>
      <c r="D405" s="128"/>
      <c r="E405" s="128"/>
      <c r="F405" s="128"/>
      <c r="G405" s="128"/>
      <c r="H405" s="129"/>
      <c r="I405" s="32"/>
      <c r="J405" s="32"/>
      <c r="N405" s="32"/>
    </row>
    <row r="406" spans="1:14" s="114" customFormat="1" x14ac:dyDescent="0.35">
      <c r="A406" s="120">
        <f t="shared" ref="A406:A409" si="95">A405+1</f>
        <v>3</v>
      </c>
      <c r="B406" s="120"/>
      <c r="C406" s="115" t="s">
        <v>477</v>
      </c>
      <c r="D406" s="97">
        <f>(164.39)*10.764</f>
        <v>1769.4939599999998</v>
      </c>
      <c r="E406" s="97">
        <f>(6.465*1.83+0.646*1.15+0.112*1.36)*10.764</f>
        <v>136.98449388</v>
      </c>
      <c r="F406" s="115">
        <f t="shared" ref="F406:F409" si="96">D406+E406</f>
        <v>1906.4784538799997</v>
      </c>
      <c r="G406" s="115">
        <v>0</v>
      </c>
      <c r="H406" s="115">
        <f t="shared" ref="H406:H409" si="97">F406*(($H$190)+1)+(IF(G406&lt;101,G406,IF(G406&lt;201,G406/2,IF(G406&lt;=301,G406/3,G406/4))))</f>
        <v>2955.0416035139997</v>
      </c>
      <c r="I406" s="32"/>
      <c r="J406" s="32"/>
      <c r="N406" s="32"/>
    </row>
    <row r="407" spans="1:14" s="114" customFormat="1" x14ac:dyDescent="0.35">
      <c r="A407" s="120">
        <f t="shared" si="95"/>
        <v>4</v>
      </c>
      <c r="B407" s="120"/>
      <c r="C407" s="115" t="s">
        <v>477</v>
      </c>
      <c r="D407" s="97">
        <f>(163.8)*10.764</f>
        <v>1763.1432</v>
      </c>
      <c r="E407" s="97">
        <f>(6.465*1.83+0.646*1.15+0.112*1.36)*10.764</f>
        <v>136.98449388</v>
      </c>
      <c r="F407" s="115">
        <f t="shared" si="96"/>
        <v>1900.1276938799999</v>
      </c>
      <c r="G407" s="115">
        <v>0</v>
      </c>
      <c r="H407" s="115">
        <f t="shared" si="97"/>
        <v>2945.197925514</v>
      </c>
      <c r="I407" s="32"/>
      <c r="J407" s="32"/>
      <c r="N407" s="32"/>
    </row>
    <row r="408" spans="1:14" s="114" customFormat="1" x14ac:dyDescent="0.35">
      <c r="A408" s="120">
        <f t="shared" si="95"/>
        <v>5</v>
      </c>
      <c r="B408" s="120"/>
      <c r="C408" s="115" t="s">
        <v>476</v>
      </c>
      <c r="D408" s="97">
        <f>(282.47)*10.764</f>
        <v>3040.5070800000003</v>
      </c>
      <c r="E408" s="97">
        <v>0</v>
      </c>
      <c r="F408" s="115">
        <f t="shared" si="96"/>
        <v>3040.5070800000003</v>
      </c>
      <c r="G408" s="115">
        <v>0</v>
      </c>
      <c r="H408" s="115">
        <f t="shared" si="97"/>
        <v>4712.7859740000004</v>
      </c>
      <c r="I408" s="32"/>
      <c r="J408" s="32"/>
      <c r="N408" s="32"/>
    </row>
    <row r="409" spans="1:14" s="114" customFormat="1" x14ac:dyDescent="0.35">
      <c r="A409" s="120">
        <f t="shared" si="95"/>
        <v>6</v>
      </c>
      <c r="B409" s="120"/>
      <c r="C409" s="115" t="s">
        <v>476</v>
      </c>
      <c r="D409" s="97">
        <f>(282.03)*10.764</f>
        <v>3035.7709199999995</v>
      </c>
      <c r="E409" s="97">
        <v>0</v>
      </c>
      <c r="F409" s="115">
        <f t="shared" si="96"/>
        <v>3035.7709199999995</v>
      </c>
      <c r="G409" s="115">
        <v>0</v>
      </c>
      <c r="H409" s="115">
        <f t="shared" si="97"/>
        <v>4705.4449259999992</v>
      </c>
      <c r="I409" s="32"/>
      <c r="J409" s="32"/>
      <c r="N409" s="32"/>
    </row>
    <row r="410" spans="1:14" s="114" customFormat="1" x14ac:dyDescent="0.35">
      <c r="A410" s="118" t="s">
        <v>451</v>
      </c>
      <c r="B410" s="118"/>
      <c r="C410" s="118"/>
      <c r="D410" s="118"/>
      <c r="E410" s="118"/>
      <c r="F410" s="118"/>
      <c r="G410" s="118"/>
      <c r="H410" s="118"/>
      <c r="I410" s="87"/>
      <c r="L410" s="119"/>
      <c r="M410" s="119"/>
    </row>
    <row r="411" spans="1:14" s="114" customFormat="1" x14ac:dyDescent="0.35">
      <c r="A411" s="120">
        <v>1</v>
      </c>
      <c r="B411" s="120"/>
      <c r="C411" s="115" t="s">
        <v>477</v>
      </c>
      <c r="D411" s="97">
        <f>(159.19)*10.764</f>
        <v>1713.5211599999998</v>
      </c>
      <c r="E411" s="97">
        <f>(6.64*1.22+0.112*0.565+0.595*0.375)*10.764</f>
        <v>90.279874619999987</v>
      </c>
      <c r="F411" s="115">
        <f t="shared" ref="F411:F416" si="98">D411+E411</f>
        <v>1803.8010346199999</v>
      </c>
      <c r="G411" s="115">
        <v>0</v>
      </c>
      <c r="H411" s="115">
        <f t="shared" ref="H411:H416" si="99">F411*(($H$190)+1)+(IF(G411&lt;101,G411,IF(G411&lt;201,G411/2,IF(G411&lt;=301,G411/3,G411/4))))</f>
        <v>2795.8916036609999</v>
      </c>
      <c r="I411" s="32"/>
      <c r="J411" s="32"/>
      <c r="N411" s="32"/>
    </row>
    <row r="412" spans="1:14" s="114" customFormat="1" x14ac:dyDescent="0.35">
      <c r="A412" s="120">
        <f>A411+1</f>
        <v>2</v>
      </c>
      <c r="B412" s="120"/>
      <c r="C412" s="115" t="s">
        <v>477</v>
      </c>
      <c r="D412" s="97">
        <f>(159.19)*10.764</f>
        <v>1713.5211599999998</v>
      </c>
      <c r="E412" s="97">
        <f>(6.64*1.22+0.112*0.565+0.595*0.375)*10.764</f>
        <v>90.279874619999987</v>
      </c>
      <c r="F412" s="115">
        <f t="shared" si="98"/>
        <v>1803.8010346199999</v>
      </c>
      <c r="G412" s="115">
        <v>0</v>
      </c>
      <c r="H412" s="115">
        <f t="shared" si="99"/>
        <v>2795.8916036609999</v>
      </c>
      <c r="I412" s="32"/>
      <c r="J412" s="32"/>
      <c r="N412" s="32"/>
    </row>
    <row r="413" spans="1:14" s="114" customFormat="1" x14ac:dyDescent="0.35">
      <c r="A413" s="120">
        <f t="shared" ref="A413:A416" si="100">A412+1</f>
        <v>3</v>
      </c>
      <c r="B413" s="120"/>
      <c r="C413" s="115" t="s">
        <v>477</v>
      </c>
      <c r="D413" s="97">
        <f>(164.39)*10.764</f>
        <v>1769.4939599999998</v>
      </c>
      <c r="E413" s="97">
        <f>(6.615*1.83+0.646*1.15+0.112*1.36)*10.764</f>
        <v>139.93921188000002</v>
      </c>
      <c r="F413" s="115">
        <f t="shared" si="98"/>
        <v>1909.4331718799999</v>
      </c>
      <c r="G413" s="115">
        <v>0</v>
      </c>
      <c r="H413" s="115">
        <f t="shared" si="99"/>
        <v>2959.6214164140001</v>
      </c>
      <c r="I413" s="32"/>
      <c r="J413" s="32"/>
      <c r="N413" s="32"/>
    </row>
    <row r="414" spans="1:14" s="114" customFormat="1" x14ac:dyDescent="0.35">
      <c r="A414" s="120">
        <f t="shared" si="100"/>
        <v>4</v>
      </c>
      <c r="B414" s="120"/>
      <c r="C414" s="115" t="s">
        <v>477</v>
      </c>
      <c r="D414" s="97">
        <f>(163.8)*10.764</f>
        <v>1763.1432</v>
      </c>
      <c r="E414" s="97">
        <f>(6.615*1.83+0.646*1.15+0.112*1.36)*10.764</f>
        <v>139.93921188000002</v>
      </c>
      <c r="F414" s="115">
        <f t="shared" si="98"/>
        <v>1903.0824118800001</v>
      </c>
      <c r="G414" s="115">
        <v>0</v>
      </c>
      <c r="H414" s="115">
        <f t="shared" si="99"/>
        <v>2949.7777384140004</v>
      </c>
      <c r="I414" s="32"/>
      <c r="J414" s="32"/>
      <c r="N414" s="32"/>
    </row>
    <row r="415" spans="1:14" s="114" customFormat="1" x14ac:dyDescent="0.35">
      <c r="A415" s="120">
        <f t="shared" si="100"/>
        <v>5</v>
      </c>
      <c r="B415" s="120"/>
      <c r="C415" s="115" t="s">
        <v>476</v>
      </c>
      <c r="D415" s="97">
        <f>(282.47)*10.764</f>
        <v>3040.5070800000003</v>
      </c>
      <c r="E415" s="97">
        <v>0</v>
      </c>
      <c r="F415" s="115">
        <f t="shared" si="98"/>
        <v>3040.5070800000003</v>
      </c>
      <c r="G415" s="115">
        <v>0</v>
      </c>
      <c r="H415" s="115">
        <f t="shared" si="99"/>
        <v>4712.7859740000004</v>
      </c>
      <c r="I415" s="32"/>
      <c r="J415" s="32"/>
      <c r="N415" s="32"/>
    </row>
    <row r="416" spans="1:14" s="114" customFormat="1" x14ac:dyDescent="0.35">
      <c r="A416" s="120">
        <f t="shared" si="100"/>
        <v>6</v>
      </c>
      <c r="B416" s="120"/>
      <c r="C416" s="115" t="s">
        <v>476</v>
      </c>
      <c r="D416" s="97">
        <f>(282.03)*10.764</f>
        <v>3035.7709199999995</v>
      </c>
      <c r="E416" s="97">
        <v>0</v>
      </c>
      <c r="F416" s="115">
        <f t="shared" si="98"/>
        <v>3035.7709199999995</v>
      </c>
      <c r="G416" s="115">
        <v>0</v>
      </c>
      <c r="H416" s="115">
        <f t="shared" si="99"/>
        <v>4705.4449259999992</v>
      </c>
      <c r="I416" s="32"/>
      <c r="J416" s="32"/>
      <c r="N416" s="32"/>
    </row>
    <row r="417" spans="1:14" s="114" customFormat="1" x14ac:dyDescent="0.35">
      <c r="A417" s="118" t="s">
        <v>478</v>
      </c>
      <c r="B417" s="118"/>
      <c r="C417" s="118"/>
      <c r="D417" s="118"/>
      <c r="E417" s="118"/>
      <c r="F417" s="118"/>
      <c r="G417" s="118"/>
      <c r="H417" s="118"/>
      <c r="I417" s="87"/>
      <c r="L417" s="119"/>
      <c r="M417" s="119"/>
    </row>
    <row r="418" spans="1:14" s="114" customFormat="1" x14ac:dyDescent="0.35">
      <c r="A418" s="120">
        <v>1</v>
      </c>
      <c r="B418" s="120"/>
      <c r="C418" s="121" t="s">
        <v>438</v>
      </c>
      <c r="D418" s="122"/>
      <c r="E418" s="122"/>
      <c r="F418" s="122"/>
      <c r="G418" s="122"/>
      <c r="H418" s="123"/>
      <c r="I418" s="32"/>
      <c r="J418" s="32"/>
      <c r="N418" s="32"/>
    </row>
    <row r="419" spans="1:14" s="114" customFormat="1" x14ac:dyDescent="0.35">
      <c r="A419" s="120">
        <f>A418+1</f>
        <v>2</v>
      </c>
      <c r="B419" s="120"/>
      <c r="C419" s="127"/>
      <c r="D419" s="128"/>
      <c r="E419" s="128"/>
      <c r="F419" s="128"/>
      <c r="G419" s="128"/>
      <c r="H419" s="129"/>
      <c r="I419" s="32"/>
      <c r="J419" s="32"/>
      <c r="N419" s="32"/>
    </row>
    <row r="420" spans="1:14" s="114" customFormat="1" x14ac:dyDescent="0.35">
      <c r="A420" s="120">
        <f t="shared" ref="A420:A423" si="101">A419+1</f>
        <v>3</v>
      </c>
      <c r="B420" s="120"/>
      <c r="C420" s="115" t="s">
        <v>477</v>
      </c>
      <c r="D420" s="97">
        <f>(164.39)*10.764</f>
        <v>1769.4939599999998</v>
      </c>
      <c r="E420" s="97">
        <f>(6.465*1.83+0.646*1.15+0.112*1.36)*10.764</f>
        <v>136.98449388</v>
      </c>
      <c r="F420" s="115">
        <f t="shared" ref="F420:F423" si="102">D420+E420</f>
        <v>1906.4784538799997</v>
      </c>
      <c r="G420" s="115">
        <v>0</v>
      </c>
      <c r="H420" s="115">
        <f t="shared" ref="H420:H423" si="103">F420*(($H$190)+1)+(IF(G420&lt;101,G420,IF(G420&lt;201,G420/2,IF(G420&lt;=301,G420/3,G420/4))))</f>
        <v>2955.0416035139997</v>
      </c>
      <c r="I420" s="32"/>
      <c r="J420" s="32"/>
      <c r="N420" s="32"/>
    </row>
    <row r="421" spans="1:14" s="114" customFormat="1" x14ac:dyDescent="0.35">
      <c r="A421" s="120">
        <f t="shared" si="101"/>
        <v>4</v>
      </c>
      <c r="B421" s="120"/>
      <c r="C421" s="115" t="s">
        <v>477</v>
      </c>
      <c r="D421" s="97">
        <f>(163.8)*10.764</f>
        <v>1763.1432</v>
      </c>
      <c r="E421" s="97">
        <f>(6.465*1.83+0.646*1.15+0.112*1.36)*10.764</f>
        <v>136.98449388</v>
      </c>
      <c r="F421" s="115">
        <f t="shared" si="102"/>
        <v>1900.1276938799999</v>
      </c>
      <c r="G421" s="115">
        <v>0</v>
      </c>
      <c r="H421" s="115">
        <f t="shared" si="103"/>
        <v>2945.197925514</v>
      </c>
      <c r="I421" s="32"/>
      <c r="J421" s="32"/>
      <c r="N421" s="32"/>
    </row>
    <row r="422" spans="1:14" s="114" customFormat="1" x14ac:dyDescent="0.35">
      <c r="A422" s="120">
        <f t="shared" si="101"/>
        <v>5</v>
      </c>
      <c r="B422" s="120"/>
      <c r="C422" s="115" t="s">
        <v>476</v>
      </c>
      <c r="D422" s="97">
        <f>(282.47)*10.764</f>
        <v>3040.5070800000003</v>
      </c>
      <c r="E422" s="97">
        <v>0</v>
      </c>
      <c r="F422" s="115">
        <f t="shared" si="102"/>
        <v>3040.5070800000003</v>
      </c>
      <c r="G422" s="115">
        <v>0</v>
      </c>
      <c r="H422" s="115">
        <f t="shared" si="103"/>
        <v>4712.7859740000004</v>
      </c>
      <c r="I422" s="32"/>
      <c r="J422" s="32"/>
      <c r="N422" s="32"/>
    </row>
    <row r="423" spans="1:14" s="114" customFormat="1" x14ac:dyDescent="0.35">
      <c r="A423" s="120">
        <f t="shared" si="101"/>
        <v>6</v>
      </c>
      <c r="B423" s="120"/>
      <c r="C423" s="115" t="s">
        <v>476</v>
      </c>
      <c r="D423" s="97">
        <f>(282.03)*10.764</f>
        <v>3035.7709199999995</v>
      </c>
      <c r="E423" s="97">
        <v>0</v>
      </c>
      <c r="F423" s="115">
        <f t="shared" si="102"/>
        <v>3035.7709199999995</v>
      </c>
      <c r="G423" s="115">
        <v>0</v>
      </c>
      <c r="H423" s="115">
        <f t="shared" si="103"/>
        <v>4705.4449259999992</v>
      </c>
      <c r="I423" s="32"/>
      <c r="J423" s="32"/>
      <c r="N423" s="32"/>
    </row>
    <row r="424" spans="1:14" s="114" customFormat="1" x14ac:dyDescent="0.35">
      <c r="A424" s="118" t="s">
        <v>479</v>
      </c>
      <c r="B424" s="118"/>
      <c r="C424" s="118"/>
      <c r="D424" s="118"/>
      <c r="E424" s="118"/>
      <c r="F424" s="118"/>
      <c r="G424" s="118"/>
      <c r="H424" s="118"/>
      <c r="I424" s="87"/>
      <c r="L424" s="119"/>
      <c r="M424" s="119"/>
    </row>
    <row r="425" spans="1:14" s="114" customFormat="1" x14ac:dyDescent="0.35">
      <c r="A425" s="120">
        <v>1</v>
      </c>
      <c r="B425" s="120"/>
      <c r="C425" s="115" t="s">
        <v>477</v>
      </c>
      <c r="D425" s="97">
        <f>(159.19)*10.764</f>
        <v>1713.5211599999998</v>
      </c>
      <c r="E425" s="97">
        <f>(6.64*1.22+0.112*0.565+0.595*0.375)*10.764</f>
        <v>90.279874619999987</v>
      </c>
      <c r="F425" s="115">
        <f t="shared" ref="F425:F430" si="104">D425+E425</f>
        <v>1803.8010346199999</v>
      </c>
      <c r="G425" s="115">
        <v>0</v>
      </c>
      <c r="H425" s="115">
        <f t="shared" ref="H425:H430" si="105">F425*(($H$190)+1)+(IF(G425&lt;101,G425,IF(G425&lt;201,G425/2,IF(G425&lt;=301,G425/3,G425/4))))</f>
        <v>2795.8916036609999</v>
      </c>
      <c r="I425" s="32"/>
      <c r="J425" s="32"/>
      <c r="N425" s="32"/>
    </row>
    <row r="426" spans="1:14" s="114" customFormat="1" x14ac:dyDescent="0.35">
      <c r="A426" s="120">
        <f>A425+1</f>
        <v>2</v>
      </c>
      <c r="B426" s="120"/>
      <c r="C426" s="115" t="s">
        <v>477</v>
      </c>
      <c r="D426" s="97">
        <f>(159.19)*10.764</f>
        <v>1713.5211599999998</v>
      </c>
      <c r="E426" s="97">
        <f>(6.64*1.22+0.112*0.565+0.595*0.375)*10.764</f>
        <v>90.279874619999987</v>
      </c>
      <c r="F426" s="115">
        <f t="shared" si="104"/>
        <v>1803.8010346199999</v>
      </c>
      <c r="G426" s="115">
        <v>0</v>
      </c>
      <c r="H426" s="115">
        <f t="shared" si="105"/>
        <v>2795.8916036609999</v>
      </c>
      <c r="I426" s="32"/>
      <c r="J426" s="32"/>
      <c r="N426" s="32"/>
    </row>
    <row r="427" spans="1:14" s="114" customFormat="1" x14ac:dyDescent="0.35">
      <c r="A427" s="120">
        <f t="shared" ref="A427:A430" si="106">A426+1</f>
        <v>3</v>
      </c>
      <c r="B427" s="120"/>
      <c r="C427" s="115" t="s">
        <v>477</v>
      </c>
      <c r="D427" s="97">
        <f>(164.39)*10.764</f>
        <v>1769.4939599999998</v>
      </c>
      <c r="E427" s="97">
        <f>(6.465*1.83+0.646*1.15+0.112*1.36)*10.764</f>
        <v>136.98449388</v>
      </c>
      <c r="F427" s="115">
        <f t="shared" si="104"/>
        <v>1906.4784538799997</v>
      </c>
      <c r="G427" s="115">
        <v>0</v>
      </c>
      <c r="H427" s="115">
        <f t="shared" si="105"/>
        <v>2955.0416035139997</v>
      </c>
      <c r="I427" s="32"/>
      <c r="J427" s="32"/>
      <c r="N427" s="32"/>
    </row>
    <row r="428" spans="1:14" s="114" customFormat="1" x14ac:dyDescent="0.35">
      <c r="A428" s="120">
        <f t="shared" si="106"/>
        <v>4</v>
      </c>
      <c r="B428" s="120"/>
      <c r="C428" s="115" t="s">
        <v>477</v>
      </c>
      <c r="D428" s="97">
        <f>(163.8)*10.764</f>
        <v>1763.1432</v>
      </c>
      <c r="E428" s="97">
        <f>(6.465*1.83+0.646*1.15+0.112*1.36)*10.764</f>
        <v>136.98449388</v>
      </c>
      <c r="F428" s="115">
        <f t="shared" si="104"/>
        <v>1900.1276938799999</v>
      </c>
      <c r="G428" s="115">
        <v>0</v>
      </c>
      <c r="H428" s="115">
        <f t="shared" si="105"/>
        <v>2945.197925514</v>
      </c>
      <c r="I428" s="32"/>
      <c r="J428" s="32"/>
      <c r="N428" s="32"/>
    </row>
    <row r="429" spans="1:14" s="114" customFormat="1" x14ac:dyDescent="0.35">
      <c r="A429" s="120">
        <f t="shared" si="106"/>
        <v>5</v>
      </c>
      <c r="B429" s="120"/>
      <c r="C429" s="115" t="s">
        <v>476</v>
      </c>
      <c r="D429" s="97">
        <f>(282.09)*10.764</f>
        <v>3036.4167599999996</v>
      </c>
      <c r="E429" s="97">
        <v>0</v>
      </c>
      <c r="F429" s="115">
        <f t="shared" si="104"/>
        <v>3036.4167599999996</v>
      </c>
      <c r="G429" s="115">
        <v>0</v>
      </c>
      <c r="H429" s="115">
        <f t="shared" si="105"/>
        <v>4706.4459779999997</v>
      </c>
      <c r="I429" s="32"/>
      <c r="J429" s="32"/>
      <c r="N429" s="32"/>
    </row>
    <row r="430" spans="1:14" s="114" customFormat="1" x14ac:dyDescent="0.35">
      <c r="A430" s="120">
        <f t="shared" si="106"/>
        <v>6</v>
      </c>
      <c r="B430" s="120"/>
      <c r="C430" s="115" t="s">
        <v>476</v>
      </c>
      <c r="D430" s="97">
        <f>(282.63)*10.764</f>
        <v>3042.2293199999999</v>
      </c>
      <c r="E430" s="97">
        <v>0</v>
      </c>
      <c r="F430" s="115">
        <f t="shared" si="104"/>
        <v>3042.2293199999999</v>
      </c>
      <c r="G430" s="115">
        <v>0</v>
      </c>
      <c r="H430" s="115">
        <f t="shared" si="105"/>
        <v>4715.4554459999999</v>
      </c>
      <c r="I430" s="32"/>
      <c r="J430" s="32"/>
      <c r="N430" s="32"/>
    </row>
    <row r="431" spans="1:14" s="114" customFormat="1" x14ac:dyDescent="0.35">
      <c r="A431" s="118" t="s">
        <v>480</v>
      </c>
      <c r="B431" s="118"/>
      <c r="C431" s="118"/>
      <c r="D431" s="118"/>
      <c r="E431" s="118"/>
      <c r="F431" s="118"/>
      <c r="G431" s="118"/>
      <c r="H431" s="118"/>
      <c r="I431" s="87"/>
      <c r="L431" s="119"/>
      <c r="M431" s="119"/>
    </row>
    <row r="432" spans="1:14" s="114" customFormat="1" x14ac:dyDescent="0.35">
      <c r="A432" s="120">
        <v>1</v>
      </c>
      <c r="B432" s="120"/>
      <c r="C432" s="121" t="s">
        <v>438</v>
      </c>
      <c r="D432" s="122"/>
      <c r="E432" s="122"/>
      <c r="F432" s="122"/>
      <c r="G432" s="122"/>
      <c r="H432" s="123"/>
      <c r="I432" s="32"/>
      <c r="J432" s="32"/>
      <c r="N432" s="32"/>
    </row>
    <row r="433" spans="1:14" s="114" customFormat="1" x14ac:dyDescent="0.35">
      <c r="A433" s="120">
        <f>A432+1</f>
        <v>2</v>
      </c>
      <c r="B433" s="120"/>
      <c r="C433" s="127"/>
      <c r="D433" s="128"/>
      <c r="E433" s="128"/>
      <c r="F433" s="128"/>
      <c r="G433" s="128"/>
      <c r="H433" s="129"/>
      <c r="I433" s="32"/>
      <c r="J433" s="32"/>
      <c r="N433" s="32"/>
    </row>
    <row r="434" spans="1:14" s="114" customFormat="1" x14ac:dyDescent="0.35">
      <c r="A434" s="120">
        <f t="shared" ref="A434:A437" si="107">A433+1</f>
        <v>3</v>
      </c>
      <c r="B434" s="120"/>
      <c r="C434" s="115" t="s">
        <v>477</v>
      </c>
      <c r="D434" s="97">
        <f>(164.39)*10.764</f>
        <v>1769.4939599999998</v>
      </c>
      <c r="E434" s="97">
        <f>(6.465*1.83+0.646*1.15+0.112*1.36)*10.764</f>
        <v>136.98449388</v>
      </c>
      <c r="F434" s="115">
        <f t="shared" ref="F434:F437" si="108">D434+E434</f>
        <v>1906.4784538799997</v>
      </c>
      <c r="G434" s="115">
        <v>0</v>
      </c>
      <c r="H434" s="115">
        <f t="shared" ref="H434:H437" si="109">F434*(($H$190)+1)+(IF(G434&lt;101,G434,IF(G434&lt;201,G434/2,IF(G434&lt;=301,G434/3,G434/4))))</f>
        <v>2955.0416035139997</v>
      </c>
      <c r="I434" s="32"/>
      <c r="J434" s="32"/>
      <c r="N434" s="32"/>
    </row>
    <row r="435" spans="1:14" s="114" customFormat="1" x14ac:dyDescent="0.35">
      <c r="A435" s="120">
        <f t="shared" si="107"/>
        <v>4</v>
      </c>
      <c r="B435" s="120"/>
      <c r="C435" s="115" t="s">
        <v>477</v>
      </c>
      <c r="D435" s="97">
        <f>(163.8)*10.764</f>
        <v>1763.1432</v>
      </c>
      <c r="E435" s="97">
        <f>(6.465*1.83+0.646*1.15+0.112*1.36)*10.764</f>
        <v>136.98449388</v>
      </c>
      <c r="F435" s="115">
        <f t="shared" si="108"/>
        <v>1900.1276938799999</v>
      </c>
      <c r="G435" s="115">
        <v>0</v>
      </c>
      <c r="H435" s="115">
        <f t="shared" si="109"/>
        <v>2945.197925514</v>
      </c>
      <c r="I435" s="32"/>
      <c r="J435" s="32"/>
      <c r="N435" s="32"/>
    </row>
    <row r="436" spans="1:14" s="114" customFormat="1" x14ac:dyDescent="0.35">
      <c r="A436" s="120">
        <f t="shared" si="107"/>
        <v>5</v>
      </c>
      <c r="B436" s="120"/>
      <c r="C436" s="115" t="s">
        <v>476</v>
      </c>
      <c r="D436" s="97">
        <f>(282.09)*10.764</f>
        <v>3036.4167599999996</v>
      </c>
      <c r="E436" s="97">
        <v>0</v>
      </c>
      <c r="F436" s="115">
        <f t="shared" si="108"/>
        <v>3036.4167599999996</v>
      </c>
      <c r="G436" s="115">
        <v>0</v>
      </c>
      <c r="H436" s="115">
        <f t="shared" si="109"/>
        <v>4706.4459779999997</v>
      </c>
      <c r="I436" s="32"/>
      <c r="J436" s="32"/>
      <c r="N436" s="32"/>
    </row>
    <row r="437" spans="1:14" s="114" customFormat="1" x14ac:dyDescent="0.35">
      <c r="A437" s="120">
        <f t="shared" si="107"/>
        <v>6</v>
      </c>
      <c r="B437" s="120"/>
      <c r="C437" s="115" t="s">
        <v>476</v>
      </c>
      <c r="D437" s="97">
        <f>(282.63)*10.764</f>
        <v>3042.2293199999999</v>
      </c>
      <c r="E437" s="97">
        <v>0</v>
      </c>
      <c r="F437" s="115">
        <f t="shared" si="108"/>
        <v>3042.2293199999999</v>
      </c>
      <c r="G437" s="115">
        <v>0</v>
      </c>
      <c r="H437" s="115">
        <f t="shared" si="109"/>
        <v>4715.4554459999999</v>
      </c>
      <c r="I437" s="32"/>
      <c r="J437" s="32"/>
      <c r="N437" s="32"/>
    </row>
    <row r="438" spans="1:14" s="114" customFormat="1" ht="34.5" customHeight="1" x14ac:dyDescent="0.35">
      <c r="A438" s="118" t="s">
        <v>481</v>
      </c>
      <c r="B438" s="118"/>
      <c r="C438" s="118"/>
      <c r="D438" s="118"/>
      <c r="E438" s="118"/>
      <c r="F438" s="118"/>
      <c r="G438" s="118"/>
      <c r="H438" s="118"/>
      <c r="I438" s="87"/>
      <c r="L438" s="119"/>
      <c r="M438" s="119"/>
    </row>
    <row r="439" spans="1:14" s="114" customFormat="1" x14ac:dyDescent="0.35">
      <c r="A439" s="120">
        <v>1</v>
      </c>
      <c r="B439" s="120"/>
      <c r="C439" s="115" t="s">
        <v>483</v>
      </c>
      <c r="D439" s="97">
        <f>(159.2+132.072+165.22)*10.764</f>
        <v>4913.6798879999997</v>
      </c>
      <c r="E439" s="97">
        <f>(6.64*1.22+0.112*0.565+0.595*0.375)*10.764</f>
        <v>90.279874619999987</v>
      </c>
      <c r="F439" s="115">
        <f t="shared" ref="F439:F444" si="110">D439+E439</f>
        <v>5003.9597626199993</v>
      </c>
      <c r="G439" s="115">
        <v>0</v>
      </c>
      <c r="H439" s="115">
        <f t="shared" ref="H439:H444" si="111">F439*(($H$190)+1)+(IF(G439&lt;101,G439,IF(G439&lt;201,G439/2,IF(G439&lt;=301,G439/3,G439/4))))</f>
        <v>7756.1376320609988</v>
      </c>
      <c r="I439" s="32"/>
      <c r="J439" s="32"/>
      <c r="N439" s="32"/>
    </row>
    <row r="440" spans="1:14" s="114" customFormat="1" x14ac:dyDescent="0.35">
      <c r="A440" s="120">
        <f>A439+1</f>
        <v>2</v>
      </c>
      <c r="B440" s="120"/>
      <c r="C440" s="115" t="s">
        <v>483</v>
      </c>
      <c r="D440" s="97">
        <f>(159.2+132.068+165.24)*10.764</f>
        <v>4913.8521120000005</v>
      </c>
      <c r="E440" s="97">
        <f>(6.64*1.22+0.112*0.565+0.595*0.375)*10.764</f>
        <v>90.279874619999987</v>
      </c>
      <c r="F440" s="115">
        <f t="shared" si="110"/>
        <v>5004.1319866200001</v>
      </c>
      <c r="G440" s="115">
        <v>0</v>
      </c>
      <c r="H440" s="115">
        <f t="shared" si="111"/>
        <v>7756.4045792610004</v>
      </c>
      <c r="I440" s="32"/>
      <c r="J440" s="32"/>
      <c r="N440" s="32"/>
    </row>
    <row r="441" spans="1:14" s="114" customFormat="1" x14ac:dyDescent="0.35">
      <c r="A441" s="120">
        <f t="shared" ref="A441:A444" si="112">A440+1</f>
        <v>3</v>
      </c>
      <c r="B441" s="120"/>
      <c r="C441" s="115" t="s">
        <v>483</v>
      </c>
      <c r="D441" s="97">
        <f>(164.4+136.121+175.07)*10.764</f>
        <v>5119.2615239999996</v>
      </c>
      <c r="E441" s="97">
        <f>(6.465*1.83+0.646*1.15+0.112*1.36)*10.764</f>
        <v>136.98449388</v>
      </c>
      <c r="F441" s="115">
        <f t="shared" si="110"/>
        <v>5256.2460178799993</v>
      </c>
      <c r="G441" s="115">
        <v>0</v>
      </c>
      <c r="H441" s="115">
        <f t="shared" si="111"/>
        <v>8147.1813277139991</v>
      </c>
      <c r="I441" s="32"/>
      <c r="J441" s="32"/>
      <c r="N441" s="32"/>
    </row>
    <row r="442" spans="1:14" s="114" customFormat="1" x14ac:dyDescent="0.35">
      <c r="A442" s="120">
        <f t="shared" si="112"/>
        <v>4</v>
      </c>
      <c r="B442" s="120"/>
      <c r="C442" s="115" t="s">
        <v>483</v>
      </c>
      <c r="D442" s="97">
        <f>(163.77+135.497+174.42)*10.764</f>
        <v>5098.7668679999997</v>
      </c>
      <c r="E442" s="97">
        <f>(6.465*1.83+0.646*1.15+0.112*1.36)*10.764</f>
        <v>136.98449388</v>
      </c>
      <c r="F442" s="115">
        <f t="shared" si="110"/>
        <v>5235.7513618799994</v>
      </c>
      <c r="G442" s="115">
        <v>0</v>
      </c>
      <c r="H442" s="115">
        <f t="shared" si="111"/>
        <v>8115.4146109139992</v>
      </c>
      <c r="I442" s="32"/>
      <c r="J442" s="32"/>
      <c r="N442" s="32"/>
    </row>
    <row r="443" spans="1:14" s="114" customFormat="1" x14ac:dyDescent="0.35">
      <c r="A443" s="120">
        <f t="shared" si="112"/>
        <v>5</v>
      </c>
      <c r="B443" s="120"/>
      <c r="C443" s="115" t="s">
        <v>488</v>
      </c>
      <c r="D443" s="97">
        <f>(282.09+232.243+280.99)*10.764</f>
        <v>8560.8567719999992</v>
      </c>
      <c r="E443" s="97">
        <v>0</v>
      </c>
      <c r="F443" s="115">
        <f t="shared" si="110"/>
        <v>8560.8567719999992</v>
      </c>
      <c r="G443" s="115">
        <v>0</v>
      </c>
      <c r="H443" s="115">
        <f t="shared" si="111"/>
        <v>13269.327996599999</v>
      </c>
      <c r="I443" s="32"/>
      <c r="J443" s="32"/>
      <c r="N443" s="32"/>
    </row>
    <row r="444" spans="1:14" s="114" customFormat="1" x14ac:dyDescent="0.35">
      <c r="A444" s="120">
        <f t="shared" si="112"/>
        <v>6</v>
      </c>
      <c r="B444" s="120"/>
      <c r="C444" s="115" t="s">
        <v>488</v>
      </c>
      <c r="D444" s="97">
        <f>(282.63+231.789+281.11)*10.764</f>
        <v>8563.0741559999988</v>
      </c>
      <c r="E444" s="97">
        <v>0</v>
      </c>
      <c r="F444" s="115">
        <f t="shared" si="110"/>
        <v>8563.0741559999988</v>
      </c>
      <c r="G444" s="115">
        <v>0</v>
      </c>
      <c r="H444" s="115">
        <f t="shared" si="111"/>
        <v>13272.764941799998</v>
      </c>
      <c r="I444" s="32"/>
      <c r="J444" s="32"/>
      <c r="N444" s="32"/>
    </row>
    <row r="445" spans="1:14" s="110" customFormat="1" x14ac:dyDescent="0.35">
      <c r="A445" s="131" t="s">
        <v>425</v>
      </c>
      <c r="B445" s="131"/>
      <c r="C445" s="131"/>
      <c r="D445" s="131"/>
      <c r="E445" s="131"/>
      <c r="F445" s="131"/>
      <c r="G445" s="131"/>
      <c r="H445" s="131"/>
      <c r="I445" s="87"/>
      <c r="J445" s="106"/>
      <c r="L445" s="119"/>
      <c r="M445" s="119"/>
    </row>
    <row r="446" spans="1:14" s="110" customFormat="1" x14ac:dyDescent="0.35">
      <c r="A446" s="273" t="s">
        <v>430</v>
      </c>
      <c r="B446" s="273"/>
      <c r="C446" s="273"/>
      <c r="D446" s="273"/>
      <c r="E446" s="273"/>
      <c r="F446" s="273"/>
      <c r="G446" s="273"/>
      <c r="H446" s="273"/>
      <c r="I446" s="87"/>
      <c r="J446" s="106"/>
      <c r="L446" s="119"/>
      <c r="M446" s="119"/>
    </row>
    <row r="447" spans="1:14" s="114" customFormat="1" x14ac:dyDescent="0.35">
      <c r="A447" s="118" t="s">
        <v>508</v>
      </c>
      <c r="B447" s="118"/>
      <c r="C447" s="118"/>
      <c r="D447" s="118"/>
      <c r="E447" s="118"/>
      <c r="F447" s="118"/>
      <c r="G447" s="118"/>
      <c r="H447" s="118"/>
      <c r="I447" s="87"/>
      <c r="J447" s="106"/>
      <c r="L447" s="119"/>
      <c r="M447" s="119"/>
    </row>
    <row r="448" spans="1:14" s="114" customFormat="1" x14ac:dyDescent="0.35">
      <c r="A448" s="118" t="s">
        <v>507</v>
      </c>
      <c r="B448" s="118"/>
      <c r="C448" s="118"/>
      <c r="D448" s="118"/>
      <c r="E448" s="118"/>
      <c r="F448" s="118"/>
      <c r="G448" s="118"/>
      <c r="H448" s="118"/>
      <c r="I448" s="87"/>
      <c r="J448" s="106"/>
      <c r="L448" s="119"/>
      <c r="M448" s="119"/>
    </row>
    <row r="449" spans="1:14" s="110" customFormat="1" x14ac:dyDescent="0.35">
      <c r="A449" s="118" t="s">
        <v>463</v>
      </c>
      <c r="B449" s="118"/>
      <c r="C449" s="118"/>
      <c r="D449" s="118"/>
      <c r="E449" s="118"/>
      <c r="F449" s="118"/>
      <c r="G449" s="118"/>
      <c r="H449" s="118"/>
      <c r="I449" s="87"/>
      <c r="J449" s="106"/>
      <c r="L449" s="119"/>
      <c r="M449" s="119"/>
    </row>
    <row r="450" spans="1:14" s="110" customFormat="1" x14ac:dyDescent="0.35">
      <c r="A450" s="118" t="s">
        <v>465</v>
      </c>
      <c r="B450" s="118"/>
      <c r="C450" s="118"/>
      <c r="D450" s="118"/>
      <c r="E450" s="118"/>
      <c r="F450" s="118"/>
      <c r="G450" s="118"/>
      <c r="H450" s="118"/>
      <c r="I450" s="87"/>
      <c r="J450" s="106"/>
      <c r="L450" s="119"/>
      <c r="M450" s="119"/>
    </row>
    <row r="451" spans="1:14" s="110" customFormat="1" x14ac:dyDescent="0.35">
      <c r="A451" s="118" t="s">
        <v>467</v>
      </c>
      <c r="B451" s="118"/>
      <c r="C451" s="118"/>
      <c r="D451" s="118"/>
      <c r="E451" s="118"/>
      <c r="F451" s="118"/>
      <c r="G451" s="118"/>
      <c r="H451" s="118"/>
      <c r="I451" s="87"/>
      <c r="J451" s="106"/>
      <c r="L451" s="119"/>
      <c r="M451" s="119"/>
    </row>
    <row r="452" spans="1:14" s="114" customFormat="1" x14ac:dyDescent="0.35">
      <c r="A452" s="118" t="s">
        <v>434</v>
      </c>
      <c r="B452" s="118"/>
      <c r="C452" s="118"/>
      <c r="D452" s="118"/>
      <c r="E452" s="118"/>
      <c r="F452" s="118"/>
      <c r="G452" s="118"/>
      <c r="H452" s="118"/>
      <c r="I452" s="87"/>
      <c r="L452" s="119"/>
      <c r="M452" s="119"/>
    </row>
    <row r="453" spans="1:14" s="114" customFormat="1" x14ac:dyDescent="0.35">
      <c r="A453" s="120">
        <v>1</v>
      </c>
      <c r="B453" s="120"/>
      <c r="C453" s="115" t="s">
        <v>477</v>
      </c>
      <c r="D453" s="97">
        <f>(158.7)*10.764</f>
        <v>1708.2467999999997</v>
      </c>
      <c r="E453" s="97">
        <f>(6.49*1.22+0.112*0.53+0.595*0.375)*10.764</f>
        <v>88.267867739999986</v>
      </c>
      <c r="F453" s="115">
        <f t="shared" ref="F453:F454" si="113">D453+E453</f>
        <v>1796.5146677399996</v>
      </c>
      <c r="G453" s="115">
        <v>0</v>
      </c>
      <c r="H453" s="115">
        <f t="shared" ref="H453:H454" si="114">F453*(($H$190)+1)+(IF(G453&lt;101,G453,IF(G453&lt;201,G453/2,IF(G453&lt;=301,G453/3,G453/4))))</f>
        <v>2784.5977349969994</v>
      </c>
      <c r="I453" s="32"/>
      <c r="J453" s="32"/>
      <c r="N453" s="32"/>
    </row>
    <row r="454" spans="1:14" s="114" customFormat="1" x14ac:dyDescent="0.35">
      <c r="A454" s="120">
        <f>A453+1</f>
        <v>2</v>
      </c>
      <c r="B454" s="120"/>
      <c r="C454" s="115" t="s">
        <v>477</v>
      </c>
      <c r="D454" s="97">
        <f>(158.78)*10.764</f>
        <v>1709.1079199999999</v>
      </c>
      <c r="E454" s="97">
        <f>(6.49*1.22+0.112*0.53+0.595*0.375)*10.764</f>
        <v>88.267867739999986</v>
      </c>
      <c r="F454" s="115">
        <f t="shared" si="113"/>
        <v>1797.3757877399999</v>
      </c>
      <c r="G454" s="115">
        <v>0</v>
      </c>
      <c r="H454" s="115">
        <f t="shared" si="114"/>
        <v>2785.9324709969997</v>
      </c>
      <c r="I454" s="32"/>
      <c r="J454" s="32"/>
      <c r="N454" s="32"/>
    </row>
    <row r="455" spans="1:14" s="114" customFormat="1" x14ac:dyDescent="0.35">
      <c r="A455" s="120">
        <f t="shared" ref="A455:A458" si="115">A454+1</f>
        <v>3</v>
      </c>
      <c r="B455" s="120"/>
      <c r="C455" s="121" t="s">
        <v>435</v>
      </c>
      <c r="D455" s="122"/>
      <c r="E455" s="122"/>
      <c r="F455" s="122"/>
      <c r="G455" s="122"/>
      <c r="H455" s="123"/>
      <c r="I455" s="32"/>
      <c r="J455" s="32"/>
      <c r="N455" s="32"/>
    </row>
    <row r="456" spans="1:14" s="114" customFormat="1" x14ac:dyDescent="0.35">
      <c r="A456" s="120">
        <f t="shared" si="115"/>
        <v>4</v>
      </c>
      <c r="B456" s="120"/>
      <c r="C456" s="124"/>
      <c r="D456" s="125"/>
      <c r="E456" s="125"/>
      <c r="F456" s="125"/>
      <c r="G456" s="125"/>
      <c r="H456" s="126"/>
      <c r="I456" s="32"/>
      <c r="J456" s="32"/>
      <c r="N456" s="32"/>
    </row>
    <row r="457" spans="1:14" s="114" customFormat="1" x14ac:dyDescent="0.35">
      <c r="A457" s="120">
        <f t="shared" si="115"/>
        <v>5</v>
      </c>
      <c r="B457" s="120"/>
      <c r="C457" s="124"/>
      <c r="D457" s="125"/>
      <c r="E457" s="125"/>
      <c r="F457" s="125"/>
      <c r="G457" s="125"/>
      <c r="H457" s="126"/>
      <c r="I457" s="32"/>
      <c r="J457" s="32"/>
      <c r="N457" s="32"/>
    </row>
    <row r="458" spans="1:14" s="114" customFormat="1" x14ac:dyDescent="0.35">
      <c r="A458" s="120">
        <f t="shared" si="115"/>
        <v>6</v>
      </c>
      <c r="B458" s="120"/>
      <c r="C458" s="127"/>
      <c r="D458" s="128"/>
      <c r="E458" s="128"/>
      <c r="F458" s="128"/>
      <c r="G458" s="128"/>
      <c r="H458" s="129"/>
      <c r="I458" s="32"/>
      <c r="J458" s="32"/>
      <c r="N458" s="32"/>
    </row>
    <row r="459" spans="1:14" s="114" customFormat="1" x14ac:dyDescent="0.35">
      <c r="A459" s="118" t="s">
        <v>469</v>
      </c>
      <c r="B459" s="118"/>
      <c r="C459" s="118"/>
      <c r="D459" s="118"/>
      <c r="E459" s="118"/>
      <c r="F459" s="118"/>
      <c r="G459" s="118"/>
      <c r="H459" s="118"/>
      <c r="I459" s="87"/>
      <c r="L459" s="119"/>
      <c r="M459" s="119"/>
    </row>
    <row r="460" spans="1:14" s="114" customFormat="1" x14ac:dyDescent="0.35">
      <c r="A460" s="120">
        <v>1</v>
      </c>
      <c r="B460" s="120"/>
      <c r="C460" s="115" t="s">
        <v>477</v>
      </c>
      <c r="D460" s="97">
        <f>(158.7)*10.764</f>
        <v>1708.2467999999997</v>
      </c>
      <c r="E460" s="97">
        <f>(6.49*1.22+0.112*0.53+0.595*0.375)*10.764</f>
        <v>88.267867739999986</v>
      </c>
      <c r="F460" s="115">
        <f t="shared" ref="F460:F465" si="116">D460+E460</f>
        <v>1796.5146677399996</v>
      </c>
      <c r="G460" s="115">
        <v>0</v>
      </c>
      <c r="H460" s="115">
        <f t="shared" ref="H460:H465" si="117">F460*(($H$190)+1)+(IF(G460&lt;101,G460,IF(G460&lt;201,G460/2,IF(G460&lt;=301,G460/3,G460/4))))</f>
        <v>2784.5977349969994</v>
      </c>
      <c r="I460" s="32"/>
      <c r="J460" s="32"/>
      <c r="N460" s="32"/>
    </row>
    <row r="461" spans="1:14" s="114" customFormat="1" x14ac:dyDescent="0.35">
      <c r="A461" s="120">
        <f>A460+1</f>
        <v>2</v>
      </c>
      <c r="B461" s="120"/>
      <c r="C461" s="115" t="s">
        <v>477</v>
      </c>
      <c r="D461" s="97">
        <f>(158.78)*10.764</f>
        <v>1709.1079199999999</v>
      </c>
      <c r="E461" s="97">
        <f>(6.49*1.22+0.112*0.53+0.595*0.375)*10.764</f>
        <v>88.267867739999986</v>
      </c>
      <c r="F461" s="115">
        <f t="shared" si="116"/>
        <v>1797.3757877399999</v>
      </c>
      <c r="G461" s="115">
        <v>0</v>
      </c>
      <c r="H461" s="115">
        <f t="shared" si="117"/>
        <v>2785.9324709969997</v>
      </c>
      <c r="I461" s="32"/>
      <c r="J461" s="32"/>
      <c r="N461" s="32"/>
    </row>
    <row r="462" spans="1:14" s="114" customFormat="1" x14ac:dyDescent="0.35">
      <c r="A462" s="120">
        <f t="shared" ref="A462:A465" si="118">A461+1</f>
        <v>3</v>
      </c>
      <c r="B462" s="120"/>
      <c r="C462" s="115" t="s">
        <v>477</v>
      </c>
      <c r="D462" s="97">
        <f>(163.69)*10.764</f>
        <v>1761.9591599999999</v>
      </c>
      <c r="E462" s="97">
        <f>(6.465*1.83+0.112*1.325+0.645*1.115)*10.764</f>
        <v>136.6869231</v>
      </c>
      <c r="F462" s="115">
        <f t="shared" si="116"/>
        <v>1898.6460830999999</v>
      </c>
      <c r="G462" s="115">
        <v>0</v>
      </c>
      <c r="H462" s="115">
        <f t="shared" si="117"/>
        <v>2942.9014288049998</v>
      </c>
      <c r="I462" s="32"/>
      <c r="J462" s="32"/>
      <c r="N462" s="32"/>
    </row>
    <row r="463" spans="1:14" s="114" customFormat="1" x14ac:dyDescent="0.35">
      <c r="A463" s="120">
        <f t="shared" si="118"/>
        <v>4</v>
      </c>
      <c r="B463" s="120"/>
      <c r="C463" s="115" t="s">
        <v>477</v>
      </c>
      <c r="D463" s="97">
        <f>(162.98)*10.764</f>
        <v>1754.3167199999998</v>
      </c>
      <c r="E463" s="97">
        <f>(6.465*1.83+0.112*1.325+0.645*1.115)*10.764</f>
        <v>136.6869231</v>
      </c>
      <c r="F463" s="115">
        <f t="shared" si="116"/>
        <v>1891.0036430999999</v>
      </c>
      <c r="G463" s="115">
        <v>0</v>
      </c>
      <c r="H463" s="115">
        <f t="shared" si="117"/>
        <v>2931.0556468049999</v>
      </c>
      <c r="I463" s="32"/>
      <c r="J463" s="32"/>
      <c r="N463" s="32"/>
    </row>
    <row r="464" spans="1:14" s="114" customFormat="1" x14ac:dyDescent="0.35">
      <c r="A464" s="120">
        <f t="shared" si="118"/>
        <v>5</v>
      </c>
      <c r="B464" s="120"/>
      <c r="C464" s="115" t="s">
        <v>476</v>
      </c>
      <c r="D464" s="97">
        <f>(289.08)*10.764</f>
        <v>3111.6571199999998</v>
      </c>
      <c r="E464" s="97">
        <v>0</v>
      </c>
      <c r="F464" s="115">
        <f t="shared" si="116"/>
        <v>3111.6571199999998</v>
      </c>
      <c r="G464" s="115">
        <v>0</v>
      </c>
      <c r="H464" s="115">
        <f t="shared" si="117"/>
        <v>4823.0685359999998</v>
      </c>
      <c r="I464" s="32"/>
      <c r="J464" s="32"/>
      <c r="N464" s="32"/>
    </row>
    <row r="465" spans="1:14" s="114" customFormat="1" x14ac:dyDescent="0.35">
      <c r="A465" s="120">
        <f t="shared" si="118"/>
        <v>6</v>
      </c>
      <c r="B465" s="120"/>
      <c r="C465" s="115" t="s">
        <v>476</v>
      </c>
      <c r="D465" s="97">
        <f>(289.17)*10.764</f>
        <v>3112.6258800000001</v>
      </c>
      <c r="E465" s="97">
        <v>0</v>
      </c>
      <c r="F465" s="115">
        <f t="shared" si="116"/>
        <v>3112.6258800000001</v>
      </c>
      <c r="G465" s="115">
        <v>0</v>
      </c>
      <c r="H465" s="115">
        <f t="shared" si="117"/>
        <v>4824.5701140000001</v>
      </c>
      <c r="I465" s="32"/>
      <c r="J465" s="32"/>
      <c r="N465" s="32"/>
    </row>
    <row r="466" spans="1:14" s="114" customFormat="1" ht="16" customHeight="1" x14ac:dyDescent="0.35">
      <c r="A466" s="118" t="s">
        <v>489</v>
      </c>
      <c r="B466" s="118"/>
      <c r="C466" s="118"/>
      <c r="D466" s="118"/>
      <c r="E466" s="118"/>
      <c r="F466" s="118"/>
      <c r="G466" s="118"/>
      <c r="H466" s="118"/>
      <c r="I466" s="87"/>
      <c r="L466" s="119"/>
      <c r="M466" s="119"/>
    </row>
    <row r="467" spans="1:14" s="114" customFormat="1" x14ac:dyDescent="0.35">
      <c r="A467" s="120">
        <v>1</v>
      </c>
      <c r="B467" s="120"/>
      <c r="C467" s="115" t="s">
        <v>477</v>
      </c>
      <c r="D467" s="97">
        <f>(158.41)*10.764</f>
        <v>1705.1252399999998</v>
      </c>
      <c r="E467" s="97">
        <f>(6.49*1.22+0.112*0.53+0.595*0.375)*10.764</f>
        <v>88.267867739999986</v>
      </c>
      <c r="F467" s="115">
        <f t="shared" ref="F467:F472" si="119">D467+E467</f>
        <v>1793.3931077399998</v>
      </c>
      <c r="G467" s="115">
        <v>0</v>
      </c>
      <c r="H467" s="115">
        <f t="shared" ref="H467:H472" si="120">F467*(($H$190)+1)+(IF(G467&lt;101,G467,IF(G467&lt;201,G467/2,IF(G467&lt;=301,G467/3,G467/4))))</f>
        <v>2779.7593169969996</v>
      </c>
      <c r="I467" s="32"/>
      <c r="J467" s="32"/>
      <c r="N467" s="32"/>
    </row>
    <row r="468" spans="1:14" s="114" customFormat="1" x14ac:dyDescent="0.35">
      <c r="A468" s="120">
        <f>A467+1</f>
        <v>2</v>
      </c>
      <c r="B468" s="120"/>
      <c r="C468" s="115" t="s">
        <v>477</v>
      </c>
      <c r="D468" s="97">
        <f>(158.49)*10.764</f>
        <v>1705.9863600000001</v>
      </c>
      <c r="E468" s="97">
        <f>(6.49*1.22+0.112*0.53+0.595*0.375)*10.764</f>
        <v>88.267867739999986</v>
      </c>
      <c r="F468" s="115">
        <f t="shared" si="119"/>
        <v>1794.25422774</v>
      </c>
      <c r="G468" s="115">
        <v>0</v>
      </c>
      <c r="H468" s="115">
        <f t="shared" si="120"/>
        <v>2781.0940529970003</v>
      </c>
      <c r="I468" s="32"/>
      <c r="J468" s="32"/>
      <c r="N468" s="32"/>
    </row>
    <row r="469" spans="1:14" s="114" customFormat="1" x14ac:dyDescent="0.35">
      <c r="A469" s="120">
        <f t="shared" ref="A469:A472" si="121">A468+1</f>
        <v>3</v>
      </c>
      <c r="B469" s="120"/>
      <c r="C469" s="115" t="s">
        <v>477</v>
      </c>
      <c r="D469" s="97">
        <f>(163.69)*10.764</f>
        <v>1761.9591599999999</v>
      </c>
      <c r="E469" s="97">
        <f>(6.465*1.83+0.112*1.325+0.645*1.115)*10.764</f>
        <v>136.6869231</v>
      </c>
      <c r="F469" s="115">
        <f t="shared" si="119"/>
        <v>1898.6460830999999</v>
      </c>
      <c r="G469" s="115">
        <v>0</v>
      </c>
      <c r="H469" s="115">
        <f t="shared" si="120"/>
        <v>2942.9014288049998</v>
      </c>
      <c r="I469" s="32"/>
      <c r="J469" s="32"/>
      <c r="N469" s="32"/>
    </row>
    <row r="470" spans="1:14" s="114" customFormat="1" x14ac:dyDescent="0.35">
      <c r="A470" s="120">
        <f t="shared" si="121"/>
        <v>4</v>
      </c>
      <c r="B470" s="120"/>
      <c r="C470" s="115" t="s">
        <v>477</v>
      </c>
      <c r="D470" s="97">
        <f>(162.98)*10.764</f>
        <v>1754.3167199999998</v>
      </c>
      <c r="E470" s="97">
        <f>(6.465*1.83+0.112*1.325+0.645*1.115)*10.764</f>
        <v>136.6869231</v>
      </c>
      <c r="F470" s="115">
        <f t="shared" si="119"/>
        <v>1891.0036430999999</v>
      </c>
      <c r="G470" s="115">
        <v>0</v>
      </c>
      <c r="H470" s="115">
        <f t="shared" si="120"/>
        <v>2931.0556468049999</v>
      </c>
      <c r="I470" s="32"/>
      <c r="J470" s="32"/>
      <c r="N470" s="32"/>
    </row>
    <row r="471" spans="1:14" s="114" customFormat="1" x14ac:dyDescent="0.35">
      <c r="A471" s="120">
        <f t="shared" si="121"/>
        <v>5</v>
      </c>
      <c r="B471" s="120"/>
      <c r="C471" s="115" t="s">
        <v>476</v>
      </c>
      <c r="D471" s="97">
        <f>(289.08)*10.764</f>
        <v>3111.6571199999998</v>
      </c>
      <c r="E471" s="97">
        <v>0</v>
      </c>
      <c r="F471" s="115">
        <f t="shared" si="119"/>
        <v>3111.6571199999998</v>
      </c>
      <c r="G471" s="115">
        <v>0</v>
      </c>
      <c r="H471" s="115">
        <f t="shared" si="120"/>
        <v>4823.0685359999998</v>
      </c>
      <c r="I471" s="32"/>
      <c r="J471" s="32"/>
      <c r="N471" s="32"/>
    </row>
    <row r="472" spans="1:14" s="114" customFormat="1" x14ac:dyDescent="0.35">
      <c r="A472" s="120">
        <f t="shared" si="121"/>
        <v>6</v>
      </c>
      <c r="B472" s="120"/>
      <c r="C472" s="115" t="s">
        <v>476</v>
      </c>
      <c r="D472" s="97">
        <f>(289.17)*10.764</f>
        <v>3112.6258800000001</v>
      </c>
      <c r="E472" s="97">
        <v>0</v>
      </c>
      <c r="F472" s="115">
        <f t="shared" si="119"/>
        <v>3112.6258800000001</v>
      </c>
      <c r="G472" s="115">
        <v>0</v>
      </c>
      <c r="H472" s="115">
        <f t="shared" si="120"/>
        <v>4824.5701140000001</v>
      </c>
      <c r="I472" s="32"/>
      <c r="J472" s="32"/>
      <c r="N472" s="32"/>
    </row>
    <row r="473" spans="1:14" s="114" customFormat="1" ht="16" customHeight="1" x14ac:dyDescent="0.35">
      <c r="A473" s="118" t="s">
        <v>490</v>
      </c>
      <c r="B473" s="118"/>
      <c r="C473" s="118"/>
      <c r="D473" s="118"/>
      <c r="E473" s="118"/>
      <c r="F473" s="118"/>
      <c r="G473" s="118"/>
      <c r="H473" s="118"/>
      <c r="I473" s="87"/>
      <c r="L473" s="119"/>
      <c r="M473" s="119"/>
    </row>
    <row r="474" spans="1:14" s="114" customFormat="1" x14ac:dyDescent="0.35">
      <c r="A474" s="120">
        <v>1</v>
      </c>
      <c r="B474" s="120"/>
      <c r="C474" s="121" t="s">
        <v>438</v>
      </c>
      <c r="D474" s="122"/>
      <c r="E474" s="122"/>
      <c r="F474" s="122"/>
      <c r="G474" s="122"/>
      <c r="H474" s="123"/>
      <c r="I474" s="32"/>
      <c r="J474" s="32"/>
      <c r="N474" s="32"/>
    </row>
    <row r="475" spans="1:14" s="114" customFormat="1" x14ac:dyDescent="0.35">
      <c r="A475" s="120">
        <f>A474+1</f>
        <v>2</v>
      </c>
      <c r="B475" s="120"/>
      <c r="C475" s="127"/>
      <c r="D475" s="128"/>
      <c r="E475" s="128"/>
      <c r="F475" s="128"/>
      <c r="G475" s="128"/>
      <c r="H475" s="129"/>
      <c r="I475" s="32"/>
      <c r="J475" s="32"/>
      <c r="N475" s="32"/>
    </row>
    <row r="476" spans="1:14" s="114" customFormat="1" x14ac:dyDescent="0.35">
      <c r="A476" s="120">
        <f t="shared" ref="A476:A479" si="122">A475+1</f>
        <v>3</v>
      </c>
      <c r="B476" s="120"/>
      <c r="C476" s="115" t="s">
        <v>477</v>
      </c>
      <c r="D476" s="97">
        <f>(163.69)*10.764</f>
        <v>1761.9591599999999</v>
      </c>
      <c r="E476" s="97">
        <f>(6.465*1.83+0.112*1.325+0.645*1.115)*10.764</f>
        <v>136.6869231</v>
      </c>
      <c r="F476" s="115">
        <f t="shared" ref="F476:F479" si="123">D476+E476</f>
        <v>1898.6460830999999</v>
      </c>
      <c r="G476" s="115">
        <v>0</v>
      </c>
      <c r="H476" s="115">
        <f t="shared" ref="H476:H479" si="124">F476*(($H$190)+1)+(IF(G476&lt;101,G476,IF(G476&lt;201,G476/2,IF(G476&lt;=301,G476/3,G476/4))))</f>
        <v>2942.9014288049998</v>
      </c>
      <c r="I476" s="32"/>
      <c r="J476" s="32"/>
      <c r="N476" s="32"/>
    </row>
    <row r="477" spans="1:14" s="114" customFormat="1" x14ac:dyDescent="0.35">
      <c r="A477" s="120">
        <f t="shared" si="122"/>
        <v>4</v>
      </c>
      <c r="B477" s="120"/>
      <c r="C477" s="115" t="s">
        <v>477</v>
      </c>
      <c r="D477" s="97">
        <f>(162.98)*10.764</f>
        <v>1754.3167199999998</v>
      </c>
      <c r="E477" s="97">
        <f>(6.465*1.83+0.112*1.325+0.645*1.115)*10.764</f>
        <v>136.6869231</v>
      </c>
      <c r="F477" s="115">
        <f t="shared" si="123"/>
        <v>1891.0036430999999</v>
      </c>
      <c r="G477" s="115">
        <v>0</v>
      </c>
      <c r="H477" s="115">
        <f t="shared" si="124"/>
        <v>2931.0556468049999</v>
      </c>
      <c r="I477" s="32"/>
      <c r="J477" s="32"/>
      <c r="N477" s="32"/>
    </row>
    <row r="478" spans="1:14" s="114" customFormat="1" x14ac:dyDescent="0.35">
      <c r="A478" s="120">
        <f t="shared" si="122"/>
        <v>5</v>
      </c>
      <c r="B478" s="120"/>
      <c r="C478" s="115" t="s">
        <v>476</v>
      </c>
      <c r="D478" s="97">
        <f>(289.08)*10.764</f>
        <v>3111.6571199999998</v>
      </c>
      <c r="E478" s="97">
        <v>0</v>
      </c>
      <c r="F478" s="115">
        <f t="shared" si="123"/>
        <v>3111.6571199999998</v>
      </c>
      <c r="G478" s="115">
        <v>0</v>
      </c>
      <c r="H478" s="115">
        <f t="shared" si="124"/>
        <v>4823.0685359999998</v>
      </c>
      <c r="I478" s="32"/>
      <c r="J478" s="32"/>
      <c r="N478" s="32"/>
    </row>
    <row r="479" spans="1:14" s="114" customFormat="1" x14ac:dyDescent="0.35">
      <c r="A479" s="120">
        <f t="shared" si="122"/>
        <v>6</v>
      </c>
      <c r="B479" s="120"/>
      <c r="C479" s="115" t="s">
        <v>476</v>
      </c>
      <c r="D479" s="97">
        <f>(289.17)*10.764</f>
        <v>3112.6258800000001</v>
      </c>
      <c r="E479" s="97">
        <v>0</v>
      </c>
      <c r="F479" s="115">
        <f t="shared" si="123"/>
        <v>3112.6258800000001</v>
      </c>
      <c r="G479" s="115">
        <v>0</v>
      </c>
      <c r="H479" s="115">
        <f t="shared" si="124"/>
        <v>4824.5701140000001</v>
      </c>
      <c r="I479" s="32"/>
      <c r="J479" s="32"/>
      <c r="N479" s="32"/>
    </row>
    <row r="480" spans="1:14" s="114" customFormat="1" ht="16" customHeight="1" x14ac:dyDescent="0.35">
      <c r="A480" s="118" t="s">
        <v>443</v>
      </c>
      <c r="B480" s="118"/>
      <c r="C480" s="118"/>
      <c r="D480" s="118"/>
      <c r="E480" s="118"/>
      <c r="F480" s="118"/>
      <c r="G480" s="118"/>
      <c r="H480" s="118"/>
      <c r="I480" s="87"/>
      <c r="L480" s="119"/>
      <c r="M480" s="119"/>
    </row>
    <row r="481" spans="1:14" s="114" customFormat="1" x14ac:dyDescent="0.35">
      <c r="A481" s="120">
        <v>1</v>
      </c>
      <c r="B481" s="120"/>
      <c r="C481" s="115" t="s">
        <v>477</v>
      </c>
      <c r="D481" s="97">
        <f>(158.41)*10.764</f>
        <v>1705.1252399999998</v>
      </c>
      <c r="E481" s="97">
        <f>(6.49*1.22+0.112*0.53+0.595*0.375)*10.764</f>
        <v>88.267867739999986</v>
      </c>
      <c r="F481" s="115">
        <f t="shared" ref="F481:F486" si="125">D481+E481</f>
        <v>1793.3931077399998</v>
      </c>
      <c r="G481" s="115">
        <v>0</v>
      </c>
      <c r="H481" s="115">
        <f t="shared" ref="H481:H486" si="126">F481*(($H$190)+1)+(IF(G481&lt;101,G481,IF(G481&lt;201,G481/2,IF(G481&lt;=301,G481/3,G481/4))))</f>
        <v>2779.7593169969996</v>
      </c>
      <c r="I481" s="32"/>
      <c r="J481" s="32"/>
      <c r="N481" s="32"/>
    </row>
    <row r="482" spans="1:14" s="114" customFormat="1" x14ac:dyDescent="0.35">
      <c r="A482" s="120">
        <f>A481+1</f>
        <v>2</v>
      </c>
      <c r="B482" s="120"/>
      <c r="C482" s="115" t="s">
        <v>477</v>
      </c>
      <c r="D482" s="97">
        <f>(158.49)*10.764</f>
        <v>1705.9863600000001</v>
      </c>
      <c r="E482" s="97">
        <f>(6.49*1.22+0.112*0.53+0.595*0.375)*10.764</f>
        <v>88.267867739999986</v>
      </c>
      <c r="F482" s="115">
        <f t="shared" si="125"/>
        <v>1794.25422774</v>
      </c>
      <c r="G482" s="115">
        <v>0</v>
      </c>
      <c r="H482" s="115">
        <f t="shared" si="126"/>
        <v>2781.0940529970003</v>
      </c>
      <c r="I482" s="32"/>
      <c r="J482" s="32"/>
      <c r="N482" s="32"/>
    </row>
    <row r="483" spans="1:14" s="114" customFormat="1" x14ac:dyDescent="0.35">
      <c r="A483" s="120">
        <f t="shared" ref="A483:A486" si="127">A482+1</f>
        <v>3</v>
      </c>
      <c r="B483" s="120"/>
      <c r="C483" s="115" t="s">
        <v>477</v>
      </c>
      <c r="D483" s="97">
        <f>(163.69)*10.764</f>
        <v>1761.9591599999999</v>
      </c>
      <c r="E483" s="97">
        <f>(6.465*1.83+0.112*1.325+0.645*1.115)*10.764</f>
        <v>136.6869231</v>
      </c>
      <c r="F483" s="115">
        <f t="shared" si="125"/>
        <v>1898.6460830999999</v>
      </c>
      <c r="G483" s="115">
        <v>0</v>
      </c>
      <c r="H483" s="115">
        <f t="shared" si="126"/>
        <v>2942.9014288049998</v>
      </c>
      <c r="I483" s="32"/>
      <c r="J483" s="32"/>
      <c r="N483" s="32"/>
    </row>
    <row r="484" spans="1:14" s="114" customFormat="1" x14ac:dyDescent="0.35">
      <c r="A484" s="120">
        <f t="shared" si="127"/>
        <v>4</v>
      </c>
      <c r="B484" s="120"/>
      <c r="C484" s="115" t="s">
        <v>477</v>
      </c>
      <c r="D484" s="97">
        <f>(162.98)*10.764</f>
        <v>1754.3167199999998</v>
      </c>
      <c r="E484" s="97">
        <f>(6.465*1.83+0.112*1.325+0.645*1.115)*10.764</f>
        <v>136.6869231</v>
      </c>
      <c r="F484" s="115">
        <f t="shared" si="125"/>
        <v>1891.0036430999999</v>
      </c>
      <c r="G484" s="115">
        <v>0</v>
      </c>
      <c r="H484" s="115">
        <f t="shared" si="126"/>
        <v>2931.0556468049999</v>
      </c>
      <c r="I484" s="32"/>
      <c r="J484" s="32"/>
      <c r="N484" s="32"/>
    </row>
    <row r="485" spans="1:14" s="114" customFormat="1" x14ac:dyDescent="0.35">
      <c r="A485" s="120">
        <f t="shared" si="127"/>
        <v>5</v>
      </c>
      <c r="B485" s="120"/>
      <c r="C485" s="115" t="s">
        <v>476</v>
      </c>
      <c r="D485" s="97">
        <f>(289.08)*10.764</f>
        <v>3111.6571199999998</v>
      </c>
      <c r="E485" s="97">
        <v>0</v>
      </c>
      <c r="F485" s="115">
        <f t="shared" si="125"/>
        <v>3111.6571199999998</v>
      </c>
      <c r="G485" s="115">
        <v>0</v>
      </c>
      <c r="H485" s="115">
        <f t="shared" si="126"/>
        <v>4823.0685359999998</v>
      </c>
      <c r="I485" s="32"/>
      <c r="J485" s="32"/>
      <c r="N485" s="32"/>
    </row>
    <row r="486" spans="1:14" s="114" customFormat="1" x14ac:dyDescent="0.35">
      <c r="A486" s="120">
        <f t="shared" si="127"/>
        <v>6</v>
      </c>
      <c r="B486" s="120"/>
      <c r="C486" s="115" t="s">
        <v>476</v>
      </c>
      <c r="D486" s="97">
        <f>(289.17)*10.764</f>
        <v>3112.6258800000001</v>
      </c>
      <c r="E486" s="97">
        <v>0</v>
      </c>
      <c r="F486" s="115">
        <f t="shared" si="125"/>
        <v>3112.6258800000001</v>
      </c>
      <c r="G486" s="115">
        <v>0</v>
      </c>
      <c r="H486" s="115">
        <f t="shared" si="126"/>
        <v>4824.5701140000001</v>
      </c>
      <c r="I486" s="32"/>
      <c r="J486" s="32"/>
      <c r="N486" s="32"/>
    </row>
    <row r="487" spans="1:14" s="114" customFormat="1" ht="16" customHeight="1" x14ac:dyDescent="0.35">
      <c r="A487" s="118" t="s">
        <v>444</v>
      </c>
      <c r="B487" s="118"/>
      <c r="C487" s="118"/>
      <c r="D487" s="118"/>
      <c r="E487" s="118"/>
      <c r="F487" s="118"/>
      <c r="G487" s="118"/>
      <c r="H487" s="118"/>
      <c r="I487" s="87"/>
      <c r="L487" s="119"/>
      <c r="M487" s="119"/>
    </row>
    <row r="488" spans="1:14" s="114" customFormat="1" x14ac:dyDescent="0.35">
      <c r="A488" s="120">
        <v>1</v>
      </c>
      <c r="B488" s="120"/>
      <c r="C488" s="115" t="s">
        <v>477</v>
      </c>
      <c r="D488" s="97">
        <f>(158.41)*10.764</f>
        <v>1705.1252399999998</v>
      </c>
      <c r="E488" s="97">
        <f>(6.49*1.22+0.112*0.53+0.595*0.375)*10.764</f>
        <v>88.267867739999986</v>
      </c>
      <c r="F488" s="115">
        <f t="shared" ref="F488:F493" si="128">D488+E488</f>
        <v>1793.3931077399998</v>
      </c>
      <c r="G488" s="115">
        <v>0</v>
      </c>
      <c r="H488" s="115">
        <f t="shared" ref="H488:H493" si="129">F488*(($H$190)+1)+(IF(G488&lt;101,G488,IF(G488&lt;201,G488/2,IF(G488&lt;=301,G488/3,G488/4))))</f>
        <v>2779.7593169969996</v>
      </c>
      <c r="I488" s="32"/>
      <c r="J488" s="32"/>
      <c r="N488" s="32"/>
    </row>
    <row r="489" spans="1:14" s="114" customFormat="1" x14ac:dyDescent="0.35">
      <c r="A489" s="120">
        <f>A488+1</f>
        <v>2</v>
      </c>
      <c r="B489" s="120"/>
      <c r="C489" s="115" t="s">
        <v>477</v>
      </c>
      <c r="D489" s="97">
        <f>(158.49)*10.764</f>
        <v>1705.9863600000001</v>
      </c>
      <c r="E489" s="97">
        <f>(6.49*1.22+0.112*0.53+0.595*0.375)*10.764</f>
        <v>88.267867739999986</v>
      </c>
      <c r="F489" s="115">
        <f t="shared" si="128"/>
        <v>1794.25422774</v>
      </c>
      <c r="G489" s="115">
        <v>0</v>
      </c>
      <c r="H489" s="115">
        <f t="shared" si="129"/>
        <v>2781.0940529970003</v>
      </c>
      <c r="I489" s="32"/>
      <c r="J489" s="32"/>
      <c r="N489" s="32"/>
    </row>
    <row r="490" spans="1:14" s="114" customFormat="1" x14ac:dyDescent="0.35">
      <c r="A490" s="120">
        <f t="shared" ref="A490:A493" si="130">A489+1</f>
        <v>3</v>
      </c>
      <c r="B490" s="120"/>
      <c r="C490" s="115" t="s">
        <v>477</v>
      </c>
      <c r="D490" s="97">
        <f>(163.69)*10.764</f>
        <v>1761.9591599999999</v>
      </c>
      <c r="E490" s="97">
        <f>(6.465*1.83+0.112*1.325+0.645*1.115)*10.764</f>
        <v>136.6869231</v>
      </c>
      <c r="F490" s="115">
        <f t="shared" si="128"/>
        <v>1898.6460830999999</v>
      </c>
      <c r="G490" s="115">
        <v>0</v>
      </c>
      <c r="H490" s="115">
        <f t="shared" si="129"/>
        <v>2942.9014288049998</v>
      </c>
      <c r="I490" s="32"/>
      <c r="J490" s="32"/>
      <c r="N490" s="32"/>
    </row>
    <row r="491" spans="1:14" s="114" customFormat="1" x14ac:dyDescent="0.35">
      <c r="A491" s="120">
        <f t="shared" si="130"/>
        <v>4</v>
      </c>
      <c r="B491" s="120"/>
      <c r="C491" s="115" t="s">
        <v>477</v>
      </c>
      <c r="D491" s="97">
        <f>(162.98)*10.764</f>
        <v>1754.3167199999998</v>
      </c>
      <c r="E491" s="97">
        <f>(6.465*1.83+0.112*1.325+0.645*1.115)*10.764</f>
        <v>136.6869231</v>
      </c>
      <c r="F491" s="115">
        <f t="shared" si="128"/>
        <v>1891.0036430999999</v>
      </c>
      <c r="G491" s="115">
        <v>0</v>
      </c>
      <c r="H491" s="115">
        <f t="shared" si="129"/>
        <v>2931.0556468049999</v>
      </c>
      <c r="I491" s="32"/>
      <c r="J491" s="32"/>
      <c r="N491" s="32"/>
    </row>
    <row r="492" spans="1:14" s="114" customFormat="1" x14ac:dyDescent="0.35">
      <c r="A492" s="120">
        <f t="shared" si="130"/>
        <v>5</v>
      </c>
      <c r="B492" s="120"/>
      <c r="C492" s="115" t="s">
        <v>476</v>
      </c>
      <c r="D492" s="97">
        <f>(289.08)*10.764</f>
        <v>3111.6571199999998</v>
      </c>
      <c r="E492" s="97">
        <v>0</v>
      </c>
      <c r="F492" s="115">
        <f t="shared" si="128"/>
        <v>3111.6571199999998</v>
      </c>
      <c r="G492" s="115">
        <v>0</v>
      </c>
      <c r="H492" s="115">
        <f t="shared" si="129"/>
        <v>4823.0685359999998</v>
      </c>
      <c r="I492" s="32"/>
      <c r="J492" s="32"/>
      <c r="N492" s="32"/>
    </row>
    <row r="493" spans="1:14" s="114" customFormat="1" x14ac:dyDescent="0.35">
      <c r="A493" s="120">
        <f t="shared" si="130"/>
        <v>6</v>
      </c>
      <c r="B493" s="120"/>
      <c r="C493" s="115" t="s">
        <v>476</v>
      </c>
      <c r="D493" s="97">
        <f>(289.17)*10.764</f>
        <v>3112.6258800000001</v>
      </c>
      <c r="E493" s="97">
        <v>0</v>
      </c>
      <c r="F493" s="115">
        <f t="shared" si="128"/>
        <v>3112.6258800000001</v>
      </c>
      <c r="G493" s="115">
        <v>0</v>
      </c>
      <c r="H493" s="115">
        <f t="shared" si="129"/>
        <v>4824.5701140000001</v>
      </c>
      <c r="I493" s="32"/>
      <c r="J493" s="32"/>
      <c r="N493" s="32"/>
    </row>
    <row r="494" spans="1:14" s="114" customFormat="1" ht="16" customHeight="1" x14ac:dyDescent="0.35">
      <c r="A494" s="118" t="s">
        <v>491</v>
      </c>
      <c r="B494" s="118"/>
      <c r="C494" s="118"/>
      <c r="D494" s="118"/>
      <c r="E494" s="118"/>
      <c r="F494" s="118"/>
      <c r="G494" s="118"/>
      <c r="H494" s="118"/>
      <c r="I494" s="87"/>
      <c r="L494" s="119"/>
      <c r="M494" s="119"/>
    </row>
    <row r="495" spans="1:14" s="114" customFormat="1" x14ac:dyDescent="0.35">
      <c r="A495" s="120">
        <v>1</v>
      </c>
      <c r="B495" s="120"/>
      <c r="C495" s="115" t="s">
        <v>477</v>
      </c>
      <c r="D495" s="97">
        <f>(158.41)*10.764</f>
        <v>1705.1252399999998</v>
      </c>
      <c r="E495" s="97">
        <f>(6.49*1.22+0.112*0.53+0.595*0.375)*10.764</f>
        <v>88.267867739999986</v>
      </c>
      <c r="F495" s="115">
        <f t="shared" ref="F495:F500" si="131">D495+E495</f>
        <v>1793.3931077399998</v>
      </c>
      <c r="G495" s="115">
        <v>0</v>
      </c>
      <c r="H495" s="115">
        <f t="shared" ref="H495:H500" si="132">F495*(($H$190)+1)+(IF(G495&lt;101,G495,IF(G495&lt;201,G495/2,IF(G495&lt;=301,G495/3,G495/4))))</f>
        <v>2779.7593169969996</v>
      </c>
      <c r="I495" s="32"/>
      <c r="J495" s="32"/>
      <c r="N495" s="32"/>
    </row>
    <row r="496" spans="1:14" s="114" customFormat="1" x14ac:dyDescent="0.35">
      <c r="A496" s="120">
        <f>A495+1</f>
        <v>2</v>
      </c>
      <c r="B496" s="120"/>
      <c r="C496" s="115" t="s">
        <v>477</v>
      </c>
      <c r="D496" s="97">
        <f>(158.49)*10.764</f>
        <v>1705.9863600000001</v>
      </c>
      <c r="E496" s="97">
        <f>(6.49*1.22+0.112*0.53+0.595*0.375)*10.764</f>
        <v>88.267867739999986</v>
      </c>
      <c r="F496" s="115">
        <f t="shared" si="131"/>
        <v>1794.25422774</v>
      </c>
      <c r="G496" s="115">
        <v>0</v>
      </c>
      <c r="H496" s="115">
        <f t="shared" si="132"/>
        <v>2781.0940529970003</v>
      </c>
      <c r="I496" s="32"/>
      <c r="J496" s="32"/>
      <c r="N496" s="32"/>
    </row>
    <row r="497" spans="1:14" s="114" customFormat="1" x14ac:dyDescent="0.35">
      <c r="A497" s="120">
        <f t="shared" ref="A497:A500" si="133">A496+1</f>
        <v>3</v>
      </c>
      <c r="B497" s="120"/>
      <c r="C497" s="115" t="s">
        <v>477</v>
      </c>
      <c r="D497" s="97">
        <f>(163.69)*10.764</f>
        <v>1761.9591599999999</v>
      </c>
      <c r="E497" s="97">
        <f>(6.465*1.83+0.112*1.325+0.645*1.115)*10.764</f>
        <v>136.6869231</v>
      </c>
      <c r="F497" s="115">
        <f t="shared" si="131"/>
        <v>1898.6460830999999</v>
      </c>
      <c r="G497" s="115">
        <v>0</v>
      </c>
      <c r="H497" s="115">
        <f t="shared" si="132"/>
        <v>2942.9014288049998</v>
      </c>
      <c r="I497" s="32"/>
      <c r="J497" s="32"/>
      <c r="N497" s="32"/>
    </row>
    <row r="498" spans="1:14" s="114" customFormat="1" x14ac:dyDescent="0.35">
      <c r="A498" s="120">
        <f t="shared" si="133"/>
        <v>4</v>
      </c>
      <c r="B498" s="120"/>
      <c r="C498" s="115" t="s">
        <v>477</v>
      </c>
      <c r="D498" s="97">
        <f>(162.98)*10.764</f>
        <v>1754.3167199999998</v>
      </c>
      <c r="E498" s="97">
        <f>(6.465*1.83+0.112*1.325+0.645*1.115)*10.764</f>
        <v>136.6869231</v>
      </c>
      <c r="F498" s="115">
        <f t="shared" si="131"/>
        <v>1891.0036430999999</v>
      </c>
      <c r="G498" s="115">
        <v>0</v>
      </c>
      <c r="H498" s="115">
        <f t="shared" si="132"/>
        <v>2931.0556468049999</v>
      </c>
      <c r="I498" s="32"/>
      <c r="J498" s="32"/>
      <c r="N498" s="32"/>
    </row>
    <row r="499" spans="1:14" s="114" customFormat="1" x14ac:dyDescent="0.35">
      <c r="A499" s="120">
        <f t="shared" si="133"/>
        <v>5</v>
      </c>
      <c r="B499" s="120"/>
      <c r="C499" s="115" t="s">
        <v>476</v>
      </c>
      <c r="D499" s="97">
        <v>3504.4354799999996</v>
      </c>
      <c r="E499" s="97">
        <v>0</v>
      </c>
      <c r="F499" s="115">
        <f t="shared" si="131"/>
        <v>3504.4354799999996</v>
      </c>
      <c r="G499" s="115">
        <v>0</v>
      </c>
      <c r="H499" s="115">
        <f t="shared" si="132"/>
        <v>5431.8749939999998</v>
      </c>
      <c r="I499" s="32"/>
      <c r="J499" s="32"/>
      <c r="N499" s="32"/>
    </row>
    <row r="500" spans="1:14" s="114" customFormat="1" x14ac:dyDescent="0.35">
      <c r="A500" s="120">
        <f t="shared" si="133"/>
        <v>6</v>
      </c>
      <c r="B500" s="120"/>
      <c r="C500" s="115" t="s">
        <v>476</v>
      </c>
      <c r="D500" s="97">
        <f>(289.17)*10.764</f>
        <v>3112.6258800000001</v>
      </c>
      <c r="E500" s="97">
        <v>0</v>
      </c>
      <c r="F500" s="115">
        <f t="shared" si="131"/>
        <v>3112.6258800000001</v>
      </c>
      <c r="G500" s="115">
        <v>0</v>
      </c>
      <c r="H500" s="115">
        <f t="shared" si="132"/>
        <v>4824.5701140000001</v>
      </c>
      <c r="I500" s="32"/>
      <c r="J500" s="32"/>
      <c r="N500" s="32"/>
    </row>
    <row r="501" spans="1:14" s="114" customFormat="1" ht="16" customHeight="1" x14ac:dyDescent="0.35">
      <c r="A501" s="118" t="s">
        <v>446</v>
      </c>
      <c r="B501" s="118"/>
      <c r="C501" s="118"/>
      <c r="D501" s="118"/>
      <c r="E501" s="118"/>
      <c r="F501" s="118"/>
      <c r="G501" s="118"/>
      <c r="H501" s="118"/>
      <c r="I501" s="87"/>
      <c r="L501" s="119"/>
      <c r="M501" s="119"/>
    </row>
    <row r="502" spans="1:14" s="114" customFormat="1" x14ac:dyDescent="0.35">
      <c r="A502" s="120">
        <v>1</v>
      </c>
      <c r="B502" s="120"/>
      <c r="C502" s="121" t="s">
        <v>438</v>
      </c>
      <c r="D502" s="122"/>
      <c r="E502" s="122"/>
      <c r="F502" s="122"/>
      <c r="G502" s="122"/>
      <c r="H502" s="123"/>
      <c r="I502" s="32"/>
      <c r="J502" s="32"/>
      <c r="N502" s="32"/>
    </row>
    <row r="503" spans="1:14" s="114" customFormat="1" x14ac:dyDescent="0.35">
      <c r="A503" s="120">
        <f>A502+1</f>
        <v>2</v>
      </c>
      <c r="B503" s="120"/>
      <c r="C503" s="127"/>
      <c r="D503" s="128"/>
      <c r="E503" s="128"/>
      <c r="F503" s="128"/>
      <c r="G503" s="128"/>
      <c r="H503" s="129"/>
      <c r="I503" s="32"/>
      <c r="J503" s="32"/>
      <c r="N503" s="32"/>
    </row>
    <row r="504" spans="1:14" s="114" customFormat="1" x14ac:dyDescent="0.35">
      <c r="A504" s="120">
        <f t="shared" ref="A504:A507" si="134">A503+1</f>
        <v>3</v>
      </c>
      <c r="B504" s="120"/>
      <c r="C504" s="115" t="s">
        <v>477</v>
      </c>
      <c r="D504" s="97">
        <f>(163.69)*10.764</f>
        <v>1761.9591599999999</v>
      </c>
      <c r="E504" s="97">
        <f>(6.465*1.83+0.112*1.325+0.645*1.115)*10.764</f>
        <v>136.6869231</v>
      </c>
      <c r="F504" s="115">
        <f t="shared" ref="F504:F507" si="135">D504+E504</f>
        <v>1898.6460830999999</v>
      </c>
      <c r="G504" s="115">
        <v>0</v>
      </c>
      <c r="H504" s="115">
        <f t="shared" ref="H504:H507" si="136">F504*(($H$190)+1)+(IF(G504&lt;101,G504,IF(G504&lt;201,G504/2,IF(G504&lt;=301,G504/3,G504/4))))</f>
        <v>2942.9014288049998</v>
      </c>
      <c r="I504" s="32"/>
      <c r="J504" s="32"/>
      <c r="N504" s="32"/>
    </row>
    <row r="505" spans="1:14" s="114" customFormat="1" x14ac:dyDescent="0.35">
      <c r="A505" s="120">
        <f t="shared" si="134"/>
        <v>4</v>
      </c>
      <c r="B505" s="120"/>
      <c r="C505" s="115" t="s">
        <v>477</v>
      </c>
      <c r="D505" s="97">
        <f>(162.98)*10.764</f>
        <v>1754.3167199999998</v>
      </c>
      <c r="E505" s="97">
        <f>(6.465*1.83+0.112*1.325+0.645*1.115)*10.764</f>
        <v>136.6869231</v>
      </c>
      <c r="F505" s="115">
        <f t="shared" si="135"/>
        <v>1891.0036430999999</v>
      </c>
      <c r="G505" s="115">
        <v>0</v>
      </c>
      <c r="H505" s="115">
        <f t="shared" si="136"/>
        <v>2931.0556468049999</v>
      </c>
      <c r="I505" s="32"/>
      <c r="J505" s="32"/>
      <c r="N505" s="32"/>
    </row>
    <row r="506" spans="1:14" s="114" customFormat="1" x14ac:dyDescent="0.35">
      <c r="A506" s="120">
        <f t="shared" si="134"/>
        <v>5</v>
      </c>
      <c r="B506" s="120"/>
      <c r="C506" s="115" t="s">
        <v>476</v>
      </c>
      <c r="D506" s="97">
        <v>3504.4354799999996</v>
      </c>
      <c r="E506" s="97">
        <v>0</v>
      </c>
      <c r="F506" s="115">
        <f t="shared" si="135"/>
        <v>3504.4354799999996</v>
      </c>
      <c r="G506" s="115">
        <v>0</v>
      </c>
      <c r="H506" s="115">
        <f t="shared" si="136"/>
        <v>5431.8749939999998</v>
      </c>
      <c r="I506" s="32"/>
      <c r="J506" s="32"/>
      <c r="N506" s="32"/>
    </row>
    <row r="507" spans="1:14" s="114" customFormat="1" x14ac:dyDescent="0.35">
      <c r="A507" s="120">
        <f t="shared" si="134"/>
        <v>6</v>
      </c>
      <c r="B507" s="120"/>
      <c r="C507" s="115" t="s">
        <v>476</v>
      </c>
      <c r="D507" s="97">
        <f>(289.17)*10.764</f>
        <v>3112.6258800000001</v>
      </c>
      <c r="E507" s="97">
        <v>0</v>
      </c>
      <c r="F507" s="115">
        <f t="shared" si="135"/>
        <v>3112.6258800000001</v>
      </c>
      <c r="G507" s="115">
        <v>0</v>
      </c>
      <c r="H507" s="115">
        <f t="shared" si="136"/>
        <v>4824.5701140000001</v>
      </c>
      <c r="I507" s="32"/>
      <c r="J507" s="32"/>
      <c r="N507" s="32"/>
    </row>
    <row r="508" spans="1:14" s="114" customFormat="1" ht="16" customHeight="1" x14ac:dyDescent="0.35">
      <c r="A508" s="118" t="s">
        <v>492</v>
      </c>
      <c r="B508" s="118"/>
      <c r="C508" s="118"/>
      <c r="D508" s="118"/>
      <c r="E508" s="118"/>
      <c r="F508" s="118"/>
      <c r="G508" s="118"/>
      <c r="H508" s="118"/>
      <c r="I508" s="87"/>
      <c r="L508" s="119"/>
      <c r="M508" s="119"/>
    </row>
    <row r="509" spans="1:14" s="114" customFormat="1" x14ac:dyDescent="0.35">
      <c r="A509" s="120">
        <v>1</v>
      </c>
      <c r="B509" s="120"/>
      <c r="C509" s="115" t="s">
        <v>477</v>
      </c>
      <c r="D509" s="97">
        <f>(159.02)*10.764</f>
        <v>1711.69128</v>
      </c>
      <c r="E509" s="97">
        <f>(6.49*1.22+0.112*0.53+0.595*0.375)*10.764</f>
        <v>88.267867739999986</v>
      </c>
      <c r="F509" s="115">
        <f t="shared" ref="F509:F514" si="137">D509+E509</f>
        <v>1799.9591477399999</v>
      </c>
      <c r="G509" s="115">
        <v>0</v>
      </c>
      <c r="H509" s="115">
        <f t="shared" ref="H509:H514" si="138">F509*(($H$190)+1)+(IF(G509&lt;101,G509,IF(G509&lt;201,G509/2,IF(G509&lt;=301,G509/3,G509/4))))</f>
        <v>2789.9366789969999</v>
      </c>
      <c r="I509" s="32"/>
      <c r="J509" s="32"/>
      <c r="N509" s="32"/>
    </row>
    <row r="510" spans="1:14" s="114" customFormat="1" x14ac:dyDescent="0.35">
      <c r="A510" s="120">
        <f>A509+1</f>
        <v>2</v>
      </c>
      <c r="B510" s="120"/>
      <c r="C510" s="115" t="s">
        <v>477</v>
      </c>
      <c r="D510" s="97">
        <f>(159.1)*10.764</f>
        <v>1712.5523999999998</v>
      </c>
      <c r="E510" s="97">
        <f>(6.49*1.22+0.112*0.53+0.595*0.375)*10.764</f>
        <v>88.267867739999986</v>
      </c>
      <c r="F510" s="115">
        <f t="shared" si="137"/>
        <v>1800.8202677399997</v>
      </c>
      <c r="G510" s="115">
        <v>0</v>
      </c>
      <c r="H510" s="115">
        <f t="shared" si="138"/>
        <v>2791.2714149969997</v>
      </c>
      <c r="I510" s="32"/>
      <c r="J510" s="32"/>
      <c r="N510" s="32"/>
    </row>
    <row r="511" spans="1:14" s="114" customFormat="1" x14ac:dyDescent="0.35">
      <c r="A511" s="120">
        <f t="shared" ref="A511:A514" si="139">A510+1</f>
        <v>3</v>
      </c>
      <c r="B511" s="120"/>
      <c r="C511" s="115" t="s">
        <v>477</v>
      </c>
      <c r="D511" s="97">
        <f>(164.3)*10.764</f>
        <v>1768.5252</v>
      </c>
      <c r="E511" s="97">
        <f>(6.465*1.83+0.112*1.325+0.645*1.115)*10.764</f>
        <v>136.6869231</v>
      </c>
      <c r="F511" s="115">
        <f t="shared" si="137"/>
        <v>1905.2121231000001</v>
      </c>
      <c r="G511" s="115">
        <v>0</v>
      </c>
      <c r="H511" s="115">
        <f t="shared" si="138"/>
        <v>2953.0787908050002</v>
      </c>
      <c r="I511" s="32"/>
      <c r="J511" s="32"/>
      <c r="N511" s="32"/>
    </row>
    <row r="512" spans="1:14" s="114" customFormat="1" x14ac:dyDescent="0.35">
      <c r="A512" s="120">
        <f t="shared" si="139"/>
        <v>4</v>
      </c>
      <c r="B512" s="120"/>
      <c r="C512" s="115" t="s">
        <v>477</v>
      </c>
      <c r="D512" s="97">
        <f>(163.59)*10.764</f>
        <v>1760.88276</v>
      </c>
      <c r="E512" s="97">
        <f>(6.465*1.83+0.112*1.325+0.645*1.115)*10.764</f>
        <v>136.6869231</v>
      </c>
      <c r="F512" s="115">
        <f t="shared" si="137"/>
        <v>1897.5696831</v>
      </c>
      <c r="G512" s="115">
        <v>0</v>
      </c>
      <c r="H512" s="115">
        <f t="shared" si="138"/>
        <v>2941.2330088050003</v>
      </c>
      <c r="I512" s="32"/>
      <c r="J512" s="32"/>
      <c r="N512" s="32"/>
    </row>
    <row r="513" spans="1:14" s="114" customFormat="1" x14ac:dyDescent="0.35">
      <c r="A513" s="120">
        <f t="shared" si="139"/>
        <v>5</v>
      </c>
      <c r="B513" s="120"/>
      <c r="C513" s="115" t="s">
        <v>476</v>
      </c>
      <c r="D513" s="97">
        <f>(326.29)*10.764</f>
        <v>3512.1855599999999</v>
      </c>
      <c r="E513" s="97">
        <v>0</v>
      </c>
      <c r="F513" s="115">
        <f t="shared" si="137"/>
        <v>3512.1855599999999</v>
      </c>
      <c r="G513" s="115">
        <v>0</v>
      </c>
      <c r="H513" s="115">
        <f t="shared" si="138"/>
        <v>5443.8876179999997</v>
      </c>
      <c r="I513" s="32"/>
      <c r="J513" s="32"/>
      <c r="N513" s="32"/>
    </row>
    <row r="514" spans="1:14" s="114" customFormat="1" x14ac:dyDescent="0.35">
      <c r="A514" s="120">
        <f t="shared" si="139"/>
        <v>6</v>
      </c>
      <c r="B514" s="120"/>
      <c r="C514" s="115" t="s">
        <v>476</v>
      </c>
      <c r="D514" s="97">
        <f>(289.89)*10.764</f>
        <v>3120.3759599999998</v>
      </c>
      <c r="E514" s="97">
        <v>0</v>
      </c>
      <c r="F514" s="115">
        <f t="shared" si="137"/>
        <v>3120.3759599999998</v>
      </c>
      <c r="G514" s="115">
        <v>0</v>
      </c>
      <c r="H514" s="115">
        <f t="shared" si="138"/>
        <v>4836.5827380000001</v>
      </c>
      <c r="I514" s="32"/>
      <c r="J514" s="32"/>
      <c r="N514" s="32"/>
    </row>
    <row r="515" spans="1:14" s="114" customFormat="1" ht="16" customHeight="1" x14ac:dyDescent="0.35">
      <c r="A515" s="118" t="s">
        <v>493</v>
      </c>
      <c r="B515" s="118"/>
      <c r="C515" s="118"/>
      <c r="D515" s="118"/>
      <c r="E515" s="118"/>
      <c r="F515" s="118"/>
      <c r="G515" s="118"/>
      <c r="H515" s="118"/>
      <c r="I515" s="87"/>
      <c r="L515" s="119"/>
      <c r="M515" s="119"/>
    </row>
    <row r="516" spans="1:14" s="114" customFormat="1" x14ac:dyDescent="0.35">
      <c r="A516" s="120">
        <v>1</v>
      </c>
      <c r="B516" s="120"/>
      <c r="C516" s="121" t="s">
        <v>438</v>
      </c>
      <c r="D516" s="122"/>
      <c r="E516" s="122"/>
      <c r="F516" s="122"/>
      <c r="G516" s="122"/>
      <c r="H516" s="123"/>
      <c r="I516" s="32"/>
      <c r="J516" s="32"/>
      <c r="N516" s="32"/>
    </row>
    <row r="517" spans="1:14" s="114" customFormat="1" x14ac:dyDescent="0.35">
      <c r="A517" s="120">
        <f>A516+1</f>
        <v>2</v>
      </c>
      <c r="B517" s="120"/>
      <c r="C517" s="127"/>
      <c r="D517" s="128"/>
      <c r="E517" s="128"/>
      <c r="F517" s="128"/>
      <c r="G517" s="128"/>
      <c r="H517" s="129"/>
      <c r="I517" s="32"/>
      <c r="J517" s="32"/>
      <c r="N517" s="32"/>
    </row>
    <row r="518" spans="1:14" s="114" customFormat="1" x14ac:dyDescent="0.35">
      <c r="A518" s="120">
        <f t="shared" ref="A518:A521" si="140">A517+1</f>
        <v>3</v>
      </c>
      <c r="B518" s="120"/>
      <c r="C518" s="115" t="s">
        <v>477</v>
      </c>
      <c r="D518" s="97">
        <f>(164.3)*10.764</f>
        <v>1768.5252</v>
      </c>
      <c r="E518" s="97">
        <f>(6.465*1.83+0.112*1.325+0.645*1.115)*10.764</f>
        <v>136.6869231</v>
      </c>
      <c r="F518" s="115">
        <f t="shared" ref="F518:F521" si="141">D518+E518</f>
        <v>1905.2121231000001</v>
      </c>
      <c r="G518" s="115">
        <v>0</v>
      </c>
      <c r="H518" s="115">
        <f t="shared" ref="H518:H521" si="142">F518*(($H$190)+1)+(IF(G518&lt;101,G518,IF(G518&lt;201,G518/2,IF(G518&lt;=301,G518/3,G518/4))))</f>
        <v>2953.0787908050002</v>
      </c>
      <c r="I518" s="32"/>
      <c r="J518" s="32"/>
      <c r="N518" s="32"/>
    </row>
    <row r="519" spans="1:14" s="114" customFormat="1" x14ac:dyDescent="0.35">
      <c r="A519" s="120">
        <f t="shared" si="140"/>
        <v>4</v>
      </c>
      <c r="B519" s="120"/>
      <c r="C519" s="115" t="s">
        <v>477</v>
      </c>
      <c r="D519" s="97">
        <f>(163.59)*10.764</f>
        <v>1760.88276</v>
      </c>
      <c r="E519" s="97">
        <f>(6.465*1.83+0.112*1.325+0.645*1.115)*10.764</f>
        <v>136.6869231</v>
      </c>
      <c r="F519" s="115">
        <f t="shared" si="141"/>
        <v>1897.5696831</v>
      </c>
      <c r="G519" s="115">
        <v>0</v>
      </c>
      <c r="H519" s="115">
        <f t="shared" si="142"/>
        <v>2941.2330088050003</v>
      </c>
      <c r="I519" s="32"/>
      <c r="J519" s="32"/>
      <c r="N519" s="32"/>
    </row>
    <row r="520" spans="1:14" s="114" customFormat="1" x14ac:dyDescent="0.35">
      <c r="A520" s="120">
        <f t="shared" si="140"/>
        <v>5</v>
      </c>
      <c r="B520" s="120"/>
      <c r="C520" s="115" t="s">
        <v>476</v>
      </c>
      <c r="D520" s="97">
        <f>(326.29)*10.764</f>
        <v>3512.1855599999999</v>
      </c>
      <c r="E520" s="97">
        <v>0</v>
      </c>
      <c r="F520" s="115">
        <f t="shared" si="141"/>
        <v>3512.1855599999999</v>
      </c>
      <c r="G520" s="115">
        <v>0</v>
      </c>
      <c r="H520" s="115">
        <f t="shared" si="142"/>
        <v>5443.8876179999997</v>
      </c>
      <c r="I520" s="32"/>
      <c r="J520" s="32"/>
      <c r="N520" s="32"/>
    </row>
    <row r="521" spans="1:14" s="114" customFormat="1" x14ac:dyDescent="0.35">
      <c r="A521" s="120">
        <f t="shared" si="140"/>
        <v>6</v>
      </c>
      <c r="B521" s="120"/>
      <c r="C521" s="115" t="s">
        <v>476</v>
      </c>
      <c r="D521" s="97">
        <f>(289.89)*10.764</f>
        <v>3120.3759599999998</v>
      </c>
      <c r="E521" s="97">
        <v>0</v>
      </c>
      <c r="F521" s="115">
        <f t="shared" si="141"/>
        <v>3120.3759599999998</v>
      </c>
      <c r="G521" s="115">
        <v>0</v>
      </c>
      <c r="H521" s="115">
        <f t="shared" si="142"/>
        <v>4836.5827380000001</v>
      </c>
      <c r="I521" s="32"/>
      <c r="J521" s="32"/>
      <c r="N521" s="32"/>
    </row>
    <row r="522" spans="1:14" s="114" customFormat="1" ht="16" customHeight="1" x14ac:dyDescent="0.35">
      <c r="A522" s="118" t="s">
        <v>451</v>
      </c>
      <c r="B522" s="118"/>
      <c r="C522" s="118"/>
      <c r="D522" s="118"/>
      <c r="E522" s="118"/>
      <c r="F522" s="118"/>
      <c r="G522" s="118"/>
      <c r="H522" s="118"/>
      <c r="I522" s="87"/>
      <c r="L522" s="119"/>
      <c r="M522" s="119"/>
    </row>
    <row r="523" spans="1:14" s="114" customFormat="1" x14ac:dyDescent="0.35">
      <c r="A523" s="120">
        <v>1</v>
      </c>
      <c r="B523" s="120"/>
      <c r="C523" s="115" t="s">
        <v>477</v>
      </c>
      <c r="D523" s="97">
        <f>(159.02)*10.764</f>
        <v>1711.69128</v>
      </c>
      <c r="E523" s="97">
        <f>(6.64*1.22+0.112*0.53+0.445*0.375)*10.764</f>
        <v>89.632204739999978</v>
      </c>
      <c r="F523" s="115">
        <f t="shared" ref="F523:F528" si="143">D523+E523</f>
        <v>1801.3234847399999</v>
      </c>
      <c r="G523" s="115">
        <v>0</v>
      </c>
      <c r="H523" s="115">
        <f t="shared" ref="H523:H528" si="144">F523*(($H$190)+1)+(IF(G523&lt;101,G523,IF(G523&lt;201,G523/2,IF(G523&lt;=301,G523/3,G523/4))))</f>
        <v>2792.0514013470001</v>
      </c>
      <c r="I523" s="32"/>
      <c r="J523" s="32"/>
      <c r="N523" s="32"/>
    </row>
    <row r="524" spans="1:14" s="114" customFormat="1" x14ac:dyDescent="0.35">
      <c r="A524" s="120">
        <f>A523+1</f>
        <v>2</v>
      </c>
      <c r="B524" s="120"/>
      <c r="C524" s="115" t="s">
        <v>477</v>
      </c>
      <c r="D524" s="97">
        <f>(159.1)*10.764</f>
        <v>1712.5523999999998</v>
      </c>
      <c r="E524" s="97">
        <f>(6.64*1.22+0.112*0.53+0.445*0.375)*10.764</f>
        <v>89.632204739999978</v>
      </c>
      <c r="F524" s="115">
        <f t="shared" si="143"/>
        <v>1802.1846047399997</v>
      </c>
      <c r="G524" s="115">
        <v>0</v>
      </c>
      <c r="H524" s="115">
        <f t="shared" si="144"/>
        <v>2793.3861373469995</v>
      </c>
      <c r="I524" s="32"/>
      <c r="J524" s="32"/>
      <c r="N524" s="32"/>
    </row>
    <row r="525" spans="1:14" s="114" customFormat="1" x14ac:dyDescent="0.35">
      <c r="A525" s="120">
        <f t="shared" ref="A525:A528" si="145">A524+1</f>
        <v>3</v>
      </c>
      <c r="B525" s="120"/>
      <c r="C525" s="115" t="s">
        <v>477</v>
      </c>
      <c r="D525" s="97">
        <f>(164.3)*10.764</f>
        <v>1768.5252</v>
      </c>
      <c r="E525" s="97">
        <f>(6.615*1.83+0.112*1.325+0.495*1.115)*10.764</f>
        <v>137.84136210000003</v>
      </c>
      <c r="F525" s="115">
        <f t="shared" si="143"/>
        <v>1906.3665621</v>
      </c>
      <c r="G525" s="115">
        <v>0</v>
      </c>
      <c r="H525" s="115">
        <f t="shared" si="144"/>
        <v>2954.8681712550001</v>
      </c>
      <c r="I525" s="32"/>
      <c r="J525" s="32"/>
      <c r="N525" s="32"/>
    </row>
    <row r="526" spans="1:14" s="114" customFormat="1" x14ac:dyDescent="0.35">
      <c r="A526" s="120">
        <f t="shared" si="145"/>
        <v>4</v>
      </c>
      <c r="B526" s="120"/>
      <c r="C526" s="115" t="s">
        <v>477</v>
      </c>
      <c r="D526" s="97">
        <f>(163.59)*10.764</f>
        <v>1760.88276</v>
      </c>
      <c r="E526" s="97">
        <f>(6.615*1.83+0.112*1.325+0.495*1.115)*10.764</f>
        <v>137.84136210000003</v>
      </c>
      <c r="F526" s="115">
        <f t="shared" si="143"/>
        <v>1898.7241220999999</v>
      </c>
      <c r="G526" s="115">
        <v>0</v>
      </c>
      <c r="H526" s="115">
        <f t="shared" si="144"/>
        <v>2943.0223892549998</v>
      </c>
      <c r="I526" s="32"/>
      <c r="J526" s="32"/>
      <c r="N526" s="32"/>
    </row>
    <row r="527" spans="1:14" s="114" customFormat="1" x14ac:dyDescent="0.35">
      <c r="A527" s="120">
        <f t="shared" si="145"/>
        <v>5</v>
      </c>
      <c r="B527" s="120"/>
      <c r="C527" s="115" t="s">
        <v>476</v>
      </c>
      <c r="D527" s="97">
        <f>(326.29)*10.764</f>
        <v>3512.1855599999999</v>
      </c>
      <c r="E527" s="97">
        <v>0</v>
      </c>
      <c r="F527" s="115">
        <f t="shared" si="143"/>
        <v>3512.1855599999999</v>
      </c>
      <c r="G527" s="115">
        <v>0</v>
      </c>
      <c r="H527" s="115">
        <f t="shared" si="144"/>
        <v>5443.8876179999997</v>
      </c>
      <c r="I527" s="32"/>
      <c r="J527" s="32"/>
      <c r="N527" s="32"/>
    </row>
    <row r="528" spans="1:14" s="114" customFormat="1" x14ac:dyDescent="0.35">
      <c r="A528" s="120">
        <f t="shared" si="145"/>
        <v>6</v>
      </c>
      <c r="B528" s="120"/>
      <c r="C528" s="115" t="s">
        <v>476</v>
      </c>
      <c r="D528" s="97">
        <f>(289.89)*10.764</f>
        <v>3120.3759599999998</v>
      </c>
      <c r="E528" s="97">
        <v>0</v>
      </c>
      <c r="F528" s="115">
        <f t="shared" si="143"/>
        <v>3120.3759599999998</v>
      </c>
      <c r="G528" s="115">
        <v>0</v>
      </c>
      <c r="H528" s="115">
        <f t="shared" si="144"/>
        <v>4836.5827380000001</v>
      </c>
      <c r="I528" s="32"/>
      <c r="J528" s="32"/>
      <c r="N528" s="32"/>
    </row>
    <row r="529" spans="1:14" s="114" customFormat="1" ht="16" customHeight="1" x14ac:dyDescent="0.35">
      <c r="A529" s="118" t="s">
        <v>494</v>
      </c>
      <c r="B529" s="118"/>
      <c r="C529" s="118"/>
      <c r="D529" s="118"/>
      <c r="E529" s="118"/>
      <c r="F529" s="118"/>
      <c r="G529" s="118"/>
      <c r="H529" s="118"/>
      <c r="I529" s="87"/>
      <c r="L529" s="119"/>
      <c r="M529" s="119"/>
    </row>
    <row r="530" spans="1:14" s="114" customFormat="1" x14ac:dyDescent="0.35">
      <c r="A530" s="120">
        <v>1</v>
      </c>
      <c r="B530" s="120"/>
      <c r="C530" s="121" t="s">
        <v>438</v>
      </c>
      <c r="D530" s="122"/>
      <c r="E530" s="122"/>
      <c r="F530" s="122"/>
      <c r="G530" s="122"/>
      <c r="H530" s="123"/>
      <c r="I530" s="32"/>
      <c r="J530" s="32"/>
      <c r="N530" s="32"/>
    </row>
    <row r="531" spans="1:14" s="114" customFormat="1" x14ac:dyDescent="0.35">
      <c r="A531" s="120">
        <f>A530+1</f>
        <v>2</v>
      </c>
      <c r="B531" s="120"/>
      <c r="C531" s="127"/>
      <c r="D531" s="128"/>
      <c r="E531" s="128"/>
      <c r="F531" s="128"/>
      <c r="G531" s="128"/>
      <c r="H531" s="129"/>
      <c r="I531" s="32"/>
      <c r="J531" s="32"/>
      <c r="N531" s="32"/>
    </row>
    <row r="532" spans="1:14" s="114" customFormat="1" x14ac:dyDescent="0.35">
      <c r="A532" s="120">
        <f t="shared" ref="A532:A535" si="146">A531+1</f>
        <v>3</v>
      </c>
      <c r="B532" s="120"/>
      <c r="C532" s="115" t="s">
        <v>477</v>
      </c>
      <c r="D532" s="97">
        <f>(164.3)*10.764</f>
        <v>1768.5252</v>
      </c>
      <c r="E532" s="97">
        <f>(6.615*1.83+0.112*1.325+0.495*1.115)*10.764</f>
        <v>137.84136210000003</v>
      </c>
      <c r="F532" s="115">
        <f t="shared" ref="F532:F535" si="147">D532+E532</f>
        <v>1906.3665621</v>
      </c>
      <c r="G532" s="115">
        <v>0</v>
      </c>
      <c r="H532" s="115">
        <f t="shared" ref="H532:H535" si="148">F532*(($H$190)+1)+(IF(G532&lt;101,G532,IF(G532&lt;201,G532/2,IF(G532&lt;=301,G532/3,G532/4))))</f>
        <v>2954.8681712550001</v>
      </c>
      <c r="I532" s="32"/>
      <c r="J532" s="32"/>
      <c r="N532" s="32"/>
    </row>
    <row r="533" spans="1:14" s="114" customFormat="1" x14ac:dyDescent="0.35">
      <c r="A533" s="120">
        <f t="shared" si="146"/>
        <v>4</v>
      </c>
      <c r="B533" s="120"/>
      <c r="C533" s="115" t="s">
        <v>477</v>
      </c>
      <c r="D533" s="97">
        <f>(163.59)*10.764</f>
        <v>1760.88276</v>
      </c>
      <c r="E533" s="97">
        <f>(6.615*1.83+0.112*1.325+0.495*1.115)*10.764</f>
        <v>137.84136210000003</v>
      </c>
      <c r="F533" s="115">
        <f t="shared" si="147"/>
        <v>1898.7241220999999</v>
      </c>
      <c r="G533" s="115">
        <v>0</v>
      </c>
      <c r="H533" s="115">
        <f t="shared" si="148"/>
        <v>2943.0223892549998</v>
      </c>
      <c r="I533" s="32"/>
      <c r="J533" s="32"/>
      <c r="N533" s="32"/>
    </row>
    <row r="534" spans="1:14" s="114" customFormat="1" x14ac:dyDescent="0.35">
      <c r="A534" s="120">
        <f t="shared" si="146"/>
        <v>5</v>
      </c>
      <c r="B534" s="120"/>
      <c r="C534" s="115" t="s">
        <v>476</v>
      </c>
      <c r="D534" s="97">
        <f>(326.29)*10.764</f>
        <v>3512.1855599999999</v>
      </c>
      <c r="E534" s="97">
        <v>0</v>
      </c>
      <c r="F534" s="115">
        <f t="shared" si="147"/>
        <v>3512.1855599999999</v>
      </c>
      <c r="G534" s="115">
        <v>0</v>
      </c>
      <c r="H534" s="115">
        <f t="shared" si="148"/>
        <v>5443.8876179999997</v>
      </c>
      <c r="I534" s="32"/>
      <c r="J534" s="32"/>
      <c r="N534" s="32"/>
    </row>
    <row r="535" spans="1:14" s="114" customFormat="1" x14ac:dyDescent="0.35">
      <c r="A535" s="120">
        <f t="shared" si="146"/>
        <v>6</v>
      </c>
      <c r="B535" s="120"/>
      <c r="C535" s="115" t="s">
        <v>476</v>
      </c>
      <c r="D535" s="97">
        <f>(289.89)*10.764</f>
        <v>3120.3759599999998</v>
      </c>
      <c r="E535" s="97">
        <v>0</v>
      </c>
      <c r="F535" s="115">
        <f t="shared" si="147"/>
        <v>3120.3759599999998</v>
      </c>
      <c r="G535" s="115">
        <v>0</v>
      </c>
      <c r="H535" s="115">
        <f t="shared" si="148"/>
        <v>4836.5827380000001</v>
      </c>
      <c r="I535" s="32"/>
      <c r="J535" s="32"/>
      <c r="N535" s="32"/>
    </row>
    <row r="536" spans="1:14" s="114" customFormat="1" ht="16" customHeight="1" x14ac:dyDescent="0.35">
      <c r="A536" s="118" t="s">
        <v>479</v>
      </c>
      <c r="B536" s="118"/>
      <c r="C536" s="118"/>
      <c r="D536" s="118"/>
      <c r="E536" s="118"/>
      <c r="F536" s="118"/>
      <c r="G536" s="118"/>
      <c r="H536" s="118"/>
      <c r="I536" s="87"/>
      <c r="L536" s="119"/>
      <c r="M536" s="119"/>
    </row>
    <row r="537" spans="1:14" s="114" customFormat="1" x14ac:dyDescent="0.35">
      <c r="A537" s="120">
        <v>1</v>
      </c>
      <c r="B537" s="120"/>
      <c r="C537" s="115" t="s">
        <v>477</v>
      </c>
      <c r="D537" s="97">
        <f>(159.12)*10.764</f>
        <v>1712.7676799999999</v>
      </c>
      <c r="E537" s="97">
        <f>(6.64*1.22+0.112*0.53+0.445*0.375)*10.764</f>
        <v>89.632204739999978</v>
      </c>
      <c r="F537" s="115">
        <f t="shared" ref="F537:F542" si="149">D537+E537</f>
        <v>1802.3998847399998</v>
      </c>
      <c r="G537" s="115">
        <v>0</v>
      </c>
      <c r="H537" s="115">
        <f t="shared" ref="H537:H542" si="150">F537*(($H$190)+1)+(IF(G537&lt;101,G537,IF(G537&lt;201,G537/2,IF(G537&lt;=301,G537/3,G537/4))))</f>
        <v>2793.7198213469997</v>
      </c>
      <c r="I537" s="32"/>
      <c r="J537" s="32"/>
      <c r="N537" s="32"/>
    </row>
    <row r="538" spans="1:14" s="114" customFormat="1" x14ac:dyDescent="0.35">
      <c r="A538" s="120">
        <f>A537+1</f>
        <v>2</v>
      </c>
      <c r="B538" s="120"/>
      <c r="C538" s="115" t="s">
        <v>477</v>
      </c>
      <c r="D538" s="97">
        <f>(159.254)*10.764</f>
        <v>1714.2100559999999</v>
      </c>
      <c r="E538" s="97">
        <f>(6.64*1.22+0.112*0.53+0.445*0.375)*10.764</f>
        <v>89.632204739999978</v>
      </c>
      <c r="F538" s="115">
        <f t="shared" si="149"/>
        <v>1803.8422607399998</v>
      </c>
      <c r="G538" s="115">
        <v>0</v>
      </c>
      <c r="H538" s="115">
        <f t="shared" si="150"/>
        <v>2795.9555041469998</v>
      </c>
      <c r="I538" s="32"/>
      <c r="J538" s="32"/>
      <c r="N538" s="32"/>
    </row>
    <row r="539" spans="1:14" s="114" customFormat="1" x14ac:dyDescent="0.35">
      <c r="A539" s="120">
        <f t="shared" ref="A539:A542" si="151">A538+1</f>
        <v>3</v>
      </c>
      <c r="B539" s="120"/>
      <c r="C539" s="115" t="s">
        <v>477</v>
      </c>
      <c r="D539" s="97">
        <f>(164.513)*10.764</f>
        <v>1770.8179319999999</v>
      </c>
      <c r="E539" s="97">
        <f>(6.615*1.83+0.112*1.325+0.495*1.115)*10.764</f>
        <v>137.84136210000003</v>
      </c>
      <c r="F539" s="115">
        <f t="shared" si="149"/>
        <v>1908.6592940999999</v>
      </c>
      <c r="G539" s="115">
        <v>0</v>
      </c>
      <c r="H539" s="115">
        <f t="shared" si="150"/>
        <v>2958.4219058549997</v>
      </c>
      <c r="I539" s="32"/>
      <c r="J539" s="32"/>
      <c r="N539" s="32"/>
    </row>
    <row r="540" spans="1:14" s="114" customFormat="1" x14ac:dyDescent="0.35">
      <c r="A540" s="120">
        <f t="shared" si="151"/>
        <v>4</v>
      </c>
      <c r="B540" s="120"/>
      <c r="C540" s="115" t="s">
        <v>477</v>
      </c>
      <c r="D540" s="97">
        <f>(163.741)*10.764</f>
        <v>1762.508124</v>
      </c>
      <c r="E540" s="97">
        <f>(6.615*1.83+0.112*1.325+0.495*1.115)*10.764</f>
        <v>137.84136210000003</v>
      </c>
      <c r="F540" s="115">
        <f t="shared" si="149"/>
        <v>1900.3494860999999</v>
      </c>
      <c r="G540" s="115">
        <v>0</v>
      </c>
      <c r="H540" s="115">
        <f t="shared" si="150"/>
        <v>2945.5417034550001</v>
      </c>
      <c r="I540" s="32"/>
      <c r="J540" s="32"/>
      <c r="N540" s="32"/>
    </row>
    <row r="541" spans="1:14" s="114" customFormat="1" x14ac:dyDescent="0.35">
      <c r="A541" s="120">
        <f t="shared" si="151"/>
        <v>5</v>
      </c>
      <c r="B541" s="120"/>
      <c r="C541" s="115" t="s">
        <v>476</v>
      </c>
      <c r="D541" s="97">
        <f>(326.29)*10.764</f>
        <v>3512.1855599999999</v>
      </c>
      <c r="E541" s="97">
        <v>0</v>
      </c>
      <c r="F541" s="115">
        <f t="shared" si="149"/>
        <v>3512.1855599999999</v>
      </c>
      <c r="G541" s="115">
        <v>0</v>
      </c>
      <c r="H541" s="115">
        <f t="shared" si="150"/>
        <v>5443.8876179999997</v>
      </c>
      <c r="I541" s="32"/>
      <c r="J541" s="32"/>
      <c r="N541" s="32"/>
    </row>
    <row r="542" spans="1:14" s="114" customFormat="1" x14ac:dyDescent="0.35">
      <c r="A542" s="120">
        <f t="shared" si="151"/>
        <v>6</v>
      </c>
      <c r="B542" s="120"/>
      <c r="C542" s="115" t="s">
        <v>476</v>
      </c>
      <c r="D542" s="97">
        <f>(290.341)*10.764</f>
        <v>3125.2305240000001</v>
      </c>
      <c r="E542" s="97">
        <v>0</v>
      </c>
      <c r="F542" s="115">
        <f t="shared" si="149"/>
        <v>3125.2305240000001</v>
      </c>
      <c r="G542" s="115">
        <v>0</v>
      </c>
      <c r="H542" s="115">
        <f t="shared" si="150"/>
        <v>4844.1073121999998</v>
      </c>
      <c r="I542" s="32"/>
      <c r="J542" s="32"/>
      <c r="N542" s="32"/>
    </row>
    <row r="543" spans="1:14" s="114" customFormat="1" ht="16" customHeight="1" x14ac:dyDescent="0.35">
      <c r="A543" s="118" t="s">
        <v>480</v>
      </c>
      <c r="B543" s="118"/>
      <c r="C543" s="118"/>
      <c r="D543" s="118"/>
      <c r="E543" s="118"/>
      <c r="F543" s="118"/>
      <c r="G543" s="118"/>
      <c r="H543" s="118"/>
      <c r="I543" s="87"/>
      <c r="L543" s="119"/>
      <c r="M543" s="119"/>
    </row>
    <row r="544" spans="1:14" s="114" customFormat="1" x14ac:dyDescent="0.35">
      <c r="A544" s="120">
        <v>1</v>
      </c>
      <c r="B544" s="120"/>
      <c r="C544" s="121" t="s">
        <v>438</v>
      </c>
      <c r="D544" s="122"/>
      <c r="E544" s="122"/>
      <c r="F544" s="122"/>
      <c r="G544" s="122"/>
      <c r="H544" s="123"/>
      <c r="I544" s="32"/>
      <c r="J544" s="32"/>
      <c r="N544" s="32"/>
    </row>
    <row r="545" spans="1:14" s="114" customFormat="1" x14ac:dyDescent="0.35">
      <c r="A545" s="120">
        <f>A544+1</f>
        <v>2</v>
      </c>
      <c r="B545" s="120"/>
      <c r="C545" s="127"/>
      <c r="D545" s="128"/>
      <c r="E545" s="128"/>
      <c r="F545" s="128"/>
      <c r="G545" s="128"/>
      <c r="H545" s="129"/>
      <c r="I545" s="32"/>
      <c r="J545" s="32"/>
      <c r="N545" s="32"/>
    </row>
    <row r="546" spans="1:14" s="114" customFormat="1" x14ac:dyDescent="0.35">
      <c r="A546" s="120">
        <f t="shared" ref="A546:A549" si="152">A545+1</f>
        <v>3</v>
      </c>
      <c r="B546" s="120"/>
      <c r="C546" s="115" t="s">
        <v>477</v>
      </c>
      <c r="D546" s="97">
        <f>(164.513)*10.764</f>
        <v>1770.8179319999999</v>
      </c>
      <c r="E546" s="97">
        <f>(6.615*1.83+0.112*1.325+0.495*1.115)*10.764</f>
        <v>137.84136210000003</v>
      </c>
      <c r="F546" s="115">
        <f t="shared" ref="F546:F549" si="153">D546+E546</f>
        <v>1908.6592940999999</v>
      </c>
      <c r="G546" s="115">
        <v>0</v>
      </c>
      <c r="H546" s="115">
        <f t="shared" ref="H546:H549" si="154">F546*(($H$190)+1)+(IF(G546&lt;101,G546,IF(G546&lt;201,G546/2,IF(G546&lt;=301,G546/3,G546/4))))</f>
        <v>2958.4219058549997</v>
      </c>
      <c r="I546" s="32"/>
      <c r="J546" s="32"/>
      <c r="N546" s="32"/>
    </row>
    <row r="547" spans="1:14" s="114" customFormat="1" x14ac:dyDescent="0.35">
      <c r="A547" s="120">
        <f t="shared" si="152"/>
        <v>4</v>
      </c>
      <c r="B547" s="120"/>
      <c r="C547" s="115" t="s">
        <v>477</v>
      </c>
      <c r="D547" s="97">
        <f>(163.741)*10.764</f>
        <v>1762.508124</v>
      </c>
      <c r="E547" s="97">
        <f>(6.615*1.83+0.112*1.325+0.495*1.115)*10.764</f>
        <v>137.84136210000003</v>
      </c>
      <c r="F547" s="115">
        <f t="shared" si="153"/>
        <v>1900.3494860999999</v>
      </c>
      <c r="G547" s="115">
        <v>0</v>
      </c>
      <c r="H547" s="115">
        <f t="shared" si="154"/>
        <v>2945.5417034550001</v>
      </c>
      <c r="I547" s="32"/>
      <c r="J547" s="32"/>
      <c r="N547" s="32"/>
    </row>
    <row r="548" spans="1:14" s="114" customFormat="1" x14ac:dyDescent="0.35">
      <c r="A548" s="120">
        <f t="shared" si="152"/>
        <v>5</v>
      </c>
      <c r="B548" s="120"/>
      <c r="C548" s="115" t="s">
        <v>476</v>
      </c>
      <c r="D548" s="97">
        <f>(326.29)*10.764</f>
        <v>3512.1855599999999</v>
      </c>
      <c r="E548" s="97">
        <v>0</v>
      </c>
      <c r="F548" s="115">
        <f t="shared" si="153"/>
        <v>3512.1855599999999</v>
      </c>
      <c r="G548" s="115">
        <v>0</v>
      </c>
      <c r="H548" s="115">
        <f t="shared" si="154"/>
        <v>5443.8876179999997</v>
      </c>
      <c r="I548" s="32"/>
      <c r="J548" s="32"/>
      <c r="N548" s="32"/>
    </row>
    <row r="549" spans="1:14" s="114" customFormat="1" x14ac:dyDescent="0.35">
      <c r="A549" s="120">
        <f t="shared" si="152"/>
        <v>6</v>
      </c>
      <c r="B549" s="120"/>
      <c r="C549" s="115" t="s">
        <v>476</v>
      </c>
      <c r="D549" s="97">
        <f>(290.341)*10.764</f>
        <v>3125.2305240000001</v>
      </c>
      <c r="E549" s="97">
        <v>0</v>
      </c>
      <c r="F549" s="115">
        <f t="shared" si="153"/>
        <v>3125.2305240000001</v>
      </c>
      <c r="G549" s="115">
        <v>0</v>
      </c>
      <c r="H549" s="115">
        <f t="shared" si="154"/>
        <v>4844.1073121999998</v>
      </c>
      <c r="I549" s="32"/>
      <c r="J549" s="32"/>
      <c r="N549" s="32"/>
    </row>
    <row r="550" spans="1:14" s="114" customFormat="1" ht="32.5" customHeight="1" x14ac:dyDescent="0.35">
      <c r="A550" s="118" t="s">
        <v>481</v>
      </c>
      <c r="B550" s="118"/>
      <c r="C550" s="118"/>
      <c r="D550" s="118"/>
      <c r="E550" s="118"/>
      <c r="F550" s="118"/>
      <c r="G550" s="118"/>
      <c r="H550" s="118"/>
      <c r="I550" s="87"/>
      <c r="L550" s="119"/>
      <c r="M550" s="119"/>
    </row>
    <row r="551" spans="1:14" s="114" customFormat="1" x14ac:dyDescent="0.35">
      <c r="A551" s="120">
        <v>1</v>
      </c>
      <c r="B551" s="120"/>
      <c r="C551" s="115" t="s">
        <v>483</v>
      </c>
      <c r="D551" s="97">
        <f>(159.119+131.27+166.23)*10.764</f>
        <v>4915.0469160000002</v>
      </c>
      <c r="E551" s="97">
        <f>(6.64*1.22+0.112*0.53+0.445*0.375)*10.764</f>
        <v>89.632204739999978</v>
      </c>
      <c r="F551" s="115">
        <f t="shared" ref="F551:F556" si="155">D551+E551</f>
        <v>5004.6791207400001</v>
      </c>
      <c r="G551" s="115">
        <v>0</v>
      </c>
      <c r="H551" s="115">
        <f t="shared" ref="H551:H556" si="156">F551*(($H$190)+1)+(IF(G551&lt;101,G551,IF(G551&lt;201,G551/2,IF(G551&lt;=301,G551/3,G551/4))))</f>
        <v>7757.2526371470003</v>
      </c>
      <c r="I551" s="32"/>
      <c r="J551" s="32"/>
      <c r="N551" s="32"/>
    </row>
    <row r="552" spans="1:14" s="114" customFormat="1" x14ac:dyDescent="0.35">
      <c r="A552" s="120">
        <f>A551+1</f>
        <v>2</v>
      </c>
      <c r="B552" s="120"/>
      <c r="C552" s="115" t="s">
        <v>483</v>
      </c>
      <c r="D552" s="97">
        <f>(159.311+131.45+166.4)*10.764</f>
        <v>4920.8810039999989</v>
      </c>
      <c r="E552" s="97">
        <f>(6.64*1.22+0.112*0.53+0.445*0.375)*10.764</f>
        <v>89.632204739999978</v>
      </c>
      <c r="F552" s="115">
        <f t="shared" si="155"/>
        <v>5010.5132087399988</v>
      </c>
      <c r="G552" s="115">
        <v>0</v>
      </c>
      <c r="H552" s="115">
        <f t="shared" si="156"/>
        <v>7766.2954735469984</v>
      </c>
      <c r="I552" s="32"/>
      <c r="J552" s="32"/>
      <c r="N552" s="32"/>
    </row>
    <row r="553" spans="1:14" s="114" customFormat="1" x14ac:dyDescent="0.35">
      <c r="A553" s="120">
        <f t="shared" ref="A553:A556" si="157">A552+1</f>
        <v>3</v>
      </c>
      <c r="B553" s="120"/>
      <c r="C553" s="115" t="s">
        <v>483</v>
      </c>
      <c r="D553" s="97">
        <f>(164.512+135.51+175.53)*10.764</f>
        <v>5118.8417280000003</v>
      </c>
      <c r="E553" s="97">
        <f>(6.615*1.83+0.112*1.325+0.495*1.115)*10.764</f>
        <v>137.84136210000003</v>
      </c>
      <c r="F553" s="115">
        <f t="shared" si="155"/>
        <v>5256.6830901000003</v>
      </c>
      <c r="G553" s="115">
        <v>0</v>
      </c>
      <c r="H553" s="115">
        <f t="shared" si="156"/>
        <v>8147.8587896550007</v>
      </c>
      <c r="I553" s="32"/>
      <c r="J553" s="32"/>
      <c r="N553" s="32"/>
    </row>
    <row r="554" spans="1:14" s="114" customFormat="1" x14ac:dyDescent="0.35">
      <c r="A554" s="120">
        <f t="shared" si="157"/>
        <v>4</v>
      </c>
      <c r="B554" s="120"/>
      <c r="C554" s="115" t="s">
        <v>483</v>
      </c>
      <c r="D554" s="97">
        <f>(163.74+134.74+174.79)*10.764</f>
        <v>5094.2782799999995</v>
      </c>
      <c r="E554" s="97">
        <f>(6.615*1.83+0.112*1.325+0.495*1.115)*10.764</f>
        <v>137.84136210000003</v>
      </c>
      <c r="F554" s="115">
        <f t="shared" si="155"/>
        <v>5232.1196420999995</v>
      </c>
      <c r="G554" s="115">
        <v>0</v>
      </c>
      <c r="H554" s="115">
        <f t="shared" si="156"/>
        <v>8109.7854452549991</v>
      </c>
      <c r="I554" s="32"/>
      <c r="J554" s="32"/>
      <c r="N554" s="32"/>
    </row>
    <row r="555" spans="1:14" s="114" customFormat="1" x14ac:dyDescent="0.35">
      <c r="A555" s="120">
        <f t="shared" si="157"/>
        <v>5</v>
      </c>
      <c r="B555" s="120"/>
      <c r="C555" s="115" t="s">
        <v>488</v>
      </c>
      <c r="D555" s="97">
        <f>(326.38+277.1+290.38)*10.764</f>
        <v>9621.509039999999</v>
      </c>
      <c r="E555" s="97">
        <v>0</v>
      </c>
      <c r="F555" s="115">
        <f t="shared" si="155"/>
        <v>9621.509039999999</v>
      </c>
      <c r="G555" s="115">
        <v>0</v>
      </c>
      <c r="H555" s="115">
        <f t="shared" si="156"/>
        <v>14913.339011999999</v>
      </c>
      <c r="I555" s="32"/>
      <c r="J555" s="32"/>
      <c r="N555" s="32"/>
    </row>
    <row r="556" spans="1:14" s="114" customFormat="1" x14ac:dyDescent="0.35">
      <c r="A556" s="120">
        <f t="shared" si="157"/>
        <v>6</v>
      </c>
      <c r="B556" s="120"/>
      <c r="C556" s="115" t="s">
        <v>488</v>
      </c>
      <c r="D556" s="97">
        <f>(290.53+241.25+290.52)*10.764</f>
        <v>8851.2371999999996</v>
      </c>
      <c r="E556" s="97">
        <v>0</v>
      </c>
      <c r="F556" s="115">
        <f t="shared" si="155"/>
        <v>8851.2371999999996</v>
      </c>
      <c r="G556" s="115">
        <v>0</v>
      </c>
      <c r="H556" s="115">
        <f t="shared" si="156"/>
        <v>13719.417659999999</v>
      </c>
      <c r="I556" s="32"/>
      <c r="J556" s="32"/>
      <c r="N556" s="32"/>
    </row>
    <row r="557" spans="1:14" s="110" customFormat="1" x14ac:dyDescent="0.35">
      <c r="A557" s="131" t="s">
        <v>422</v>
      </c>
      <c r="B557" s="131"/>
      <c r="C557" s="131"/>
      <c r="D557" s="131"/>
      <c r="E557" s="131"/>
      <c r="F557" s="131"/>
      <c r="G557" s="131"/>
      <c r="H557" s="131"/>
      <c r="I557" s="87"/>
      <c r="J557" s="106"/>
      <c r="L557" s="119"/>
      <c r="M557" s="119"/>
    </row>
    <row r="558" spans="1:14" s="110" customFormat="1" x14ac:dyDescent="0.35">
      <c r="A558" s="131" t="s">
        <v>426</v>
      </c>
      <c r="B558" s="131"/>
      <c r="C558" s="131"/>
      <c r="D558" s="131"/>
      <c r="E558" s="131"/>
      <c r="F558" s="131"/>
      <c r="G558" s="131"/>
      <c r="H558" s="131"/>
      <c r="I558" s="87"/>
      <c r="J558" s="106"/>
      <c r="L558" s="119"/>
      <c r="M558" s="119"/>
    </row>
    <row r="559" spans="1:14" s="110" customFormat="1" x14ac:dyDescent="0.35">
      <c r="A559" s="118" t="s">
        <v>430</v>
      </c>
      <c r="B559" s="118"/>
      <c r="C559" s="118"/>
      <c r="D559" s="118"/>
      <c r="E559" s="118"/>
      <c r="F559" s="118"/>
      <c r="G559" s="118"/>
      <c r="H559" s="118"/>
      <c r="I559" s="87"/>
      <c r="J559" s="106"/>
      <c r="L559" s="119"/>
      <c r="M559" s="119"/>
    </row>
    <row r="560" spans="1:14" s="110" customFormat="1" x14ac:dyDescent="0.35">
      <c r="A560" s="118" t="s">
        <v>431</v>
      </c>
      <c r="B560" s="118"/>
      <c r="C560" s="118"/>
      <c r="D560" s="118"/>
      <c r="E560" s="118"/>
      <c r="F560" s="118"/>
      <c r="G560" s="118"/>
      <c r="H560" s="118"/>
      <c r="I560" s="87"/>
      <c r="J560" s="106"/>
      <c r="L560" s="119"/>
      <c r="M560" s="119"/>
    </row>
    <row r="561" spans="1:14" s="110" customFormat="1" x14ac:dyDescent="0.35">
      <c r="A561" s="118" t="s">
        <v>432</v>
      </c>
      <c r="B561" s="118"/>
      <c r="C561" s="118"/>
      <c r="D561" s="118"/>
      <c r="E561" s="118"/>
      <c r="F561" s="118"/>
      <c r="G561" s="118"/>
      <c r="H561" s="118"/>
      <c r="I561" s="87"/>
      <c r="J561" s="106"/>
      <c r="L561" s="119"/>
      <c r="M561" s="119"/>
    </row>
    <row r="562" spans="1:14" s="110" customFormat="1" x14ac:dyDescent="0.35">
      <c r="A562" s="118" t="s">
        <v>433</v>
      </c>
      <c r="B562" s="118"/>
      <c r="C562" s="118"/>
      <c r="D562" s="118"/>
      <c r="E562" s="118"/>
      <c r="F562" s="118"/>
      <c r="G562" s="118"/>
      <c r="H562" s="118"/>
      <c r="I562" s="87"/>
      <c r="J562" s="106"/>
      <c r="L562" s="119"/>
      <c r="M562" s="119"/>
    </row>
    <row r="563" spans="1:14" s="110" customFormat="1" x14ac:dyDescent="0.35">
      <c r="A563" s="118" t="s">
        <v>434</v>
      </c>
      <c r="B563" s="118"/>
      <c r="C563" s="118"/>
      <c r="D563" s="118"/>
      <c r="E563" s="118"/>
      <c r="F563" s="118"/>
      <c r="G563" s="118"/>
      <c r="H563" s="118"/>
      <c r="I563" s="87"/>
      <c r="L563" s="119"/>
      <c r="M563" s="119"/>
    </row>
    <row r="564" spans="1:14" s="110" customFormat="1" x14ac:dyDescent="0.35">
      <c r="A564" s="120">
        <v>1</v>
      </c>
      <c r="B564" s="120"/>
      <c r="C564" s="121" t="s">
        <v>435</v>
      </c>
      <c r="D564" s="122"/>
      <c r="E564" s="122"/>
      <c r="F564" s="122"/>
      <c r="G564" s="122"/>
      <c r="H564" s="123"/>
      <c r="I564" s="32"/>
      <c r="J564" s="32"/>
      <c r="N564" s="32"/>
    </row>
    <row r="565" spans="1:14" s="110" customFormat="1" x14ac:dyDescent="0.35">
      <c r="A565" s="120">
        <f>A564+1</f>
        <v>2</v>
      </c>
      <c r="B565" s="120"/>
      <c r="C565" s="124"/>
      <c r="D565" s="125"/>
      <c r="E565" s="125"/>
      <c r="F565" s="125"/>
      <c r="G565" s="125"/>
      <c r="H565" s="126"/>
      <c r="I565" s="32"/>
      <c r="J565" s="32"/>
      <c r="N565" s="32"/>
    </row>
    <row r="566" spans="1:14" s="110" customFormat="1" x14ac:dyDescent="0.35">
      <c r="A566" s="120">
        <f t="shared" ref="A566:A567" si="158">A565+1</f>
        <v>3</v>
      </c>
      <c r="B566" s="120"/>
      <c r="C566" s="124"/>
      <c r="D566" s="125"/>
      <c r="E566" s="125"/>
      <c r="F566" s="125"/>
      <c r="G566" s="125"/>
      <c r="H566" s="126"/>
      <c r="I566" s="32"/>
      <c r="J566" s="32"/>
      <c r="N566" s="32"/>
    </row>
    <row r="567" spans="1:14" s="110" customFormat="1" x14ac:dyDescent="0.35">
      <c r="A567" s="120">
        <f t="shared" si="158"/>
        <v>4</v>
      </c>
      <c r="B567" s="120"/>
      <c r="C567" s="127"/>
      <c r="D567" s="128"/>
      <c r="E567" s="128"/>
      <c r="F567" s="128"/>
      <c r="G567" s="128"/>
      <c r="H567" s="129"/>
      <c r="I567" s="32"/>
      <c r="J567" s="32"/>
      <c r="N567" s="32"/>
    </row>
    <row r="568" spans="1:14" s="110" customFormat="1" x14ac:dyDescent="0.35">
      <c r="A568" s="120">
        <f t="shared" ref="A568:A569" si="159">A567+1</f>
        <v>5</v>
      </c>
      <c r="B568" s="120"/>
      <c r="C568" s="111" t="s">
        <v>476</v>
      </c>
      <c r="D568" s="97">
        <f>(282.83)*10.764</f>
        <v>3044.3821199999998</v>
      </c>
      <c r="E568" s="111">
        <v>0</v>
      </c>
      <c r="F568" s="111">
        <f>D568+E568</f>
        <v>3044.3821199999998</v>
      </c>
      <c r="G568" s="111">
        <v>0</v>
      </c>
      <c r="H568" s="111">
        <f>F568*(($H$190)+1)+(IF(G568&lt;101,G568,IF(G568&lt;201,G568/2,IF(G568&lt;=301,G568/3,G568/4))))</f>
        <v>4718.7922859999999</v>
      </c>
      <c r="I568" s="32"/>
      <c r="J568" s="32"/>
      <c r="N568" s="32"/>
    </row>
    <row r="569" spans="1:14" s="110" customFormat="1" x14ac:dyDescent="0.35">
      <c r="A569" s="120">
        <f t="shared" si="159"/>
        <v>6</v>
      </c>
      <c r="B569" s="120"/>
      <c r="C569" s="111" t="s">
        <v>476</v>
      </c>
      <c r="D569" s="97">
        <f>(282.4)*10.764</f>
        <v>3039.7535999999996</v>
      </c>
      <c r="E569" s="111">
        <v>0</v>
      </c>
      <c r="F569" s="111">
        <f>D569+E569</f>
        <v>3039.7535999999996</v>
      </c>
      <c r="G569" s="111">
        <v>0</v>
      </c>
      <c r="H569" s="111">
        <f>F569*(($H$190)+1)+(IF(G569&lt;101,G569,IF(G569&lt;201,G569/2,IF(G569&lt;=301,G569/3,G569/4))))</f>
        <v>4711.6180799999993</v>
      </c>
      <c r="I569" s="32"/>
      <c r="J569" s="32"/>
      <c r="N569" s="32"/>
    </row>
    <row r="570" spans="1:14" s="110" customFormat="1" x14ac:dyDescent="0.35">
      <c r="A570" s="118" t="s">
        <v>436</v>
      </c>
      <c r="B570" s="118"/>
      <c r="C570" s="118"/>
      <c r="D570" s="118"/>
      <c r="E570" s="118"/>
      <c r="F570" s="118"/>
      <c r="G570" s="118"/>
      <c r="H570" s="118"/>
      <c r="I570" s="87"/>
      <c r="L570" s="119"/>
      <c r="M570" s="119"/>
    </row>
    <row r="571" spans="1:14" s="110" customFormat="1" x14ac:dyDescent="0.35">
      <c r="A571" s="120">
        <v>1</v>
      </c>
      <c r="B571" s="120"/>
      <c r="C571" s="111" t="s">
        <v>477</v>
      </c>
      <c r="D571" s="97">
        <f>(174.93)*10.764</f>
        <v>1882.94652</v>
      </c>
      <c r="E571" s="97">
        <f>(6.448*1.8+0.61*0.38)*10.764</f>
        <v>127.42638479999999</v>
      </c>
      <c r="F571" s="111">
        <f t="shared" ref="F571:F576" si="160">D571+E571</f>
        <v>2010.3729048</v>
      </c>
      <c r="G571" s="111">
        <v>0</v>
      </c>
      <c r="H571" s="111">
        <f t="shared" ref="H571:H576" si="161">F571*(($H$190)+1)+(IF(G571&lt;101,G571,IF(G571&lt;201,G571/2,IF(G571&lt;=301,G571/3,G571/4))))</f>
        <v>3116.0780024400001</v>
      </c>
      <c r="I571" s="32"/>
      <c r="J571" s="32"/>
      <c r="N571" s="32"/>
    </row>
    <row r="572" spans="1:14" s="110" customFormat="1" x14ac:dyDescent="0.35">
      <c r="A572" s="120">
        <f>A571+1</f>
        <v>2</v>
      </c>
      <c r="B572" s="120"/>
      <c r="C572" s="111" t="s">
        <v>476</v>
      </c>
      <c r="D572" s="97">
        <f>(224.4)*10.764</f>
        <v>2415.4416000000001</v>
      </c>
      <c r="E572" s="97">
        <f>(6.448*1.8+0.61*0.38)*10.764</f>
        <v>127.42638479999999</v>
      </c>
      <c r="F572" s="111">
        <f t="shared" si="160"/>
        <v>2542.8679848000002</v>
      </c>
      <c r="G572" s="111">
        <v>0</v>
      </c>
      <c r="H572" s="111">
        <f t="shared" si="161"/>
        <v>3941.4453764400005</v>
      </c>
      <c r="I572" s="32"/>
      <c r="J572" s="32"/>
      <c r="N572" s="32"/>
    </row>
    <row r="573" spans="1:14" s="110" customFormat="1" x14ac:dyDescent="0.35">
      <c r="A573" s="120">
        <f t="shared" ref="A573:A576" si="162">A572+1</f>
        <v>3</v>
      </c>
      <c r="B573" s="120"/>
      <c r="C573" s="111" t="s">
        <v>476</v>
      </c>
      <c r="D573" s="97">
        <f>(224.4)*10.764</f>
        <v>2415.4416000000001</v>
      </c>
      <c r="E573" s="97">
        <f>(6.448*1.8+0.61*0.38)*10.764</f>
        <v>127.42638479999999</v>
      </c>
      <c r="F573" s="111">
        <f t="shared" si="160"/>
        <v>2542.8679848000002</v>
      </c>
      <c r="G573" s="111">
        <v>0</v>
      </c>
      <c r="H573" s="111">
        <f t="shared" si="161"/>
        <v>3941.4453764400005</v>
      </c>
      <c r="I573" s="32"/>
      <c r="J573" s="32"/>
      <c r="N573" s="32"/>
    </row>
    <row r="574" spans="1:14" s="110" customFormat="1" x14ac:dyDescent="0.35">
      <c r="A574" s="120">
        <f t="shared" si="162"/>
        <v>4</v>
      </c>
      <c r="B574" s="120"/>
      <c r="C574" s="111" t="s">
        <v>477</v>
      </c>
      <c r="D574" s="97">
        <f>(174.93)*10.764</f>
        <v>1882.94652</v>
      </c>
      <c r="E574" s="97">
        <f>(6.448*1.8+0.61*0.38)*10.764</f>
        <v>127.42638479999999</v>
      </c>
      <c r="F574" s="111">
        <f t="shared" si="160"/>
        <v>2010.3729048</v>
      </c>
      <c r="G574" s="111">
        <v>0</v>
      </c>
      <c r="H574" s="111">
        <f t="shared" si="161"/>
        <v>3116.0780024400001</v>
      </c>
      <c r="I574" s="32"/>
      <c r="J574" s="32"/>
      <c r="N574" s="32"/>
    </row>
    <row r="575" spans="1:14" s="110" customFormat="1" x14ac:dyDescent="0.35">
      <c r="A575" s="120">
        <f t="shared" si="162"/>
        <v>5</v>
      </c>
      <c r="B575" s="120"/>
      <c r="C575" s="111" t="s">
        <v>476</v>
      </c>
      <c r="D575" s="97">
        <f>(282.83)*10.764</f>
        <v>3044.3821199999998</v>
      </c>
      <c r="E575" s="97">
        <v>0</v>
      </c>
      <c r="F575" s="111">
        <f t="shared" si="160"/>
        <v>3044.3821199999998</v>
      </c>
      <c r="G575" s="111">
        <v>0</v>
      </c>
      <c r="H575" s="111">
        <f t="shared" si="161"/>
        <v>4718.7922859999999</v>
      </c>
      <c r="I575" s="32"/>
      <c r="J575" s="32"/>
      <c r="N575" s="32"/>
    </row>
    <row r="576" spans="1:14" s="110" customFormat="1" x14ac:dyDescent="0.35">
      <c r="A576" s="120">
        <f t="shared" si="162"/>
        <v>6</v>
      </c>
      <c r="B576" s="120"/>
      <c r="C576" s="111" t="s">
        <v>476</v>
      </c>
      <c r="D576" s="97">
        <f>(282.4)*10.764</f>
        <v>3039.7535999999996</v>
      </c>
      <c r="E576" s="97">
        <v>0</v>
      </c>
      <c r="F576" s="111">
        <f t="shared" si="160"/>
        <v>3039.7535999999996</v>
      </c>
      <c r="G576" s="111">
        <v>0</v>
      </c>
      <c r="H576" s="111">
        <f t="shared" si="161"/>
        <v>4711.6180799999993</v>
      </c>
      <c r="I576" s="32"/>
      <c r="J576" s="32"/>
      <c r="N576" s="32"/>
    </row>
    <row r="577" spans="1:14" s="110" customFormat="1" x14ac:dyDescent="0.35">
      <c r="A577" s="118" t="s">
        <v>437</v>
      </c>
      <c r="B577" s="118"/>
      <c r="C577" s="118"/>
      <c r="D577" s="118"/>
      <c r="E577" s="118"/>
      <c r="F577" s="118"/>
      <c r="G577" s="118"/>
      <c r="H577" s="118"/>
      <c r="I577" s="87"/>
      <c r="L577" s="119"/>
      <c r="M577" s="119"/>
    </row>
    <row r="578" spans="1:14" s="110" customFormat="1" x14ac:dyDescent="0.35">
      <c r="A578" s="120">
        <v>1</v>
      </c>
      <c r="B578" s="120"/>
      <c r="C578" s="115" t="s">
        <v>477</v>
      </c>
      <c r="D578" s="97">
        <f>(174.93)*10.764</f>
        <v>1882.94652</v>
      </c>
      <c r="E578" s="97">
        <f>(6.448*1.8+0.61*0.38)*10.764</f>
        <v>127.42638479999999</v>
      </c>
      <c r="F578" s="111">
        <f>D578+E578</f>
        <v>2010.3729048</v>
      </c>
      <c r="G578" s="111">
        <v>0</v>
      </c>
      <c r="H578" s="111">
        <f>F578*(($H$190)+1)+(IF(G578&lt;101,G578,IF(G578&lt;201,G578/2,IF(G578&lt;=301,G578/3,G578/4))))</f>
        <v>3116.0780024400001</v>
      </c>
      <c r="I578" s="32"/>
      <c r="J578" s="32"/>
      <c r="N578" s="32"/>
    </row>
    <row r="579" spans="1:14" s="110" customFormat="1" x14ac:dyDescent="0.35">
      <c r="A579" s="120">
        <f>A578+1</f>
        <v>2</v>
      </c>
      <c r="B579" s="120"/>
      <c r="C579" s="115" t="s">
        <v>476</v>
      </c>
      <c r="D579" s="97">
        <f>(224.4)*10.764</f>
        <v>2415.4416000000001</v>
      </c>
      <c r="E579" s="97">
        <f>(6.448*1.8+0.61*0.38)*10.764</f>
        <v>127.42638479999999</v>
      </c>
      <c r="F579" s="111">
        <f>D579+E579</f>
        <v>2542.8679848000002</v>
      </c>
      <c r="G579" s="111">
        <v>0</v>
      </c>
      <c r="H579" s="111">
        <f>F579*(($H$190)+1)+(IF(G579&lt;101,G579,IF(G579&lt;201,G579/2,IF(G579&lt;=301,G579/3,G579/4))))</f>
        <v>3941.4453764400005</v>
      </c>
      <c r="I579" s="32"/>
      <c r="J579" s="32"/>
      <c r="N579" s="32"/>
    </row>
    <row r="580" spans="1:14" s="110" customFormat="1" x14ac:dyDescent="0.35">
      <c r="A580" s="120">
        <f t="shared" ref="A580:A583" si="163">A579+1</f>
        <v>3</v>
      </c>
      <c r="B580" s="120"/>
      <c r="C580" s="121" t="s">
        <v>438</v>
      </c>
      <c r="D580" s="122"/>
      <c r="E580" s="122"/>
      <c r="F580" s="122"/>
      <c r="G580" s="122"/>
      <c r="H580" s="123"/>
      <c r="I580" s="32"/>
      <c r="J580" s="32"/>
      <c r="N580" s="32"/>
    </row>
    <row r="581" spans="1:14" s="110" customFormat="1" x14ac:dyDescent="0.35">
      <c r="A581" s="120">
        <f t="shared" si="163"/>
        <v>4</v>
      </c>
      <c r="B581" s="120"/>
      <c r="C581" s="127"/>
      <c r="D581" s="128"/>
      <c r="E581" s="128"/>
      <c r="F581" s="128"/>
      <c r="G581" s="128"/>
      <c r="H581" s="129"/>
      <c r="I581" s="32"/>
      <c r="J581" s="32"/>
      <c r="N581" s="32"/>
    </row>
    <row r="582" spans="1:14" s="110" customFormat="1" x14ac:dyDescent="0.35">
      <c r="A582" s="120">
        <f t="shared" si="163"/>
        <v>5</v>
      </c>
      <c r="B582" s="120"/>
      <c r="C582" s="115" t="s">
        <v>476</v>
      </c>
      <c r="D582" s="97">
        <f>(282.83)*10.764</f>
        <v>3044.3821199999998</v>
      </c>
      <c r="E582" s="111">
        <v>0</v>
      </c>
      <c r="F582" s="111">
        <f>D582+E582</f>
        <v>3044.3821199999998</v>
      </c>
      <c r="G582" s="111">
        <v>0</v>
      </c>
      <c r="H582" s="111">
        <f>F582*(($H$190)+1)+(IF(G582&lt;101,G582,IF(G582&lt;201,G582/2,IF(G582&lt;=301,G582/3,G582/4))))</f>
        <v>4718.7922859999999</v>
      </c>
      <c r="I582" s="32"/>
      <c r="J582" s="32"/>
      <c r="N582" s="32"/>
    </row>
    <row r="583" spans="1:14" s="110" customFormat="1" x14ac:dyDescent="0.35">
      <c r="A583" s="120">
        <f t="shared" si="163"/>
        <v>6</v>
      </c>
      <c r="B583" s="120"/>
      <c r="C583" s="115" t="s">
        <v>476</v>
      </c>
      <c r="D583" s="97">
        <f>(282.4)*10.764</f>
        <v>3039.7535999999996</v>
      </c>
      <c r="E583" s="111">
        <v>0</v>
      </c>
      <c r="F583" s="111">
        <f>D583+E583</f>
        <v>3039.7535999999996</v>
      </c>
      <c r="G583" s="111">
        <v>0</v>
      </c>
      <c r="H583" s="111">
        <f>F583*(($H$190)+1)+(IF(G583&lt;101,G583,IF(G583&lt;201,G583/2,IF(G583&lt;=301,G583/3,G583/4))))</f>
        <v>4711.6180799999993</v>
      </c>
      <c r="I583" s="32"/>
      <c r="J583" s="32"/>
      <c r="N583" s="32"/>
    </row>
    <row r="584" spans="1:14" s="110" customFormat="1" x14ac:dyDescent="0.35">
      <c r="A584" s="118" t="s">
        <v>439</v>
      </c>
      <c r="B584" s="118"/>
      <c r="C584" s="118"/>
      <c r="D584" s="118"/>
      <c r="E584" s="118"/>
      <c r="F584" s="118"/>
      <c r="G584" s="118"/>
      <c r="H584" s="118"/>
      <c r="I584" s="87"/>
      <c r="L584" s="119"/>
      <c r="M584" s="119"/>
    </row>
    <row r="585" spans="1:14" s="110" customFormat="1" x14ac:dyDescent="0.35">
      <c r="A585" s="120">
        <v>1</v>
      </c>
      <c r="B585" s="120"/>
      <c r="C585" s="115" t="s">
        <v>477</v>
      </c>
      <c r="D585" s="97">
        <f>(174.93)*10.764</f>
        <v>1882.94652</v>
      </c>
      <c r="E585" s="97">
        <f>(6.448*1.8+0.61*0.38)*10.764</f>
        <v>127.42638479999999</v>
      </c>
      <c r="F585" s="111">
        <f t="shared" ref="F585:F590" si="164">D585+E585</f>
        <v>2010.3729048</v>
      </c>
      <c r="G585" s="111">
        <v>0</v>
      </c>
      <c r="H585" s="111">
        <f t="shared" ref="H585:H590" si="165">F585*(($H$190)+1)+(IF(G585&lt;101,G585,IF(G585&lt;201,G585/2,IF(G585&lt;=301,G585/3,G585/4))))</f>
        <v>3116.0780024400001</v>
      </c>
      <c r="I585" s="32"/>
      <c r="J585" s="32"/>
      <c r="N585" s="32"/>
    </row>
    <row r="586" spans="1:14" s="110" customFormat="1" x14ac:dyDescent="0.35">
      <c r="A586" s="120">
        <f>A585+1</f>
        <v>2</v>
      </c>
      <c r="B586" s="120"/>
      <c r="C586" s="115" t="s">
        <v>476</v>
      </c>
      <c r="D586" s="97">
        <f>(224.4)*10.764</f>
        <v>2415.4416000000001</v>
      </c>
      <c r="E586" s="97">
        <f>(6.448*1.8+0.61*0.38)*10.764</f>
        <v>127.42638479999999</v>
      </c>
      <c r="F586" s="111">
        <f t="shared" si="164"/>
        <v>2542.8679848000002</v>
      </c>
      <c r="G586" s="111">
        <v>0</v>
      </c>
      <c r="H586" s="111">
        <f t="shared" si="165"/>
        <v>3941.4453764400005</v>
      </c>
      <c r="I586" s="32"/>
      <c r="J586" s="32"/>
      <c r="N586" s="32"/>
    </row>
    <row r="587" spans="1:14" s="110" customFormat="1" x14ac:dyDescent="0.35">
      <c r="A587" s="120">
        <f t="shared" ref="A587:A590" si="166">A586+1</f>
        <v>3</v>
      </c>
      <c r="B587" s="120"/>
      <c r="C587" s="115" t="s">
        <v>476</v>
      </c>
      <c r="D587" s="97">
        <f>(224.4)*10.764</f>
        <v>2415.4416000000001</v>
      </c>
      <c r="E587" s="97">
        <f>(6.448*1.8+0.61*0.38)*10.764</f>
        <v>127.42638479999999</v>
      </c>
      <c r="F587" s="111">
        <f t="shared" si="164"/>
        <v>2542.8679848000002</v>
      </c>
      <c r="G587" s="111">
        <v>0</v>
      </c>
      <c r="H587" s="111">
        <f t="shared" si="165"/>
        <v>3941.4453764400005</v>
      </c>
      <c r="I587" s="32"/>
      <c r="J587" s="32"/>
      <c r="N587" s="32"/>
    </row>
    <row r="588" spans="1:14" s="110" customFormat="1" x14ac:dyDescent="0.35">
      <c r="A588" s="120">
        <f t="shared" si="166"/>
        <v>4</v>
      </c>
      <c r="B588" s="120"/>
      <c r="C588" s="115" t="s">
        <v>477</v>
      </c>
      <c r="D588" s="97">
        <f>(174.93)*10.764</f>
        <v>1882.94652</v>
      </c>
      <c r="E588" s="97">
        <f>(6.448*1.8+0.61*0.38)*10.764</f>
        <v>127.42638479999999</v>
      </c>
      <c r="F588" s="111">
        <f t="shared" si="164"/>
        <v>2010.3729048</v>
      </c>
      <c r="G588" s="111">
        <v>0</v>
      </c>
      <c r="H588" s="111">
        <f t="shared" si="165"/>
        <v>3116.0780024400001</v>
      </c>
      <c r="I588" s="32"/>
      <c r="J588" s="32"/>
      <c r="N588" s="32"/>
    </row>
    <row r="589" spans="1:14" s="110" customFormat="1" x14ac:dyDescent="0.35">
      <c r="A589" s="120">
        <f t="shared" si="166"/>
        <v>5</v>
      </c>
      <c r="B589" s="120"/>
      <c r="C589" s="115" t="s">
        <v>476</v>
      </c>
      <c r="D589" s="97">
        <f>(282.83)*10.764</f>
        <v>3044.3821199999998</v>
      </c>
      <c r="E589" s="97">
        <v>0</v>
      </c>
      <c r="F589" s="111">
        <f t="shared" si="164"/>
        <v>3044.3821199999998</v>
      </c>
      <c r="G589" s="111">
        <v>0</v>
      </c>
      <c r="H589" s="111">
        <f t="shared" si="165"/>
        <v>4718.7922859999999</v>
      </c>
      <c r="I589" s="32"/>
      <c r="J589" s="32"/>
      <c r="N589" s="32"/>
    </row>
    <row r="590" spans="1:14" s="110" customFormat="1" x14ac:dyDescent="0.35">
      <c r="A590" s="120">
        <f t="shared" si="166"/>
        <v>6</v>
      </c>
      <c r="B590" s="120"/>
      <c r="C590" s="115" t="s">
        <v>476</v>
      </c>
      <c r="D590" s="97">
        <f>(282.4)*10.764</f>
        <v>3039.7535999999996</v>
      </c>
      <c r="E590" s="97">
        <v>0</v>
      </c>
      <c r="F590" s="111">
        <f t="shared" si="164"/>
        <v>3039.7535999999996</v>
      </c>
      <c r="G590" s="111">
        <v>0</v>
      </c>
      <c r="H590" s="111">
        <f t="shared" si="165"/>
        <v>4711.6180799999993</v>
      </c>
      <c r="I590" s="32"/>
      <c r="J590" s="32"/>
      <c r="N590" s="32"/>
    </row>
    <row r="591" spans="1:14" s="110" customFormat="1" x14ac:dyDescent="0.35">
      <c r="A591" s="118" t="s">
        <v>440</v>
      </c>
      <c r="B591" s="118"/>
      <c r="C591" s="118"/>
      <c r="D591" s="118"/>
      <c r="E591" s="118"/>
      <c r="F591" s="118"/>
      <c r="G591" s="118"/>
      <c r="H591" s="118"/>
      <c r="I591" s="87"/>
      <c r="L591" s="119"/>
      <c r="M591" s="119"/>
    </row>
    <row r="592" spans="1:14" s="110" customFormat="1" x14ac:dyDescent="0.35">
      <c r="A592" s="120">
        <v>1</v>
      </c>
      <c r="B592" s="120"/>
      <c r="C592" s="115" t="s">
        <v>477</v>
      </c>
      <c r="D592" s="97">
        <f>(174.93)*10.764</f>
        <v>1882.94652</v>
      </c>
      <c r="E592" s="97">
        <f>(6.448*1.8+0.61*0.38)*10.764</f>
        <v>127.42638479999999</v>
      </c>
      <c r="F592" s="111">
        <f>D592+E592</f>
        <v>2010.3729048</v>
      </c>
      <c r="G592" s="111">
        <v>0</v>
      </c>
      <c r="H592" s="111">
        <f>F592*(($H$190)+1)+(IF(G592&lt;101,G592,IF(G592&lt;201,G592/2,IF(G592&lt;=301,G592/3,G592/4))))</f>
        <v>3116.0780024400001</v>
      </c>
      <c r="I592" s="32"/>
      <c r="J592" s="32"/>
      <c r="N592" s="32"/>
    </row>
    <row r="593" spans="1:14" s="110" customFormat="1" x14ac:dyDescent="0.35">
      <c r="A593" s="120">
        <f>A592+1</f>
        <v>2</v>
      </c>
      <c r="B593" s="120"/>
      <c r="C593" s="115" t="s">
        <v>476</v>
      </c>
      <c r="D593" s="97">
        <f>(224.4)*10.764</f>
        <v>2415.4416000000001</v>
      </c>
      <c r="E593" s="97">
        <f>(6.448*1.8+0.61*0.38)*10.764</f>
        <v>127.42638479999999</v>
      </c>
      <c r="F593" s="111">
        <f>D593+E593</f>
        <v>2542.8679848000002</v>
      </c>
      <c r="G593" s="111">
        <v>0</v>
      </c>
      <c r="H593" s="111">
        <f>F593*(($H$190)+1)+(IF(G593&lt;101,G593,IF(G593&lt;201,G593/2,IF(G593&lt;=301,G593/3,G593/4))))</f>
        <v>3941.4453764400005</v>
      </c>
      <c r="I593" s="32"/>
      <c r="J593" s="32"/>
      <c r="N593" s="32"/>
    </row>
    <row r="594" spans="1:14" s="110" customFormat="1" x14ac:dyDescent="0.35">
      <c r="A594" s="120">
        <f t="shared" ref="A594:A597" si="167">A593+1</f>
        <v>3</v>
      </c>
      <c r="B594" s="120"/>
      <c r="C594" s="121" t="s">
        <v>438</v>
      </c>
      <c r="D594" s="122"/>
      <c r="E594" s="122"/>
      <c r="F594" s="122"/>
      <c r="G594" s="122"/>
      <c r="H594" s="123"/>
      <c r="I594" s="32"/>
      <c r="J594" s="32"/>
      <c r="N594" s="32"/>
    </row>
    <row r="595" spans="1:14" s="110" customFormat="1" x14ac:dyDescent="0.35">
      <c r="A595" s="120">
        <f t="shared" si="167"/>
        <v>4</v>
      </c>
      <c r="B595" s="120"/>
      <c r="C595" s="127"/>
      <c r="D595" s="128"/>
      <c r="E595" s="128"/>
      <c r="F595" s="128"/>
      <c r="G595" s="128"/>
      <c r="H595" s="129"/>
      <c r="I595" s="32"/>
      <c r="J595" s="32"/>
      <c r="N595" s="32"/>
    </row>
    <row r="596" spans="1:14" s="110" customFormat="1" x14ac:dyDescent="0.35">
      <c r="A596" s="120">
        <f t="shared" si="167"/>
        <v>5</v>
      </c>
      <c r="B596" s="120"/>
      <c r="C596" s="115" t="s">
        <v>476</v>
      </c>
      <c r="D596" s="97">
        <f>(282.83)*10.764</f>
        <v>3044.3821199999998</v>
      </c>
      <c r="E596" s="111">
        <v>0</v>
      </c>
      <c r="F596" s="111">
        <f>D596+E596</f>
        <v>3044.3821199999998</v>
      </c>
      <c r="G596" s="111">
        <v>0</v>
      </c>
      <c r="H596" s="111">
        <f>F596*(($H$190)+1)+(IF(G596&lt;101,G596,IF(G596&lt;201,G596/2,IF(G596&lt;=301,G596/3,G596/4))))</f>
        <v>4718.7922859999999</v>
      </c>
      <c r="I596" s="32"/>
      <c r="J596" s="32"/>
      <c r="N596" s="32"/>
    </row>
    <row r="597" spans="1:14" s="110" customFormat="1" x14ac:dyDescent="0.35">
      <c r="A597" s="120">
        <f t="shared" si="167"/>
        <v>6</v>
      </c>
      <c r="B597" s="120"/>
      <c r="C597" s="115" t="s">
        <v>476</v>
      </c>
      <c r="D597" s="97">
        <f>(282.4)*10.764</f>
        <v>3039.7535999999996</v>
      </c>
      <c r="E597" s="111">
        <v>0</v>
      </c>
      <c r="F597" s="111">
        <f>D597+E597</f>
        <v>3039.7535999999996</v>
      </c>
      <c r="G597" s="111">
        <v>0</v>
      </c>
      <c r="H597" s="111">
        <f>F597*(($H$190)+1)+(IF(G597&lt;101,G597,IF(G597&lt;201,G597/2,IF(G597&lt;=301,G597/3,G597/4))))</f>
        <v>4711.6180799999993</v>
      </c>
      <c r="I597" s="32"/>
      <c r="J597" s="32"/>
      <c r="N597" s="32"/>
    </row>
    <row r="598" spans="1:14" s="110" customFormat="1" x14ac:dyDescent="0.35">
      <c r="A598" s="118" t="s">
        <v>441</v>
      </c>
      <c r="B598" s="118"/>
      <c r="C598" s="118"/>
      <c r="D598" s="118"/>
      <c r="E598" s="118"/>
      <c r="F598" s="118"/>
      <c r="G598" s="118"/>
      <c r="H598" s="118"/>
      <c r="I598" s="87"/>
      <c r="L598" s="119"/>
      <c r="M598" s="119"/>
    </row>
    <row r="599" spans="1:14" s="110" customFormat="1" x14ac:dyDescent="0.35">
      <c r="A599" s="120">
        <v>1</v>
      </c>
      <c r="B599" s="120"/>
      <c r="C599" s="115" t="s">
        <v>477</v>
      </c>
      <c r="D599" s="97">
        <f>(175.04)*10.764</f>
        <v>1884.1305599999998</v>
      </c>
      <c r="E599" s="97">
        <f>(6.448*1.8+0.61*0.38)*10.764</f>
        <v>127.42638479999999</v>
      </c>
      <c r="F599" s="111">
        <f t="shared" ref="F599:F604" si="168">D599+E599</f>
        <v>2011.5569447999999</v>
      </c>
      <c r="G599" s="111">
        <v>0</v>
      </c>
      <c r="H599" s="111">
        <f t="shared" ref="H599:H604" si="169">F599*(($H$190)+1)+(IF(G599&lt;101,G599,IF(G599&lt;201,G599/2,IF(G599&lt;=301,G599/3,G599/4))))</f>
        <v>3117.9132644399997</v>
      </c>
      <c r="I599" s="32"/>
      <c r="J599" s="32"/>
      <c r="N599" s="32"/>
    </row>
    <row r="600" spans="1:14" s="110" customFormat="1" x14ac:dyDescent="0.35">
      <c r="A600" s="120">
        <f>A599+1</f>
        <v>2</v>
      </c>
      <c r="B600" s="120"/>
      <c r="C600" s="115" t="s">
        <v>476</v>
      </c>
      <c r="D600" s="97">
        <f>(224.52)*10.764</f>
        <v>2416.7332799999999</v>
      </c>
      <c r="E600" s="97">
        <f>(6.448*1.8+0.61*0.38)*10.764</f>
        <v>127.42638479999999</v>
      </c>
      <c r="F600" s="111">
        <f t="shared" si="168"/>
        <v>2544.1596648</v>
      </c>
      <c r="G600" s="111">
        <v>0</v>
      </c>
      <c r="H600" s="111">
        <f t="shared" si="169"/>
        <v>3943.4474804400002</v>
      </c>
      <c r="I600" s="32"/>
      <c r="J600" s="32"/>
      <c r="N600" s="32"/>
    </row>
    <row r="601" spans="1:14" s="110" customFormat="1" x14ac:dyDescent="0.35">
      <c r="A601" s="120">
        <f t="shared" ref="A601:A604" si="170">A600+1</f>
        <v>3</v>
      </c>
      <c r="B601" s="120"/>
      <c r="C601" s="115" t="s">
        <v>476</v>
      </c>
      <c r="D601" s="97">
        <f>(224.52)*10.764</f>
        <v>2416.7332799999999</v>
      </c>
      <c r="E601" s="97">
        <f>(6.448*1.8+0.61*0.38)*10.764</f>
        <v>127.42638479999999</v>
      </c>
      <c r="F601" s="111">
        <f t="shared" si="168"/>
        <v>2544.1596648</v>
      </c>
      <c r="G601" s="111">
        <v>0</v>
      </c>
      <c r="H601" s="111">
        <f t="shared" si="169"/>
        <v>3943.4474804400002</v>
      </c>
      <c r="I601" s="32"/>
      <c r="J601" s="32"/>
      <c r="N601" s="32"/>
    </row>
    <row r="602" spans="1:14" s="110" customFormat="1" x14ac:dyDescent="0.35">
      <c r="A602" s="120">
        <f t="shared" si="170"/>
        <v>4</v>
      </c>
      <c r="B602" s="120"/>
      <c r="C602" s="115" t="s">
        <v>477</v>
      </c>
      <c r="D602" s="97">
        <f>(175.04)*10.764</f>
        <v>1884.1305599999998</v>
      </c>
      <c r="E602" s="97">
        <f>(6.448*1.8+0.61*0.38)*10.764</f>
        <v>127.42638479999999</v>
      </c>
      <c r="F602" s="111">
        <f t="shared" si="168"/>
        <v>2011.5569447999999</v>
      </c>
      <c r="G602" s="111">
        <v>0</v>
      </c>
      <c r="H602" s="111">
        <f t="shared" si="169"/>
        <v>3117.9132644399997</v>
      </c>
      <c r="I602" s="32"/>
      <c r="J602" s="32"/>
      <c r="N602" s="32"/>
    </row>
    <row r="603" spans="1:14" s="110" customFormat="1" x14ac:dyDescent="0.35">
      <c r="A603" s="120">
        <f t="shared" si="170"/>
        <v>5</v>
      </c>
      <c r="B603" s="120"/>
      <c r="C603" s="115" t="s">
        <v>476</v>
      </c>
      <c r="D603" s="97">
        <f>(283.01)*10.764</f>
        <v>3046.3196399999997</v>
      </c>
      <c r="E603" s="97">
        <v>0</v>
      </c>
      <c r="F603" s="111">
        <f t="shared" si="168"/>
        <v>3046.3196399999997</v>
      </c>
      <c r="G603" s="111">
        <v>0</v>
      </c>
      <c r="H603" s="111">
        <f t="shared" si="169"/>
        <v>4721.7954419999996</v>
      </c>
      <c r="I603" s="32"/>
      <c r="J603" s="32"/>
      <c r="N603" s="32"/>
    </row>
    <row r="604" spans="1:14" s="110" customFormat="1" x14ac:dyDescent="0.35">
      <c r="A604" s="120">
        <f t="shared" si="170"/>
        <v>6</v>
      </c>
      <c r="B604" s="120"/>
      <c r="C604" s="115" t="s">
        <v>476</v>
      </c>
      <c r="D604" s="97">
        <f>(282.58)*10.764</f>
        <v>3041.6911199999995</v>
      </c>
      <c r="E604" s="97">
        <v>0</v>
      </c>
      <c r="F604" s="111">
        <f t="shared" si="168"/>
        <v>3041.6911199999995</v>
      </c>
      <c r="G604" s="111">
        <v>0</v>
      </c>
      <c r="H604" s="111">
        <f t="shared" si="169"/>
        <v>4714.621235999999</v>
      </c>
      <c r="I604" s="32"/>
      <c r="J604" s="32"/>
      <c r="N604" s="32"/>
    </row>
    <row r="605" spans="1:14" s="110" customFormat="1" x14ac:dyDescent="0.35">
      <c r="A605" s="118" t="s">
        <v>442</v>
      </c>
      <c r="B605" s="118"/>
      <c r="C605" s="118"/>
      <c r="D605" s="118"/>
      <c r="E605" s="118"/>
      <c r="F605" s="118"/>
      <c r="G605" s="118"/>
      <c r="H605" s="118"/>
      <c r="I605" s="87"/>
      <c r="L605" s="119"/>
      <c r="M605" s="119"/>
    </row>
    <row r="606" spans="1:14" s="110" customFormat="1" x14ac:dyDescent="0.35">
      <c r="A606" s="120">
        <v>1</v>
      </c>
      <c r="B606" s="120"/>
      <c r="C606" s="115" t="s">
        <v>477</v>
      </c>
      <c r="D606" s="97">
        <f>(175.04)*10.764</f>
        <v>1884.1305599999998</v>
      </c>
      <c r="E606" s="97">
        <f>(6.448*1.8+0.61*0.38)*10.764</f>
        <v>127.42638479999999</v>
      </c>
      <c r="F606" s="111">
        <f>D606+E606</f>
        <v>2011.5569447999999</v>
      </c>
      <c r="G606" s="111">
        <v>0</v>
      </c>
      <c r="H606" s="111">
        <f>F606*(($H$190)+1)+(IF(G606&lt;101,G606,IF(G606&lt;201,G606/2,IF(G606&lt;=301,G606/3,G606/4))))</f>
        <v>3117.9132644399997</v>
      </c>
      <c r="I606" s="32"/>
      <c r="J606" s="32"/>
      <c r="N606" s="32"/>
    </row>
    <row r="607" spans="1:14" s="110" customFormat="1" x14ac:dyDescent="0.35">
      <c r="A607" s="120">
        <f>A606+1</f>
        <v>2</v>
      </c>
      <c r="B607" s="120"/>
      <c r="C607" s="115" t="s">
        <v>476</v>
      </c>
      <c r="D607" s="97">
        <f>(224.52)*10.764</f>
        <v>2416.7332799999999</v>
      </c>
      <c r="E607" s="97">
        <f>(6.448*1.8+0.61*0.38)*10.764</f>
        <v>127.42638479999999</v>
      </c>
      <c r="F607" s="111">
        <f>D607+E607</f>
        <v>2544.1596648</v>
      </c>
      <c r="G607" s="111">
        <v>0</v>
      </c>
      <c r="H607" s="111">
        <f>F607*(($H$190)+1)+(IF(G607&lt;101,G607,IF(G607&lt;201,G607/2,IF(G607&lt;=301,G607/3,G607/4))))</f>
        <v>3943.4474804400002</v>
      </c>
      <c r="I607" s="32"/>
      <c r="J607" s="32"/>
      <c r="N607" s="32"/>
    </row>
    <row r="608" spans="1:14" s="110" customFormat="1" x14ac:dyDescent="0.35">
      <c r="A608" s="120">
        <f t="shared" ref="A608:A611" si="171">A607+1</f>
        <v>3</v>
      </c>
      <c r="B608" s="120"/>
      <c r="C608" s="121" t="s">
        <v>438</v>
      </c>
      <c r="D608" s="122"/>
      <c r="E608" s="122"/>
      <c r="F608" s="122"/>
      <c r="G608" s="122"/>
      <c r="H608" s="123"/>
      <c r="I608" s="32"/>
      <c r="J608" s="32"/>
      <c r="N608" s="32"/>
    </row>
    <row r="609" spans="1:14" s="110" customFormat="1" x14ac:dyDescent="0.35">
      <c r="A609" s="120">
        <f t="shared" si="171"/>
        <v>4</v>
      </c>
      <c r="B609" s="120"/>
      <c r="C609" s="127"/>
      <c r="D609" s="128"/>
      <c r="E609" s="128"/>
      <c r="F609" s="128"/>
      <c r="G609" s="128"/>
      <c r="H609" s="129"/>
      <c r="I609" s="32"/>
      <c r="J609" s="32"/>
      <c r="N609" s="32"/>
    </row>
    <row r="610" spans="1:14" s="110" customFormat="1" x14ac:dyDescent="0.35">
      <c r="A610" s="120">
        <f t="shared" si="171"/>
        <v>5</v>
      </c>
      <c r="B610" s="120"/>
      <c r="C610" s="115" t="s">
        <v>476</v>
      </c>
      <c r="D610" s="97">
        <f>(283.01)*10.764</f>
        <v>3046.3196399999997</v>
      </c>
      <c r="E610" s="111">
        <v>0</v>
      </c>
      <c r="F610" s="111">
        <f>D610+E610</f>
        <v>3046.3196399999997</v>
      </c>
      <c r="G610" s="111">
        <v>0</v>
      </c>
      <c r="H610" s="111">
        <f>F610*(($H$190)+1)+(IF(G610&lt;101,G610,IF(G610&lt;201,G610/2,IF(G610&lt;=301,G610/3,G610/4))))</f>
        <v>4721.7954419999996</v>
      </c>
      <c r="I610" s="32"/>
      <c r="J610" s="32"/>
      <c r="N610" s="32"/>
    </row>
    <row r="611" spans="1:14" s="110" customFormat="1" x14ac:dyDescent="0.35">
      <c r="A611" s="120">
        <f t="shared" si="171"/>
        <v>6</v>
      </c>
      <c r="B611" s="120"/>
      <c r="C611" s="115" t="s">
        <v>476</v>
      </c>
      <c r="D611" s="97">
        <f>(282.58)*10.764</f>
        <v>3041.6911199999995</v>
      </c>
      <c r="E611" s="111">
        <v>0</v>
      </c>
      <c r="F611" s="111">
        <f>D611+E611</f>
        <v>3041.6911199999995</v>
      </c>
      <c r="G611" s="111">
        <v>0</v>
      </c>
      <c r="H611" s="111">
        <f>F611*(($H$190)+1)+(IF(G611&lt;101,G611,IF(G611&lt;201,G611/2,IF(G611&lt;=301,G611/3,G611/4))))</f>
        <v>4714.621235999999</v>
      </c>
      <c r="I611" s="32"/>
      <c r="J611" s="32"/>
      <c r="N611" s="32"/>
    </row>
    <row r="612" spans="1:14" s="110" customFormat="1" x14ac:dyDescent="0.35">
      <c r="A612" s="118" t="s">
        <v>443</v>
      </c>
      <c r="B612" s="118"/>
      <c r="C612" s="118"/>
      <c r="D612" s="118"/>
      <c r="E612" s="118"/>
      <c r="F612" s="118"/>
      <c r="G612" s="118"/>
      <c r="H612" s="118"/>
      <c r="I612" s="87"/>
      <c r="L612" s="119"/>
      <c r="M612" s="119"/>
    </row>
    <row r="613" spans="1:14" s="110" customFormat="1" x14ac:dyDescent="0.35">
      <c r="A613" s="120">
        <v>1</v>
      </c>
      <c r="B613" s="120"/>
      <c r="C613" s="115" t="s">
        <v>477</v>
      </c>
      <c r="D613" s="97">
        <f>(175.04)*10.764</f>
        <v>1884.1305599999998</v>
      </c>
      <c r="E613" s="97">
        <f>(6.448*1.8+0.61*0.38)*10.764</f>
        <v>127.42638479999999</v>
      </c>
      <c r="F613" s="111">
        <f t="shared" ref="F613:F618" si="172">D613+E613</f>
        <v>2011.5569447999999</v>
      </c>
      <c r="G613" s="111">
        <v>0</v>
      </c>
      <c r="H613" s="111">
        <f t="shared" ref="H613:H618" si="173">F613*(($H$190)+1)+(IF(G613&lt;101,G613,IF(G613&lt;201,G613/2,IF(G613&lt;=301,G613/3,G613/4))))</f>
        <v>3117.9132644399997</v>
      </c>
      <c r="I613" s="32"/>
      <c r="J613" s="32"/>
      <c r="N613" s="32"/>
    </row>
    <row r="614" spans="1:14" s="110" customFormat="1" x14ac:dyDescent="0.35">
      <c r="A614" s="120">
        <f>A613+1</f>
        <v>2</v>
      </c>
      <c r="B614" s="120"/>
      <c r="C614" s="115" t="s">
        <v>476</v>
      </c>
      <c r="D614" s="97">
        <f>(224.52)*10.764</f>
        <v>2416.7332799999999</v>
      </c>
      <c r="E614" s="97">
        <f>(6.448*1.8+0.61*0.38)*10.764</f>
        <v>127.42638479999999</v>
      </c>
      <c r="F614" s="111">
        <f t="shared" si="172"/>
        <v>2544.1596648</v>
      </c>
      <c r="G614" s="111">
        <v>0</v>
      </c>
      <c r="H614" s="111">
        <f t="shared" si="173"/>
        <v>3943.4474804400002</v>
      </c>
      <c r="I614" s="32"/>
      <c r="J614" s="32"/>
      <c r="N614" s="32"/>
    </row>
    <row r="615" spans="1:14" s="110" customFormat="1" x14ac:dyDescent="0.35">
      <c r="A615" s="120">
        <f t="shared" ref="A615:A618" si="174">A614+1</f>
        <v>3</v>
      </c>
      <c r="B615" s="120"/>
      <c r="C615" s="115" t="s">
        <v>476</v>
      </c>
      <c r="D615" s="97">
        <f>(224.52)*10.764</f>
        <v>2416.7332799999999</v>
      </c>
      <c r="E615" s="97">
        <f>(6.448*1.8+0.61*0.38)*10.764</f>
        <v>127.42638479999999</v>
      </c>
      <c r="F615" s="111">
        <f t="shared" si="172"/>
        <v>2544.1596648</v>
      </c>
      <c r="G615" s="111">
        <v>0</v>
      </c>
      <c r="H615" s="111">
        <f t="shared" si="173"/>
        <v>3943.4474804400002</v>
      </c>
      <c r="I615" s="32"/>
      <c r="J615" s="32"/>
      <c r="N615" s="32"/>
    </row>
    <row r="616" spans="1:14" s="110" customFormat="1" x14ac:dyDescent="0.35">
      <c r="A616" s="120">
        <f t="shared" si="174"/>
        <v>4</v>
      </c>
      <c r="B616" s="120"/>
      <c r="C616" s="115" t="s">
        <v>477</v>
      </c>
      <c r="D616" s="97">
        <f>(175.04)*10.764</f>
        <v>1884.1305599999998</v>
      </c>
      <c r="E616" s="97">
        <f>(6.448*1.8+0.61*0.38)*10.764</f>
        <v>127.42638479999999</v>
      </c>
      <c r="F616" s="111">
        <f t="shared" si="172"/>
        <v>2011.5569447999999</v>
      </c>
      <c r="G616" s="111">
        <v>0</v>
      </c>
      <c r="H616" s="111">
        <f t="shared" si="173"/>
        <v>3117.9132644399997</v>
      </c>
      <c r="I616" s="32"/>
      <c r="J616" s="32"/>
      <c r="N616" s="32"/>
    </row>
    <row r="617" spans="1:14" s="110" customFormat="1" x14ac:dyDescent="0.35">
      <c r="A617" s="120">
        <f t="shared" si="174"/>
        <v>5</v>
      </c>
      <c r="B617" s="120"/>
      <c r="C617" s="115" t="s">
        <v>476</v>
      </c>
      <c r="D617" s="97">
        <f>(283.01)*10.764</f>
        <v>3046.3196399999997</v>
      </c>
      <c r="E617" s="97">
        <v>0</v>
      </c>
      <c r="F617" s="111">
        <f t="shared" si="172"/>
        <v>3046.3196399999997</v>
      </c>
      <c r="G617" s="111">
        <v>0</v>
      </c>
      <c r="H617" s="111">
        <f t="shared" si="173"/>
        <v>4721.7954419999996</v>
      </c>
      <c r="I617" s="32"/>
      <c r="J617" s="32"/>
      <c r="N617" s="32"/>
    </row>
    <row r="618" spans="1:14" s="110" customFormat="1" x14ac:dyDescent="0.35">
      <c r="A618" s="120">
        <f t="shared" si="174"/>
        <v>6</v>
      </c>
      <c r="B618" s="120"/>
      <c r="C618" s="115" t="s">
        <v>476</v>
      </c>
      <c r="D618" s="97">
        <f>(282.58)*10.764</f>
        <v>3041.6911199999995</v>
      </c>
      <c r="E618" s="97">
        <v>0</v>
      </c>
      <c r="F618" s="111">
        <f t="shared" si="172"/>
        <v>3041.6911199999995</v>
      </c>
      <c r="G618" s="111">
        <v>0</v>
      </c>
      <c r="H618" s="111">
        <f t="shared" si="173"/>
        <v>4714.621235999999</v>
      </c>
      <c r="I618" s="32"/>
      <c r="J618" s="32"/>
      <c r="N618" s="32"/>
    </row>
    <row r="619" spans="1:14" s="110" customFormat="1" x14ac:dyDescent="0.35">
      <c r="A619" s="118" t="s">
        <v>444</v>
      </c>
      <c r="B619" s="118"/>
      <c r="C619" s="118"/>
      <c r="D619" s="118"/>
      <c r="E619" s="118"/>
      <c r="F619" s="118"/>
      <c r="G619" s="118"/>
      <c r="H619" s="118"/>
      <c r="I619" s="87"/>
      <c r="L619" s="119"/>
      <c r="M619" s="119"/>
    </row>
    <row r="620" spans="1:14" s="110" customFormat="1" x14ac:dyDescent="0.35">
      <c r="A620" s="120">
        <v>1</v>
      </c>
      <c r="B620" s="120"/>
      <c r="C620" s="115" t="s">
        <v>477</v>
      </c>
      <c r="D620" s="97">
        <f>(175.04)*10.764</f>
        <v>1884.1305599999998</v>
      </c>
      <c r="E620" s="97">
        <f>(6.448*1.8+0.61*0.38)*10.764</f>
        <v>127.42638479999999</v>
      </c>
      <c r="F620" s="111">
        <f t="shared" ref="F620:F625" si="175">D620+E620</f>
        <v>2011.5569447999999</v>
      </c>
      <c r="G620" s="111">
        <v>0</v>
      </c>
      <c r="H620" s="111">
        <f t="shared" ref="H620:H625" si="176">F620*(($H$190)+1)+(IF(G620&lt;101,G620,IF(G620&lt;201,G620/2,IF(G620&lt;=301,G620/3,G620/4))))</f>
        <v>3117.9132644399997</v>
      </c>
      <c r="I620" s="32"/>
      <c r="J620" s="32"/>
      <c r="N620" s="32"/>
    </row>
    <row r="621" spans="1:14" s="110" customFormat="1" x14ac:dyDescent="0.35">
      <c r="A621" s="120">
        <f>A620+1</f>
        <v>2</v>
      </c>
      <c r="B621" s="120"/>
      <c r="C621" s="115" t="s">
        <v>476</v>
      </c>
      <c r="D621" s="97">
        <f>(224.52)*10.764</f>
        <v>2416.7332799999999</v>
      </c>
      <c r="E621" s="97">
        <f>(6.448*1.8+0.61*0.38)*10.764</f>
        <v>127.42638479999999</v>
      </c>
      <c r="F621" s="111">
        <f t="shared" si="175"/>
        <v>2544.1596648</v>
      </c>
      <c r="G621" s="111">
        <v>0</v>
      </c>
      <c r="H621" s="111">
        <f t="shared" si="176"/>
        <v>3943.4474804400002</v>
      </c>
      <c r="I621" s="32"/>
      <c r="J621" s="32"/>
      <c r="N621" s="32"/>
    </row>
    <row r="622" spans="1:14" s="110" customFormat="1" x14ac:dyDescent="0.35">
      <c r="A622" s="120">
        <f t="shared" ref="A622:A625" si="177">A621+1</f>
        <v>3</v>
      </c>
      <c r="B622" s="120"/>
      <c r="C622" s="115" t="s">
        <v>476</v>
      </c>
      <c r="D622" s="97">
        <f>(224.52)*10.764</f>
        <v>2416.7332799999999</v>
      </c>
      <c r="E622" s="97">
        <f>(6.448*1.8+0.61*0.38)*10.764</f>
        <v>127.42638479999999</v>
      </c>
      <c r="F622" s="111">
        <f t="shared" si="175"/>
        <v>2544.1596648</v>
      </c>
      <c r="G622" s="111">
        <v>0</v>
      </c>
      <c r="H622" s="111">
        <f t="shared" si="176"/>
        <v>3943.4474804400002</v>
      </c>
      <c r="I622" s="32"/>
      <c r="J622" s="32"/>
      <c r="N622" s="32"/>
    </row>
    <row r="623" spans="1:14" s="110" customFormat="1" x14ac:dyDescent="0.35">
      <c r="A623" s="120">
        <f t="shared" si="177"/>
        <v>4</v>
      </c>
      <c r="B623" s="120"/>
      <c r="C623" s="115" t="s">
        <v>477</v>
      </c>
      <c r="D623" s="97">
        <f>(175.04)*10.764</f>
        <v>1884.1305599999998</v>
      </c>
      <c r="E623" s="97">
        <f>(6.448*1.8+0.61*0.38)*10.764</f>
        <v>127.42638479999999</v>
      </c>
      <c r="F623" s="111">
        <f t="shared" si="175"/>
        <v>2011.5569447999999</v>
      </c>
      <c r="G623" s="111">
        <v>0</v>
      </c>
      <c r="H623" s="111">
        <f t="shared" si="176"/>
        <v>3117.9132644399997</v>
      </c>
      <c r="I623" s="32"/>
      <c r="J623" s="32"/>
      <c r="N623" s="32"/>
    </row>
    <row r="624" spans="1:14" s="110" customFormat="1" x14ac:dyDescent="0.35">
      <c r="A624" s="120">
        <f t="shared" si="177"/>
        <v>5</v>
      </c>
      <c r="B624" s="120"/>
      <c r="C624" s="115" t="s">
        <v>476</v>
      </c>
      <c r="D624" s="97">
        <f>(283.01)*10.764</f>
        <v>3046.3196399999997</v>
      </c>
      <c r="E624" s="97">
        <v>0</v>
      </c>
      <c r="F624" s="111">
        <f t="shared" si="175"/>
        <v>3046.3196399999997</v>
      </c>
      <c r="G624" s="111">
        <v>0</v>
      </c>
      <c r="H624" s="111">
        <f t="shared" si="176"/>
        <v>4721.7954419999996</v>
      </c>
      <c r="I624" s="32"/>
      <c r="J624" s="32"/>
      <c r="N624" s="32"/>
    </row>
    <row r="625" spans="1:14" s="110" customFormat="1" x14ac:dyDescent="0.35">
      <c r="A625" s="120">
        <f t="shared" si="177"/>
        <v>6</v>
      </c>
      <c r="B625" s="120"/>
      <c r="C625" s="115" t="s">
        <v>476</v>
      </c>
      <c r="D625" s="97">
        <f>(282.58)*10.764</f>
        <v>3041.6911199999995</v>
      </c>
      <c r="E625" s="97">
        <v>0</v>
      </c>
      <c r="F625" s="111">
        <f t="shared" si="175"/>
        <v>3041.6911199999995</v>
      </c>
      <c r="G625" s="111">
        <v>0</v>
      </c>
      <c r="H625" s="111">
        <f t="shared" si="176"/>
        <v>4714.621235999999</v>
      </c>
      <c r="I625" s="32"/>
      <c r="J625" s="32"/>
      <c r="N625" s="32"/>
    </row>
    <row r="626" spans="1:14" s="110" customFormat="1" x14ac:dyDescent="0.35">
      <c r="A626" s="118" t="s">
        <v>445</v>
      </c>
      <c r="B626" s="118"/>
      <c r="C626" s="118"/>
      <c r="D626" s="118"/>
      <c r="E626" s="118"/>
      <c r="F626" s="118"/>
      <c r="G626" s="118"/>
      <c r="H626" s="118"/>
      <c r="I626" s="87"/>
      <c r="L626" s="119"/>
      <c r="M626" s="119"/>
    </row>
    <row r="627" spans="1:14" s="110" customFormat="1" x14ac:dyDescent="0.35">
      <c r="A627" s="120">
        <v>1</v>
      </c>
      <c r="B627" s="120"/>
      <c r="C627" s="115" t="s">
        <v>477</v>
      </c>
      <c r="D627" s="97">
        <f>(175.04)*10.764</f>
        <v>1884.1305599999998</v>
      </c>
      <c r="E627" s="97">
        <f>(6.448*1.8+0.61*0.38)*10.764</f>
        <v>127.42638479999999</v>
      </c>
      <c r="F627" s="111">
        <f t="shared" ref="F627:F632" si="178">D627+E627</f>
        <v>2011.5569447999999</v>
      </c>
      <c r="G627" s="111">
        <v>0</v>
      </c>
      <c r="H627" s="111">
        <f t="shared" ref="H627:H632" si="179">F627*(($H$190)+1)+(IF(G627&lt;101,G627,IF(G627&lt;201,G627/2,IF(G627&lt;=301,G627/3,G627/4))))</f>
        <v>3117.9132644399997</v>
      </c>
      <c r="I627" s="32"/>
      <c r="J627" s="32"/>
      <c r="N627" s="32"/>
    </row>
    <row r="628" spans="1:14" s="110" customFormat="1" x14ac:dyDescent="0.35">
      <c r="A628" s="120">
        <f>A627+1</f>
        <v>2</v>
      </c>
      <c r="B628" s="120"/>
      <c r="C628" s="115" t="s">
        <v>476</v>
      </c>
      <c r="D628" s="97">
        <f>(224.52)*10.764</f>
        <v>2416.7332799999999</v>
      </c>
      <c r="E628" s="97">
        <f>(6.448*1.8+0.61*0.38)*10.764</f>
        <v>127.42638479999999</v>
      </c>
      <c r="F628" s="111">
        <f t="shared" si="178"/>
        <v>2544.1596648</v>
      </c>
      <c r="G628" s="111">
        <v>0</v>
      </c>
      <c r="H628" s="111">
        <f t="shared" si="179"/>
        <v>3943.4474804400002</v>
      </c>
      <c r="I628" s="32"/>
      <c r="J628" s="32"/>
      <c r="N628" s="32"/>
    </row>
    <row r="629" spans="1:14" s="110" customFormat="1" x14ac:dyDescent="0.35">
      <c r="A629" s="120">
        <f t="shared" ref="A629:A632" si="180">A628+1</f>
        <v>3</v>
      </c>
      <c r="B629" s="120"/>
      <c r="C629" s="115" t="s">
        <v>476</v>
      </c>
      <c r="D629" s="97">
        <f>(224.52)*10.764</f>
        <v>2416.7332799999999</v>
      </c>
      <c r="E629" s="97">
        <f>(6.448*1.8+0.61*0.38)*10.764</f>
        <v>127.42638479999999</v>
      </c>
      <c r="F629" s="111">
        <f t="shared" si="178"/>
        <v>2544.1596648</v>
      </c>
      <c r="G629" s="111">
        <v>0</v>
      </c>
      <c r="H629" s="111">
        <f t="shared" si="179"/>
        <v>3943.4474804400002</v>
      </c>
      <c r="I629" s="32"/>
      <c r="J629" s="32"/>
      <c r="N629" s="32"/>
    </row>
    <row r="630" spans="1:14" s="110" customFormat="1" x14ac:dyDescent="0.35">
      <c r="A630" s="120">
        <f t="shared" si="180"/>
        <v>4</v>
      </c>
      <c r="B630" s="120"/>
      <c r="C630" s="115" t="s">
        <v>477</v>
      </c>
      <c r="D630" s="97">
        <f>(175.04)*10.764</f>
        <v>1884.1305599999998</v>
      </c>
      <c r="E630" s="97">
        <f>(6.448*1.8+0.61*0.38)*10.764</f>
        <v>127.42638479999999</v>
      </c>
      <c r="F630" s="111">
        <f t="shared" si="178"/>
        <v>2011.5569447999999</v>
      </c>
      <c r="G630" s="111">
        <v>0</v>
      </c>
      <c r="H630" s="111">
        <f t="shared" si="179"/>
        <v>3117.9132644399997</v>
      </c>
      <c r="I630" s="32"/>
      <c r="J630" s="32"/>
      <c r="N630" s="32"/>
    </row>
    <row r="631" spans="1:14" s="110" customFormat="1" x14ac:dyDescent="0.35">
      <c r="A631" s="120">
        <f t="shared" si="180"/>
        <v>5</v>
      </c>
      <c r="B631" s="120"/>
      <c r="C631" s="115" t="s">
        <v>476</v>
      </c>
      <c r="D631" s="97">
        <f>(319.78)*10.764</f>
        <v>3442.1119199999994</v>
      </c>
      <c r="E631" s="97">
        <v>0</v>
      </c>
      <c r="F631" s="111">
        <f t="shared" si="178"/>
        <v>3442.1119199999994</v>
      </c>
      <c r="G631" s="111">
        <v>0</v>
      </c>
      <c r="H631" s="111">
        <f t="shared" si="179"/>
        <v>5335.2734759999994</v>
      </c>
      <c r="I631" s="32"/>
      <c r="J631" s="32"/>
      <c r="N631" s="32"/>
    </row>
    <row r="632" spans="1:14" s="110" customFormat="1" x14ac:dyDescent="0.35">
      <c r="A632" s="120">
        <f t="shared" si="180"/>
        <v>6</v>
      </c>
      <c r="B632" s="120"/>
      <c r="C632" s="115" t="s">
        <v>476</v>
      </c>
      <c r="D632" s="97">
        <f>(282.58)*10.764</f>
        <v>3041.6911199999995</v>
      </c>
      <c r="E632" s="97">
        <v>0</v>
      </c>
      <c r="F632" s="111">
        <f t="shared" si="178"/>
        <v>3041.6911199999995</v>
      </c>
      <c r="G632" s="111">
        <v>0</v>
      </c>
      <c r="H632" s="111">
        <f t="shared" si="179"/>
        <v>4714.621235999999</v>
      </c>
      <c r="I632" s="32"/>
      <c r="J632" s="32"/>
      <c r="N632" s="32"/>
    </row>
    <row r="633" spans="1:14" s="110" customFormat="1" x14ac:dyDescent="0.35">
      <c r="A633" s="118" t="s">
        <v>446</v>
      </c>
      <c r="B633" s="118"/>
      <c r="C633" s="118"/>
      <c r="D633" s="118"/>
      <c r="E633" s="118"/>
      <c r="F633" s="118"/>
      <c r="G633" s="118"/>
      <c r="H633" s="118"/>
      <c r="I633" s="87"/>
      <c r="L633" s="119"/>
      <c r="M633" s="119"/>
    </row>
    <row r="634" spans="1:14" s="110" customFormat="1" x14ac:dyDescent="0.35">
      <c r="A634" s="120">
        <v>1</v>
      </c>
      <c r="B634" s="120"/>
      <c r="C634" s="115" t="s">
        <v>477</v>
      </c>
      <c r="D634" s="97">
        <f>(175.04)*10.764</f>
        <v>1884.1305599999998</v>
      </c>
      <c r="E634" s="97">
        <f>(6.448*1.8+0.61*0.38)*10.764</f>
        <v>127.42638479999999</v>
      </c>
      <c r="F634" s="111">
        <f>D634+E634</f>
        <v>2011.5569447999999</v>
      </c>
      <c r="G634" s="111">
        <v>0</v>
      </c>
      <c r="H634" s="111">
        <f>F634*(($H$190)+1)+(IF(G634&lt;101,G634,IF(G634&lt;201,G634/2,IF(G634&lt;=301,G634/3,G634/4))))</f>
        <v>3117.9132644399997</v>
      </c>
      <c r="I634" s="32"/>
      <c r="J634" s="32"/>
      <c r="N634" s="32"/>
    </row>
    <row r="635" spans="1:14" s="110" customFormat="1" x14ac:dyDescent="0.35">
      <c r="A635" s="120">
        <f>A634+1</f>
        <v>2</v>
      </c>
      <c r="B635" s="120"/>
      <c r="C635" s="115" t="s">
        <v>476</v>
      </c>
      <c r="D635" s="97">
        <f>(224.52)*10.764</f>
        <v>2416.7332799999999</v>
      </c>
      <c r="E635" s="97">
        <f>(6.448*1.8+0.61*0.38)*10.764</f>
        <v>127.42638479999999</v>
      </c>
      <c r="F635" s="111">
        <f>D635+E635</f>
        <v>2544.1596648</v>
      </c>
      <c r="G635" s="111">
        <v>0</v>
      </c>
      <c r="H635" s="111">
        <f>F635*(($H$190)+1)+(IF(G635&lt;101,G635,IF(G635&lt;201,G635/2,IF(G635&lt;=301,G635/3,G635/4))))</f>
        <v>3943.4474804400002</v>
      </c>
      <c r="I635" s="32"/>
      <c r="J635" s="32"/>
      <c r="N635" s="32"/>
    </row>
    <row r="636" spans="1:14" s="110" customFormat="1" x14ac:dyDescent="0.35">
      <c r="A636" s="120">
        <f t="shared" ref="A636:A639" si="181">A635+1</f>
        <v>3</v>
      </c>
      <c r="B636" s="120"/>
      <c r="C636" s="121" t="s">
        <v>438</v>
      </c>
      <c r="D636" s="122"/>
      <c r="E636" s="122"/>
      <c r="F636" s="122"/>
      <c r="G636" s="122"/>
      <c r="H636" s="123"/>
      <c r="I636" s="32"/>
      <c r="J636" s="32"/>
      <c r="N636" s="32"/>
    </row>
    <row r="637" spans="1:14" s="110" customFormat="1" x14ac:dyDescent="0.35">
      <c r="A637" s="120">
        <f t="shared" si="181"/>
        <v>4</v>
      </c>
      <c r="B637" s="120"/>
      <c r="C637" s="127"/>
      <c r="D637" s="128"/>
      <c r="E637" s="128"/>
      <c r="F637" s="128"/>
      <c r="G637" s="128"/>
      <c r="H637" s="129"/>
      <c r="I637" s="32"/>
      <c r="J637" s="32"/>
      <c r="N637" s="32"/>
    </row>
    <row r="638" spans="1:14" s="110" customFormat="1" x14ac:dyDescent="0.35">
      <c r="A638" s="120">
        <f t="shared" si="181"/>
        <v>5</v>
      </c>
      <c r="B638" s="120"/>
      <c r="C638" s="115" t="s">
        <v>476</v>
      </c>
      <c r="D638" s="97">
        <f>(319.78)*10.764</f>
        <v>3442.1119199999994</v>
      </c>
      <c r="E638" s="111">
        <v>0</v>
      </c>
      <c r="F638" s="111">
        <f>D638+E638</f>
        <v>3442.1119199999994</v>
      </c>
      <c r="G638" s="111">
        <v>0</v>
      </c>
      <c r="H638" s="111">
        <f>F638*(($H$190)+1)+(IF(G638&lt;101,G638,IF(G638&lt;201,G638/2,IF(G638&lt;=301,G638/3,G638/4))))</f>
        <v>5335.2734759999994</v>
      </c>
      <c r="I638" s="32"/>
      <c r="J638" s="32"/>
      <c r="N638" s="32"/>
    </row>
    <row r="639" spans="1:14" s="110" customFormat="1" x14ac:dyDescent="0.35">
      <c r="A639" s="120">
        <f t="shared" si="181"/>
        <v>6</v>
      </c>
      <c r="B639" s="120"/>
      <c r="C639" s="115" t="s">
        <v>476</v>
      </c>
      <c r="D639" s="97">
        <f>(282.58)*10.764</f>
        <v>3041.6911199999995</v>
      </c>
      <c r="E639" s="111">
        <v>0</v>
      </c>
      <c r="F639" s="111">
        <f>D639+E639</f>
        <v>3041.6911199999995</v>
      </c>
      <c r="G639" s="111">
        <v>0</v>
      </c>
      <c r="H639" s="111">
        <f>F639*(($H$190)+1)+(IF(G639&lt;101,G639,IF(G639&lt;201,G639/2,IF(G639&lt;=301,G639/3,G639/4))))</f>
        <v>4714.621235999999</v>
      </c>
      <c r="I639" s="32"/>
      <c r="J639" s="32"/>
      <c r="N639" s="32"/>
    </row>
    <row r="640" spans="1:14" s="110" customFormat="1" x14ac:dyDescent="0.35">
      <c r="A640" s="118" t="s">
        <v>447</v>
      </c>
      <c r="B640" s="118"/>
      <c r="C640" s="118"/>
      <c r="D640" s="118"/>
      <c r="E640" s="118"/>
      <c r="F640" s="118"/>
      <c r="G640" s="118"/>
      <c r="H640" s="118"/>
      <c r="I640" s="87"/>
      <c r="L640" s="119"/>
      <c r="M640" s="119"/>
    </row>
    <row r="641" spans="1:14" s="110" customFormat="1" x14ac:dyDescent="0.35">
      <c r="A641" s="120">
        <v>1</v>
      </c>
      <c r="B641" s="120"/>
      <c r="C641" s="115" t="s">
        <v>477</v>
      </c>
      <c r="D641" s="97">
        <f>(175.04)*10.764</f>
        <v>1884.1305599999998</v>
      </c>
      <c r="E641" s="97">
        <f>(6.448*1.8+0.61*0.38)*10.764</f>
        <v>127.42638479999999</v>
      </c>
      <c r="F641" s="111">
        <f>D641+E641</f>
        <v>2011.5569447999999</v>
      </c>
      <c r="G641" s="111">
        <v>0</v>
      </c>
      <c r="H641" s="111">
        <f>F641*(($H$190)+1)+(IF(G641&lt;101,G641,IF(G641&lt;201,G641/2,IF(G641&lt;=301,G641/3,G641/4))))</f>
        <v>3117.9132644399997</v>
      </c>
      <c r="I641" s="32"/>
      <c r="J641" s="32"/>
      <c r="N641" s="32"/>
    </row>
    <row r="642" spans="1:14" s="110" customFormat="1" x14ac:dyDescent="0.35">
      <c r="A642" s="120">
        <f>A641+1</f>
        <v>2</v>
      </c>
      <c r="B642" s="120"/>
      <c r="C642" s="115" t="s">
        <v>476</v>
      </c>
      <c r="D642" s="97">
        <f>(224.52)*10.764</f>
        <v>2416.7332799999999</v>
      </c>
      <c r="E642" s="97">
        <f>(6.448*1.8+0.61*0.38)*10.764</f>
        <v>127.42638479999999</v>
      </c>
      <c r="F642" s="111">
        <f>D642+E642</f>
        <v>2544.1596648</v>
      </c>
      <c r="G642" s="111">
        <v>0</v>
      </c>
      <c r="H642" s="111">
        <f>F642*(($H$190)+1)+(IF(G642&lt;101,G642,IF(G642&lt;201,G642/2,IF(G642&lt;=301,G642/3,G642/4))))</f>
        <v>3943.4474804400002</v>
      </c>
      <c r="I642" s="32"/>
      <c r="J642" s="32"/>
      <c r="N642" s="32"/>
    </row>
    <row r="643" spans="1:14" s="110" customFormat="1" x14ac:dyDescent="0.35">
      <c r="A643" s="120">
        <f t="shared" ref="A643:A646" si="182">A642+1</f>
        <v>3</v>
      </c>
      <c r="B643" s="120"/>
      <c r="C643" s="121" t="s">
        <v>438</v>
      </c>
      <c r="D643" s="122"/>
      <c r="E643" s="122"/>
      <c r="F643" s="122"/>
      <c r="G643" s="122"/>
      <c r="H643" s="123"/>
      <c r="I643" s="32"/>
      <c r="J643" s="32"/>
      <c r="N643" s="32"/>
    </row>
    <row r="644" spans="1:14" s="110" customFormat="1" x14ac:dyDescent="0.35">
      <c r="A644" s="120">
        <f t="shared" si="182"/>
        <v>4</v>
      </c>
      <c r="B644" s="120"/>
      <c r="C644" s="127"/>
      <c r="D644" s="128"/>
      <c r="E644" s="128"/>
      <c r="F644" s="128"/>
      <c r="G644" s="128"/>
      <c r="H644" s="129"/>
      <c r="I644" s="32"/>
      <c r="J644" s="32"/>
      <c r="N644" s="32"/>
    </row>
    <row r="645" spans="1:14" s="110" customFormat="1" x14ac:dyDescent="0.35">
      <c r="A645" s="120">
        <f t="shared" si="182"/>
        <v>5</v>
      </c>
      <c r="B645" s="120"/>
      <c r="C645" s="115" t="s">
        <v>476</v>
      </c>
      <c r="D645" s="97">
        <f>(319.78)*10.764</f>
        <v>3442.1119199999994</v>
      </c>
      <c r="E645" s="111">
        <v>0</v>
      </c>
      <c r="F645" s="111">
        <f>D645+E645</f>
        <v>3442.1119199999994</v>
      </c>
      <c r="G645" s="111">
        <v>0</v>
      </c>
      <c r="H645" s="111">
        <f>F645*(($H$190)+1)+(IF(G645&lt;101,G645,IF(G645&lt;201,G645/2,IF(G645&lt;=301,G645/3,G645/4))))</f>
        <v>5335.2734759999994</v>
      </c>
      <c r="I645" s="32"/>
      <c r="J645" s="32"/>
      <c r="N645" s="32"/>
    </row>
    <row r="646" spans="1:14" s="110" customFormat="1" x14ac:dyDescent="0.35">
      <c r="A646" s="120">
        <f t="shared" si="182"/>
        <v>6</v>
      </c>
      <c r="B646" s="120"/>
      <c r="C646" s="115" t="s">
        <v>476</v>
      </c>
      <c r="D646" s="97">
        <f>(282.58)*10.764</f>
        <v>3041.6911199999995</v>
      </c>
      <c r="E646" s="111">
        <v>0</v>
      </c>
      <c r="F646" s="111">
        <f>D646+E646</f>
        <v>3041.6911199999995</v>
      </c>
      <c r="G646" s="111">
        <v>0</v>
      </c>
      <c r="H646" s="111">
        <f>F646*(($H$190)+1)+(IF(G646&lt;101,G646,IF(G646&lt;201,G646/2,IF(G646&lt;=301,G646/3,G646/4))))</f>
        <v>4714.621235999999</v>
      </c>
      <c r="I646" s="32"/>
      <c r="J646" s="32"/>
      <c r="N646" s="32"/>
    </row>
    <row r="647" spans="1:14" s="110" customFormat="1" x14ac:dyDescent="0.35">
      <c r="A647" s="118" t="s">
        <v>448</v>
      </c>
      <c r="B647" s="118"/>
      <c r="C647" s="118"/>
      <c r="D647" s="118"/>
      <c r="E647" s="118"/>
      <c r="F647" s="118"/>
      <c r="G647" s="118"/>
      <c r="H647" s="118"/>
      <c r="I647" s="87"/>
      <c r="L647" s="119"/>
      <c r="M647" s="119"/>
    </row>
    <row r="648" spans="1:14" s="110" customFormat="1" x14ac:dyDescent="0.35">
      <c r="A648" s="120">
        <v>1</v>
      </c>
      <c r="B648" s="120"/>
      <c r="C648" s="115" t="s">
        <v>477</v>
      </c>
      <c r="D648" s="97">
        <f>(175.04)*10.764</f>
        <v>1884.1305599999998</v>
      </c>
      <c r="E648" s="97">
        <f>(6.448*1.8+0.61*0.38)*10.764</f>
        <v>127.42638479999999</v>
      </c>
      <c r="F648" s="111">
        <f t="shared" ref="F648:F653" si="183">D648+E648</f>
        <v>2011.5569447999999</v>
      </c>
      <c r="G648" s="111">
        <v>0</v>
      </c>
      <c r="H648" s="111">
        <f t="shared" ref="H648:H653" si="184">F648*(($H$190)+1)+(IF(G648&lt;101,G648,IF(G648&lt;201,G648/2,IF(G648&lt;=301,G648/3,G648/4))))</f>
        <v>3117.9132644399997</v>
      </c>
      <c r="I648" s="32"/>
      <c r="J648" s="32"/>
      <c r="N648" s="32"/>
    </row>
    <row r="649" spans="1:14" s="110" customFormat="1" x14ac:dyDescent="0.35">
      <c r="A649" s="120">
        <f>A648+1</f>
        <v>2</v>
      </c>
      <c r="B649" s="120"/>
      <c r="C649" s="115" t="s">
        <v>476</v>
      </c>
      <c r="D649" s="97">
        <f>(224.52)*10.764</f>
        <v>2416.7332799999999</v>
      </c>
      <c r="E649" s="97">
        <f>(6.448*1.8+0.61*0.38)*10.764</f>
        <v>127.42638479999999</v>
      </c>
      <c r="F649" s="111">
        <f t="shared" si="183"/>
        <v>2544.1596648</v>
      </c>
      <c r="G649" s="111">
        <v>0</v>
      </c>
      <c r="H649" s="111">
        <f t="shared" si="184"/>
        <v>3943.4474804400002</v>
      </c>
      <c r="I649" s="32"/>
      <c r="J649" s="32"/>
      <c r="N649" s="32"/>
    </row>
    <row r="650" spans="1:14" s="110" customFormat="1" x14ac:dyDescent="0.35">
      <c r="A650" s="120">
        <f t="shared" ref="A650:A653" si="185">A649+1</f>
        <v>3</v>
      </c>
      <c r="B650" s="120"/>
      <c r="C650" s="115" t="s">
        <v>476</v>
      </c>
      <c r="D650" s="97">
        <f>(224.52)*10.764</f>
        <v>2416.7332799999999</v>
      </c>
      <c r="E650" s="97">
        <f>(6.448*1.8+0.61*0.38)*10.764</f>
        <v>127.42638479999999</v>
      </c>
      <c r="F650" s="111">
        <f t="shared" si="183"/>
        <v>2544.1596648</v>
      </c>
      <c r="G650" s="111">
        <v>0</v>
      </c>
      <c r="H650" s="111">
        <f t="shared" si="184"/>
        <v>3943.4474804400002</v>
      </c>
      <c r="I650" s="32"/>
      <c r="J650" s="32"/>
      <c r="N650" s="32"/>
    </row>
    <row r="651" spans="1:14" s="110" customFormat="1" x14ac:dyDescent="0.35">
      <c r="A651" s="120">
        <f t="shared" si="185"/>
        <v>4</v>
      </c>
      <c r="B651" s="120"/>
      <c r="C651" s="115" t="s">
        <v>477</v>
      </c>
      <c r="D651" s="97">
        <f>(175.04)*10.764</f>
        <v>1884.1305599999998</v>
      </c>
      <c r="E651" s="97">
        <f>(6.448*1.8+0.61*0.38)*10.764</f>
        <v>127.42638479999999</v>
      </c>
      <c r="F651" s="111">
        <f t="shared" si="183"/>
        <v>2011.5569447999999</v>
      </c>
      <c r="G651" s="111">
        <v>0</v>
      </c>
      <c r="H651" s="111">
        <f t="shared" si="184"/>
        <v>3117.9132644399997</v>
      </c>
      <c r="I651" s="32"/>
      <c r="J651" s="32"/>
      <c r="N651" s="32"/>
    </row>
    <row r="652" spans="1:14" s="110" customFormat="1" x14ac:dyDescent="0.35">
      <c r="A652" s="120">
        <f t="shared" si="185"/>
        <v>5</v>
      </c>
      <c r="B652" s="120"/>
      <c r="C652" s="115" t="s">
        <v>476</v>
      </c>
      <c r="D652" s="97">
        <f>(319.78)*10.764</f>
        <v>3442.1119199999994</v>
      </c>
      <c r="E652" s="97">
        <v>0</v>
      </c>
      <c r="F652" s="111">
        <f t="shared" si="183"/>
        <v>3442.1119199999994</v>
      </c>
      <c r="G652" s="111">
        <v>0</v>
      </c>
      <c r="H652" s="111">
        <f t="shared" si="184"/>
        <v>5335.2734759999994</v>
      </c>
      <c r="I652" s="32"/>
      <c r="J652" s="32"/>
      <c r="N652" s="32"/>
    </row>
    <row r="653" spans="1:14" s="110" customFormat="1" x14ac:dyDescent="0.35">
      <c r="A653" s="120">
        <f t="shared" si="185"/>
        <v>6</v>
      </c>
      <c r="B653" s="120"/>
      <c r="C653" s="115" t="s">
        <v>476</v>
      </c>
      <c r="D653" s="97">
        <f>(282.58)*10.764</f>
        <v>3041.6911199999995</v>
      </c>
      <c r="E653" s="97">
        <v>0</v>
      </c>
      <c r="F653" s="111">
        <f t="shared" si="183"/>
        <v>3041.6911199999995</v>
      </c>
      <c r="G653" s="111">
        <v>0</v>
      </c>
      <c r="H653" s="111">
        <f t="shared" si="184"/>
        <v>4714.621235999999</v>
      </c>
      <c r="I653" s="32"/>
      <c r="J653" s="32"/>
      <c r="N653" s="32"/>
    </row>
    <row r="654" spans="1:14" s="110" customFormat="1" x14ac:dyDescent="0.35">
      <c r="A654" s="118" t="s">
        <v>449</v>
      </c>
      <c r="B654" s="118"/>
      <c r="C654" s="118"/>
      <c r="D654" s="118"/>
      <c r="E654" s="118"/>
      <c r="F654" s="118"/>
      <c r="G654" s="118"/>
      <c r="H654" s="118"/>
      <c r="I654" s="87"/>
      <c r="L654" s="119"/>
      <c r="M654" s="119"/>
    </row>
    <row r="655" spans="1:14" s="110" customFormat="1" x14ac:dyDescent="0.35">
      <c r="A655" s="120">
        <v>1</v>
      </c>
      <c r="B655" s="120"/>
      <c r="C655" s="115" t="s">
        <v>477</v>
      </c>
      <c r="D655" s="97">
        <f>(175.37)*10.764</f>
        <v>1887.6826799999999</v>
      </c>
      <c r="E655" s="97">
        <f>(6.448*1.8+0.61*0.38)*10.764</f>
        <v>127.42638479999999</v>
      </c>
      <c r="F655" s="111">
        <f t="shared" ref="F655:F660" si="186">D655+E655</f>
        <v>2015.1090647999999</v>
      </c>
      <c r="G655" s="111">
        <v>0</v>
      </c>
      <c r="H655" s="111">
        <f t="shared" ref="H655:H660" si="187">F655*(($H$190)+1)+(IF(G655&lt;101,G655,IF(G655&lt;201,G655/2,IF(G655&lt;=301,G655/3,G655/4))))</f>
        <v>3123.4190504399999</v>
      </c>
      <c r="I655" s="32"/>
      <c r="J655" s="32"/>
      <c r="N655" s="32"/>
    </row>
    <row r="656" spans="1:14" s="110" customFormat="1" x14ac:dyDescent="0.35">
      <c r="A656" s="120">
        <f>A655+1</f>
        <v>2</v>
      </c>
      <c r="B656" s="120"/>
      <c r="C656" s="115" t="s">
        <v>476</v>
      </c>
      <c r="D656" s="97">
        <f>(224.52)*10.764</f>
        <v>2416.7332799999999</v>
      </c>
      <c r="E656" s="97">
        <f>(6.448*1.8+0.61*0.38)*10.764</f>
        <v>127.42638479999999</v>
      </c>
      <c r="F656" s="111">
        <f t="shared" si="186"/>
        <v>2544.1596648</v>
      </c>
      <c r="G656" s="111">
        <v>0</v>
      </c>
      <c r="H656" s="111">
        <f t="shared" si="187"/>
        <v>3943.4474804400002</v>
      </c>
      <c r="I656" s="32"/>
      <c r="J656" s="32"/>
      <c r="N656" s="32"/>
    </row>
    <row r="657" spans="1:14" s="110" customFormat="1" x14ac:dyDescent="0.35">
      <c r="A657" s="120">
        <f t="shared" ref="A657:A660" si="188">A656+1</f>
        <v>3</v>
      </c>
      <c r="B657" s="120"/>
      <c r="C657" s="115" t="s">
        <v>476</v>
      </c>
      <c r="D657" s="97">
        <f>(224.52)*10.764</f>
        <v>2416.7332799999999</v>
      </c>
      <c r="E657" s="97">
        <f>(6.448*1.8+0.61*0.38)*10.764</f>
        <v>127.42638479999999</v>
      </c>
      <c r="F657" s="111">
        <f t="shared" si="186"/>
        <v>2544.1596648</v>
      </c>
      <c r="G657" s="111">
        <v>0</v>
      </c>
      <c r="H657" s="111">
        <f t="shared" si="187"/>
        <v>3943.4474804400002</v>
      </c>
      <c r="I657" s="32"/>
      <c r="J657" s="32"/>
      <c r="N657" s="32"/>
    </row>
    <row r="658" spans="1:14" s="110" customFormat="1" x14ac:dyDescent="0.35">
      <c r="A658" s="120">
        <f t="shared" si="188"/>
        <v>4</v>
      </c>
      <c r="B658" s="120"/>
      <c r="C658" s="115" t="s">
        <v>477</v>
      </c>
      <c r="D658" s="97">
        <f>(175.37)*10.764</f>
        <v>1887.6826799999999</v>
      </c>
      <c r="E658" s="97">
        <f>(6.448*1.8+0.61*0.38)*10.764</f>
        <v>127.42638479999999</v>
      </c>
      <c r="F658" s="111">
        <f t="shared" si="186"/>
        <v>2015.1090647999999</v>
      </c>
      <c r="G658" s="111">
        <v>0</v>
      </c>
      <c r="H658" s="111">
        <f t="shared" si="187"/>
        <v>3123.4190504399999</v>
      </c>
      <c r="I658" s="32"/>
      <c r="J658" s="32"/>
      <c r="N658" s="32"/>
    </row>
    <row r="659" spans="1:14" s="110" customFormat="1" x14ac:dyDescent="0.35">
      <c r="A659" s="120">
        <f t="shared" si="188"/>
        <v>5</v>
      </c>
      <c r="B659" s="120"/>
      <c r="C659" s="115" t="s">
        <v>476</v>
      </c>
      <c r="D659" s="97">
        <f>(320.35)*10.764</f>
        <v>3448.2474000000002</v>
      </c>
      <c r="E659" s="97">
        <v>0</v>
      </c>
      <c r="F659" s="111">
        <f t="shared" si="186"/>
        <v>3448.2474000000002</v>
      </c>
      <c r="G659" s="111">
        <v>0</v>
      </c>
      <c r="H659" s="111">
        <f t="shared" si="187"/>
        <v>5344.7834700000003</v>
      </c>
      <c r="I659" s="32"/>
      <c r="J659" s="32"/>
      <c r="N659" s="32"/>
    </row>
    <row r="660" spans="1:14" s="110" customFormat="1" x14ac:dyDescent="0.35">
      <c r="A660" s="120">
        <f t="shared" si="188"/>
        <v>6</v>
      </c>
      <c r="B660" s="120"/>
      <c r="C660" s="115" t="s">
        <v>476</v>
      </c>
      <c r="D660" s="97">
        <f>(283.12)*10.764</f>
        <v>3047.5036799999998</v>
      </c>
      <c r="E660" s="97">
        <v>0</v>
      </c>
      <c r="F660" s="111">
        <f t="shared" si="186"/>
        <v>3047.5036799999998</v>
      </c>
      <c r="G660" s="111">
        <v>0</v>
      </c>
      <c r="H660" s="111">
        <f t="shared" si="187"/>
        <v>4723.6307040000002</v>
      </c>
      <c r="I660" s="32"/>
      <c r="J660" s="32"/>
      <c r="N660" s="32"/>
    </row>
    <row r="661" spans="1:14" s="110" customFormat="1" x14ac:dyDescent="0.35">
      <c r="A661" s="118" t="s">
        <v>450</v>
      </c>
      <c r="B661" s="118"/>
      <c r="C661" s="118"/>
      <c r="D661" s="118"/>
      <c r="E661" s="118"/>
      <c r="F661" s="118"/>
      <c r="G661" s="118"/>
      <c r="H661" s="118"/>
      <c r="I661" s="87"/>
      <c r="L661" s="119"/>
      <c r="M661" s="119"/>
    </row>
    <row r="662" spans="1:14" s="110" customFormat="1" x14ac:dyDescent="0.35">
      <c r="A662" s="120">
        <v>1</v>
      </c>
      <c r="B662" s="120"/>
      <c r="C662" s="115" t="s">
        <v>477</v>
      </c>
      <c r="D662" s="97">
        <f>(175.37)*10.764</f>
        <v>1887.6826799999999</v>
      </c>
      <c r="E662" s="97">
        <f>(6.448*1.8+0.61*0.38)*10.764</f>
        <v>127.42638479999999</v>
      </c>
      <c r="F662" s="111">
        <f>D662+E662</f>
        <v>2015.1090647999999</v>
      </c>
      <c r="G662" s="111">
        <v>0</v>
      </c>
      <c r="H662" s="111">
        <f>F662*(($H$190)+1)+(IF(G662&lt;101,G662,IF(G662&lt;201,G662/2,IF(G662&lt;=301,G662/3,G662/4))))</f>
        <v>3123.4190504399999</v>
      </c>
      <c r="I662" s="32"/>
      <c r="J662" s="32"/>
      <c r="N662" s="32"/>
    </row>
    <row r="663" spans="1:14" s="110" customFormat="1" x14ac:dyDescent="0.35">
      <c r="A663" s="120">
        <f>A662+1</f>
        <v>2</v>
      </c>
      <c r="B663" s="120"/>
      <c r="C663" s="115" t="s">
        <v>476</v>
      </c>
      <c r="D663" s="97">
        <f>(224.52)*10.764</f>
        <v>2416.7332799999999</v>
      </c>
      <c r="E663" s="97">
        <f>(6.448*1.8+0.61*0.38)*10.764</f>
        <v>127.42638479999999</v>
      </c>
      <c r="F663" s="111">
        <f>D663+E663</f>
        <v>2544.1596648</v>
      </c>
      <c r="G663" s="111">
        <v>0</v>
      </c>
      <c r="H663" s="111">
        <f>F663*(($H$190)+1)+(IF(G663&lt;101,G663,IF(G663&lt;201,G663/2,IF(G663&lt;=301,G663/3,G663/4))))</f>
        <v>3943.4474804400002</v>
      </c>
      <c r="I663" s="32"/>
      <c r="J663" s="32"/>
      <c r="N663" s="32"/>
    </row>
    <row r="664" spans="1:14" s="110" customFormat="1" x14ac:dyDescent="0.35">
      <c r="A664" s="120">
        <f t="shared" ref="A664:A667" si="189">A663+1</f>
        <v>3</v>
      </c>
      <c r="B664" s="120"/>
      <c r="C664" s="121" t="s">
        <v>438</v>
      </c>
      <c r="D664" s="122"/>
      <c r="E664" s="122"/>
      <c r="F664" s="122"/>
      <c r="G664" s="122"/>
      <c r="H664" s="123"/>
      <c r="I664" s="32"/>
      <c r="J664" s="32"/>
      <c r="N664" s="32"/>
    </row>
    <row r="665" spans="1:14" s="110" customFormat="1" x14ac:dyDescent="0.35">
      <c r="A665" s="120">
        <f t="shared" si="189"/>
        <v>4</v>
      </c>
      <c r="B665" s="120"/>
      <c r="C665" s="127"/>
      <c r="D665" s="128"/>
      <c r="E665" s="128"/>
      <c r="F665" s="128"/>
      <c r="G665" s="128"/>
      <c r="H665" s="129"/>
      <c r="I665" s="32"/>
      <c r="J665" s="32"/>
      <c r="N665" s="32"/>
    </row>
    <row r="666" spans="1:14" s="110" customFormat="1" x14ac:dyDescent="0.35">
      <c r="A666" s="120">
        <f t="shared" si="189"/>
        <v>5</v>
      </c>
      <c r="B666" s="120"/>
      <c r="C666" s="115" t="s">
        <v>476</v>
      </c>
      <c r="D666" s="97">
        <f>(320.35)*10.764</f>
        <v>3448.2474000000002</v>
      </c>
      <c r="E666" s="111">
        <v>0</v>
      </c>
      <c r="F666" s="111">
        <f>D666+E666</f>
        <v>3448.2474000000002</v>
      </c>
      <c r="G666" s="111">
        <v>0</v>
      </c>
      <c r="H666" s="111">
        <f>F666*(($H$190)+1)+(IF(G666&lt;101,G666,IF(G666&lt;201,G666/2,IF(G666&lt;=301,G666/3,G666/4))))</f>
        <v>5344.7834700000003</v>
      </c>
      <c r="I666" s="32"/>
      <c r="J666" s="32"/>
      <c r="N666" s="32"/>
    </row>
    <row r="667" spans="1:14" s="110" customFormat="1" x14ac:dyDescent="0.35">
      <c r="A667" s="120">
        <f t="shared" si="189"/>
        <v>6</v>
      </c>
      <c r="B667" s="120"/>
      <c r="C667" s="115" t="s">
        <v>476</v>
      </c>
      <c r="D667" s="97">
        <f>(283.12)*10.764</f>
        <v>3047.5036799999998</v>
      </c>
      <c r="E667" s="111">
        <v>0</v>
      </c>
      <c r="F667" s="111">
        <f>D667+E667</f>
        <v>3047.5036799999998</v>
      </c>
      <c r="G667" s="111">
        <v>0</v>
      </c>
      <c r="H667" s="111">
        <f>F667*(($H$190)+1)+(IF(G667&lt;101,G667,IF(G667&lt;201,G667/2,IF(G667&lt;=301,G667/3,G667/4))))</f>
        <v>4723.6307040000002</v>
      </c>
      <c r="I667" s="32"/>
      <c r="J667" s="32"/>
      <c r="N667" s="32"/>
    </row>
    <row r="668" spans="1:14" s="110" customFormat="1" x14ac:dyDescent="0.35">
      <c r="A668" s="118" t="s">
        <v>451</v>
      </c>
      <c r="B668" s="118"/>
      <c r="C668" s="118"/>
      <c r="D668" s="118"/>
      <c r="E668" s="118"/>
      <c r="F668" s="118"/>
      <c r="G668" s="118"/>
      <c r="H668" s="118"/>
      <c r="I668" s="87"/>
      <c r="L668" s="119"/>
      <c r="M668" s="119"/>
    </row>
    <row r="669" spans="1:14" s="110" customFormat="1" x14ac:dyDescent="0.35">
      <c r="A669" s="120">
        <v>1</v>
      </c>
      <c r="B669" s="120"/>
      <c r="C669" s="115" t="s">
        <v>477</v>
      </c>
      <c r="D669" s="97">
        <f>(175.37)*10.764</f>
        <v>1887.6826799999999</v>
      </c>
      <c r="E669" s="97">
        <f>(6.448*1.8+0.61*0.38)*10.764</f>
        <v>127.42638479999999</v>
      </c>
      <c r="F669" s="111">
        <f t="shared" ref="F669:F674" si="190">D669+E669</f>
        <v>2015.1090647999999</v>
      </c>
      <c r="G669" s="111">
        <v>0</v>
      </c>
      <c r="H669" s="111">
        <f t="shared" ref="H669:H674" si="191">F669*(($H$190)+1)+(IF(G669&lt;101,G669,IF(G669&lt;201,G669/2,IF(G669&lt;=301,G669/3,G669/4))))</f>
        <v>3123.4190504399999</v>
      </c>
      <c r="I669" s="32"/>
      <c r="J669" s="32"/>
      <c r="N669" s="32"/>
    </row>
    <row r="670" spans="1:14" s="110" customFormat="1" x14ac:dyDescent="0.35">
      <c r="A670" s="120">
        <f>A669+1</f>
        <v>2</v>
      </c>
      <c r="B670" s="120"/>
      <c r="C670" s="115" t="s">
        <v>476</v>
      </c>
      <c r="D670" s="97">
        <f>(224.52)*10.764</f>
        <v>2416.7332799999999</v>
      </c>
      <c r="E670" s="97">
        <f>(6.448*1.8+0.61*0.38)*10.764</f>
        <v>127.42638479999999</v>
      </c>
      <c r="F670" s="111">
        <f t="shared" si="190"/>
        <v>2544.1596648</v>
      </c>
      <c r="G670" s="111">
        <v>0</v>
      </c>
      <c r="H670" s="111">
        <f t="shared" si="191"/>
        <v>3943.4474804400002</v>
      </c>
      <c r="I670" s="32"/>
      <c r="J670" s="32"/>
      <c r="N670" s="32"/>
    </row>
    <row r="671" spans="1:14" s="110" customFormat="1" x14ac:dyDescent="0.35">
      <c r="A671" s="120">
        <f t="shared" ref="A671:A674" si="192">A670+1</f>
        <v>3</v>
      </c>
      <c r="B671" s="120"/>
      <c r="C671" s="115" t="s">
        <v>476</v>
      </c>
      <c r="D671" s="97">
        <f>(224.52)*10.764</f>
        <v>2416.7332799999999</v>
      </c>
      <c r="E671" s="97">
        <f>(6.448*1.8+0.61*0.38)*10.764</f>
        <v>127.42638479999999</v>
      </c>
      <c r="F671" s="111">
        <f t="shared" si="190"/>
        <v>2544.1596648</v>
      </c>
      <c r="G671" s="111">
        <v>0</v>
      </c>
      <c r="H671" s="111">
        <f t="shared" si="191"/>
        <v>3943.4474804400002</v>
      </c>
      <c r="I671" s="32"/>
      <c r="J671" s="32"/>
      <c r="N671" s="32"/>
    </row>
    <row r="672" spans="1:14" s="110" customFormat="1" x14ac:dyDescent="0.35">
      <c r="A672" s="120">
        <f t="shared" si="192"/>
        <v>4</v>
      </c>
      <c r="B672" s="120"/>
      <c r="C672" s="115" t="s">
        <v>477</v>
      </c>
      <c r="D672" s="97">
        <f>(175.37)*10.764</f>
        <v>1887.6826799999999</v>
      </c>
      <c r="E672" s="97">
        <f>(6.448*1.8+0.61*0.38)*10.764</f>
        <v>127.42638479999999</v>
      </c>
      <c r="F672" s="111">
        <f t="shared" si="190"/>
        <v>2015.1090647999999</v>
      </c>
      <c r="G672" s="111">
        <v>0</v>
      </c>
      <c r="H672" s="111">
        <f t="shared" si="191"/>
        <v>3123.4190504399999</v>
      </c>
      <c r="I672" s="32"/>
      <c r="J672" s="32"/>
      <c r="N672" s="32"/>
    </row>
    <row r="673" spans="1:14" s="110" customFormat="1" x14ac:dyDescent="0.35">
      <c r="A673" s="120">
        <f t="shared" si="192"/>
        <v>5</v>
      </c>
      <c r="B673" s="120"/>
      <c r="C673" s="115" t="s">
        <v>476</v>
      </c>
      <c r="D673" s="97">
        <f>(320.35)*10.764</f>
        <v>3448.2474000000002</v>
      </c>
      <c r="E673" s="97">
        <v>0</v>
      </c>
      <c r="F673" s="111">
        <f t="shared" si="190"/>
        <v>3448.2474000000002</v>
      </c>
      <c r="G673" s="111">
        <v>0</v>
      </c>
      <c r="H673" s="111">
        <f t="shared" si="191"/>
        <v>5344.7834700000003</v>
      </c>
      <c r="I673" s="32"/>
      <c r="J673" s="32"/>
      <c r="N673" s="32"/>
    </row>
    <row r="674" spans="1:14" s="110" customFormat="1" x14ac:dyDescent="0.35">
      <c r="A674" s="120">
        <f t="shared" si="192"/>
        <v>6</v>
      </c>
      <c r="B674" s="120"/>
      <c r="C674" s="115" t="s">
        <v>476</v>
      </c>
      <c r="D674" s="97">
        <f>(283.12)*10.764</f>
        <v>3047.5036799999998</v>
      </c>
      <c r="E674" s="97">
        <v>0</v>
      </c>
      <c r="F674" s="111">
        <f t="shared" si="190"/>
        <v>3047.5036799999998</v>
      </c>
      <c r="G674" s="111">
        <v>0</v>
      </c>
      <c r="H674" s="111">
        <f t="shared" si="191"/>
        <v>4723.6307040000002</v>
      </c>
      <c r="I674" s="32"/>
      <c r="J674" s="32"/>
      <c r="N674" s="32"/>
    </row>
    <row r="675" spans="1:14" s="110" customFormat="1" x14ac:dyDescent="0.35">
      <c r="A675" s="118" t="s">
        <v>452</v>
      </c>
      <c r="B675" s="118"/>
      <c r="C675" s="118"/>
      <c r="D675" s="118"/>
      <c r="E675" s="118"/>
      <c r="F675" s="118"/>
      <c r="G675" s="118"/>
      <c r="H675" s="118"/>
      <c r="I675" s="87"/>
      <c r="L675" s="119"/>
      <c r="M675" s="119"/>
    </row>
    <row r="676" spans="1:14" s="110" customFormat="1" x14ac:dyDescent="0.35">
      <c r="A676" s="120">
        <v>1</v>
      </c>
      <c r="B676" s="120"/>
      <c r="C676" s="115" t="s">
        <v>477</v>
      </c>
      <c r="D676" s="97">
        <f>(175.37)*10.764</f>
        <v>1887.6826799999999</v>
      </c>
      <c r="E676" s="97">
        <f>(6.448*1.8+0.61*0.38)*10.764</f>
        <v>127.42638479999999</v>
      </c>
      <c r="F676" s="111">
        <f>D676+E676</f>
        <v>2015.1090647999999</v>
      </c>
      <c r="G676" s="111">
        <v>0</v>
      </c>
      <c r="H676" s="111">
        <f>F676*(($H$190)+1)+(IF(G676&lt;101,G676,IF(G676&lt;201,G676/2,IF(G676&lt;=301,G676/3,G676/4))))</f>
        <v>3123.4190504399999</v>
      </c>
      <c r="I676" s="32"/>
      <c r="J676" s="32"/>
      <c r="N676" s="32"/>
    </row>
    <row r="677" spans="1:14" s="110" customFormat="1" x14ac:dyDescent="0.35">
      <c r="A677" s="120">
        <f>A676+1</f>
        <v>2</v>
      </c>
      <c r="B677" s="120"/>
      <c r="C677" s="115" t="s">
        <v>476</v>
      </c>
      <c r="D677" s="97">
        <f>(224.52)*10.764</f>
        <v>2416.7332799999999</v>
      </c>
      <c r="E677" s="97">
        <f>(6.448*1.8+0.61*0.38)*10.764</f>
        <v>127.42638479999999</v>
      </c>
      <c r="F677" s="111">
        <f>D677+E677</f>
        <v>2544.1596648</v>
      </c>
      <c r="G677" s="111">
        <v>0</v>
      </c>
      <c r="H677" s="111">
        <f>F677*(($H$190)+1)+(IF(G677&lt;101,G677,IF(G677&lt;201,G677/2,IF(G677&lt;=301,G677/3,G677/4))))</f>
        <v>3943.4474804400002</v>
      </c>
      <c r="I677" s="32"/>
      <c r="J677" s="32"/>
      <c r="N677" s="32"/>
    </row>
    <row r="678" spans="1:14" s="110" customFormat="1" x14ac:dyDescent="0.35">
      <c r="A678" s="120">
        <f t="shared" ref="A678:A681" si="193">A677+1</f>
        <v>3</v>
      </c>
      <c r="B678" s="120"/>
      <c r="C678" s="121" t="s">
        <v>453</v>
      </c>
      <c r="D678" s="122"/>
      <c r="E678" s="122"/>
      <c r="F678" s="122"/>
      <c r="G678" s="122"/>
      <c r="H678" s="123"/>
      <c r="I678" s="32"/>
      <c r="J678" s="32"/>
      <c r="N678" s="32"/>
    </row>
    <row r="679" spans="1:14" s="110" customFormat="1" x14ac:dyDescent="0.35">
      <c r="A679" s="120">
        <f t="shared" si="193"/>
        <v>4</v>
      </c>
      <c r="B679" s="120"/>
      <c r="C679" s="127"/>
      <c r="D679" s="128"/>
      <c r="E679" s="128"/>
      <c r="F679" s="128"/>
      <c r="G679" s="128"/>
      <c r="H679" s="129"/>
      <c r="I679" s="32"/>
      <c r="J679" s="32"/>
      <c r="N679" s="32"/>
    </row>
    <row r="680" spans="1:14" s="110" customFormat="1" x14ac:dyDescent="0.35">
      <c r="A680" s="120">
        <f t="shared" si="193"/>
        <v>5</v>
      </c>
      <c r="B680" s="120"/>
      <c r="C680" s="115" t="s">
        <v>476</v>
      </c>
      <c r="D680" s="97">
        <f>(320.35)*10.764</f>
        <v>3448.2474000000002</v>
      </c>
      <c r="E680" s="111">
        <v>0</v>
      </c>
      <c r="F680" s="111">
        <f>D680+E680</f>
        <v>3448.2474000000002</v>
      </c>
      <c r="G680" s="111">
        <v>0</v>
      </c>
      <c r="H680" s="111">
        <f>F680*(($H$190)+1)+(IF(G680&lt;101,G680,IF(G680&lt;201,G680/2,IF(G680&lt;=301,G680/3,G680/4))))</f>
        <v>5344.7834700000003</v>
      </c>
      <c r="I680" s="32"/>
      <c r="J680" s="32"/>
      <c r="N680" s="32"/>
    </row>
    <row r="681" spans="1:14" s="110" customFormat="1" x14ac:dyDescent="0.35">
      <c r="A681" s="120">
        <f t="shared" si="193"/>
        <v>6</v>
      </c>
      <c r="B681" s="120"/>
      <c r="C681" s="115" t="s">
        <v>476</v>
      </c>
      <c r="D681" s="97">
        <f>(283.12)*10.764</f>
        <v>3047.5036799999998</v>
      </c>
      <c r="E681" s="111">
        <v>0</v>
      </c>
      <c r="F681" s="111">
        <f>D681+E681</f>
        <v>3047.5036799999998</v>
      </c>
      <c r="G681" s="111">
        <v>0</v>
      </c>
      <c r="H681" s="111">
        <f>F681*(($H$190)+1)+(IF(G681&lt;101,G681,IF(G681&lt;201,G681/2,IF(G681&lt;=301,G681/3,G681/4))))</f>
        <v>4723.6307040000002</v>
      </c>
      <c r="I681" s="32"/>
      <c r="J681" s="32"/>
      <c r="N681" s="32"/>
    </row>
    <row r="682" spans="1:14" s="110" customFormat="1" x14ac:dyDescent="0.35">
      <c r="A682" s="131" t="s">
        <v>427</v>
      </c>
      <c r="B682" s="131"/>
      <c r="C682" s="131"/>
      <c r="D682" s="131"/>
      <c r="E682" s="131"/>
      <c r="F682" s="131"/>
      <c r="G682" s="131"/>
      <c r="H682" s="131"/>
      <c r="I682" s="87"/>
      <c r="J682" s="106"/>
      <c r="L682" s="119"/>
      <c r="M682" s="119"/>
    </row>
    <row r="683" spans="1:14" s="110" customFormat="1" x14ac:dyDescent="0.35">
      <c r="A683" s="118" t="s">
        <v>459</v>
      </c>
      <c r="B683" s="118"/>
      <c r="C683" s="118"/>
      <c r="D683" s="118"/>
      <c r="E683" s="118"/>
      <c r="F683" s="118"/>
      <c r="G683" s="118"/>
      <c r="H683" s="118"/>
      <c r="I683" s="87"/>
      <c r="L683" s="119"/>
      <c r="M683" s="119"/>
    </row>
    <row r="684" spans="1:14" s="110" customFormat="1" x14ac:dyDescent="0.35">
      <c r="A684" s="118" t="s">
        <v>458</v>
      </c>
      <c r="B684" s="118"/>
      <c r="C684" s="118"/>
      <c r="D684" s="118"/>
      <c r="E684" s="118"/>
      <c r="F684" s="118"/>
      <c r="G684" s="118"/>
      <c r="H684" s="118"/>
      <c r="I684" s="87"/>
      <c r="L684" s="119"/>
      <c r="M684" s="119"/>
    </row>
    <row r="685" spans="1:14" s="110" customFormat="1" x14ac:dyDescent="0.35">
      <c r="A685" s="118" t="s">
        <v>456</v>
      </c>
      <c r="B685" s="118"/>
      <c r="C685" s="118"/>
      <c r="D685" s="118"/>
      <c r="E685" s="118"/>
      <c r="F685" s="118"/>
      <c r="G685" s="118"/>
      <c r="H685" s="118"/>
      <c r="I685" s="87"/>
      <c r="L685" s="119"/>
      <c r="M685" s="119"/>
    </row>
    <row r="686" spans="1:14" s="110" customFormat="1" x14ac:dyDescent="0.35">
      <c r="A686" s="120">
        <v>1</v>
      </c>
      <c r="B686" s="120"/>
      <c r="C686" s="111" t="s">
        <v>477</v>
      </c>
      <c r="D686" s="97">
        <f>(170.7)*10.764</f>
        <v>1837.4147999999998</v>
      </c>
      <c r="E686" s="97">
        <f>(1.83*6.957)*10.764</f>
        <v>137.03982084</v>
      </c>
      <c r="F686" s="111">
        <f>D686+E686</f>
        <v>1974.4546208399997</v>
      </c>
      <c r="G686" s="111">
        <v>0</v>
      </c>
      <c r="H686" s="111">
        <f>F686*(($H$190)+1)+(IF(G686&lt;101,G686,IF(G686&lt;201,G686/2,IF(G686&lt;=301,G686/3,G686/4))))</f>
        <v>3060.4046623019995</v>
      </c>
      <c r="I686" s="32"/>
      <c r="J686" s="32"/>
      <c r="N686" s="32"/>
    </row>
    <row r="687" spans="1:14" s="110" customFormat="1" x14ac:dyDescent="0.35">
      <c r="A687" s="120">
        <f>A686+1</f>
        <v>2</v>
      </c>
      <c r="B687" s="120"/>
      <c r="C687" s="111" t="s">
        <v>477</v>
      </c>
      <c r="D687" s="97">
        <f>(170.7)*10.764</f>
        <v>1837.4147999999998</v>
      </c>
      <c r="E687" s="97">
        <f>(1.83*6.957)*10.764</f>
        <v>137.03982084</v>
      </c>
      <c r="F687" s="111">
        <f>D687+E687</f>
        <v>1974.4546208399997</v>
      </c>
      <c r="G687" s="111">
        <v>0</v>
      </c>
      <c r="H687" s="111">
        <f>F687*(($H$190)+1)+(IF(G687&lt;101,G687,IF(G687&lt;201,G687/2,IF(G687&lt;=301,G687/3,G687/4))))</f>
        <v>3060.4046623019995</v>
      </c>
      <c r="I687" s="32"/>
      <c r="J687" s="32"/>
      <c r="N687" s="32"/>
    </row>
    <row r="688" spans="1:14" s="110" customFormat="1" x14ac:dyDescent="0.35">
      <c r="A688" s="120">
        <f>A687+1</f>
        <v>3</v>
      </c>
      <c r="B688" s="120"/>
      <c r="C688" s="121" t="s">
        <v>457</v>
      </c>
      <c r="D688" s="122"/>
      <c r="E688" s="122"/>
      <c r="F688" s="122"/>
      <c r="G688" s="122"/>
      <c r="H688" s="123"/>
      <c r="I688" s="32"/>
      <c r="J688" s="32"/>
      <c r="N688" s="32"/>
    </row>
    <row r="689" spans="1:14" s="110" customFormat="1" x14ac:dyDescent="0.35">
      <c r="A689" s="120">
        <f>A688+1</f>
        <v>4</v>
      </c>
      <c r="B689" s="120"/>
      <c r="C689" s="124"/>
      <c r="D689" s="125"/>
      <c r="E689" s="125"/>
      <c r="F689" s="125"/>
      <c r="G689" s="125"/>
      <c r="H689" s="126"/>
      <c r="I689" s="32"/>
      <c r="J689" s="32"/>
      <c r="N689" s="32"/>
    </row>
    <row r="690" spans="1:14" s="110" customFormat="1" x14ac:dyDescent="0.35">
      <c r="A690" s="120">
        <f>A689+1</f>
        <v>5</v>
      </c>
      <c r="B690" s="120"/>
      <c r="C690" s="124"/>
      <c r="D690" s="125"/>
      <c r="E690" s="125"/>
      <c r="F690" s="125"/>
      <c r="G690" s="125"/>
      <c r="H690" s="126"/>
      <c r="I690" s="32"/>
      <c r="J690" s="32"/>
      <c r="N690" s="32"/>
    </row>
    <row r="691" spans="1:14" s="110" customFormat="1" x14ac:dyDescent="0.35">
      <c r="A691" s="120">
        <f>A690+1</f>
        <v>6</v>
      </c>
      <c r="B691" s="120"/>
      <c r="C691" s="127"/>
      <c r="D691" s="128"/>
      <c r="E691" s="128"/>
      <c r="F691" s="128"/>
      <c r="G691" s="128"/>
      <c r="H691" s="129"/>
      <c r="I691" s="32"/>
      <c r="J691" s="32"/>
      <c r="N691" s="32"/>
    </row>
    <row r="692" spans="1:14" s="110" customFormat="1" x14ac:dyDescent="0.35">
      <c r="A692" s="118" t="s">
        <v>455</v>
      </c>
      <c r="B692" s="118"/>
      <c r="C692" s="118"/>
      <c r="D692" s="118"/>
      <c r="E692" s="118"/>
      <c r="F692" s="118"/>
      <c r="G692" s="118"/>
      <c r="H692" s="118"/>
      <c r="I692" s="87"/>
      <c r="L692" s="119"/>
      <c r="M692" s="119"/>
    </row>
    <row r="693" spans="1:14" s="110" customFormat="1" x14ac:dyDescent="0.35">
      <c r="A693" s="120">
        <v>1</v>
      </c>
      <c r="B693" s="120"/>
      <c r="C693" s="111">
        <v>3</v>
      </c>
      <c r="D693" s="97">
        <f>(170.7)*10.764</f>
        <v>1837.4147999999998</v>
      </c>
      <c r="E693" s="97">
        <f>(1.83*6.957)*10.764</f>
        <v>137.03982084</v>
      </c>
      <c r="F693" s="111">
        <f>D693+E693</f>
        <v>1974.4546208399997</v>
      </c>
      <c r="G693" s="111">
        <v>0</v>
      </c>
      <c r="H693" s="111">
        <f>F693*(($H$190)+1)+(IF(G693&lt;101,G693,IF(G693&lt;201,G693/2,IF(G693&lt;=301,G693/3,G693/4))))</f>
        <v>3060.4046623019995</v>
      </c>
      <c r="I693" s="32"/>
      <c r="J693" s="32"/>
      <c r="N693" s="32"/>
    </row>
    <row r="694" spans="1:14" s="110" customFormat="1" x14ac:dyDescent="0.35">
      <c r="A694" s="120">
        <f>A693+1</f>
        <v>2</v>
      </c>
      <c r="B694" s="120"/>
      <c r="C694" s="111" t="s">
        <v>477</v>
      </c>
      <c r="D694" s="97">
        <f>(170.7)*10.764</f>
        <v>1837.4147999999998</v>
      </c>
      <c r="E694" s="97">
        <f>(1.83*6.957)*10.764</f>
        <v>137.03982084</v>
      </c>
      <c r="F694" s="111">
        <f>D694+E694</f>
        <v>1974.4546208399997</v>
      </c>
      <c r="G694" s="111">
        <v>0</v>
      </c>
      <c r="H694" s="111">
        <f>F694*(($H$190)+1)+(IF(G694&lt;101,G694,IF(G694&lt;201,G694/2,IF(G694&lt;=301,G694/3,G694/4))))</f>
        <v>3060.4046623019995</v>
      </c>
      <c r="I694" s="32"/>
      <c r="J694" s="32"/>
      <c r="N694" s="32"/>
    </row>
    <row r="695" spans="1:14" s="110" customFormat="1" x14ac:dyDescent="0.35">
      <c r="A695" s="120">
        <f>A694+1</f>
        <v>3</v>
      </c>
      <c r="B695" s="120"/>
      <c r="C695" s="121" t="s">
        <v>457</v>
      </c>
      <c r="D695" s="122"/>
      <c r="E695" s="122"/>
      <c r="F695" s="122"/>
      <c r="G695" s="122"/>
      <c r="H695" s="123"/>
      <c r="I695" s="32"/>
      <c r="J695" s="32"/>
      <c r="N695" s="32"/>
    </row>
    <row r="696" spans="1:14" s="110" customFormat="1" x14ac:dyDescent="0.35">
      <c r="A696" s="120">
        <f>A695+1</f>
        <v>4</v>
      </c>
      <c r="B696" s="120"/>
      <c r="C696" s="124"/>
      <c r="D696" s="125"/>
      <c r="E696" s="125"/>
      <c r="F696" s="125"/>
      <c r="G696" s="125"/>
      <c r="H696" s="126"/>
      <c r="I696" s="32"/>
      <c r="J696" s="32"/>
      <c r="N696" s="32"/>
    </row>
    <row r="697" spans="1:14" s="110" customFormat="1" x14ac:dyDescent="0.35">
      <c r="A697" s="120">
        <f>A696+1</f>
        <v>5</v>
      </c>
      <c r="B697" s="120"/>
      <c r="C697" s="124"/>
      <c r="D697" s="125"/>
      <c r="E697" s="125"/>
      <c r="F697" s="125"/>
      <c r="G697" s="125"/>
      <c r="H697" s="126"/>
      <c r="I697" s="32"/>
      <c r="J697" s="32"/>
      <c r="N697" s="32"/>
    </row>
    <row r="698" spans="1:14" s="110" customFormat="1" x14ac:dyDescent="0.35">
      <c r="A698" s="120">
        <f>A697+1</f>
        <v>6</v>
      </c>
      <c r="B698" s="120"/>
      <c r="C698" s="127"/>
      <c r="D698" s="128"/>
      <c r="E698" s="128"/>
      <c r="F698" s="128"/>
      <c r="G698" s="128"/>
      <c r="H698" s="129"/>
      <c r="I698" s="32"/>
      <c r="J698" s="32"/>
      <c r="N698" s="32"/>
    </row>
    <row r="699" spans="1:14" s="110" customFormat="1" hidden="1" x14ac:dyDescent="0.35">
      <c r="A699" s="118"/>
      <c r="B699" s="118"/>
      <c r="C699" s="118"/>
      <c r="D699" s="118"/>
      <c r="E699" s="118"/>
      <c r="F699" s="118"/>
      <c r="G699" s="118"/>
      <c r="H699" s="118"/>
      <c r="I699" s="87"/>
      <c r="L699" s="119"/>
      <c r="M699" s="119"/>
    </row>
    <row r="700" spans="1:14" s="92" customFormat="1" hidden="1" x14ac:dyDescent="0.35">
      <c r="A700" s="118" t="s">
        <v>385</v>
      </c>
      <c r="B700" s="118"/>
      <c r="C700" s="118"/>
      <c r="D700" s="118"/>
      <c r="E700" s="118"/>
      <c r="F700" s="118"/>
      <c r="G700" s="118"/>
      <c r="H700" s="118"/>
      <c r="I700" s="87"/>
      <c r="L700" s="119"/>
      <c r="M700" s="119"/>
    </row>
    <row r="701" spans="1:14" s="92" customFormat="1" hidden="1" x14ac:dyDescent="0.35">
      <c r="A701" s="120">
        <v>1</v>
      </c>
      <c r="B701" s="120"/>
      <c r="C701" s="96"/>
      <c r="D701" s="97"/>
      <c r="E701" s="96">
        <v>0</v>
      </c>
      <c r="F701" s="96">
        <f>D701+E701</f>
        <v>0</v>
      </c>
      <c r="G701" s="96">
        <v>0</v>
      </c>
      <c r="H701" s="96">
        <f>F701*(($H$190)+1)+(IF(G701&lt;101,G701,IF(G701&lt;201,G701/2,IF(G701&lt;=301,G701/3,G701/4))))</f>
        <v>0</v>
      </c>
      <c r="I701" s="32"/>
      <c r="J701" s="32"/>
      <c r="N701" s="32"/>
    </row>
    <row r="702" spans="1:14" s="92" customFormat="1" hidden="1" x14ac:dyDescent="0.35">
      <c r="A702" s="120">
        <f>A701+1</f>
        <v>2</v>
      </c>
      <c r="B702" s="120"/>
      <c r="C702" s="93"/>
      <c r="D702" s="97"/>
      <c r="E702" s="93">
        <v>0</v>
      </c>
      <c r="F702" s="93">
        <f>D702+E702</f>
        <v>0</v>
      </c>
      <c r="G702" s="93">
        <v>0</v>
      </c>
      <c r="H702" s="93">
        <f>F702*(($H$190)+1)+(IF(G702&lt;101,G702,IF(G702&lt;201,G702/2,IF(G702&lt;=301,G702/3,G702/4))))</f>
        <v>0</v>
      </c>
      <c r="I702" s="32"/>
      <c r="J702" s="32"/>
      <c r="N702" s="32"/>
    </row>
    <row r="703" spans="1:14" s="92" customFormat="1" hidden="1" x14ac:dyDescent="0.35">
      <c r="A703" s="118" t="s">
        <v>386</v>
      </c>
      <c r="B703" s="118"/>
      <c r="C703" s="118"/>
      <c r="D703" s="118"/>
      <c r="E703" s="118"/>
      <c r="F703" s="118"/>
      <c r="G703" s="118"/>
      <c r="H703" s="118"/>
      <c r="I703" s="87"/>
      <c r="L703" s="119"/>
      <c r="M703" s="119"/>
    </row>
    <row r="704" spans="1:14" s="92" customFormat="1" hidden="1" x14ac:dyDescent="0.35">
      <c r="A704" s="120">
        <v>1</v>
      </c>
      <c r="B704" s="120"/>
      <c r="C704" s="93"/>
      <c r="D704" s="97"/>
      <c r="E704" s="93">
        <v>0</v>
      </c>
      <c r="F704" s="93">
        <f>D704+E704</f>
        <v>0</v>
      </c>
      <c r="G704" s="93">
        <v>0</v>
      </c>
      <c r="H704" s="93">
        <f>F704*(($H$190)+1)+(IF(G704&lt;101,G704,IF(G704&lt;201,G704/2,IF(G704&lt;=301,G704/3,G704/4))))</f>
        <v>0</v>
      </c>
      <c r="I704" s="32"/>
      <c r="N704" s="32"/>
    </row>
    <row r="705" spans="1:20" s="92" customFormat="1" hidden="1" x14ac:dyDescent="0.35">
      <c r="A705" s="120">
        <f>A704+1</f>
        <v>2</v>
      </c>
      <c r="B705" s="120"/>
      <c r="C705" s="93"/>
      <c r="D705" s="97"/>
      <c r="E705" s="93">
        <v>0</v>
      </c>
      <c r="F705" s="93">
        <f>D705+E705</f>
        <v>0</v>
      </c>
      <c r="G705" s="93">
        <v>0</v>
      </c>
      <c r="H705" s="93">
        <f>F705*(($H$190)+1)+(IF(G705&lt;101,G705,IF(G705&lt;201,G705/2,IF(G705&lt;=301,G705/3,G705/4))))</f>
        <v>0</v>
      </c>
      <c r="I705" s="32"/>
      <c r="N705" s="32"/>
    </row>
    <row r="706" spans="1:20" s="31" customFormat="1" x14ac:dyDescent="0.35">
      <c r="A706" s="264" t="s">
        <v>63</v>
      </c>
      <c r="B706" s="264"/>
      <c r="C706" s="264"/>
      <c r="D706" s="264"/>
      <c r="E706" s="264"/>
      <c r="F706" s="264"/>
      <c r="G706" s="264"/>
      <c r="H706" s="264"/>
      <c r="T706" s="33"/>
    </row>
    <row r="707" spans="1:20" s="31" customFormat="1" ht="34.5" customHeight="1" x14ac:dyDescent="0.35">
      <c r="A707" s="40" t="s">
        <v>147</v>
      </c>
      <c r="B707" s="175" t="s">
        <v>506</v>
      </c>
      <c r="C707" s="176"/>
      <c r="D707" s="176"/>
      <c r="E707" s="176"/>
      <c r="F707" s="176"/>
      <c r="G707" s="176"/>
      <c r="H707" s="177"/>
      <c r="T707" s="33"/>
    </row>
    <row r="708" spans="1:20" s="31" customFormat="1" x14ac:dyDescent="0.35">
      <c r="A708" s="40" t="s">
        <v>147</v>
      </c>
      <c r="B708" s="175" t="str">
        <f>(IF(H189="Saleable area Loading :","We have considered Saleable area of Flats as per our Calculation.","We considered Saleable area of Flat as per Builder area Sheet."))</f>
        <v>We have considered Saleable area of Flats as per our Calculation.</v>
      </c>
      <c r="C708" s="176"/>
      <c r="D708" s="176"/>
      <c r="E708" s="176"/>
      <c r="F708" s="176"/>
      <c r="G708" s="176"/>
      <c r="H708" s="177"/>
      <c r="T708" s="33"/>
    </row>
    <row r="709" spans="1:20" s="31" customFormat="1" x14ac:dyDescent="0.35">
      <c r="A709" s="40" t="s">
        <v>147</v>
      </c>
      <c r="B709" s="175" t="str">
        <f>(IF(H184="Saleable area Loading :","We have considered Saleable area of Commercial as per our Calculation.","We considered Saleable area of Commercial as per Builder area Sheet."))</f>
        <v>We have considered Saleable area of Commercial as per our Calculation.</v>
      </c>
      <c r="C709" s="176"/>
      <c r="D709" s="176"/>
      <c r="E709" s="176"/>
      <c r="F709" s="176"/>
      <c r="G709" s="176"/>
      <c r="H709" s="177"/>
      <c r="T709" s="33"/>
    </row>
    <row r="710" spans="1:20" s="31" customFormat="1" x14ac:dyDescent="0.35">
      <c r="A710" s="40" t="s">
        <v>147</v>
      </c>
      <c r="B710" s="178" t="s">
        <v>117</v>
      </c>
      <c r="C710" s="179"/>
      <c r="D710" s="179"/>
      <c r="E710" s="179"/>
      <c r="F710" s="179"/>
      <c r="G710" s="179"/>
      <c r="H710" s="180"/>
      <c r="T710" s="33"/>
    </row>
    <row r="711" spans="1:20" s="31" customFormat="1" x14ac:dyDescent="0.35">
      <c r="A711" s="40" t="s">
        <v>147</v>
      </c>
      <c r="B711" s="175" t="s">
        <v>504</v>
      </c>
      <c r="C711" s="176"/>
      <c r="D711" s="176"/>
      <c r="E711" s="176"/>
      <c r="F711" s="176"/>
      <c r="G711" s="176"/>
      <c r="H711" s="177"/>
      <c r="T711" s="33"/>
    </row>
    <row r="712" spans="1:20" s="31" customFormat="1" x14ac:dyDescent="0.35">
      <c r="A712" s="40" t="s">
        <v>147</v>
      </c>
      <c r="B712" s="178" t="s">
        <v>146</v>
      </c>
      <c r="C712" s="179"/>
      <c r="D712" s="179"/>
      <c r="E712" s="179"/>
      <c r="F712" s="179"/>
      <c r="G712" s="179"/>
      <c r="H712" s="180"/>
    </row>
    <row r="713" spans="1:20" s="31" customFormat="1" x14ac:dyDescent="0.35">
      <c r="A713" s="40" t="s">
        <v>147</v>
      </c>
      <c r="B713" s="178" t="s">
        <v>118</v>
      </c>
      <c r="C713" s="179"/>
      <c r="D713" s="179"/>
      <c r="E713" s="179"/>
      <c r="F713" s="179"/>
      <c r="G713" s="179"/>
      <c r="H713" s="180"/>
    </row>
    <row r="714" spans="1:20" s="31" customFormat="1" ht="34.5" customHeight="1" x14ac:dyDescent="0.35">
      <c r="A714" s="40" t="s">
        <v>147</v>
      </c>
      <c r="B714" s="175" t="s">
        <v>148</v>
      </c>
      <c r="C714" s="176"/>
      <c r="D714" s="176"/>
      <c r="E714" s="176"/>
      <c r="F714" s="176"/>
      <c r="G714" s="176"/>
      <c r="H714" s="177"/>
    </row>
    <row r="715" spans="1:20" s="31" customFormat="1" x14ac:dyDescent="0.35">
      <c r="A715" s="40" t="s">
        <v>147</v>
      </c>
      <c r="B715" s="178" t="s">
        <v>119</v>
      </c>
      <c r="C715" s="179"/>
      <c r="D715" s="179"/>
      <c r="E715" s="179"/>
      <c r="F715" s="179"/>
      <c r="G715" s="179"/>
      <c r="H715" s="180"/>
    </row>
    <row r="716" spans="1:20" s="31" customFormat="1" ht="32.25" hidden="1" customHeight="1" x14ac:dyDescent="0.35">
      <c r="A716" s="40" t="s">
        <v>147</v>
      </c>
      <c r="B716" s="175" t="s">
        <v>172</v>
      </c>
      <c r="C716" s="176"/>
      <c r="D716" s="176"/>
      <c r="E716" s="176"/>
      <c r="F716" s="176"/>
      <c r="G716" s="176"/>
      <c r="H716" s="177"/>
    </row>
    <row r="717" spans="1:20" s="31" customFormat="1" ht="81.75" hidden="1" customHeight="1" x14ac:dyDescent="0.35">
      <c r="A717" s="40" t="s">
        <v>147</v>
      </c>
      <c r="B717" s="257" t="s">
        <v>344</v>
      </c>
      <c r="C717" s="258"/>
      <c r="D717" s="258"/>
      <c r="E717" s="258"/>
      <c r="F717" s="258"/>
      <c r="G717" s="258"/>
      <c r="H717" s="259"/>
    </row>
    <row r="718" spans="1:20" s="31" customFormat="1" x14ac:dyDescent="0.35">
      <c r="A718" s="94" t="s">
        <v>147</v>
      </c>
      <c r="B718" s="178" t="s">
        <v>505</v>
      </c>
      <c r="C718" s="179"/>
      <c r="D718" s="179"/>
      <c r="E718" s="179"/>
      <c r="F718" s="179"/>
      <c r="G718" s="179"/>
      <c r="H718" s="180"/>
    </row>
    <row r="719" spans="1:20" x14ac:dyDescent="0.35">
      <c r="A719" s="197" t="s">
        <v>56</v>
      </c>
      <c r="B719" s="197"/>
      <c r="C719" s="197"/>
      <c r="D719" s="197"/>
      <c r="E719" s="197"/>
      <c r="F719" s="197"/>
      <c r="G719" s="197"/>
      <c r="H719" s="197"/>
      <c r="T719" s="31"/>
    </row>
    <row r="720" spans="1:20" x14ac:dyDescent="0.35">
      <c r="A720" s="163" t="s">
        <v>57</v>
      </c>
      <c r="B720" s="163"/>
      <c r="C720" s="163"/>
      <c r="D720" s="163"/>
      <c r="E720" s="163"/>
      <c r="F720" s="163"/>
      <c r="G720" s="163"/>
      <c r="H720" s="163"/>
      <c r="T720" s="31"/>
    </row>
    <row r="721" spans="1:20" ht="15.75" customHeight="1" x14ac:dyDescent="0.35">
      <c r="A721" s="181" t="s">
        <v>58</v>
      </c>
      <c r="B721" s="181"/>
      <c r="C721" s="181"/>
      <c r="D721" s="181"/>
      <c r="E721" s="181"/>
      <c r="F721" s="181"/>
      <c r="G721" s="181"/>
      <c r="H721" s="181"/>
      <c r="T721" s="31"/>
    </row>
    <row r="722" spans="1:20" x14ac:dyDescent="0.35">
      <c r="A722" s="163" t="s">
        <v>59</v>
      </c>
      <c r="B722" s="163"/>
      <c r="C722" s="163"/>
      <c r="D722" s="163"/>
      <c r="E722" s="163"/>
      <c r="F722" s="163"/>
      <c r="G722" s="163"/>
      <c r="H722" s="163"/>
      <c r="T722" s="31"/>
    </row>
    <row r="723" spans="1:20" x14ac:dyDescent="0.35">
      <c r="A723" s="163" t="s">
        <v>60</v>
      </c>
      <c r="B723" s="163"/>
      <c r="C723" s="163"/>
      <c r="D723" s="163"/>
      <c r="E723" s="163"/>
      <c r="F723" s="163"/>
      <c r="G723" s="163"/>
      <c r="H723" s="163"/>
      <c r="T723" s="31"/>
    </row>
    <row r="724" spans="1:20" x14ac:dyDescent="0.35">
      <c r="A724" s="163" t="s">
        <v>120</v>
      </c>
      <c r="B724" s="163"/>
      <c r="C724" s="163"/>
      <c r="D724" s="163"/>
      <c r="E724" s="163"/>
      <c r="F724" s="163"/>
      <c r="G724" s="163"/>
      <c r="H724" s="163"/>
      <c r="T724" s="31"/>
    </row>
    <row r="725" spans="1:20" ht="34" customHeight="1" x14ac:dyDescent="0.35">
      <c r="A725" s="173" t="s">
        <v>121</v>
      </c>
      <c r="B725" s="173"/>
      <c r="C725" s="173"/>
      <c r="D725" s="173"/>
      <c r="E725" s="173"/>
      <c r="F725" s="173"/>
      <c r="G725" s="173"/>
      <c r="H725" s="173"/>
    </row>
    <row r="726" spans="1:20" x14ac:dyDescent="0.35">
      <c r="A726" s="192" t="s">
        <v>72</v>
      </c>
      <c r="B726" s="192"/>
      <c r="C726" s="192" t="s">
        <v>388</v>
      </c>
      <c r="D726" s="192"/>
      <c r="E726" s="192" t="s">
        <v>102</v>
      </c>
      <c r="F726" s="192"/>
      <c r="G726" s="192" t="s">
        <v>387</v>
      </c>
      <c r="H726" s="192"/>
    </row>
    <row r="727" spans="1:20" x14ac:dyDescent="0.35">
      <c r="A727" s="191" t="s">
        <v>74</v>
      </c>
      <c r="B727" s="191"/>
      <c r="C727" s="191"/>
      <c r="D727" s="191"/>
      <c r="E727" s="191"/>
      <c r="F727" s="191"/>
      <c r="G727" s="191"/>
      <c r="H727" s="191"/>
    </row>
    <row r="728" spans="1:20" x14ac:dyDescent="0.35">
      <c r="A728" s="191"/>
      <c r="B728" s="191"/>
      <c r="C728" s="191"/>
      <c r="D728" s="191"/>
      <c r="E728" s="191"/>
      <c r="F728" s="191"/>
      <c r="G728" s="191"/>
      <c r="H728" s="191"/>
    </row>
    <row r="729" spans="1:20" x14ac:dyDescent="0.35">
      <c r="A729" s="191"/>
      <c r="B729" s="191"/>
      <c r="C729" s="191"/>
      <c r="D729" s="191"/>
      <c r="E729" s="191"/>
      <c r="F729" s="191"/>
      <c r="G729" s="191"/>
      <c r="H729" s="191"/>
    </row>
    <row r="730" spans="1:20" x14ac:dyDescent="0.35">
      <c r="A730" s="191"/>
      <c r="B730" s="191"/>
      <c r="C730" s="191"/>
      <c r="D730" s="191"/>
      <c r="E730" s="191"/>
      <c r="F730" s="191"/>
      <c r="G730" s="191"/>
      <c r="H730" s="191"/>
    </row>
    <row r="731" spans="1:20" x14ac:dyDescent="0.35">
      <c r="A731" s="34" t="s">
        <v>61</v>
      </c>
      <c r="B731" s="35"/>
      <c r="C731" s="35"/>
      <c r="D731" s="34" t="str">
        <f>E9</f>
        <v>Elysian Tower A, B, C, D &amp; E</v>
      </c>
      <c r="F731" s="35"/>
      <c r="G731" s="35"/>
      <c r="H731" s="35"/>
    </row>
    <row r="732" spans="1:20" x14ac:dyDescent="0.35">
      <c r="A732" s="35"/>
      <c r="B732" s="35"/>
      <c r="C732" s="35"/>
      <c r="D732" s="35"/>
      <c r="E732" s="35"/>
      <c r="F732" s="35"/>
      <c r="G732" s="35"/>
      <c r="H732" s="35"/>
    </row>
    <row r="733" spans="1:20" x14ac:dyDescent="0.35">
      <c r="A733" s="35"/>
      <c r="B733" s="35"/>
      <c r="C733" s="35"/>
      <c r="D733" s="35"/>
      <c r="E733" s="35"/>
      <c r="F733" s="35"/>
      <c r="G733" s="35"/>
      <c r="H733" s="35"/>
    </row>
    <row r="734" spans="1:20" ht="15" customHeight="1" x14ac:dyDescent="0.35"/>
    <row r="774" spans="1:1" x14ac:dyDescent="0.35">
      <c r="A774" s="37" t="s">
        <v>157</v>
      </c>
    </row>
    <row r="817" spans="1:1" x14ac:dyDescent="0.35">
      <c r="A817" s="37" t="s">
        <v>62</v>
      </c>
    </row>
  </sheetData>
  <mergeCells count="1031">
    <mergeCell ref="A551:B551"/>
    <mergeCell ref="A552:B552"/>
    <mergeCell ref="A553:B553"/>
    <mergeCell ref="A554:B554"/>
    <mergeCell ref="A555:B555"/>
    <mergeCell ref="A556:B556"/>
    <mergeCell ref="A447:H447"/>
    <mergeCell ref="L447:M447"/>
    <mergeCell ref="A448:H448"/>
    <mergeCell ref="L448:M448"/>
    <mergeCell ref="A544:B544"/>
    <mergeCell ref="C544:H545"/>
    <mergeCell ref="A545:B545"/>
    <mergeCell ref="A546:B546"/>
    <mergeCell ref="A547:B547"/>
    <mergeCell ref="A548:B548"/>
    <mergeCell ref="A549:B549"/>
    <mergeCell ref="A550:H550"/>
    <mergeCell ref="L550:M550"/>
    <mergeCell ref="A536:H536"/>
    <mergeCell ref="L536:M536"/>
    <mergeCell ref="A537:B537"/>
    <mergeCell ref="A538:B538"/>
    <mergeCell ref="A539:B539"/>
    <mergeCell ref="A540:B540"/>
    <mergeCell ref="A541:B541"/>
    <mergeCell ref="A542:B542"/>
    <mergeCell ref="A543:H543"/>
    <mergeCell ref="L543:M543"/>
    <mergeCell ref="A529:H529"/>
    <mergeCell ref="L529:M529"/>
    <mergeCell ref="A530:B530"/>
    <mergeCell ref="C530:H531"/>
    <mergeCell ref="A531:B531"/>
    <mergeCell ref="A532:B532"/>
    <mergeCell ref="A533:B533"/>
    <mergeCell ref="A534:B534"/>
    <mergeCell ref="A535:B535"/>
    <mergeCell ref="A521:B521"/>
    <mergeCell ref="A522:H522"/>
    <mergeCell ref="L522:M522"/>
    <mergeCell ref="A523:B523"/>
    <mergeCell ref="A524:B524"/>
    <mergeCell ref="A525:B525"/>
    <mergeCell ref="A526:B526"/>
    <mergeCell ref="A527:B527"/>
    <mergeCell ref="A528:B528"/>
    <mergeCell ref="A514:B514"/>
    <mergeCell ref="A515:H515"/>
    <mergeCell ref="L515:M515"/>
    <mergeCell ref="A516:B516"/>
    <mergeCell ref="C516:H517"/>
    <mergeCell ref="A517:B517"/>
    <mergeCell ref="A518:B518"/>
    <mergeCell ref="A519:B519"/>
    <mergeCell ref="A520:B520"/>
    <mergeCell ref="A506:B506"/>
    <mergeCell ref="A507:B507"/>
    <mergeCell ref="A508:H508"/>
    <mergeCell ref="L508:M508"/>
    <mergeCell ref="A509:B509"/>
    <mergeCell ref="A510:B510"/>
    <mergeCell ref="A511:B511"/>
    <mergeCell ref="A512:B512"/>
    <mergeCell ref="A513:B513"/>
    <mergeCell ref="A499:B499"/>
    <mergeCell ref="A500:B500"/>
    <mergeCell ref="A501:H501"/>
    <mergeCell ref="L501:M501"/>
    <mergeCell ref="A502:B502"/>
    <mergeCell ref="C502:H503"/>
    <mergeCell ref="A503:B503"/>
    <mergeCell ref="A504:B504"/>
    <mergeCell ref="A505:B505"/>
    <mergeCell ref="A491:B491"/>
    <mergeCell ref="A492:B492"/>
    <mergeCell ref="A493:B493"/>
    <mergeCell ref="A494:H494"/>
    <mergeCell ref="L494:M494"/>
    <mergeCell ref="A495:B495"/>
    <mergeCell ref="A496:B496"/>
    <mergeCell ref="A497:B497"/>
    <mergeCell ref="A498:B498"/>
    <mergeCell ref="A483:B483"/>
    <mergeCell ref="A484:B484"/>
    <mergeCell ref="A485:B485"/>
    <mergeCell ref="A486:B486"/>
    <mergeCell ref="A487:H487"/>
    <mergeCell ref="L487:M487"/>
    <mergeCell ref="A488:B488"/>
    <mergeCell ref="A489:B489"/>
    <mergeCell ref="A490:B490"/>
    <mergeCell ref="A476:B476"/>
    <mergeCell ref="A477:B477"/>
    <mergeCell ref="A478:B478"/>
    <mergeCell ref="A479:B479"/>
    <mergeCell ref="C474:H475"/>
    <mergeCell ref="A480:H480"/>
    <mergeCell ref="L480:M480"/>
    <mergeCell ref="A481:B481"/>
    <mergeCell ref="A482:B482"/>
    <mergeCell ref="A468:B468"/>
    <mergeCell ref="A469:B469"/>
    <mergeCell ref="A470:B470"/>
    <mergeCell ref="A471:B471"/>
    <mergeCell ref="A472:B472"/>
    <mergeCell ref="A473:H473"/>
    <mergeCell ref="L473:M473"/>
    <mergeCell ref="A474:B474"/>
    <mergeCell ref="A475:B475"/>
    <mergeCell ref="A461:B461"/>
    <mergeCell ref="A462:B462"/>
    <mergeCell ref="A463:B463"/>
    <mergeCell ref="A464:B464"/>
    <mergeCell ref="A465:B465"/>
    <mergeCell ref="C455:H458"/>
    <mergeCell ref="A466:H466"/>
    <mergeCell ref="L466:M466"/>
    <mergeCell ref="A467:B467"/>
    <mergeCell ref="A453:B453"/>
    <mergeCell ref="A454:B454"/>
    <mergeCell ref="A455:B455"/>
    <mergeCell ref="A456:B456"/>
    <mergeCell ref="A457:B457"/>
    <mergeCell ref="A458:B458"/>
    <mergeCell ref="A459:H459"/>
    <mergeCell ref="L459:M459"/>
    <mergeCell ref="A460:B460"/>
    <mergeCell ref="A438:H438"/>
    <mergeCell ref="L438:M438"/>
    <mergeCell ref="A439:B439"/>
    <mergeCell ref="A440:B440"/>
    <mergeCell ref="A441:B441"/>
    <mergeCell ref="A442:B442"/>
    <mergeCell ref="A443:B443"/>
    <mergeCell ref="A444:B444"/>
    <mergeCell ref="A452:H452"/>
    <mergeCell ref="L452:M452"/>
    <mergeCell ref="A431:H431"/>
    <mergeCell ref="L431:M431"/>
    <mergeCell ref="A432:B432"/>
    <mergeCell ref="C432:H433"/>
    <mergeCell ref="A433:B433"/>
    <mergeCell ref="A434:B434"/>
    <mergeCell ref="A435:B435"/>
    <mergeCell ref="A436:B436"/>
    <mergeCell ref="A437:B437"/>
    <mergeCell ref="A423:B423"/>
    <mergeCell ref="A424:H424"/>
    <mergeCell ref="L424:M424"/>
    <mergeCell ref="A425:B425"/>
    <mergeCell ref="A426:B426"/>
    <mergeCell ref="A427:B427"/>
    <mergeCell ref="A428:B428"/>
    <mergeCell ref="A429:B429"/>
    <mergeCell ref="A430:B430"/>
    <mergeCell ref="A416:B416"/>
    <mergeCell ref="A417:H417"/>
    <mergeCell ref="L417:M417"/>
    <mergeCell ref="A418:B418"/>
    <mergeCell ref="C418:H419"/>
    <mergeCell ref="A419:B419"/>
    <mergeCell ref="A420:B420"/>
    <mergeCell ref="A421:B421"/>
    <mergeCell ref="A422:B422"/>
    <mergeCell ref="A408:B408"/>
    <mergeCell ref="A409:B409"/>
    <mergeCell ref="A410:H410"/>
    <mergeCell ref="L410:M410"/>
    <mergeCell ref="A411:B411"/>
    <mergeCell ref="A412:B412"/>
    <mergeCell ref="A413:B413"/>
    <mergeCell ref="A414:B414"/>
    <mergeCell ref="A415:B415"/>
    <mergeCell ref="A401:B401"/>
    <mergeCell ref="A402:B402"/>
    <mergeCell ref="A403:H403"/>
    <mergeCell ref="L403:M403"/>
    <mergeCell ref="A404:B404"/>
    <mergeCell ref="C404:H405"/>
    <mergeCell ref="A405:B405"/>
    <mergeCell ref="A406:B406"/>
    <mergeCell ref="A407:B407"/>
    <mergeCell ref="A393:B393"/>
    <mergeCell ref="A394:B394"/>
    <mergeCell ref="A395:B395"/>
    <mergeCell ref="A396:H396"/>
    <mergeCell ref="L396:M396"/>
    <mergeCell ref="A397:B397"/>
    <mergeCell ref="A398:B398"/>
    <mergeCell ref="A399:B399"/>
    <mergeCell ref="A400:B400"/>
    <mergeCell ref="A385:B385"/>
    <mergeCell ref="A386:B386"/>
    <mergeCell ref="A387:B387"/>
    <mergeCell ref="A388:B388"/>
    <mergeCell ref="A389:H389"/>
    <mergeCell ref="L389:M389"/>
    <mergeCell ref="A390:B390"/>
    <mergeCell ref="A391:B391"/>
    <mergeCell ref="A392:B392"/>
    <mergeCell ref="A376:B376"/>
    <mergeCell ref="A377:B377"/>
    <mergeCell ref="A378:B378"/>
    <mergeCell ref="A379:B379"/>
    <mergeCell ref="A380:B380"/>
    <mergeCell ref="A381:B381"/>
    <mergeCell ref="A382:H382"/>
    <mergeCell ref="L382:M382"/>
    <mergeCell ref="A383:B383"/>
    <mergeCell ref="C383:H384"/>
    <mergeCell ref="A384:B384"/>
    <mergeCell ref="A369:B369"/>
    <mergeCell ref="C369:H370"/>
    <mergeCell ref="A370:B370"/>
    <mergeCell ref="A371:B371"/>
    <mergeCell ref="A372:B372"/>
    <mergeCell ref="A373:B373"/>
    <mergeCell ref="A374:B374"/>
    <mergeCell ref="A375:H375"/>
    <mergeCell ref="L375:M375"/>
    <mergeCell ref="A361:H361"/>
    <mergeCell ref="L361:M361"/>
    <mergeCell ref="A362:B362"/>
    <mergeCell ref="A363:B363"/>
    <mergeCell ref="A364:B364"/>
    <mergeCell ref="A365:B365"/>
    <mergeCell ref="A366:B366"/>
    <mergeCell ref="A367:B367"/>
    <mergeCell ref="A368:H368"/>
    <mergeCell ref="L368:M368"/>
    <mergeCell ref="A353:B353"/>
    <mergeCell ref="A354:H354"/>
    <mergeCell ref="L354:M354"/>
    <mergeCell ref="A355:B355"/>
    <mergeCell ref="A356:B356"/>
    <mergeCell ref="A357:B357"/>
    <mergeCell ref="A358:B358"/>
    <mergeCell ref="A359:B359"/>
    <mergeCell ref="A360:B360"/>
    <mergeCell ref="A345:B345"/>
    <mergeCell ref="A346:B346"/>
    <mergeCell ref="A347:H347"/>
    <mergeCell ref="L347:M347"/>
    <mergeCell ref="A348:B348"/>
    <mergeCell ref="A349:B349"/>
    <mergeCell ref="A350:B350"/>
    <mergeCell ref="A351:B351"/>
    <mergeCell ref="A352:B352"/>
    <mergeCell ref="A337:B337"/>
    <mergeCell ref="A338:B338"/>
    <mergeCell ref="A339:B339"/>
    <mergeCell ref="A340:H340"/>
    <mergeCell ref="L340:M340"/>
    <mergeCell ref="A341:B341"/>
    <mergeCell ref="A342:B342"/>
    <mergeCell ref="A343:B343"/>
    <mergeCell ref="A344:B344"/>
    <mergeCell ref="A330:B330"/>
    <mergeCell ref="A331:B331"/>
    <mergeCell ref="A332:B332"/>
    <mergeCell ref="A333:H333"/>
    <mergeCell ref="L333:M333"/>
    <mergeCell ref="A334:B334"/>
    <mergeCell ref="C334:H335"/>
    <mergeCell ref="A335:B335"/>
    <mergeCell ref="A336:B336"/>
    <mergeCell ref="A323:B323"/>
    <mergeCell ref="A324:B324"/>
    <mergeCell ref="A325:B325"/>
    <mergeCell ref="C320:H321"/>
    <mergeCell ref="A326:H326"/>
    <mergeCell ref="L326:M326"/>
    <mergeCell ref="A327:B327"/>
    <mergeCell ref="A328:B328"/>
    <mergeCell ref="A329:B329"/>
    <mergeCell ref="A315:B315"/>
    <mergeCell ref="A316:B316"/>
    <mergeCell ref="A317:B317"/>
    <mergeCell ref="A318:B318"/>
    <mergeCell ref="A319:H319"/>
    <mergeCell ref="L319:M319"/>
    <mergeCell ref="A320:B320"/>
    <mergeCell ref="A321:B321"/>
    <mergeCell ref="A322:B322"/>
    <mergeCell ref="A293:B293"/>
    <mergeCell ref="A294:B294"/>
    <mergeCell ref="A295:B295"/>
    <mergeCell ref="A296:B296"/>
    <mergeCell ref="A297:B297"/>
    <mergeCell ref="A312:H312"/>
    <mergeCell ref="L312:M312"/>
    <mergeCell ref="A313:B313"/>
    <mergeCell ref="A314:B314"/>
    <mergeCell ref="A286:B286"/>
    <mergeCell ref="A287:B287"/>
    <mergeCell ref="C287:H288"/>
    <mergeCell ref="A288:B288"/>
    <mergeCell ref="A289:B289"/>
    <mergeCell ref="A290:B290"/>
    <mergeCell ref="A291:H291"/>
    <mergeCell ref="L291:M291"/>
    <mergeCell ref="A292:B292"/>
    <mergeCell ref="A278:B278"/>
    <mergeCell ref="A279:B279"/>
    <mergeCell ref="A280:B280"/>
    <mergeCell ref="A281:B281"/>
    <mergeCell ref="A282:B282"/>
    <mergeCell ref="A283:B283"/>
    <mergeCell ref="A284:H284"/>
    <mergeCell ref="L284:M284"/>
    <mergeCell ref="A285:B285"/>
    <mergeCell ref="A271:B271"/>
    <mergeCell ref="A272:B272"/>
    <mergeCell ref="A273:B273"/>
    <mergeCell ref="C273:H274"/>
    <mergeCell ref="A274:B274"/>
    <mergeCell ref="A275:B275"/>
    <mergeCell ref="A276:B276"/>
    <mergeCell ref="A277:H277"/>
    <mergeCell ref="L277:M277"/>
    <mergeCell ref="A263:H263"/>
    <mergeCell ref="L263:M263"/>
    <mergeCell ref="A264:B264"/>
    <mergeCell ref="A265:B265"/>
    <mergeCell ref="A266:B266"/>
    <mergeCell ref="A267:B267"/>
    <mergeCell ref="A268:B268"/>
    <mergeCell ref="A269:B269"/>
    <mergeCell ref="A270:H270"/>
    <mergeCell ref="L270:M270"/>
    <mergeCell ref="A256:H256"/>
    <mergeCell ref="L256:M256"/>
    <mergeCell ref="A257:B257"/>
    <mergeCell ref="A258:B258"/>
    <mergeCell ref="A259:B259"/>
    <mergeCell ref="C259:H260"/>
    <mergeCell ref="A260:B260"/>
    <mergeCell ref="A261:B261"/>
    <mergeCell ref="A262:B262"/>
    <mergeCell ref="A248:B248"/>
    <mergeCell ref="A249:H249"/>
    <mergeCell ref="L249:M249"/>
    <mergeCell ref="A250:B250"/>
    <mergeCell ref="A251:B251"/>
    <mergeCell ref="A252:B252"/>
    <mergeCell ref="A253:B253"/>
    <mergeCell ref="A254:B254"/>
    <mergeCell ref="A255:B255"/>
    <mergeCell ref="A241:B241"/>
    <mergeCell ref="A242:H242"/>
    <mergeCell ref="L242:M242"/>
    <mergeCell ref="A243:B243"/>
    <mergeCell ref="A244:B244"/>
    <mergeCell ref="A245:B245"/>
    <mergeCell ref="C245:H246"/>
    <mergeCell ref="A246:B246"/>
    <mergeCell ref="A247:B247"/>
    <mergeCell ref="B713:H713"/>
    <mergeCell ref="A706:H706"/>
    <mergeCell ref="C176:D176"/>
    <mergeCell ref="E176:F176"/>
    <mergeCell ref="G176:H176"/>
    <mergeCell ref="C177:D177"/>
    <mergeCell ref="E177:F177"/>
    <mergeCell ref="G177:H177"/>
    <mergeCell ref="A305:H305"/>
    <mergeCell ref="A306:B306"/>
    <mergeCell ref="A307:B307"/>
    <mergeCell ref="A308:B308"/>
    <mergeCell ref="A309:B309"/>
    <mergeCell ref="A310:B310"/>
    <mergeCell ref="A311:B311"/>
    <mergeCell ref="C308:H309"/>
    <mergeCell ref="A207:H207"/>
    <mergeCell ref="A208:B208"/>
    <mergeCell ref="A209:B209"/>
    <mergeCell ref="A210:B210"/>
    <mergeCell ref="A211:B211"/>
    <mergeCell ref="A212:B212"/>
    <mergeCell ref="A213:B213"/>
    <mergeCell ref="A214:H214"/>
    <mergeCell ref="B709:H709"/>
    <mergeCell ref="A161:E161"/>
    <mergeCell ref="A180:B180"/>
    <mergeCell ref="E180:F180"/>
    <mergeCell ref="A166:E166"/>
    <mergeCell ref="G180:H180"/>
    <mergeCell ref="A172:B172"/>
    <mergeCell ref="C172:D172"/>
    <mergeCell ref="E172:F172"/>
    <mergeCell ref="G172:H172"/>
    <mergeCell ref="A215:B215"/>
    <mergeCell ref="A216:B216"/>
    <mergeCell ref="A217:B217"/>
    <mergeCell ref="A218:B218"/>
    <mergeCell ref="A219:B219"/>
    <mergeCell ref="A220:B220"/>
    <mergeCell ref="C217:H218"/>
    <mergeCell ref="A221:H221"/>
    <mergeCell ref="A222:B222"/>
    <mergeCell ref="A223:B223"/>
    <mergeCell ref="A224:B224"/>
    <mergeCell ref="A225:B225"/>
    <mergeCell ref="A226:B226"/>
    <mergeCell ref="A227:B227"/>
    <mergeCell ref="C40:H40"/>
    <mergeCell ref="F184:F185"/>
    <mergeCell ref="C171:D171"/>
    <mergeCell ref="E171:F171"/>
    <mergeCell ref="B184:B185"/>
    <mergeCell ref="A184:A185"/>
    <mergeCell ref="G181:H181"/>
    <mergeCell ref="A92:B92"/>
    <mergeCell ref="E90:F99"/>
    <mergeCell ref="A95:B95"/>
    <mergeCell ref="A90:B90"/>
    <mergeCell ref="A79:C79"/>
    <mergeCell ref="A80:C80"/>
    <mergeCell ref="D79:H79"/>
    <mergeCell ref="A72:C72"/>
    <mergeCell ref="D80:H80"/>
    <mergeCell ref="C65:H65"/>
    <mergeCell ref="A48:H48"/>
    <mergeCell ref="D73:H73"/>
    <mergeCell ref="A73:C73"/>
    <mergeCell ref="A45:D45"/>
    <mergeCell ref="A49:B49"/>
    <mergeCell ref="C49:H49"/>
    <mergeCell ref="A51:B51"/>
    <mergeCell ref="L187:M187"/>
    <mergeCell ref="A97:B97"/>
    <mergeCell ref="C175:D175"/>
    <mergeCell ref="E175:F175"/>
    <mergeCell ref="G175:H175"/>
    <mergeCell ref="A157:E157"/>
    <mergeCell ref="A186:H186"/>
    <mergeCell ref="E184:E185"/>
    <mergeCell ref="F158:H158"/>
    <mergeCell ref="A158:E158"/>
    <mergeCell ref="E181:F181"/>
    <mergeCell ref="G90:H99"/>
    <mergeCell ref="A187:B187"/>
    <mergeCell ref="A113:B113"/>
    <mergeCell ref="A114:B114"/>
    <mergeCell ref="C114:H114"/>
    <mergeCell ref="A116:B116"/>
    <mergeCell ref="C116:H116"/>
    <mergeCell ref="A117:B117"/>
    <mergeCell ref="E117:F117"/>
    <mergeCell ref="G117:H117"/>
    <mergeCell ref="A118:B118"/>
    <mergeCell ref="E118:F127"/>
    <mergeCell ref="G118:H127"/>
    <mergeCell ref="F37:H37"/>
    <mergeCell ref="C52:E52"/>
    <mergeCell ref="C51:E51"/>
    <mergeCell ref="G51:H51"/>
    <mergeCell ref="A52:B52"/>
    <mergeCell ref="G64:H64"/>
    <mergeCell ref="G66:H66"/>
    <mergeCell ref="G52:H52"/>
    <mergeCell ref="A39:B39"/>
    <mergeCell ref="C39:H39"/>
    <mergeCell ref="C63:H63"/>
    <mergeCell ref="A53:B55"/>
    <mergeCell ref="C62:E62"/>
    <mergeCell ref="C53:E54"/>
    <mergeCell ref="C64:E64"/>
    <mergeCell ref="G62:H62"/>
    <mergeCell ref="A46:D46"/>
    <mergeCell ref="A47:D47"/>
    <mergeCell ref="A38:H38"/>
    <mergeCell ref="A44:D44"/>
    <mergeCell ref="E44:H44"/>
    <mergeCell ref="E45:H45"/>
    <mergeCell ref="E46:H46"/>
    <mergeCell ref="E47:H47"/>
    <mergeCell ref="A71:C71"/>
    <mergeCell ref="D74:H74"/>
    <mergeCell ref="G54:H54"/>
    <mergeCell ref="G53:H53"/>
    <mergeCell ref="A70:H70"/>
    <mergeCell ref="A66:B68"/>
    <mergeCell ref="C68:H68"/>
    <mergeCell ref="C66:E67"/>
    <mergeCell ref="C55:H55"/>
    <mergeCell ref="G69:H69"/>
    <mergeCell ref="A62:B63"/>
    <mergeCell ref="A64:B65"/>
    <mergeCell ref="G67:H67"/>
    <mergeCell ref="A57:B57"/>
    <mergeCell ref="C57:E57"/>
    <mergeCell ref="G57:H57"/>
    <mergeCell ref="A58:B58"/>
    <mergeCell ref="C58:E58"/>
    <mergeCell ref="G58:H58"/>
    <mergeCell ref="A59:B61"/>
    <mergeCell ref="C59:E60"/>
    <mergeCell ref="G59:H59"/>
    <mergeCell ref="G60:H60"/>
    <mergeCell ref="D81:H81"/>
    <mergeCell ref="C88:H88"/>
    <mergeCell ref="A82:C82"/>
    <mergeCell ref="D82:H82"/>
    <mergeCell ref="A85:C85"/>
    <mergeCell ref="D85:H85"/>
    <mergeCell ref="A84:C84"/>
    <mergeCell ref="A83:C83"/>
    <mergeCell ref="D84:H84"/>
    <mergeCell ref="A88:B88"/>
    <mergeCell ref="A86:B86"/>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E42:H42"/>
    <mergeCell ref="A41:H41"/>
    <mergeCell ref="A40:B40"/>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27:H730"/>
    <mergeCell ref="A726:B726"/>
    <mergeCell ref="E726:F726"/>
    <mergeCell ref="C726:D726"/>
    <mergeCell ref="G726:H726"/>
    <mergeCell ref="A169:H169"/>
    <mergeCell ref="A167:E167"/>
    <mergeCell ref="F167:H167"/>
    <mergeCell ref="A168:E168"/>
    <mergeCell ref="F168:H168"/>
    <mergeCell ref="A699:H699"/>
    <mergeCell ref="A171:B171"/>
    <mergeCell ref="A722:H722"/>
    <mergeCell ref="A173:H173"/>
    <mergeCell ref="A725:H725"/>
    <mergeCell ref="A723:H723"/>
    <mergeCell ref="A719:H719"/>
    <mergeCell ref="G174:H174"/>
    <mergeCell ref="B712:H712"/>
    <mergeCell ref="C181:D181"/>
    <mergeCell ref="C189:C190"/>
    <mergeCell ref="B715:H715"/>
    <mergeCell ref="B717:H717"/>
    <mergeCell ref="C184:C185"/>
    <mergeCell ref="A724:H724"/>
    <mergeCell ref="A721:H721"/>
    <mergeCell ref="A174:B174"/>
    <mergeCell ref="D189:D190"/>
    <mergeCell ref="E189:E190"/>
    <mergeCell ref="F157:H157"/>
    <mergeCell ref="G171:H171"/>
    <mergeCell ref="F163:H163"/>
    <mergeCell ref="C170:D170"/>
    <mergeCell ref="C180:D180"/>
    <mergeCell ref="B711:H711"/>
    <mergeCell ref="B718:H718"/>
    <mergeCell ref="E174:F174"/>
    <mergeCell ref="A182:H182"/>
    <mergeCell ref="A163:E163"/>
    <mergeCell ref="D184:D185"/>
    <mergeCell ref="B716:H716"/>
    <mergeCell ref="A181:B181"/>
    <mergeCell ref="A159:E159"/>
    <mergeCell ref="F160:H160"/>
    <mergeCell ref="A160:E160"/>
    <mergeCell ref="B714:H714"/>
    <mergeCell ref="G184:G185"/>
    <mergeCell ref="B189:B190"/>
    <mergeCell ref="A720:H720"/>
    <mergeCell ref="A162:E162"/>
    <mergeCell ref="A96:B96"/>
    <mergeCell ref="I15:P15"/>
    <mergeCell ref="F166:H166"/>
    <mergeCell ref="F164:H164"/>
    <mergeCell ref="A183:H183"/>
    <mergeCell ref="G170:H170"/>
    <mergeCell ref="A165:E165"/>
    <mergeCell ref="A69:B69"/>
    <mergeCell ref="C69:E69"/>
    <mergeCell ref="D71:H71"/>
    <mergeCell ref="F165:H165"/>
    <mergeCell ref="E170:F170"/>
    <mergeCell ref="A170:B170"/>
    <mergeCell ref="C174:D174"/>
    <mergeCell ref="D83:H83"/>
    <mergeCell ref="D72:H72"/>
    <mergeCell ref="A188:H188"/>
    <mergeCell ref="F159:H159"/>
    <mergeCell ref="A156:E156"/>
    <mergeCell ref="B707:H707"/>
    <mergeCell ref="B708:H708"/>
    <mergeCell ref="B710:H710"/>
    <mergeCell ref="A189:A190"/>
    <mergeCell ref="F156:H156"/>
    <mergeCell ref="F161:H161"/>
    <mergeCell ref="F162:H162"/>
    <mergeCell ref="A164:E164"/>
    <mergeCell ref="A89:B89"/>
    <mergeCell ref="A104:B104"/>
    <mergeCell ref="E104:F113"/>
    <mergeCell ref="G104:H113"/>
    <mergeCell ref="A105:B105"/>
    <mergeCell ref="A106:B106"/>
    <mergeCell ref="A107:B107"/>
    <mergeCell ref="A108:B108"/>
    <mergeCell ref="A109:B109"/>
    <mergeCell ref="A110:B110"/>
    <mergeCell ref="A111:B111"/>
    <mergeCell ref="A112:B112"/>
    <mergeCell ref="L700:M700"/>
    <mergeCell ref="A702:B702"/>
    <mergeCell ref="A700:H700"/>
    <mergeCell ref="A701:B701"/>
    <mergeCell ref="L703:M703"/>
    <mergeCell ref="A704:B704"/>
    <mergeCell ref="A705:B705"/>
    <mergeCell ref="F189:F190"/>
    <mergeCell ref="A703:H703"/>
    <mergeCell ref="L699:M699"/>
    <mergeCell ref="G189:G190"/>
    <mergeCell ref="A558:H558"/>
    <mergeCell ref="L558:M558"/>
    <mergeCell ref="A682:H682"/>
    <mergeCell ref="L682:M682"/>
    <mergeCell ref="A557:H557"/>
    <mergeCell ref="L557:M557"/>
    <mergeCell ref="A562:H562"/>
    <mergeCell ref="L562:M562"/>
    <mergeCell ref="A563:H563"/>
    <mergeCell ref="L563:M563"/>
    <mergeCell ref="A564:B564"/>
    <mergeCell ref="A565:B565"/>
    <mergeCell ref="A566:B566"/>
    <mergeCell ref="C61:H61"/>
    <mergeCell ref="A50:H50"/>
    <mergeCell ref="A56:H56"/>
    <mergeCell ref="A100:B100"/>
    <mergeCell ref="C100:H100"/>
    <mergeCell ref="A102:B102"/>
    <mergeCell ref="C102:H102"/>
    <mergeCell ref="A103:B103"/>
    <mergeCell ref="E103:F103"/>
    <mergeCell ref="G103:H103"/>
    <mergeCell ref="D75:H75"/>
    <mergeCell ref="D76:H76"/>
    <mergeCell ref="D77:H77"/>
    <mergeCell ref="D78:H78"/>
    <mergeCell ref="A74:C78"/>
    <mergeCell ref="G89:H89"/>
    <mergeCell ref="A98:B98"/>
    <mergeCell ref="A99:B99"/>
    <mergeCell ref="A94:B94"/>
    <mergeCell ref="A93:B93"/>
    <mergeCell ref="E89:F89"/>
    <mergeCell ref="A91:B91"/>
    <mergeCell ref="C86:H86"/>
    <mergeCell ref="A81:C81"/>
    <mergeCell ref="A119:B119"/>
    <mergeCell ref="A120:B120"/>
    <mergeCell ref="A121:B121"/>
    <mergeCell ref="A122:B122"/>
    <mergeCell ref="A123:B123"/>
    <mergeCell ref="A124:B124"/>
    <mergeCell ref="A125:B125"/>
    <mergeCell ref="A126:B126"/>
    <mergeCell ref="A127:B127"/>
    <mergeCell ref="A153:B153"/>
    <mergeCell ref="A154:B154"/>
    <mergeCell ref="A155:B155"/>
    <mergeCell ref="A128:B128"/>
    <mergeCell ref="C128:H128"/>
    <mergeCell ref="A130:B130"/>
    <mergeCell ref="C130:H130"/>
    <mergeCell ref="A131:B131"/>
    <mergeCell ref="E131:F131"/>
    <mergeCell ref="G131:H131"/>
    <mergeCell ref="A132:B132"/>
    <mergeCell ref="E132:F141"/>
    <mergeCell ref="G132:H141"/>
    <mergeCell ref="A133:B133"/>
    <mergeCell ref="A134:B134"/>
    <mergeCell ref="A135:B135"/>
    <mergeCell ref="A136:B136"/>
    <mergeCell ref="A137:B137"/>
    <mergeCell ref="A138:B138"/>
    <mergeCell ref="A139:B139"/>
    <mergeCell ref="A140:B140"/>
    <mergeCell ref="A141:B141"/>
    <mergeCell ref="C178:D178"/>
    <mergeCell ref="E178:F178"/>
    <mergeCell ref="G178:H178"/>
    <mergeCell ref="C179:D179"/>
    <mergeCell ref="E179:F179"/>
    <mergeCell ref="G179:H179"/>
    <mergeCell ref="A175:A177"/>
    <mergeCell ref="A178:A179"/>
    <mergeCell ref="A142:B142"/>
    <mergeCell ref="C142:H142"/>
    <mergeCell ref="A144:B144"/>
    <mergeCell ref="C144:H144"/>
    <mergeCell ref="A145:B145"/>
    <mergeCell ref="E145:F145"/>
    <mergeCell ref="G145:H145"/>
    <mergeCell ref="A146:B146"/>
    <mergeCell ref="E146:F155"/>
    <mergeCell ref="G146:H155"/>
    <mergeCell ref="A147:B147"/>
    <mergeCell ref="A148:B148"/>
    <mergeCell ref="A149:B149"/>
    <mergeCell ref="A150:B150"/>
    <mergeCell ref="A151:B151"/>
    <mergeCell ref="A152:B152"/>
    <mergeCell ref="A191:H191"/>
    <mergeCell ref="L191:M191"/>
    <mergeCell ref="A192:H192"/>
    <mergeCell ref="L192:M192"/>
    <mergeCell ref="A298:H298"/>
    <mergeCell ref="L298:M298"/>
    <mergeCell ref="A445:H445"/>
    <mergeCell ref="L445:M445"/>
    <mergeCell ref="A197:H197"/>
    <mergeCell ref="L197:M197"/>
    <mergeCell ref="A302:H302"/>
    <mergeCell ref="L302:M302"/>
    <mergeCell ref="L305:M305"/>
    <mergeCell ref="L207:M207"/>
    <mergeCell ref="L214:M214"/>
    <mergeCell ref="L221:M221"/>
    <mergeCell ref="A228:H228"/>
    <mergeCell ref="L228:M228"/>
    <mergeCell ref="A229:B229"/>
    <mergeCell ref="A230:B230"/>
    <mergeCell ref="A231:B231"/>
    <mergeCell ref="C231:H232"/>
    <mergeCell ref="A232:B232"/>
    <mergeCell ref="A233:B233"/>
    <mergeCell ref="J175:J177"/>
    <mergeCell ref="J178:J179"/>
    <mergeCell ref="A446:H446"/>
    <mergeCell ref="L446:M446"/>
    <mergeCell ref="A559:H559"/>
    <mergeCell ref="L559:M559"/>
    <mergeCell ref="A560:H560"/>
    <mergeCell ref="L560:M560"/>
    <mergeCell ref="A561:H561"/>
    <mergeCell ref="L561:M561"/>
    <mergeCell ref="A193:H193"/>
    <mergeCell ref="L193:M193"/>
    <mergeCell ref="A194:H194"/>
    <mergeCell ref="L194:M194"/>
    <mergeCell ref="A299:H299"/>
    <mergeCell ref="L299:M299"/>
    <mergeCell ref="A195:H195"/>
    <mergeCell ref="L195:M195"/>
    <mergeCell ref="A300:H300"/>
    <mergeCell ref="L300:M300"/>
    <mergeCell ref="A196:H196"/>
    <mergeCell ref="L196:M196"/>
    <mergeCell ref="A301:H301"/>
    <mergeCell ref="L301:M301"/>
    <mergeCell ref="A575:B575"/>
    <mergeCell ref="A576:B576"/>
    <mergeCell ref="C564:H567"/>
    <mergeCell ref="A577:H577"/>
    <mergeCell ref="L577:M577"/>
    <mergeCell ref="A578:B578"/>
    <mergeCell ref="A579:B579"/>
    <mergeCell ref="A580:B580"/>
    <mergeCell ref="A581:B581"/>
    <mergeCell ref="A567:B567"/>
    <mergeCell ref="A568:B568"/>
    <mergeCell ref="A569:B569"/>
    <mergeCell ref="A570:H570"/>
    <mergeCell ref="L570:M570"/>
    <mergeCell ref="A571:B571"/>
    <mergeCell ref="A572:B572"/>
    <mergeCell ref="A573:B573"/>
    <mergeCell ref="A574:B574"/>
    <mergeCell ref="A582:B582"/>
    <mergeCell ref="A583:B583"/>
    <mergeCell ref="C580:H581"/>
    <mergeCell ref="A584:H584"/>
    <mergeCell ref="L584:M584"/>
    <mergeCell ref="A585:B585"/>
    <mergeCell ref="A586:B586"/>
    <mergeCell ref="A587:B587"/>
    <mergeCell ref="A588:B588"/>
    <mergeCell ref="A589:B589"/>
    <mergeCell ref="A590:B590"/>
    <mergeCell ref="A591:H591"/>
    <mergeCell ref="L591:M591"/>
    <mergeCell ref="A592:B592"/>
    <mergeCell ref="A593:B593"/>
    <mergeCell ref="A594:B594"/>
    <mergeCell ref="C594:H595"/>
    <mergeCell ref="A595:B595"/>
    <mergeCell ref="A596:B596"/>
    <mergeCell ref="A597:B597"/>
    <mergeCell ref="A598:H598"/>
    <mergeCell ref="L598:M598"/>
    <mergeCell ref="A599:B599"/>
    <mergeCell ref="A600:B600"/>
    <mergeCell ref="A601:B601"/>
    <mergeCell ref="A602:B602"/>
    <mergeCell ref="A603:B603"/>
    <mergeCell ref="A604:B604"/>
    <mergeCell ref="A605:H605"/>
    <mergeCell ref="L605:M605"/>
    <mergeCell ref="A606:B606"/>
    <mergeCell ref="A607:B607"/>
    <mergeCell ref="A608:B608"/>
    <mergeCell ref="C608:H609"/>
    <mergeCell ref="A609:B609"/>
    <mergeCell ref="A610:B610"/>
    <mergeCell ref="A611:B611"/>
    <mergeCell ref="A612:H612"/>
    <mergeCell ref="L612:M612"/>
    <mergeCell ref="A613:B613"/>
    <mergeCell ref="A614:B614"/>
    <mergeCell ref="A615:B615"/>
    <mergeCell ref="A616:B616"/>
    <mergeCell ref="A617:B617"/>
    <mergeCell ref="A618:B618"/>
    <mergeCell ref="A627:B627"/>
    <mergeCell ref="A628:B628"/>
    <mergeCell ref="A629:B629"/>
    <mergeCell ref="A630:B630"/>
    <mergeCell ref="A631:B631"/>
    <mergeCell ref="A632:B632"/>
    <mergeCell ref="A619:H619"/>
    <mergeCell ref="L619:M619"/>
    <mergeCell ref="A620:B620"/>
    <mergeCell ref="A621:B621"/>
    <mergeCell ref="A622:B622"/>
    <mergeCell ref="A623:B623"/>
    <mergeCell ref="A624:B624"/>
    <mergeCell ref="A625:B625"/>
    <mergeCell ref="A626:H626"/>
    <mergeCell ref="L626:M626"/>
    <mergeCell ref="A635:B635"/>
    <mergeCell ref="A636:B636"/>
    <mergeCell ref="A637:B637"/>
    <mergeCell ref="A638:B638"/>
    <mergeCell ref="A639:B639"/>
    <mergeCell ref="A633:H633"/>
    <mergeCell ref="L633:M633"/>
    <mergeCell ref="A634:B634"/>
    <mergeCell ref="C636:H637"/>
    <mergeCell ref="A640:H640"/>
    <mergeCell ref="L640:M640"/>
    <mergeCell ref="A641:B641"/>
    <mergeCell ref="A642:B642"/>
    <mergeCell ref="A643:B643"/>
    <mergeCell ref="C643:H644"/>
    <mergeCell ref="A644:B644"/>
    <mergeCell ref="A645:B645"/>
    <mergeCell ref="A646:B646"/>
    <mergeCell ref="A647:H647"/>
    <mergeCell ref="L647:M647"/>
    <mergeCell ref="A648:B648"/>
    <mergeCell ref="A649:B649"/>
    <mergeCell ref="A650:B650"/>
    <mergeCell ref="A651:B651"/>
    <mergeCell ref="A652:B652"/>
    <mergeCell ref="A653:B653"/>
    <mergeCell ref="A654:H654"/>
    <mergeCell ref="L654:M654"/>
    <mergeCell ref="A655:B655"/>
    <mergeCell ref="A656:B656"/>
    <mergeCell ref="A657:B657"/>
    <mergeCell ref="A658:B658"/>
    <mergeCell ref="A659:B659"/>
    <mergeCell ref="A660:B660"/>
    <mergeCell ref="A661:H661"/>
    <mergeCell ref="L661:M661"/>
    <mergeCell ref="A662:B662"/>
    <mergeCell ref="A663:B663"/>
    <mergeCell ref="A664:B664"/>
    <mergeCell ref="C664:H665"/>
    <mergeCell ref="A665:B665"/>
    <mergeCell ref="A666:B666"/>
    <mergeCell ref="A667:B667"/>
    <mergeCell ref="A668:H668"/>
    <mergeCell ref="L668:M668"/>
    <mergeCell ref="A669:B669"/>
    <mergeCell ref="A670:B670"/>
    <mergeCell ref="A671:B671"/>
    <mergeCell ref="A672:B672"/>
    <mergeCell ref="A673:B673"/>
    <mergeCell ref="A674:B674"/>
    <mergeCell ref="A675:H675"/>
    <mergeCell ref="L675:M675"/>
    <mergeCell ref="A676:B676"/>
    <mergeCell ref="A677:B677"/>
    <mergeCell ref="A678:B678"/>
    <mergeCell ref="C678:H679"/>
    <mergeCell ref="A679:B679"/>
    <mergeCell ref="A680:B680"/>
    <mergeCell ref="A681:B681"/>
    <mergeCell ref="A685:H685"/>
    <mergeCell ref="L685:M685"/>
    <mergeCell ref="A686:B686"/>
    <mergeCell ref="A687:B687"/>
    <mergeCell ref="A198:H198"/>
    <mergeCell ref="L198:M198"/>
    <mergeCell ref="A450:H450"/>
    <mergeCell ref="L450:M450"/>
    <mergeCell ref="A304:H304"/>
    <mergeCell ref="L304:M304"/>
    <mergeCell ref="A695:B695"/>
    <mergeCell ref="C695:H698"/>
    <mergeCell ref="A696:B696"/>
    <mergeCell ref="A697:B697"/>
    <mergeCell ref="A698:B698"/>
    <mergeCell ref="A684:H684"/>
    <mergeCell ref="L684:M684"/>
    <mergeCell ref="A683:H683"/>
    <mergeCell ref="L683:M683"/>
    <mergeCell ref="A688:B688"/>
    <mergeCell ref="A693:B693"/>
    <mergeCell ref="A694:B694"/>
    <mergeCell ref="A691:B691"/>
    <mergeCell ref="C688:H691"/>
    <mergeCell ref="A692:H692"/>
    <mergeCell ref="L692:M692"/>
    <mergeCell ref="A689:B689"/>
    <mergeCell ref="A690:B690"/>
    <mergeCell ref="A451:H451"/>
    <mergeCell ref="L451:M451"/>
    <mergeCell ref="A199:H199"/>
    <mergeCell ref="L199:M199"/>
    <mergeCell ref="A200:H200"/>
    <mergeCell ref="L200:M200"/>
    <mergeCell ref="A201:B201"/>
    <mergeCell ref="A202:B202"/>
    <mergeCell ref="A203:B203"/>
    <mergeCell ref="A204:B204"/>
    <mergeCell ref="A205:B205"/>
    <mergeCell ref="A206:B206"/>
    <mergeCell ref="A449:H449"/>
    <mergeCell ref="L449:M449"/>
    <mergeCell ref="A303:H303"/>
    <mergeCell ref="L303:M303"/>
    <mergeCell ref="A234:B234"/>
    <mergeCell ref="A235:H235"/>
    <mergeCell ref="L235:M235"/>
    <mergeCell ref="A236:B236"/>
    <mergeCell ref="A237:B237"/>
    <mergeCell ref="A238:B238"/>
    <mergeCell ref="A239:B239"/>
    <mergeCell ref="A240:B24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84:E185">
      <formula1>"Attached Loft area,Attached Otla area,Attached Mezzanine area"</formula1>
    </dataValidation>
    <dataValidation type="list" allowBlank="1" showInputMessage="1" showErrorMessage="1" sqref="G726:H726">
      <formula1>"Kunal Kadam,Pranita Mhatre,Shruti Fule,Pooja Kawale,Gaurav Panchal,Shruti Tathare, Dipti Gothawade,Saurav Panse, Sachin Sawant"</formula1>
    </dataValidation>
    <dataValidation type="list" allowBlank="1" showInputMessage="1" showErrorMessage="1" sqref="F156:H156">
      <formula1>"On Saleable Area,On Builtup Area,On Carpet Area,On Plot Area"</formula1>
    </dataValidation>
    <dataValidation type="list" allowBlank="1" showInputMessage="1" showErrorMessage="1" sqref="F167:H167">
      <formula1>OFFSET($S$156,1,MATCH($G20,$S$156:$W$156,0)-1,15,1)</formula1>
    </dataValidation>
    <dataValidation type="list" allowBlank="1" showInputMessage="1" showErrorMessage="1" sqref="B184:B185">
      <formula1>"Shop No. (Sale Plan),Sale / Rehab,Sale / Mhada"</formula1>
    </dataValidation>
    <dataValidation type="list" allowBlank="1" showInputMessage="1" showErrorMessage="1" sqref="B189:B19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9:E190">
      <formula1>"Fungible area,Balcony Area,Chajja Area,Cornice Area,AP Area,WS Area"</formula1>
    </dataValidation>
    <dataValidation type="list" allowBlank="1" showInputMessage="1" showErrorMessage="1" sqref="H185 H19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84 H189">
      <formula1>"Saleable area Loading :,Builder Saleable Area"</formula1>
    </dataValidation>
    <dataValidation type="list" allowBlank="1" showInputMessage="1" showErrorMessage="1" sqref="D184:D185">
      <formula1>"Carpet area,RERA Carpet area"</formula1>
    </dataValidation>
    <dataValidation type="list" allowBlank="1" showInputMessage="1" showErrorMessage="1" sqref="D189:D190">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85" max="16383" man="1"/>
    <brk id="730" max="16383" man="1"/>
    <brk id="773" max="16383" man="1"/>
    <brk id="81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0"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5" t="s">
        <v>103</v>
      </c>
      <c r="C3" s="265"/>
      <c r="D3" s="265"/>
      <c r="E3" s="265"/>
      <c r="F3" s="265"/>
      <c r="G3" s="265"/>
      <c r="H3" s="265"/>
    </row>
    <row r="4" spans="1:9" x14ac:dyDescent="0.35">
      <c r="A4" s="2"/>
      <c r="B4" s="3" t="s">
        <v>104</v>
      </c>
      <c r="C4" s="3" t="s">
        <v>105</v>
      </c>
      <c r="D4" s="3" t="s">
        <v>64</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8" zoomScale="130" zoomScaleNormal="130" workbookViewId="0">
      <selection activeCell="F61" sqref="F61"/>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5"/>
      <c r="C4" s="45" t="s">
        <v>10</v>
      </c>
      <c r="D4" s="46" t="s">
        <v>173</v>
      </c>
      <c r="E4" s="46" t="s">
        <v>183</v>
      </c>
      <c r="F4" s="46" t="s">
        <v>165</v>
      </c>
      <c r="G4" s="46" t="s">
        <v>188</v>
      </c>
      <c r="H4" s="46" t="s">
        <v>206</v>
      </c>
      <c r="J4" t="s">
        <v>188</v>
      </c>
      <c r="K4" t="s">
        <v>204</v>
      </c>
    </row>
    <row r="5" spans="2:11" x14ac:dyDescent="0.35">
      <c r="B5" s="45"/>
      <c r="C5" s="45"/>
      <c r="D5" s="46" t="s">
        <v>174</v>
      </c>
      <c r="E5" s="46" t="s">
        <v>181</v>
      </c>
      <c r="F5" s="46" t="s">
        <v>203</v>
      </c>
      <c r="G5" s="46" t="s">
        <v>189</v>
      </c>
      <c r="H5" s="46" t="s">
        <v>207</v>
      </c>
    </row>
    <row r="6" spans="2:11" x14ac:dyDescent="0.35">
      <c r="B6" s="45"/>
      <c r="C6" s="45"/>
      <c r="D6" s="46" t="s">
        <v>175</v>
      </c>
      <c r="E6" s="46" t="s">
        <v>182</v>
      </c>
      <c r="F6" s="46" t="s">
        <v>204</v>
      </c>
      <c r="G6" s="46" t="s">
        <v>190</v>
      </c>
      <c r="H6" s="46" t="s">
        <v>220</v>
      </c>
    </row>
    <row r="7" spans="2:11" x14ac:dyDescent="0.35">
      <c r="B7" s="45"/>
      <c r="C7" s="45"/>
      <c r="D7" s="46" t="s">
        <v>176</v>
      </c>
      <c r="E7" s="46" t="s">
        <v>184</v>
      </c>
      <c r="F7" s="46" t="s">
        <v>205</v>
      </c>
      <c r="G7" s="46" t="s">
        <v>191</v>
      </c>
      <c r="H7" s="46" t="s">
        <v>208</v>
      </c>
    </row>
    <row r="8" spans="2:11" x14ac:dyDescent="0.35">
      <c r="B8" s="45"/>
      <c r="C8" s="45"/>
      <c r="D8" s="46" t="s">
        <v>177</v>
      </c>
      <c r="E8" s="46" t="s">
        <v>185</v>
      </c>
      <c r="F8" s="46"/>
      <c r="G8" s="46" t="s">
        <v>192</v>
      </c>
      <c r="H8" s="46" t="s">
        <v>209</v>
      </c>
    </row>
    <row r="9" spans="2:11" x14ac:dyDescent="0.35">
      <c r="B9" s="45"/>
      <c r="C9" s="45"/>
      <c r="D9" s="46" t="s">
        <v>178</v>
      </c>
      <c r="E9" s="46" t="s">
        <v>183</v>
      </c>
      <c r="F9" s="46"/>
      <c r="G9" s="46" t="s">
        <v>193</v>
      </c>
      <c r="H9" s="46" t="s">
        <v>210</v>
      </c>
    </row>
    <row r="10" spans="2:11" x14ac:dyDescent="0.35">
      <c r="B10" s="45"/>
      <c r="C10" s="45"/>
      <c r="D10" s="46" t="s">
        <v>179</v>
      </c>
      <c r="E10" s="46" t="s">
        <v>186</v>
      </c>
      <c r="F10" s="46"/>
      <c r="G10" s="46" t="s">
        <v>194</v>
      </c>
      <c r="H10" s="46" t="s">
        <v>211</v>
      </c>
    </row>
    <row r="11" spans="2:11" x14ac:dyDescent="0.35">
      <c r="B11" s="45"/>
      <c r="C11" s="45"/>
      <c r="D11" s="46" t="s">
        <v>180</v>
      </c>
      <c r="E11" s="46" t="s">
        <v>187</v>
      </c>
      <c r="F11" s="46"/>
      <c r="G11" s="46" t="s">
        <v>195</v>
      </c>
      <c r="H11" s="46" t="s">
        <v>212</v>
      </c>
    </row>
    <row r="12" spans="2:11" x14ac:dyDescent="0.35">
      <c r="B12" s="45"/>
      <c r="C12" s="45"/>
      <c r="D12" s="46"/>
      <c r="E12" s="46"/>
      <c r="F12" s="46"/>
      <c r="G12" s="46" t="s">
        <v>196</v>
      </c>
      <c r="H12" s="46" t="s">
        <v>213</v>
      </c>
    </row>
    <row r="13" spans="2:11" x14ac:dyDescent="0.35">
      <c r="B13" s="45"/>
      <c r="C13" s="45"/>
      <c r="D13" s="46"/>
      <c r="E13" s="46"/>
      <c r="F13" s="46"/>
      <c r="G13" s="46" t="s">
        <v>197</v>
      </c>
      <c r="H13" s="46" t="s">
        <v>214</v>
      </c>
    </row>
    <row r="14" spans="2:11" x14ac:dyDescent="0.35">
      <c r="B14" s="45"/>
      <c r="C14" s="45"/>
      <c r="D14" s="46"/>
      <c r="E14" s="46"/>
      <c r="F14" s="46"/>
      <c r="G14" s="46" t="s">
        <v>198</v>
      </c>
      <c r="H14" s="46" t="s">
        <v>215</v>
      </c>
    </row>
    <row r="15" spans="2:11" x14ac:dyDescent="0.35">
      <c r="B15" s="45"/>
      <c r="C15" s="45"/>
      <c r="D15" s="46"/>
      <c r="E15" s="46"/>
      <c r="F15" s="46"/>
      <c r="G15" s="46" t="s">
        <v>199</v>
      </c>
      <c r="H15" s="46" t="s">
        <v>216</v>
      </c>
    </row>
    <row r="16" spans="2:11" x14ac:dyDescent="0.35">
      <c r="B16" s="45"/>
      <c r="C16" s="45"/>
      <c r="D16" s="46"/>
      <c r="E16" s="46"/>
      <c r="F16" s="46"/>
      <c r="G16" s="46" t="s">
        <v>200</v>
      </c>
      <c r="H16" s="46" t="s">
        <v>217</v>
      </c>
    </row>
    <row r="17" spans="2:8" x14ac:dyDescent="0.35">
      <c r="B17" s="45"/>
      <c r="C17" s="45"/>
      <c r="D17" s="46"/>
      <c r="E17" s="46"/>
      <c r="F17" s="46"/>
      <c r="G17" s="46" t="s">
        <v>201</v>
      </c>
      <c r="H17" s="46" t="s">
        <v>218</v>
      </c>
    </row>
    <row r="18" spans="2:8" x14ac:dyDescent="0.35">
      <c r="B18" s="45"/>
      <c r="C18" s="45"/>
      <c r="D18" s="46"/>
      <c r="E18" s="46"/>
      <c r="F18" s="46"/>
      <c r="G18" s="46" t="s">
        <v>202</v>
      </c>
      <c r="H18" s="46" t="s">
        <v>219</v>
      </c>
    </row>
    <row r="24" spans="2:8" x14ac:dyDescent="0.35">
      <c r="C24" t="s">
        <v>162</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162</v>
      </c>
    </row>
    <row r="33" spans="3:11" x14ac:dyDescent="0.35">
      <c r="J33">
        <v>1</v>
      </c>
      <c r="K33">
        <v>2</v>
      </c>
    </row>
    <row r="34" spans="3:11" x14ac:dyDescent="0.35">
      <c r="C34" s="47" t="s">
        <v>230</v>
      </c>
      <c r="D34" s="46" t="s">
        <v>228</v>
      </c>
      <c r="E34" s="46" t="s">
        <v>233</v>
      </c>
      <c r="F34" s="46" t="s">
        <v>231</v>
      </c>
      <c r="G34" s="46" t="s">
        <v>232</v>
      </c>
      <c r="H34" s="46" t="s">
        <v>234</v>
      </c>
      <c r="J34" t="s">
        <v>188</v>
      </c>
      <c r="K34" t="s">
        <v>204</v>
      </c>
    </row>
    <row r="35" spans="3:11" x14ac:dyDescent="0.35">
      <c r="C35" s="45" t="s">
        <v>229</v>
      </c>
      <c r="D35" s="46" t="s">
        <v>163</v>
      </c>
      <c r="E35" s="46" t="s">
        <v>238</v>
      </c>
      <c r="F35" s="46" t="s">
        <v>240</v>
      </c>
      <c r="G35" s="46" t="s">
        <v>242</v>
      </c>
      <c r="H35" s="46"/>
    </row>
    <row r="36" spans="3:11" x14ac:dyDescent="0.35">
      <c r="C36" s="45"/>
      <c r="D36" s="46" t="s">
        <v>235</v>
      </c>
      <c r="E36" s="46" t="s">
        <v>239</v>
      </c>
      <c r="F36" s="46" t="s">
        <v>241</v>
      </c>
      <c r="G36" s="46" t="s">
        <v>243</v>
      </c>
      <c r="H36" s="46"/>
    </row>
    <row r="37" spans="3:11" x14ac:dyDescent="0.35">
      <c r="C37" s="45"/>
      <c r="D37" s="46" t="s">
        <v>236</v>
      </c>
      <c r="E37" s="46"/>
      <c r="F37" s="46"/>
      <c r="G37" s="46" t="s">
        <v>244</v>
      </c>
      <c r="H37" s="46"/>
    </row>
    <row r="38" spans="3:11" x14ac:dyDescent="0.35">
      <c r="C38" s="45"/>
      <c r="D38" s="46" t="s">
        <v>237</v>
      </c>
      <c r="E38" s="46"/>
      <c r="F38" s="46"/>
      <c r="G38" s="46" t="s">
        <v>244</v>
      </c>
      <c r="H38" s="46"/>
    </row>
    <row r="39" spans="3:11" x14ac:dyDescent="0.35">
      <c r="C39" s="45"/>
      <c r="D39" s="46"/>
      <c r="E39" s="46"/>
      <c r="F39" s="46"/>
      <c r="G39" s="46" t="s">
        <v>245</v>
      </c>
      <c r="H39" s="46"/>
    </row>
    <row r="40" spans="3:11" x14ac:dyDescent="0.35">
      <c r="C40" s="45"/>
      <c r="D40" s="46"/>
      <c r="E40" s="46"/>
      <c r="F40" s="46"/>
      <c r="G40" s="46" t="s">
        <v>246</v>
      </c>
      <c r="H40" s="46"/>
    </row>
    <row r="41" spans="3:11" x14ac:dyDescent="0.35">
      <c r="C41" s="45"/>
      <c r="D41" s="46"/>
      <c r="E41" s="46"/>
      <c r="F41" s="46"/>
      <c r="G41" s="46"/>
      <c r="H41" s="46"/>
    </row>
    <row r="43" spans="3:11" x14ac:dyDescent="0.35">
      <c r="C43" t="s">
        <v>247</v>
      </c>
    </row>
    <row r="44" spans="3:11" x14ac:dyDescent="0.35">
      <c r="C44" t="s">
        <v>165</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173</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188</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183</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53" sqref="C53"/>
    </sheetView>
  </sheetViews>
  <sheetFormatPr defaultRowHeight="14.5" x14ac:dyDescent="0.35"/>
  <cols>
    <col min="2" max="2" width="3" bestFit="1" customWidth="1"/>
    <col min="3" max="3" width="155.26953125" customWidth="1"/>
  </cols>
  <sheetData>
    <row r="2" spans="2:3" ht="15" customHeight="1" x14ac:dyDescent="0.35">
      <c r="B2" s="48">
        <v>1</v>
      </c>
      <c r="C2" s="50" t="s">
        <v>277</v>
      </c>
    </row>
    <row r="3" spans="2:3" x14ac:dyDescent="0.35">
      <c r="B3" s="48">
        <v>2</v>
      </c>
      <c r="C3" s="49" t="s">
        <v>278</v>
      </c>
    </row>
    <row r="4" spans="2:3" x14ac:dyDescent="0.35">
      <c r="B4" s="48">
        <v>3</v>
      </c>
      <c r="C4" s="48" t="s">
        <v>279</v>
      </c>
    </row>
    <row r="5" spans="2:3" x14ac:dyDescent="0.35">
      <c r="B5" s="48">
        <v>4</v>
      </c>
      <c r="C5" s="49" t="s">
        <v>280</v>
      </c>
    </row>
    <row r="6" spans="2:3" x14ac:dyDescent="0.35">
      <c r="B6" s="48">
        <v>5</v>
      </c>
      <c r="C6" s="48" t="s">
        <v>281</v>
      </c>
    </row>
    <row r="7" spans="2:3" ht="29" x14ac:dyDescent="0.35">
      <c r="B7" s="48">
        <v>6</v>
      </c>
      <c r="C7" s="49" t="s">
        <v>282</v>
      </c>
    </row>
    <row r="8" spans="2:3" ht="72.5" x14ac:dyDescent="0.35">
      <c r="B8" s="48">
        <v>7</v>
      </c>
      <c r="C8" s="49" t="s">
        <v>283</v>
      </c>
    </row>
    <row r="9" spans="2:3" x14ac:dyDescent="0.35">
      <c r="B9" s="48">
        <v>8</v>
      </c>
      <c r="C9" s="48" t="s">
        <v>284</v>
      </c>
    </row>
    <row r="10" spans="2:3" x14ac:dyDescent="0.35">
      <c r="B10" s="48">
        <v>9</v>
      </c>
      <c r="C10" s="48" t="s">
        <v>285</v>
      </c>
    </row>
    <row r="11" spans="2:3" x14ac:dyDescent="0.35">
      <c r="B11" s="48">
        <v>10</v>
      </c>
      <c r="C11" s="48" t="s">
        <v>286</v>
      </c>
    </row>
    <row r="12" spans="2:3" x14ac:dyDescent="0.35">
      <c r="B12" s="48">
        <v>11</v>
      </c>
      <c r="C12" s="48" t="s">
        <v>287</v>
      </c>
    </row>
    <row r="13" spans="2:3" x14ac:dyDescent="0.35">
      <c r="B13" s="48">
        <v>12</v>
      </c>
      <c r="C13" s="48" t="s">
        <v>288</v>
      </c>
    </row>
    <row r="14" spans="2:3" x14ac:dyDescent="0.35">
      <c r="B14" s="48">
        <v>13</v>
      </c>
      <c r="C14" s="48" t="s">
        <v>289</v>
      </c>
    </row>
    <row r="15" spans="2:3" x14ac:dyDescent="0.35">
      <c r="B15" s="48">
        <v>14</v>
      </c>
      <c r="C15" s="48" t="s">
        <v>279</v>
      </c>
    </row>
    <row r="16" spans="2:3" x14ac:dyDescent="0.35">
      <c r="B16" s="48">
        <v>15</v>
      </c>
      <c r="C16" s="48" t="s">
        <v>291</v>
      </c>
    </row>
    <row r="17" spans="2:3" x14ac:dyDescent="0.35">
      <c r="B17" s="66">
        <v>16</v>
      </c>
      <c r="C17" s="53" t="s">
        <v>292</v>
      </c>
    </row>
    <row r="18" spans="2:3" x14ac:dyDescent="0.35">
      <c r="B18" s="52">
        <v>17</v>
      </c>
      <c r="C18" s="53" t="s">
        <v>293</v>
      </c>
    </row>
    <row r="19" spans="2:3" x14ac:dyDescent="0.35">
      <c r="B19" s="51">
        <v>18</v>
      </c>
      <c r="C19" s="48" t="s">
        <v>294</v>
      </c>
    </row>
    <row r="20" spans="2:3" x14ac:dyDescent="0.35">
      <c r="B20" s="52">
        <v>19</v>
      </c>
      <c r="C20" s="48" t="s">
        <v>330</v>
      </c>
    </row>
    <row r="21" spans="2:3" x14ac:dyDescent="0.35">
      <c r="B21" s="48">
        <v>20</v>
      </c>
      <c r="C21" s="48" t="s">
        <v>295</v>
      </c>
    </row>
    <row r="22" spans="2:3" x14ac:dyDescent="0.35">
      <c r="B22" s="52">
        <v>21</v>
      </c>
      <c r="C22" s="48" t="s">
        <v>294</v>
      </c>
    </row>
    <row r="23" spans="2:3" s="61" customFormat="1" ht="29.25" customHeight="1" x14ac:dyDescent="0.35">
      <c r="B23" s="60">
        <v>22</v>
      </c>
      <c r="C23" s="50" t="s">
        <v>322</v>
      </c>
    </row>
    <row r="24" spans="2:3" s="61" customFormat="1" ht="30.75" customHeight="1" x14ac:dyDescent="0.35">
      <c r="B24" s="62">
        <v>23</v>
      </c>
      <c r="C24" s="50" t="s">
        <v>323</v>
      </c>
    </row>
    <row r="25" spans="2:3" x14ac:dyDescent="0.35">
      <c r="B25" s="48">
        <v>24</v>
      </c>
      <c r="C25" s="48" t="s">
        <v>326</v>
      </c>
    </row>
    <row r="26" spans="2:3" x14ac:dyDescent="0.35">
      <c r="B26" s="52">
        <v>25</v>
      </c>
      <c r="C26" s="48" t="s">
        <v>324</v>
      </c>
    </row>
    <row r="27" spans="2:3" x14ac:dyDescent="0.35">
      <c r="B27" s="62">
        <v>26</v>
      </c>
      <c r="C27" s="48" t="s">
        <v>325</v>
      </c>
    </row>
    <row r="28" spans="2:3" x14ac:dyDescent="0.35">
      <c r="B28" s="52">
        <v>27</v>
      </c>
      <c r="C28" s="48" t="s">
        <v>327</v>
      </c>
    </row>
    <row r="29" spans="2:3" ht="43.5" x14ac:dyDescent="0.35">
      <c r="B29" s="65">
        <v>28</v>
      </c>
      <c r="C29" s="49" t="s">
        <v>328</v>
      </c>
    </row>
    <row r="30" spans="2:3" x14ac:dyDescent="0.35">
      <c r="B30" s="62">
        <v>29</v>
      </c>
      <c r="C30" s="48" t="s">
        <v>329</v>
      </c>
    </row>
    <row r="31" spans="2:3" ht="29" x14ac:dyDescent="0.35">
      <c r="B31" s="62">
        <v>30</v>
      </c>
      <c r="C31" s="49" t="s">
        <v>331</v>
      </c>
    </row>
    <row r="32" spans="2:3" x14ac:dyDescent="0.35">
      <c r="B32" s="62">
        <v>31</v>
      </c>
      <c r="C32" s="48" t="s">
        <v>332</v>
      </c>
    </row>
    <row r="33" spans="2:4" x14ac:dyDescent="0.35">
      <c r="B33" s="62">
        <v>32</v>
      </c>
      <c r="C33" s="48" t="s">
        <v>333</v>
      </c>
    </row>
    <row r="34" spans="2:4" ht="36.75" customHeight="1" x14ac:dyDescent="0.35">
      <c r="B34" s="62">
        <v>33</v>
      </c>
      <c r="C34" s="53" t="s">
        <v>334</v>
      </c>
    </row>
    <row r="35" spans="2:4" x14ac:dyDescent="0.35">
      <c r="B35" s="60">
        <v>34</v>
      </c>
      <c r="C35" s="48" t="s">
        <v>342</v>
      </c>
    </row>
    <row r="36" spans="2:4" ht="58" x14ac:dyDescent="0.35">
      <c r="B36" s="60">
        <v>35</v>
      </c>
      <c r="C36" s="49" t="s">
        <v>344</v>
      </c>
    </row>
    <row r="37" spans="2:4" x14ac:dyDescent="0.35">
      <c r="B37" s="48">
        <v>36</v>
      </c>
      <c r="C37" s="49" t="s">
        <v>354</v>
      </c>
    </row>
    <row r="38" spans="2:4" x14ac:dyDescent="0.35">
      <c r="B38" s="48">
        <f t="shared" ref="B38:B44" si="0">B37+1</f>
        <v>37</v>
      </c>
      <c r="C38" s="48" t="s">
        <v>350</v>
      </c>
    </row>
    <row r="39" spans="2:4" x14ac:dyDescent="0.35">
      <c r="B39" s="48">
        <f t="shared" si="0"/>
        <v>38</v>
      </c>
      <c r="C39" s="48" t="s">
        <v>351</v>
      </c>
    </row>
    <row r="40" spans="2:4" x14ac:dyDescent="0.35">
      <c r="B40" s="48">
        <f t="shared" si="0"/>
        <v>39</v>
      </c>
      <c r="C40" s="48" t="s">
        <v>352</v>
      </c>
    </row>
    <row r="41" spans="2:4" x14ac:dyDescent="0.35">
      <c r="B41" s="48">
        <f t="shared" si="0"/>
        <v>40</v>
      </c>
      <c r="C41" s="48" t="s">
        <v>353</v>
      </c>
    </row>
    <row r="42" spans="2:4" ht="29.5" thickBot="1" x14ac:dyDescent="0.4">
      <c r="B42" s="69">
        <f t="shared" si="0"/>
        <v>41</v>
      </c>
      <c r="C42" s="70" t="s">
        <v>355</v>
      </c>
    </row>
    <row r="43" spans="2:4" ht="29" x14ac:dyDescent="0.35">
      <c r="B43" s="73">
        <f t="shared" si="0"/>
        <v>42</v>
      </c>
      <c r="C43" s="78" t="s">
        <v>360</v>
      </c>
      <c r="D43" t="s">
        <v>361</v>
      </c>
    </row>
    <row r="44" spans="2:4" ht="15" thickBot="1" x14ac:dyDescent="0.4">
      <c r="B44" s="75">
        <f t="shared" si="0"/>
        <v>43</v>
      </c>
      <c r="C44" s="77" t="s">
        <v>356</v>
      </c>
    </row>
    <row r="45" spans="2:4" ht="15" thickBot="1" x14ac:dyDescent="0.4">
      <c r="B45" s="71">
        <f t="shared" ref="B45:B54" si="1">B44+1</f>
        <v>44</v>
      </c>
      <c r="C45" s="72" t="s">
        <v>357</v>
      </c>
    </row>
    <row r="46" spans="2:4" ht="29" x14ac:dyDescent="0.35">
      <c r="B46" s="73">
        <f t="shared" si="1"/>
        <v>45</v>
      </c>
      <c r="C46" s="74" t="s">
        <v>358</v>
      </c>
    </row>
    <row r="47" spans="2:4" ht="15" thickBot="1" x14ac:dyDescent="0.4">
      <c r="B47" s="75">
        <f t="shared" si="1"/>
        <v>46</v>
      </c>
      <c r="C47" s="76" t="s">
        <v>359</v>
      </c>
    </row>
    <row r="48" spans="2:4" x14ac:dyDescent="0.35">
      <c r="B48" s="79">
        <f t="shared" si="1"/>
        <v>47</v>
      </c>
      <c r="C48" s="80" t="s">
        <v>362</v>
      </c>
    </row>
    <row r="49" spans="2:4" x14ac:dyDescent="0.35">
      <c r="B49" s="79">
        <f t="shared" si="1"/>
        <v>48</v>
      </c>
      <c r="C49" s="80" t="s">
        <v>363</v>
      </c>
    </row>
    <row r="50" spans="2:4" x14ac:dyDescent="0.35">
      <c r="B50" s="79">
        <f t="shared" si="1"/>
        <v>49</v>
      </c>
      <c r="C50" s="80" t="s">
        <v>365</v>
      </c>
      <c r="D50" t="s">
        <v>364</v>
      </c>
    </row>
    <row r="51" spans="2:4" ht="29" x14ac:dyDescent="0.35">
      <c r="B51" s="81">
        <f t="shared" si="1"/>
        <v>50</v>
      </c>
      <c r="C51" s="82" t="s">
        <v>366</v>
      </c>
    </row>
    <row r="52" spans="2:4" x14ac:dyDescent="0.35">
      <c r="B52" s="81">
        <f t="shared" si="1"/>
        <v>51</v>
      </c>
      <c r="C52" s="83" t="s">
        <v>368</v>
      </c>
      <c r="D52" t="s">
        <v>369</v>
      </c>
    </row>
    <row r="53" spans="2:4" x14ac:dyDescent="0.35">
      <c r="B53" s="81">
        <f t="shared" si="1"/>
        <v>52</v>
      </c>
      <c r="C53" s="83" t="s">
        <v>371</v>
      </c>
      <c r="D53" t="s">
        <v>372</v>
      </c>
    </row>
    <row r="54" spans="2:4" ht="43.5" x14ac:dyDescent="0.35">
      <c r="B54" s="81">
        <f t="shared" si="1"/>
        <v>53</v>
      </c>
      <c r="C54" s="53" t="s">
        <v>376</v>
      </c>
      <c r="D54" t="s">
        <v>375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6" workbookViewId="0">
      <selection sqref="A1:XFD1048576"/>
    </sheetView>
  </sheetViews>
  <sheetFormatPr defaultColWidth="9.1796875" defaultRowHeight="14.5" x14ac:dyDescent="0.35"/>
  <cols>
    <col min="1" max="1" width="9.1796875" style="45"/>
    <col min="2" max="2" width="12.26953125" style="45" customWidth="1"/>
    <col min="3" max="16384" width="9.1796875" style="45"/>
  </cols>
  <sheetData>
    <row r="2" spans="1:12" x14ac:dyDescent="0.35">
      <c r="B2" s="54" t="s">
        <v>296</v>
      </c>
      <c r="C2" s="266"/>
      <c r="D2" s="266"/>
    </row>
    <row r="3" spans="1:12" x14ac:dyDescent="0.35">
      <c r="D3" s="55"/>
      <c r="E3" s="55"/>
      <c r="F3" s="55"/>
      <c r="G3" s="55"/>
      <c r="H3" s="55"/>
      <c r="I3" s="55"/>
    </row>
    <row r="4" spans="1:12" x14ac:dyDescent="0.35">
      <c r="A4" s="54" t="s">
        <v>64</v>
      </c>
      <c r="B4" s="56" t="s">
        <v>297</v>
      </c>
      <c r="C4" s="267" t="s">
        <v>298</v>
      </c>
      <c r="D4" s="267"/>
      <c r="E4" s="267"/>
      <c r="F4" s="56"/>
      <c r="G4" s="268" t="s">
        <v>299</v>
      </c>
      <c r="H4" s="268"/>
      <c r="I4" s="268"/>
      <c r="J4" s="269" t="s">
        <v>300</v>
      </c>
      <c r="K4" s="269"/>
      <c r="L4" s="269"/>
    </row>
    <row r="5" spans="1:12" x14ac:dyDescent="0.35">
      <c r="A5" s="54"/>
      <c r="B5" s="56"/>
      <c r="C5" s="56" t="s">
        <v>301</v>
      </c>
      <c r="D5" s="56" t="s">
        <v>302</v>
      </c>
      <c r="E5" s="56" t="s">
        <v>303</v>
      </c>
      <c r="F5" s="56"/>
      <c r="G5" s="56" t="s">
        <v>301</v>
      </c>
      <c r="H5" s="56" t="s">
        <v>302</v>
      </c>
      <c r="I5" s="56" t="s">
        <v>303</v>
      </c>
      <c r="J5" s="56" t="s">
        <v>301</v>
      </c>
      <c r="K5" s="56" t="s">
        <v>302</v>
      </c>
      <c r="L5" s="56" t="s">
        <v>303</v>
      </c>
    </row>
    <row r="6" spans="1:12" x14ac:dyDescent="0.35">
      <c r="B6" s="46" t="s">
        <v>304</v>
      </c>
      <c r="C6" s="46"/>
      <c r="D6" s="46"/>
      <c r="E6" s="46">
        <f>C6*D6</f>
        <v>0</v>
      </c>
      <c r="F6" s="46" t="s">
        <v>321</v>
      </c>
      <c r="G6" s="46"/>
      <c r="H6" s="46"/>
      <c r="I6" s="46">
        <f>G6*H6</f>
        <v>0</v>
      </c>
      <c r="J6" s="46"/>
      <c r="K6" s="46"/>
      <c r="L6" s="46">
        <f>J6*K6</f>
        <v>0</v>
      </c>
    </row>
    <row r="7" spans="1:12" x14ac:dyDescent="0.35">
      <c r="B7" s="46"/>
      <c r="C7" s="46"/>
      <c r="D7" s="46"/>
      <c r="E7" s="46">
        <f t="shared" ref="E7:E41" si="0">C7*D7</f>
        <v>0</v>
      </c>
      <c r="F7" s="46" t="s">
        <v>321</v>
      </c>
      <c r="G7" s="46"/>
      <c r="H7" s="46"/>
      <c r="I7" s="46">
        <f t="shared" ref="I7:I35" si="1">G7*H7</f>
        <v>0</v>
      </c>
      <c r="J7" s="46"/>
      <c r="K7" s="46"/>
      <c r="L7" s="46">
        <f t="shared" ref="L7:L35" si="2">J7*K7</f>
        <v>0</v>
      </c>
    </row>
    <row r="8" spans="1:12" x14ac:dyDescent="0.35">
      <c r="B8" s="46"/>
      <c r="C8" s="46"/>
      <c r="D8" s="46"/>
      <c r="E8" s="46">
        <f t="shared" si="0"/>
        <v>0</v>
      </c>
      <c r="F8" s="46"/>
      <c r="G8" s="46"/>
      <c r="H8" s="46"/>
      <c r="I8" s="46">
        <f t="shared" si="1"/>
        <v>0</v>
      </c>
      <c r="J8" s="46"/>
      <c r="K8" s="46"/>
      <c r="L8" s="46">
        <f t="shared" si="2"/>
        <v>0</v>
      </c>
    </row>
    <row r="9" spans="1:12" x14ac:dyDescent="0.35">
      <c r="B9" s="46"/>
      <c r="C9" s="46"/>
      <c r="D9" s="46"/>
      <c r="E9" s="46">
        <f t="shared" si="0"/>
        <v>0</v>
      </c>
      <c r="F9" s="46" t="s">
        <v>305</v>
      </c>
      <c r="G9" s="46"/>
      <c r="H9" s="46"/>
      <c r="I9" s="46">
        <f t="shared" si="1"/>
        <v>0</v>
      </c>
      <c r="J9" s="46"/>
      <c r="K9" s="46"/>
      <c r="L9" s="46">
        <f t="shared" si="2"/>
        <v>0</v>
      </c>
    </row>
    <row r="10" spans="1:12" x14ac:dyDescent="0.35">
      <c r="B10" s="46" t="s">
        <v>306</v>
      </c>
      <c r="C10" s="46"/>
      <c r="D10" s="46"/>
      <c r="E10" s="46">
        <f t="shared" si="0"/>
        <v>0</v>
      </c>
      <c r="F10" s="46" t="s">
        <v>305</v>
      </c>
      <c r="G10" s="46"/>
      <c r="H10" s="46"/>
      <c r="I10" s="46">
        <f t="shared" si="1"/>
        <v>0</v>
      </c>
      <c r="J10" s="46"/>
      <c r="K10" s="46"/>
      <c r="L10" s="46">
        <f t="shared" si="2"/>
        <v>0</v>
      </c>
    </row>
    <row r="11" spans="1:12" x14ac:dyDescent="0.35">
      <c r="B11" s="46"/>
      <c r="C11" s="46"/>
      <c r="D11" s="46"/>
      <c r="E11" s="46">
        <f t="shared" si="0"/>
        <v>0</v>
      </c>
      <c r="F11" s="46" t="s">
        <v>307</v>
      </c>
      <c r="G11" s="46"/>
      <c r="H11" s="46"/>
      <c r="I11" s="46">
        <f t="shared" si="1"/>
        <v>0</v>
      </c>
      <c r="J11" s="46"/>
      <c r="K11" s="46"/>
      <c r="L11" s="46">
        <f t="shared" si="2"/>
        <v>0</v>
      </c>
    </row>
    <row r="12" spans="1:12" x14ac:dyDescent="0.35">
      <c r="B12" s="46"/>
      <c r="C12" s="46"/>
      <c r="D12" s="46"/>
      <c r="E12" s="46">
        <f t="shared" si="0"/>
        <v>0</v>
      </c>
      <c r="F12" s="46"/>
      <c r="G12" s="46"/>
      <c r="H12" s="46"/>
      <c r="I12" s="46">
        <f t="shared" si="1"/>
        <v>0</v>
      </c>
      <c r="J12" s="46"/>
      <c r="K12" s="46"/>
      <c r="L12" s="46">
        <f t="shared" si="2"/>
        <v>0</v>
      </c>
    </row>
    <row r="13" spans="1:12" x14ac:dyDescent="0.35">
      <c r="B13" s="46"/>
      <c r="C13" s="46"/>
      <c r="D13" s="46"/>
      <c r="E13" s="46">
        <f t="shared" si="0"/>
        <v>0</v>
      </c>
      <c r="F13" s="46"/>
      <c r="G13" s="46"/>
      <c r="H13" s="46"/>
      <c r="I13" s="46">
        <f t="shared" si="1"/>
        <v>0</v>
      </c>
      <c r="J13" s="46"/>
      <c r="K13" s="46"/>
      <c r="L13" s="46">
        <f t="shared" si="2"/>
        <v>0</v>
      </c>
    </row>
    <row r="14" spans="1:12" x14ac:dyDescent="0.35">
      <c r="B14" s="46" t="s">
        <v>308</v>
      </c>
      <c r="C14" s="46"/>
      <c r="D14" s="46"/>
      <c r="E14" s="46">
        <f t="shared" si="0"/>
        <v>0</v>
      </c>
      <c r="F14" s="46" t="s">
        <v>305</v>
      </c>
      <c r="G14" s="46"/>
      <c r="H14" s="46"/>
      <c r="I14" s="46">
        <f t="shared" si="1"/>
        <v>0</v>
      </c>
      <c r="J14" s="46"/>
      <c r="K14" s="46"/>
      <c r="L14" s="46">
        <f t="shared" si="2"/>
        <v>0</v>
      </c>
    </row>
    <row r="15" spans="1:12" x14ac:dyDescent="0.35">
      <c r="B15" s="46"/>
      <c r="C15" s="46"/>
      <c r="D15" s="46"/>
      <c r="E15" s="46">
        <f t="shared" si="0"/>
        <v>0</v>
      </c>
      <c r="F15" s="46" t="s">
        <v>307</v>
      </c>
      <c r="G15" s="46"/>
      <c r="H15" s="46"/>
      <c r="I15" s="46">
        <f t="shared" si="1"/>
        <v>0</v>
      </c>
      <c r="J15" s="46"/>
      <c r="K15" s="46"/>
      <c r="L15" s="46">
        <f t="shared" si="2"/>
        <v>0</v>
      </c>
    </row>
    <row r="16" spans="1:12" x14ac:dyDescent="0.35">
      <c r="B16" s="46"/>
      <c r="C16" s="46"/>
      <c r="D16" s="46"/>
      <c r="E16" s="46">
        <f t="shared" si="0"/>
        <v>0</v>
      </c>
      <c r="F16" s="46"/>
      <c r="G16" s="46"/>
      <c r="H16" s="46"/>
      <c r="I16" s="46">
        <f t="shared" si="1"/>
        <v>0</v>
      </c>
      <c r="J16" s="46"/>
      <c r="K16" s="46"/>
      <c r="L16" s="46">
        <f t="shared" si="2"/>
        <v>0</v>
      </c>
    </row>
    <row r="17" spans="2:12" x14ac:dyDescent="0.35">
      <c r="B17" s="46"/>
      <c r="C17" s="46"/>
      <c r="D17" s="46"/>
      <c r="E17" s="46">
        <f t="shared" si="0"/>
        <v>0</v>
      </c>
      <c r="F17" s="46"/>
      <c r="G17" s="46"/>
      <c r="H17" s="46"/>
      <c r="I17" s="46">
        <f t="shared" si="1"/>
        <v>0</v>
      </c>
      <c r="J17" s="46"/>
      <c r="K17" s="46"/>
      <c r="L17" s="46">
        <f t="shared" si="2"/>
        <v>0</v>
      </c>
    </row>
    <row r="18" spans="2:12" x14ac:dyDescent="0.35">
      <c r="B18" s="46" t="s">
        <v>309</v>
      </c>
      <c r="C18" s="46"/>
      <c r="D18" s="46"/>
      <c r="E18" s="46">
        <f t="shared" si="0"/>
        <v>0</v>
      </c>
      <c r="F18" s="46" t="s">
        <v>305</v>
      </c>
      <c r="G18" s="46"/>
      <c r="H18" s="46"/>
      <c r="I18" s="46">
        <f t="shared" si="1"/>
        <v>0</v>
      </c>
      <c r="J18" s="46"/>
      <c r="K18" s="46"/>
      <c r="L18" s="46">
        <f t="shared" si="2"/>
        <v>0</v>
      </c>
    </row>
    <row r="19" spans="2:12" x14ac:dyDescent="0.35">
      <c r="B19" s="46"/>
      <c r="C19" s="46"/>
      <c r="D19" s="46"/>
      <c r="E19" s="46">
        <f t="shared" si="0"/>
        <v>0</v>
      </c>
      <c r="F19" s="46" t="s">
        <v>307</v>
      </c>
      <c r="G19" s="46"/>
      <c r="H19" s="46"/>
      <c r="I19" s="46">
        <f t="shared" si="1"/>
        <v>0</v>
      </c>
      <c r="J19" s="46"/>
      <c r="K19" s="46"/>
      <c r="L19" s="46">
        <f t="shared" si="2"/>
        <v>0</v>
      </c>
    </row>
    <row r="20" spans="2:12" x14ac:dyDescent="0.35">
      <c r="B20" s="46"/>
      <c r="C20" s="46"/>
      <c r="D20" s="46"/>
      <c r="E20" s="46">
        <f t="shared" si="0"/>
        <v>0</v>
      </c>
      <c r="F20" s="46"/>
      <c r="G20" s="46"/>
      <c r="H20" s="46"/>
      <c r="I20" s="46">
        <f t="shared" si="1"/>
        <v>0</v>
      </c>
      <c r="J20" s="46"/>
      <c r="K20" s="46"/>
      <c r="L20" s="46">
        <f t="shared" si="2"/>
        <v>0</v>
      </c>
    </row>
    <row r="21" spans="2:12" x14ac:dyDescent="0.35">
      <c r="B21" s="46" t="s">
        <v>310</v>
      </c>
      <c r="C21" s="46"/>
      <c r="D21" s="46"/>
      <c r="E21" s="46">
        <f t="shared" si="0"/>
        <v>0</v>
      </c>
      <c r="F21" s="46" t="s">
        <v>305</v>
      </c>
      <c r="G21" s="46"/>
      <c r="H21" s="46"/>
      <c r="I21" s="46">
        <f t="shared" si="1"/>
        <v>0</v>
      </c>
      <c r="J21" s="46"/>
      <c r="K21" s="46"/>
      <c r="L21" s="46">
        <f t="shared" si="2"/>
        <v>0</v>
      </c>
    </row>
    <row r="22" spans="2:12" x14ac:dyDescent="0.35">
      <c r="B22" s="46"/>
      <c r="C22" s="46"/>
      <c r="D22" s="46"/>
      <c r="E22" s="46">
        <f t="shared" si="0"/>
        <v>0</v>
      </c>
      <c r="F22" s="46" t="s">
        <v>307</v>
      </c>
      <c r="G22" s="46"/>
      <c r="H22" s="46"/>
      <c r="I22" s="46">
        <f t="shared" si="1"/>
        <v>0</v>
      </c>
      <c r="J22" s="46"/>
      <c r="K22" s="46"/>
      <c r="L22" s="46">
        <f t="shared" si="2"/>
        <v>0</v>
      </c>
    </row>
    <row r="23" spans="2:12" x14ac:dyDescent="0.35">
      <c r="B23" s="46"/>
      <c r="C23" s="46"/>
      <c r="D23" s="46"/>
      <c r="E23" s="46">
        <f t="shared" si="0"/>
        <v>0</v>
      </c>
      <c r="F23" s="46"/>
      <c r="G23" s="46"/>
      <c r="H23" s="46"/>
      <c r="I23" s="46">
        <f t="shared" si="1"/>
        <v>0</v>
      </c>
      <c r="J23" s="46"/>
      <c r="K23" s="46"/>
      <c r="L23" s="46">
        <f t="shared" si="2"/>
        <v>0</v>
      </c>
    </row>
    <row r="24" spans="2:12" x14ac:dyDescent="0.35">
      <c r="B24" s="46" t="s">
        <v>311</v>
      </c>
      <c r="C24" s="46"/>
      <c r="D24" s="46"/>
      <c r="E24" s="46">
        <f t="shared" si="0"/>
        <v>0</v>
      </c>
      <c r="F24" s="46" t="s">
        <v>312</v>
      </c>
      <c r="G24" s="46"/>
      <c r="H24" s="46"/>
      <c r="I24" s="46">
        <f t="shared" si="1"/>
        <v>0</v>
      </c>
      <c r="J24" s="46"/>
      <c r="K24" s="46"/>
      <c r="L24" s="46">
        <f t="shared" si="2"/>
        <v>0</v>
      </c>
    </row>
    <row r="25" spans="2:12" x14ac:dyDescent="0.35">
      <c r="B25" s="46"/>
      <c r="C25" s="46"/>
      <c r="D25" s="46"/>
      <c r="E25" s="46">
        <f>C25*D25</f>
        <v>0</v>
      </c>
      <c r="F25" s="46" t="s">
        <v>312</v>
      </c>
      <c r="G25" s="46"/>
      <c r="H25" s="46"/>
      <c r="I25" s="46">
        <f>G25*H25</f>
        <v>0</v>
      </c>
      <c r="J25" s="46"/>
      <c r="K25" s="46"/>
      <c r="L25" s="46">
        <f>J25*K25</f>
        <v>0</v>
      </c>
    </row>
    <row r="26" spans="2:12" x14ac:dyDescent="0.35">
      <c r="B26" s="46"/>
      <c r="C26" s="46"/>
      <c r="D26" s="46"/>
      <c r="E26" s="46">
        <f>C26*D26</f>
        <v>0</v>
      </c>
      <c r="F26" s="46" t="s">
        <v>312</v>
      </c>
      <c r="G26" s="46"/>
      <c r="H26" s="46"/>
      <c r="I26" s="46">
        <f>G26*H26</f>
        <v>0</v>
      </c>
      <c r="J26" s="46"/>
      <c r="K26" s="46"/>
      <c r="L26" s="46">
        <f>J26*K26</f>
        <v>0</v>
      </c>
    </row>
    <row r="27" spans="2:12" x14ac:dyDescent="0.35">
      <c r="B27" s="46"/>
      <c r="C27" s="46"/>
      <c r="D27" s="46"/>
      <c r="E27" s="46">
        <f>C27*D27</f>
        <v>0</v>
      </c>
      <c r="F27" s="46" t="s">
        <v>312</v>
      </c>
      <c r="G27" s="46"/>
      <c r="H27" s="46"/>
      <c r="I27" s="46">
        <f>G27*H27</f>
        <v>0</v>
      </c>
      <c r="J27" s="46"/>
      <c r="K27" s="46"/>
      <c r="L27" s="46">
        <f>J27*K27</f>
        <v>0</v>
      </c>
    </row>
    <row r="28" spans="2:12" x14ac:dyDescent="0.35">
      <c r="B28" s="46" t="s">
        <v>313</v>
      </c>
      <c r="C28" s="46"/>
      <c r="D28" s="46"/>
      <c r="E28" s="46">
        <f t="shared" si="0"/>
        <v>0</v>
      </c>
      <c r="F28" s="46" t="s">
        <v>312</v>
      </c>
      <c r="G28" s="46"/>
      <c r="H28" s="46"/>
      <c r="I28" s="46">
        <f t="shared" si="1"/>
        <v>0</v>
      </c>
      <c r="J28" s="46"/>
      <c r="K28" s="46"/>
      <c r="L28" s="46">
        <f t="shared" si="2"/>
        <v>0</v>
      </c>
    </row>
    <row r="29" spans="2:12" x14ac:dyDescent="0.35">
      <c r="B29" s="46" t="s">
        <v>314</v>
      </c>
      <c r="C29" s="46"/>
      <c r="D29" s="46"/>
      <c r="E29" s="46">
        <f t="shared" si="0"/>
        <v>0</v>
      </c>
      <c r="F29" s="46" t="s">
        <v>312</v>
      </c>
      <c r="G29" s="46"/>
      <c r="H29" s="46"/>
      <c r="I29" s="46">
        <f t="shared" si="1"/>
        <v>0</v>
      </c>
      <c r="J29" s="46"/>
      <c r="K29" s="46"/>
      <c r="L29" s="46">
        <f t="shared" si="2"/>
        <v>0</v>
      </c>
    </row>
    <row r="30" spans="2:12" x14ac:dyDescent="0.35">
      <c r="B30" s="46" t="s">
        <v>318</v>
      </c>
      <c r="C30" s="46"/>
      <c r="D30" s="46"/>
      <c r="E30" s="46">
        <f t="shared" si="0"/>
        <v>0</v>
      </c>
      <c r="F30" s="46"/>
      <c r="G30" s="46"/>
      <c r="H30" s="46"/>
      <c r="I30" s="46">
        <f t="shared" si="1"/>
        <v>0</v>
      </c>
      <c r="J30" s="46"/>
      <c r="K30" s="46"/>
      <c r="L30" s="46">
        <f t="shared" si="2"/>
        <v>0</v>
      </c>
    </row>
    <row r="31" spans="2:12" x14ac:dyDescent="0.35">
      <c r="B31" s="46"/>
      <c r="C31" s="46"/>
      <c r="D31" s="46"/>
      <c r="E31" s="46">
        <f>C31*D31</f>
        <v>0</v>
      </c>
      <c r="F31" s="46"/>
      <c r="G31" s="46"/>
      <c r="H31" s="46"/>
      <c r="I31" s="46">
        <f>G31*H31</f>
        <v>0</v>
      </c>
      <c r="J31" s="46"/>
      <c r="K31" s="46"/>
      <c r="L31" s="46">
        <f>J31*K31</f>
        <v>0</v>
      </c>
    </row>
    <row r="32" spans="2:12" x14ac:dyDescent="0.35">
      <c r="B32" s="46"/>
      <c r="C32" s="46"/>
      <c r="D32" s="46"/>
      <c r="E32" s="46">
        <f>C32*D32</f>
        <v>0</v>
      </c>
      <c r="F32" s="46"/>
      <c r="G32" s="46"/>
      <c r="H32" s="46"/>
      <c r="I32" s="46">
        <f>G32*H32</f>
        <v>0</v>
      </c>
      <c r="J32" s="46"/>
      <c r="K32" s="46"/>
      <c r="L32" s="46">
        <f>J32*K32</f>
        <v>0</v>
      </c>
    </row>
    <row r="33" spans="2:12" x14ac:dyDescent="0.35">
      <c r="B33" s="46" t="s">
        <v>315</v>
      </c>
      <c r="C33" s="46"/>
      <c r="D33" s="46"/>
      <c r="E33" s="46">
        <f t="shared" si="0"/>
        <v>0</v>
      </c>
      <c r="F33" s="46"/>
      <c r="G33" s="46"/>
      <c r="H33" s="46"/>
      <c r="I33" s="46">
        <f t="shared" si="1"/>
        <v>0</v>
      </c>
      <c r="J33" s="46"/>
      <c r="K33" s="46"/>
      <c r="L33" s="46">
        <f t="shared" si="2"/>
        <v>0</v>
      </c>
    </row>
    <row r="34" spans="2:12" x14ac:dyDescent="0.35">
      <c r="B34" s="46" t="s">
        <v>319</v>
      </c>
      <c r="C34" s="46"/>
      <c r="D34" s="46"/>
      <c r="E34" s="46">
        <f t="shared" si="0"/>
        <v>0</v>
      </c>
      <c r="F34" s="46"/>
      <c r="G34" s="46"/>
      <c r="H34" s="46"/>
      <c r="I34" s="46">
        <f t="shared" si="1"/>
        <v>0</v>
      </c>
      <c r="J34" s="46"/>
      <c r="K34" s="46"/>
      <c r="L34" s="46">
        <f t="shared" si="2"/>
        <v>0</v>
      </c>
    </row>
    <row r="35" spans="2:12" x14ac:dyDescent="0.35">
      <c r="B35" s="46" t="s">
        <v>316</v>
      </c>
      <c r="C35" s="46"/>
      <c r="D35" s="46"/>
      <c r="E35" s="46">
        <f t="shared" si="0"/>
        <v>0</v>
      </c>
      <c r="F35" s="46"/>
      <c r="G35" s="46"/>
      <c r="H35" s="46"/>
      <c r="I35" s="46">
        <f t="shared" si="1"/>
        <v>0</v>
      </c>
      <c r="J35" s="46"/>
      <c r="K35" s="46"/>
      <c r="L35" s="46">
        <f t="shared" si="2"/>
        <v>0</v>
      </c>
    </row>
    <row r="36" spans="2:12" x14ac:dyDescent="0.35">
      <c r="B36" s="46" t="s">
        <v>317</v>
      </c>
      <c r="C36" s="46"/>
      <c r="D36" s="46"/>
      <c r="E36" s="46">
        <f t="shared" si="0"/>
        <v>0</v>
      </c>
      <c r="F36" s="46"/>
      <c r="G36" s="46"/>
      <c r="H36" s="46"/>
      <c r="I36" s="46">
        <f t="shared" ref="I36:I41" si="3">G36*H36</f>
        <v>0</v>
      </c>
      <c r="J36" s="46"/>
      <c r="K36" s="46"/>
      <c r="L36" s="46">
        <f t="shared" ref="L36:L41" si="4">J36*K36</f>
        <v>0</v>
      </c>
    </row>
    <row r="37" spans="2:12" x14ac:dyDescent="0.35">
      <c r="B37" s="46"/>
      <c r="C37" s="46"/>
      <c r="D37" s="46"/>
      <c r="E37" s="46">
        <f>C37*D37</f>
        <v>0</v>
      </c>
      <c r="F37" s="46"/>
      <c r="G37" s="46"/>
      <c r="H37" s="46"/>
      <c r="I37" s="46">
        <f t="shared" si="3"/>
        <v>0</v>
      </c>
      <c r="J37" s="46"/>
      <c r="K37" s="46"/>
      <c r="L37" s="46">
        <f t="shared" si="4"/>
        <v>0</v>
      </c>
    </row>
    <row r="38" spans="2:12" x14ac:dyDescent="0.35">
      <c r="B38" s="46" t="s">
        <v>320</v>
      </c>
      <c r="C38" s="46"/>
      <c r="D38" s="46"/>
      <c r="E38" s="46">
        <f>C38*D38</f>
        <v>0</v>
      </c>
      <c r="F38" s="46"/>
      <c r="G38" s="46"/>
      <c r="H38" s="46"/>
      <c r="I38" s="46">
        <f t="shared" si="3"/>
        <v>0</v>
      </c>
      <c r="J38" s="46"/>
      <c r="K38" s="46"/>
      <c r="L38" s="46">
        <f t="shared" si="4"/>
        <v>0</v>
      </c>
    </row>
    <row r="39" spans="2:12" x14ac:dyDescent="0.35">
      <c r="B39" s="46"/>
      <c r="C39" s="46"/>
      <c r="D39" s="46"/>
      <c r="E39" s="46">
        <f t="shared" si="0"/>
        <v>0</v>
      </c>
      <c r="F39" s="46"/>
      <c r="G39" s="46"/>
      <c r="H39" s="46"/>
      <c r="I39" s="46">
        <f t="shared" si="3"/>
        <v>0</v>
      </c>
      <c r="J39" s="46"/>
      <c r="K39" s="46"/>
      <c r="L39" s="46">
        <f t="shared" si="4"/>
        <v>0</v>
      </c>
    </row>
    <row r="40" spans="2:12" x14ac:dyDescent="0.35">
      <c r="B40" s="46"/>
      <c r="C40" s="46"/>
      <c r="D40" s="46"/>
      <c r="E40" s="46">
        <f t="shared" si="0"/>
        <v>0</v>
      </c>
      <c r="F40" s="46"/>
      <c r="G40" s="46"/>
      <c r="H40" s="46"/>
      <c r="I40" s="46">
        <f t="shared" si="3"/>
        <v>0</v>
      </c>
      <c r="J40" s="46"/>
      <c r="K40" s="46"/>
      <c r="L40" s="46">
        <f t="shared" si="4"/>
        <v>0</v>
      </c>
    </row>
    <row r="41" spans="2:12" x14ac:dyDescent="0.35">
      <c r="B41" s="46"/>
      <c r="C41" s="46"/>
      <c r="D41" s="46"/>
      <c r="E41" s="46">
        <f t="shared" si="0"/>
        <v>0</v>
      </c>
      <c r="F41" s="46"/>
      <c r="G41" s="46"/>
      <c r="H41" s="46"/>
      <c r="I41" s="46">
        <f t="shared" si="3"/>
        <v>0</v>
      </c>
      <c r="J41" s="46"/>
      <c r="K41" s="46"/>
      <c r="L41" s="46">
        <f t="shared" si="4"/>
        <v>0</v>
      </c>
    </row>
    <row r="42" spans="2:12" x14ac:dyDescent="0.35">
      <c r="B42" s="46" t="s">
        <v>144</v>
      </c>
      <c r="C42" s="46"/>
      <c r="D42" s="46">
        <f>E42*10.764</f>
        <v>0</v>
      </c>
      <c r="E42" s="59">
        <f>SUM(E6:E41)</f>
        <v>0</v>
      </c>
      <c r="F42" s="46"/>
      <c r="G42" s="46"/>
      <c r="H42" s="46">
        <f>I42*10.764</f>
        <v>0</v>
      </c>
      <c r="I42" s="58">
        <f>SUM(I6:I41)</f>
        <v>0</v>
      </c>
      <c r="J42" s="46"/>
      <c r="K42" s="46">
        <f>L42*10.764</f>
        <v>0</v>
      </c>
      <c r="L42" s="57">
        <f>SUM(L6:L41)</f>
        <v>0</v>
      </c>
    </row>
    <row r="44" spans="2:12" x14ac:dyDescent="0.35">
      <c r="D44" s="45">
        <f>D42+H42</f>
        <v>0</v>
      </c>
      <c r="E44" s="4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2025-08-13T13:22:04Z</cp:lastPrinted>
  <dcterms:created xsi:type="dcterms:W3CDTF">2019-07-16T09:29:46Z</dcterms:created>
  <dcterms:modified xsi:type="dcterms:W3CDTF">2025-09-16T07:15:38Z</dcterms:modified>
</cp:coreProperties>
</file>