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51\Downloads\Sept 2025\Checking\Update\Axis\21394 - Sethi Palacio\"/>
    </mc:Choice>
  </mc:AlternateContent>
  <bookViews>
    <workbookView xWindow="0" yWindow="0" windowWidth="11475" windowHeight="4680" tabRatio="725"/>
  </bookViews>
  <sheets>
    <sheet name="Report" sheetId="1" r:id="rId1"/>
    <sheet name="valuation" sheetId="5" r:id="rId2"/>
    <sheet name="Research" sheetId="4" r:id="rId3"/>
    <sheet name="Remarks" sheetId="6" r:id="rId4"/>
  </sheets>
  <definedNames>
    <definedName name="_xlnm.Print_Area" localSheetId="0">Report!$A$1:$H$371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2" i="1" l="1"/>
  <c r="C88" i="1"/>
  <c r="H233" i="1" l="1"/>
  <c r="H218" i="1" l="1"/>
  <c r="E235" i="1"/>
  <c r="D235" i="1"/>
  <c r="F235" i="1" s="1"/>
  <c r="H235" i="1" s="1"/>
  <c r="E234" i="1"/>
  <c r="D234" i="1"/>
  <c r="E233" i="1"/>
  <c r="D233" i="1"/>
  <c r="I232" i="1"/>
  <c r="E232" i="1"/>
  <c r="F232" i="1" s="1"/>
  <c r="H232" i="1" s="1"/>
  <c r="D232" i="1"/>
  <c r="I231" i="1"/>
  <c r="E231" i="1"/>
  <c r="D231" i="1"/>
  <c r="D229" i="1"/>
  <c r="D228" i="1"/>
  <c r="F228" i="1" s="1"/>
  <c r="H228" i="1" s="1"/>
  <c r="D227" i="1"/>
  <c r="D226" i="1"/>
  <c r="D225" i="1"/>
  <c r="E221" i="1"/>
  <c r="D221" i="1"/>
  <c r="E220" i="1"/>
  <c r="D220" i="1"/>
  <c r="F220" i="1" s="1"/>
  <c r="H220" i="1" s="1"/>
  <c r="I219" i="1"/>
  <c r="E219" i="1"/>
  <c r="D219" i="1"/>
  <c r="F219" i="1" s="1"/>
  <c r="H219" i="1" s="1"/>
  <c r="I218" i="1"/>
  <c r="F218" i="1"/>
  <c r="E218" i="1"/>
  <c r="D218" i="1"/>
  <c r="E229" i="1"/>
  <c r="F229" i="1" s="1"/>
  <c r="H229" i="1" s="1"/>
  <c r="E228" i="1"/>
  <c r="E227" i="1"/>
  <c r="E226" i="1"/>
  <c r="E225" i="1"/>
  <c r="F227" i="1"/>
  <c r="H227" i="1" s="1"/>
  <c r="I226" i="1"/>
  <c r="I225" i="1"/>
  <c r="D216" i="1"/>
  <c r="D215" i="1"/>
  <c r="D214" i="1"/>
  <c r="D213" i="1"/>
  <c r="F213" i="1" s="1"/>
  <c r="F216" i="1"/>
  <c r="H216" i="1" s="1"/>
  <c r="E216" i="1"/>
  <c r="E215" i="1"/>
  <c r="E214" i="1"/>
  <c r="E213" i="1"/>
  <c r="I214" i="1"/>
  <c r="I213" i="1"/>
  <c r="F215" i="1"/>
  <c r="H215" i="1" s="1"/>
  <c r="D61" i="1"/>
  <c r="H213" i="1" l="1"/>
  <c r="F233" i="1"/>
  <c r="F226" i="1"/>
  <c r="H226" i="1" s="1"/>
  <c r="F231" i="1"/>
  <c r="H231" i="1" s="1"/>
  <c r="F234" i="1"/>
  <c r="H234" i="1" s="1"/>
  <c r="F221" i="1"/>
  <c r="H221" i="1" s="1"/>
  <c r="F225" i="1"/>
  <c r="F214" i="1"/>
  <c r="H214" i="1" s="1"/>
  <c r="G136" i="1" s="1"/>
  <c r="I194" i="1"/>
  <c r="L194" i="1"/>
  <c r="J200" i="1"/>
  <c r="I200" i="1"/>
  <c r="E200" i="1"/>
  <c r="D200" i="1"/>
  <c r="J199" i="1"/>
  <c r="E199" i="1"/>
  <c r="D199" i="1"/>
  <c r="F199" i="1" s="1"/>
  <c r="H199" i="1" s="1"/>
  <c r="M198" i="1"/>
  <c r="N198" i="1" s="1"/>
  <c r="J198" i="1"/>
  <c r="E198" i="1"/>
  <c r="D198" i="1"/>
  <c r="F198" i="1" s="1"/>
  <c r="H198" i="1" s="1"/>
  <c r="J197" i="1"/>
  <c r="E197" i="1"/>
  <c r="D197" i="1"/>
  <c r="J196" i="1"/>
  <c r="I196" i="1"/>
  <c r="E196" i="1"/>
  <c r="D196" i="1"/>
  <c r="J195" i="1"/>
  <c r="E195" i="1"/>
  <c r="F195" i="1" s="1"/>
  <c r="H195" i="1" s="1"/>
  <c r="D195" i="1"/>
  <c r="J194" i="1"/>
  <c r="E194" i="1"/>
  <c r="D194" i="1"/>
  <c r="J193" i="1"/>
  <c r="E193" i="1"/>
  <c r="D193" i="1"/>
  <c r="F193" i="1" s="1"/>
  <c r="H193" i="1" s="1"/>
  <c r="H225" i="1" l="1"/>
  <c r="G137" i="1" s="1"/>
  <c r="C137" i="1"/>
  <c r="E137" i="1"/>
  <c r="E136" i="1"/>
  <c r="C136" i="1"/>
  <c r="F196" i="1"/>
  <c r="H196" i="1" s="1"/>
  <c r="F194" i="1"/>
  <c r="F197" i="1"/>
  <c r="H197" i="1" s="1"/>
  <c r="F200" i="1"/>
  <c r="H200" i="1" s="1"/>
  <c r="N174" i="1"/>
  <c r="O174" i="1" s="1"/>
  <c r="L172" i="1"/>
  <c r="M172" i="1"/>
  <c r="M189" i="1" l="1"/>
  <c r="N189" i="1" s="1"/>
  <c r="G164" i="1"/>
  <c r="G163" i="1"/>
  <c r="G160" i="1"/>
  <c r="G159" i="1"/>
  <c r="G158" i="1"/>
  <c r="G157" i="1"/>
  <c r="K157" i="1"/>
  <c r="I149" i="1"/>
  <c r="E44" i="1" l="1"/>
  <c r="E45" i="1" s="1"/>
  <c r="E46" i="1" s="1"/>
  <c r="E209" i="1" l="1"/>
  <c r="D209" i="1"/>
  <c r="E208" i="1"/>
  <c r="D208" i="1"/>
  <c r="E207" i="1"/>
  <c r="D207" i="1"/>
  <c r="E206" i="1"/>
  <c r="D206" i="1"/>
  <c r="E205" i="1"/>
  <c r="D205" i="1"/>
  <c r="E204" i="1"/>
  <c r="D204" i="1"/>
  <c r="E203" i="1"/>
  <c r="D203" i="1"/>
  <c r="E202" i="1"/>
  <c r="D202" i="1"/>
  <c r="J209" i="1"/>
  <c r="J208" i="1"/>
  <c r="J207" i="1"/>
  <c r="J206" i="1"/>
  <c r="J205" i="1"/>
  <c r="J204" i="1"/>
  <c r="J203" i="1"/>
  <c r="J202" i="1"/>
  <c r="E191" i="1"/>
  <c r="D191" i="1"/>
  <c r="E190" i="1"/>
  <c r="D190" i="1"/>
  <c r="E189" i="1"/>
  <c r="D189" i="1"/>
  <c r="E188" i="1"/>
  <c r="D188" i="1"/>
  <c r="E187" i="1"/>
  <c r="D187" i="1"/>
  <c r="E186" i="1"/>
  <c r="D186" i="1"/>
  <c r="E185" i="1"/>
  <c r="D185" i="1"/>
  <c r="E184" i="1"/>
  <c r="D184" i="1"/>
  <c r="E182" i="1"/>
  <c r="D182" i="1"/>
  <c r="E181" i="1"/>
  <c r="D181" i="1"/>
  <c r="E180" i="1"/>
  <c r="D180" i="1"/>
  <c r="E179" i="1"/>
  <c r="D179" i="1"/>
  <c r="E178" i="1"/>
  <c r="D178" i="1"/>
  <c r="E177" i="1"/>
  <c r="D177" i="1"/>
  <c r="E176" i="1"/>
  <c r="D176" i="1"/>
  <c r="E175" i="1"/>
  <c r="D175" i="1"/>
  <c r="E173" i="1"/>
  <c r="D173" i="1"/>
  <c r="E172" i="1"/>
  <c r="D172" i="1"/>
  <c r="E171" i="1"/>
  <c r="D171" i="1"/>
  <c r="E170" i="1"/>
  <c r="D170" i="1"/>
  <c r="E169" i="1"/>
  <c r="D169" i="1"/>
  <c r="E168" i="1"/>
  <c r="D168" i="1"/>
  <c r="E167" i="1"/>
  <c r="D167" i="1"/>
  <c r="E166" i="1"/>
  <c r="D166" i="1"/>
  <c r="E164" i="1"/>
  <c r="D164" i="1"/>
  <c r="E163" i="1"/>
  <c r="D163" i="1"/>
  <c r="E162" i="1"/>
  <c r="D162" i="1"/>
  <c r="E161" i="1"/>
  <c r="D161" i="1"/>
  <c r="E160" i="1"/>
  <c r="D160" i="1"/>
  <c r="E159" i="1"/>
  <c r="D159" i="1"/>
  <c r="E158" i="1"/>
  <c r="D158" i="1"/>
  <c r="E157" i="1"/>
  <c r="D157" i="1"/>
  <c r="C135" i="1" s="1"/>
  <c r="C138" i="1" s="1"/>
  <c r="G162" i="1"/>
  <c r="G161" i="1"/>
  <c r="D151" i="1"/>
  <c r="D150" i="1"/>
  <c r="D149" i="1"/>
  <c r="D148" i="1"/>
  <c r="D147" i="1"/>
  <c r="D146" i="1"/>
  <c r="C131" i="1" s="1"/>
  <c r="C132" i="1" s="1"/>
  <c r="J141" i="1"/>
  <c r="J191" i="1" l="1"/>
  <c r="J190" i="1"/>
  <c r="J189" i="1"/>
  <c r="J188" i="1"/>
  <c r="J187" i="1"/>
  <c r="J186" i="1"/>
  <c r="J185" i="1"/>
  <c r="J184" i="1"/>
  <c r="J182" i="1"/>
  <c r="J181" i="1"/>
  <c r="J180" i="1"/>
  <c r="J179" i="1"/>
  <c r="J178" i="1"/>
  <c r="J177" i="1"/>
  <c r="J176" i="1"/>
  <c r="J175" i="1"/>
  <c r="J173" i="1"/>
  <c r="J172" i="1"/>
  <c r="J171" i="1"/>
  <c r="J170" i="1"/>
  <c r="J169" i="1"/>
  <c r="J168" i="1"/>
  <c r="J167" i="1"/>
  <c r="J166" i="1"/>
  <c r="J164" i="1"/>
  <c r="J163" i="1"/>
  <c r="J162" i="1"/>
  <c r="J161" i="1"/>
  <c r="J160" i="1"/>
  <c r="J159" i="1"/>
  <c r="J158" i="1"/>
  <c r="J157" i="1"/>
  <c r="I157" i="1"/>
  <c r="I207" i="1" l="1"/>
  <c r="I202" i="1"/>
  <c r="I191" i="1"/>
  <c r="I187" i="1"/>
  <c r="F186" i="1"/>
  <c r="H186" i="1" s="1"/>
  <c r="L186" i="1" s="1"/>
  <c r="F187" i="1"/>
  <c r="H187" i="1" s="1"/>
  <c r="L187" i="1" s="1"/>
  <c r="F188" i="1"/>
  <c r="H188" i="1" s="1"/>
  <c r="L188" i="1" s="1"/>
  <c r="F189" i="1"/>
  <c r="H189" i="1" s="1"/>
  <c r="L189" i="1" s="1"/>
  <c r="F190" i="1"/>
  <c r="H190" i="1" s="1"/>
  <c r="L190" i="1" s="1"/>
  <c r="I176" i="1"/>
  <c r="I175" i="1"/>
  <c r="F166" i="1"/>
  <c r="H166" i="1" s="1"/>
  <c r="F204" i="1"/>
  <c r="H204" i="1" s="1"/>
  <c r="F205" i="1"/>
  <c r="H205" i="1" s="1"/>
  <c r="F206" i="1"/>
  <c r="H206" i="1" s="1"/>
  <c r="F207" i="1"/>
  <c r="H207" i="1" s="1"/>
  <c r="F208" i="1"/>
  <c r="H208" i="1" s="1"/>
  <c r="F209" i="1"/>
  <c r="H209" i="1" s="1"/>
  <c r="F191" i="1"/>
  <c r="H191" i="1" s="1"/>
  <c r="L191" i="1" s="1"/>
  <c r="F182" i="1"/>
  <c r="H182" i="1" s="1"/>
  <c r="F181" i="1"/>
  <c r="H181" i="1" s="1"/>
  <c r="F180" i="1"/>
  <c r="H180" i="1" s="1"/>
  <c r="L180" i="1" s="1"/>
  <c r="F179" i="1"/>
  <c r="H179" i="1" s="1"/>
  <c r="L179" i="1" s="1"/>
  <c r="F178" i="1"/>
  <c r="H178" i="1" s="1"/>
  <c r="L178" i="1" s="1"/>
  <c r="F177" i="1"/>
  <c r="H177" i="1" s="1"/>
  <c r="L177" i="1" s="1"/>
  <c r="F176" i="1"/>
  <c r="H176" i="1" s="1"/>
  <c r="L176" i="1" s="1"/>
  <c r="G175" i="1"/>
  <c r="F175" i="1"/>
  <c r="F172" i="1"/>
  <c r="H172" i="1" s="1"/>
  <c r="I172" i="1"/>
  <c r="F170" i="1"/>
  <c r="H170" i="1" s="1"/>
  <c r="F169" i="1"/>
  <c r="H169" i="1" s="1"/>
  <c r="F167" i="1"/>
  <c r="H167" i="1" s="1"/>
  <c r="L167" i="1" s="1"/>
  <c r="I171" i="1"/>
  <c r="I167" i="1"/>
  <c r="F171" i="1"/>
  <c r="H171" i="1" s="1"/>
  <c r="M171" i="1" s="1"/>
  <c r="F173" i="1"/>
  <c r="H173" i="1" s="1"/>
  <c r="F168" i="1"/>
  <c r="H168" i="1" s="1"/>
  <c r="I162" i="1"/>
  <c r="I160" i="1"/>
  <c r="F159" i="1"/>
  <c r="H159" i="1" s="1"/>
  <c r="F160" i="1"/>
  <c r="H160" i="1" s="1"/>
  <c r="F161" i="1"/>
  <c r="H161" i="1" s="1"/>
  <c r="F162" i="1"/>
  <c r="H162" i="1" s="1"/>
  <c r="F163" i="1"/>
  <c r="H163" i="1" s="1"/>
  <c r="F164" i="1"/>
  <c r="H164" i="1" s="1"/>
  <c r="F151" i="1"/>
  <c r="H151" i="1" s="1"/>
  <c r="F150" i="1"/>
  <c r="H150" i="1" s="1"/>
  <c r="F148" i="1"/>
  <c r="H148" i="1" s="1"/>
  <c r="I147" i="1"/>
  <c r="I146" i="1"/>
  <c r="F149" i="1"/>
  <c r="H149" i="1" s="1"/>
  <c r="L170" i="1" l="1"/>
  <c r="M170" i="1"/>
  <c r="H175" i="1"/>
  <c r="L175" i="1" s="1"/>
  <c r="B238" i="1"/>
  <c r="F147" i="1" l="1"/>
  <c r="H147" i="1" s="1"/>
  <c r="F146" i="1"/>
  <c r="H146" i="1" l="1"/>
  <c r="G131" i="1" s="1"/>
  <c r="G132" i="1" s="1"/>
  <c r="E131" i="1"/>
  <c r="E132" i="1" s="1"/>
  <c r="S34" i="1" l="1"/>
  <c r="F11" i="5" l="1"/>
  <c r="G11" i="5" s="1"/>
  <c r="F10" i="5"/>
  <c r="G10" i="5" s="1"/>
  <c r="F9" i="5"/>
  <c r="G9" i="5" s="1"/>
  <c r="F8" i="5"/>
  <c r="G8" i="5" s="1"/>
  <c r="F7" i="5"/>
  <c r="G7" i="5" s="1"/>
  <c r="F6" i="5"/>
  <c r="G6" i="5" s="1"/>
  <c r="F5" i="5"/>
  <c r="G5" i="5" s="1"/>
  <c r="G12" i="5" s="1"/>
  <c r="D264" i="1"/>
  <c r="B239" i="1"/>
  <c r="F203" i="1"/>
  <c r="H203" i="1" s="1"/>
  <c r="F202" i="1"/>
  <c r="H202" i="1" s="1"/>
  <c r="F185" i="1"/>
  <c r="H185" i="1" s="1"/>
  <c r="L185" i="1" s="1"/>
  <c r="F184" i="1"/>
  <c r="H184" i="1" s="1"/>
  <c r="L184" i="1" s="1"/>
  <c r="F158" i="1"/>
  <c r="H158" i="1" s="1"/>
  <c r="F157" i="1"/>
  <c r="A147" i="1"/>
  <c r="A148" i="1" s="1"/>
  <c r="A149" i="1" s="1"/>
  <c r="A150" i="1" s="1"/>
  <c r="A151" i="1" s="1"/>
  <c r="C139" i="1"/>
  <c r="F128" i="1"/>
  <c r="C74" i="1"/>
  <c r="D68" i="1"/>
  <c r="C52" i="1"/>
  <c r="E32" i="1"/>
  <c r="E29" i="1"/>
  <c r="E27" i="1"/>
  <c r="C17" i="1"/>
  <c r="I16" i="1"/>
  <c r="Z14" i="1"/>
  <c r="E8" i="1"/>
  <c r="E3" i="1"/>
  <c r="H75" i="1"/>
  <c r="H89" i="1"/>
  <c r="E135" i="1" l="1"/>
  <c r="H157" i="1"/>
  <c r="J74" i="1"/>
  <c r="J76" i="1" s="1"/>
  <c r="J77" i="1"/>
  <c r="J78" i="1"/>
  <c r="J79" i="1"/>
  <c r="C78" i="1" s="1"/>
  <c r="J93" i="1"/>
  <c r="D97" i="1"/>
  <c r="D99" i="1"/>
  <c r="J92" i="1"/>
  <c r="D98" i="1"/>
  <c r="J88" i="1"/>
  <c r="J90" i="1" s="1"/>
  <c r="D96" i="1"/>
  <c r="J91" i="1"/>
  <c r="D95" i="1"/>
  <c r="D101" i="1"/>
  <c r="D100" i="1"/>
  <c r="D94" i="1"/>
  <c r="D82" i="1"/>
  <c r="D84" i="1"/>
  <c r="D83" i="1"/>
  <c r="D87" i="1"/>
  <c r="D81" i="1"/>
  <c r="D86" i="1"/>
  <c r="D80" i="1"/>
  <c r="D85" i="1"/>
  <c r="B89" i="1"/>
  <c r="B75" i="1"/>
  <c r="J80" i="1" s="1"/>
  <c r="B103" i="1" l="1"/>
  <c r="E138" i="1"/>
  <c r="E139" i="1" s="1"/>
  <c r="G135" i="1"/>
  <c r="C92" i="1"/>
  <c r="D92" i="1" s="1"/>
  <c r="D78" i="1"/>
  <c r="J99" i="1"/>
  <c r="J96" i="1"/>
  <c r="J98" i="1"/>
  <c r="J97" i="1"/>
  <c r="J94" i="1"/>
  <c r="J95" i="1" s="1"/>
  <c r="J84" i="1"/>
  <c r="J82" i="1"/>
  <c r="J83" i="1"/>
  <c r="J81" i="1"/>
  <c r="J86" i="1" s="1"/>
  <c r="J87" i="1" s="1"/>
  <c r="C79" i="1" s="1"/>
  <c r="J85" i="1"/>
  <c r="H103" i="1"/>
  <c r="D115" i="1" l="1"/>
  <c r="D111" i="1"/>
  <c r="D114" i="1"/>
  <c r="D110" i="1"/>
  <c r="J106" i="1"/>
  <c r="D113" i="1"/>
  <c r="D109" i="1"/>
  <c r="D112" i="1"/>
  <c r="D108" i="1"/>
  <c r="J107" i="1"/>
  <c r="C106" i="1" s="1"/>
  <c r="J105" i="1"/>
  <c r="J102" i="1"/>
  <c r="J104" i="1" s="1"/>
  <c r="J110" i="1"/>
  <c r="J112" i="1"/>
  <c r="J108" i="1"/>
  <c r="J109" i="1" s="1"/>
  <c r="J114" i="1" s="1"/>
  <c r="J115" i="1" s="1"/>
  <c r="C107" i="1" s="1"/>
  <c r="J111" i="1"/>
  <c r="J113" i="1"/>
  <c r="G138" i="1"/>
  <c r="G139" i="1" s="1"/>
  <c r="J75" i="1"/>
  <c r="J100" i="1"/>
  <c r="J101" i="1" s="1"/>
  <c r="E78" i="1"/>
  <c r="D79" i="1"/>
  <c r="I75" i="1" s="1"/>
  <c r="G78" i="1"/>
  <c r="D72" i="1" s="1"/>
  <c r="E106" i="1" l="1"/>
  <c r="D107" i="1"/>
  <c r="G106" i="1"/>
  <c r="D106" i="1"/>
  <c r="I103" i="1" s="1"/>
  <c r="I104" i="1" s="1"/>
  <c r="C93" i="1"/>
  <c r="J89" i="1" s="1"/>
  <c r="F73" i="1"/>
  <c r="D73" i="1"/>
  <c r="I76" i="1"/>
  <c r="I74" i="1" s="1"/>
  <c r="C76" i="1" s="1"/>
  <c r="J103" i="1" l="1"/>
  <c r="I102" i="1" s="1"/>
  <c r="C104" i="1" s="1"/>
  <c r="D93" i="1"/>
  <c r="I89" i="1" s="1"/>
  <c r="I90" i="1" s="1"/>
  <c r="E92" i="1"/>
  <c r="G92" i="1"/>
  <c r="I88" i="1" l="1"/>
  <c r="C90" i="1" s="1"/>
</calcChain>
</file>

<file path=xl/comments1.xml><?xml version="1.0" encoding="utf-8"?>
<comments xmlns="http://schemas.openxmlformats.org/spreadsheetml/2006/main">
  <authors>
    <author>Sachin</author>
    <author>SACHIN</author>
  </authors>
  <commentList>
    <comment ref="E13" authorId="0" shapeId="0">
      <text>
        <r>
          <rPr>
            <b/>
            <sz val="9"/>
            <color indexed="81"/>
            <rFont val="Tahoma"/>
            <family val="2"/>
          </rPr>
          <t>Sachin:</t>
        </r>
        <r>
          <rPr>
            <sz val="9"/>
            <color indexed="81"/>
            <rFont val="Tahoma"/>
            <family val="2"/>
          </rPr>
          <t xml:space="preserve">
Building No. 
Tower No.
Wing 
Bunglow No., etc</t>
        </r>
      </text>
    </comment>
    <comment ref="E14"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Height from AMSL</t>
        </r>
      </text>
    </comment>
    <comment ref="D61"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<sst xmlns="http://schemas.openxmlformats.org/spreadsheetml/2006/main" count="701" uniqueCount="377">
  <si>
    <t xml:space="preserve">Valuation Report </t>
  </si>
  <si>
    <t>Date:</t>
  </si>
  <si>
    <t>CPC Name:</t>
  </si>
  <si>
    <t>Date Of Property Visit</t>
  </si>
  <si>
    <t>Name of the builder group</t>
  </si>
  <si>
    <t>Name of the builder company</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</si>
  <si>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</si>
  <si>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</si>
  <si>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</si>
  <si>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</si>
  <si>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</si>
  <si>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</si>
  <si>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</si>
  <si>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</si>
  <si>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</si>
  <si>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</si>
  <si>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</si>
  <si>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</si>
  <si>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</si>
  <si>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</si>
  <si>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</si>
  <si>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</si>
  <si>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</si>
  <si>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</si>
  <si>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</si>
  <si>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</si>
  <si>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</si>
  <si>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</si>
  <si>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</si>
  <si>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</si>
  <si>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</si>
  <si>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</si>
  <si>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</si>
  <si>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</si>
  <si>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</si>
  <si>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</si>
  <si>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</si>
  <si>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</si>
  <si>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</si>
  <si>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</si>
  <si>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</si>
  <si>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</si>
  <si>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</si>
  <si>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</si>
  <si>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</si>
  <si>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</si>
  <si>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</si>
  <si>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</si>
  <si>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</si>
  <si>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</si>
  <si>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</si>
  <si>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</si>
  <si>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</si>
  <si>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</si>
  <si>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</si>
  <si>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</si>
  <si>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</si>
  <si>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</si>
  <si>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</si>
  <si>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</si>
  <si>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</si>
  <si>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</si>
  <si>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</si>
  <si>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</si>
  <si>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</si>
  <si>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</si>
  <si>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</si>
  <si>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</si>
  <si>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</si>
  <si>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</si>
  <si>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</si>
  <si>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</si>
  <si>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</si>
  <si>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</si>
  <si>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</si>
  <si>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</si>
  <si>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</si>
  <si>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</si>
  <si>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</si>
  <si>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</si>
  <si>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</si>
  <si>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</si>
  <si>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</si>
  <si>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</si>
  <si>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</si>
  <si>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</si>
  <si>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</si>
  <si>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</si>
  <si>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</si>
  <si>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</si>
  <si>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</si>
  <si>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</si>
  <si>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</si>
  <si>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</si>
  <si>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</si>
  <si>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</si>
  <si>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</si>
  <si>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</si>
  <si>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</si>
  <si>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</si>
  <si>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</si>
  <si>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</si>
  <si>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</si>
  <si>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</si>
  <si>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</si>
  <si>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</si>
  <si>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</si>
  <si>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</si>
  <si>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</si>
  <si>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</si>
  <si>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</si>
  <si>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</si>
  <si>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</si>
  <si>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</si>
  <si>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</si>
  <si>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</si>
  <si>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</si>
  <si>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</si>
  <si>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</si>
  <si>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</si>
  <si>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</si>
  <si>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</si>
  <si>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</si>
  <si>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</si>
  <si>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</si>
  <si>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</si>
  <si>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</si>
  <si>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</si>
  <si>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</si>
  <si>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</si>
  <si>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</si>
  <si>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</si>
  <si>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</si>
  <si>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</si>
  <si>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</si>
  <si>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</si>
  <si>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</si>
  <si>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</si>
  <si>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</si>
  <si>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</si>
  <si>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</si>
  <si>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</si>
  <si>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</si>
  <si>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</si>
  <si>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</si>
  <si>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</si>
  <si>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</si>
  <si>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</si>
  <si>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</si>
  <si>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</si>
  <si>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</si>
  <si>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</si>
  <si>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</si>
  <si>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</si>
  <si>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</si>
  <si>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</si>
  <si>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</si>
  <si>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</si>
  <si>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</si>
  <si>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</si>
  <si>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</si>
  <si>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</si>
  <si>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</si>
  <si>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</si>
  <si>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</si>
  <si>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</si>
  <si>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</si>
  <si>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</si>
  <si>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</si>
  <si>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</si>
  <si>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</si>
  <si>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</si>
  <si>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</si>
  <si>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</si>
  <si>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</si>
  <si>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</si>
  <si>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</si>
  <si>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</si>
  <si>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</si>
  <si>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</si>
  <si>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</si>
  <si>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</si>
  <si>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</si>
  <si>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</si>
  <si>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</si>
  <si>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</si>
  <si>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</si>
  <si>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</si>
  <si>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</si>
  <si>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</si>
  <si>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</si>
  <si>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</si>
  <si>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</si>
  <si>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</si>
  <si>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</si>
  <si>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</si>
  <si>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</si>
  <si>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</si>
  <si>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</si>
  <si>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</si>
  <si>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</si>
  <si>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</si>
  <si>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</si>
  <si>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</si>
  <si>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</si>
  <si>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</si>
  <si>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</si>
  <si>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</si>
  <si>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</si>
  <si>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</si>
  <si>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</si>
  <si>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</si>
  <si>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</si>
  <si>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</si>
  <si>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</si>
  <si>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</si>
  <si>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</si>
  <si>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</si>
  <si>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</si>
  <si>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</si>
  <si>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</si>
  <si>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</si>
  <si>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</si>
  <si>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</si>
  <si>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</si>
  <si>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</si>
  <si>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</si>
  <si>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</si>
  <si>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</si>
  <si>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</si>
  <si>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</si>
  <si>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</si>
  <si>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</si>
  <si>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</si>
  <si>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</si>
  <si>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</si>
  <si>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</si>
  <si>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</si>
  <si>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</si>
  <si>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</si>
  <si>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</si>
  <si>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</si>
  <si>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</si>
  <si>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</si>
  <si>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</si>
  <si>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</si>
  <si>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</si>
  <si>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</si>
  <si>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</si>
  <si>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</si>
  <si>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</si>
  <si>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</si>
  <si>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</si>
  <si>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</si>
  <si>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</si>
  <si>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</si>
  <si>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</si>
  <si>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</si>
  <si>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</si>
  <si>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</si>
  <si>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</si>
  <si>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</si>
  <si>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</si>
  <si>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</si>
  <si>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</si>
  <si>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</si>
  <si>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</si>
  <si>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</si>
  <si>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</si>
  <si>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</si>
  <si>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</si>
  <si>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</si>
  <si>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</si>
  <si>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</si>
  <si>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</si>
  <si>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</si>
  <si>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</si>
  <si>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</si>
  <si>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</si>
  <si>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</si>
  <si>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</si>
  <si>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</si>
  <si>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</si>
  <si>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</si>
  <si>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</si>
  <si>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</si>
  <si>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</si>
  <si>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</si>
  <si>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</si>
  <si>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Sethi Realtors</t>
  </si>
  <si>
    <t>Sethi Sky A Wing</t>
  </si>
  <si>
    <t>Survey No</t>
  </si>
  <si>
    <t>Diwanman</t>
  </si>
  <si>
    <t>Om Nagar</t>
  </si>
  <si>
    <t>Gokul Angan Marg</t>
  </si>
  <si>
    <t>Vasai west</t>
  </si>
  <si>
    <t>Swamini Palace</t>
  </si>
  <si>
    <t>2.7 KM from Vasai Railway Station</t>
  </si>
  <si>
    <t>Railway Track</t>
  </si>
  <si>
    <t>https://maps.app.goo.gl/o1qyySAV7eTxnvFG7</t>
  </si>
  <si>
    <t>19.3941208,72.8257944</t>
  </si>
  <si>
    <t>Building No.4(Wing A)</t>
  </si>
  <si>
    <t>VVCMC/TP/AMEND/VP/4200/40/2023-24</t>
  </si>
  <si>
    <t>VVCMC/TP/RDP/VP-4200/40/2023-24</t>
  </si>
  <si>
    <t>Shop</t>
  </si>
  <si>
    <t>1st Floor For Residential</t>
  </si>
  <si>
    <t>2BHK</t>
  </si>
  <si>
    <t>3BHK</t>
  </si>
  <si>
    <t>1BHK</t>
  </si>
  <si>
    <t>2nd to 7th Floor For Residential</t>
  </si>
  <si>
    <t>8th Floor For Residential ( Part Refuge Area)</t>
  </si>
  <si>
    <t>Enclose Balcony+ A.P+Open Balcony Area</t>
  </si>
  <si>
    <t xml:space="preserve">Carpet area </t>
  </si>
  <si>
    <t>13th &amp; 19th Floor ( Part Refuge Area)</t>
  </si>
  <si>
    <t>Attached Otla area</t>
  </si>
  <si>
    <t>We considered Gross carpet area = Net carpet + Enclose balcony + A.P Area + Open Balcony .</t>
  </si>
  <si>
    <t>Navnath Bhatkar</t>
  </si>
  <si>
    <t xml:space="preserve">Railway Noc No
Valid Up to: </t>
  </si>
  <si>
    <t>Carpet area taken from Sheet No.5</t>
  </si>
  <si>
    <t>Name of the Project As Per RERA</t>
  </si>
  <si>
    <t>(Old S. No. 45, H. No.1, S No. 47, H. No. 4, 5 &amp; 8, S No. 57, H. No. 1) New S. No. 45D Amalgamated With S.No.45/B/Pt, 45/C/Pt &amp;  47/B/Pt</t>
  </si>
  <si>
    <t>Road/Ram Rahim Manzil</t>
  </si>
  <si>
    <t>12M Wide DP Road/ RR Manzil</t>
  </si>
  <si>
    <t>ADJ.Swamini Palace</t>
  </si>
  <si>
    <t>12M Wide DP Road/BLDG No. 3</t>
  </si>
  <si>
    <r>
      <t xml:space="preserve">Shop No.
</t>
    </r>
    <r>
      <rPr>
        <b/>
        <sz val="11"/>
        <color theme="1"/>
        <rFont val="Times New Roman"/>
        <family val="1"/>
      </rPr>
      <t>(Approved Plan)</t>
    </r>
  </si>
  <si>
    <t>Ground Floor For Entrance Lobby, Commercial, Meter Room &amp; Parking</t>
  </si>
  <si>
    <r>
      <t xml:space="preserve">Flat No.
</t>
    </r>
    <r>
      <rPr>
        <b/>
        <sz val="11"/>
        <rFont val="Times New Roman"/>
        <family val="1"/>
      </rPr>
      <t>(Approved Plan)</t>
    </r>
  </si>
  <si>
    <r>
      <t xml:space="preserve">Proposed Amenities :                                                                                                                                                                                                                         </t>
    </r>
    <r>
      <rPr>
        <b/>
        <sz val="12"/>
        <rFont val="Times New Roman"/>
        <family val="1"/>
      </rPr>
      <t xml:space="preserve">                                               </t>
    </r>
  </si>
  <si>
    <t>Name of the Project As Per Builder</t>
  </si>
  <si>
    <t>Railway Track is about 30m to 40m away from the Building No. 04(Wing A).</t>
  </si>
  <si>
    <t>Mr.Vivek : 9730878987 </t>
  </si>
  <si>
    <t>Rate 6500 to 7000, Possession charges 350000, Trupti cost sheet 27/08/2024</t>
  </si>
  <si>
    <t>Possession charges</t>
  </si>
  <si>
    <t>Rate 7000 to 7200</t>
  </si>
  <si>
    <t>Nilesh sir</t>
  </si>
  <si>
    <t>Recommended Rates/Other Charges of the Property have been revised on 29/08/2024.</t>
  </si>
  <si>
    <t>A wing 1201</t>
  </si>
  <si>
    <t>staff case</t>
  </si>
  <si>
    <t>9th to 11th, 14th to 18th, 20th to 22nd For Residential</t>
  </si>
  <si>
    <t>12th For Residential</t>
  </si>
  <si>
    <t>A1202 = Salable area is changed from 1057 to 1069 staff case on 26/12/2024 by trupti</t>
  </si>
  <si>
    <t xml:space="preserve">A1202 = Salable area is changed from 1027 to 1069 staff case </t>
  </si>
  <si>
    <t>Mr. Pawan Sethi 9730878987 </t>
  </si>
  <si>
    <t>Sethi Palacio Building No.4 (Wing A, B &amp; C)</t>
  </si>
  <si>
    <t xml:space="preserve">Sethi Palacio &amp; Sethi Palacio B And C Wing
</t>
  </si>
  <si>
    <t>03 Buildings</t>
  </si>
  <si>
    <t xml:space="preserve">Approved area of building (Sq.Mt)
Building No. 4 (Wing A, B &amp; C) </t>
  </si>
  <si>
    <t>Building No. 4 (Wing A) = St + Gr + 1st to 22nd Floor
Building No. 4 (Wing B &amp; C) = St + Gr + 1st to 7th Floor</t>
  </si>
  <si>
    <t xml:space="preserve">Commencement-CC No
Valid Up to: 
Building No. 4 </t>
  </si>
  <si>
    <t xml:space="preserve">Wing A = St + Gr + 1st to 22nd Floor (Flats = 176 &amp; Shop = 6)
Wing B &amp; C = St + 1st to 7th Floor (Flats = 63)
</t>
  </si>
  <si>
    <t>As per RERA - 
Building No. 04 (Wing A) = 31/12/2028
Building No. 04 (Wing B &amp; C) = 30/04/2029</t>
  </si>
  <si>
    <t>Building No.4 (Wing A)</t>
  </si>
  <si>
    <t>Building No.4 (Wing B)</t>
  </si>
  <si>
    <t>Ground Floor For Parking</t>
  </si>
  <si>
    <t>Building No.4 (Wing C)</t>
  </si>
  <si>
    <t>2nd to 7th Floor</t>
  </si>
  <si>
    <t>Flats -239, Shops -6</t>
  </si>
  <si>
    <t>We have added Building No. 04 Wing B &amp; C on 17/09/2025.</t>
  </si>
  <si>
    <t>Shruti Fule</t>
  </si>
  <si>
    <t>Survey No. 45B/1, 45D &amp; 47B/1</t>
  </si>
  <si>
    <t>W115/2/81( R )</t>
  </si>
  <si>
    <t>We have updated Railway Noc on 17/09/2025.</t>
  </si>
  <si>
    <t xml:space="preserve">Construction work is in process at the time of Visit .(Labour Found)
</t>
  </si>
  <si>
    <t>Mr. Pravin : 9730878987 </t>
  </si>
  <si>
    <t>Building No.4(Wing B)</t>
  </si>
  <si>
    <t>Building No.4(Wing C)</t>
  </si>
  <si>
    <t xml:space="preserve">Please check for Fire NOC Certificate.
</t>
  </si>
  <si>
    <t xml:space="preserve">Enviorment NOC
Valid Up to: </t>
  </si>
  <si>
    <t>SIA/MH/MIS/233411/2021</t>
  </si>
  <si>
    <t>Building No. 04(Wing A &amp; B) = St/P + 1st to  23rd Floor
Building No. 04(Wing C) = St/P + 1st to  12th Floor</t>
  </si>
  <si>
    <t xml:space="preserve">Sethi Palacio Bldg No. 4 (Wing A) = P99000053620
Sethi Palacio Bldg No. 4 (Wing B &amp; C)= P99000053620
</t>
  </si>
  <si>
    <t xml:space="preserve">Building No. 4 (Wing A) = St + Gr + 1st to 23rd Floor
</t>
  </si>
  <si>
    <t xml:space="preserve">Building No. 4 (Wing B) = St + Gr + 1st to 23rd Floor
</t>
  </si>
  <si>
    <t xml:space="preserve">Building No. 4 (Wing C) = St + 1st to 12th Floor
</t>
  </si>
  <si>
    <t>Approved Plans, CC, Railway NOC, Builder Profile, Enviorment NOC</t>
  </si>
  <si>
    <t>We have updated Environment Noc on 26/09/2025.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</si>
</sst>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4">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8"/>
      <color rgb="FF333333"/>
      <name val="Conv_GothamRoundedBook_21018"/>
    </font>
    <font>
      <sz val="9"/>
      <color rgb="FF000000"/>
      <name val="Arial"/>
      <family val="2"/>
    </font>
    <font>
      <sz val="9"/>
      <color rgb="FF000000"/>
      <name val="Inherit"/>
    </font>
    <font>
      <sz val="11"/>
      <color rgb="FF272727"/>
      <name val="Arial"/>
      <family val="2"/>
    </font>
    <font>
      <b/>
      <sz val="11"/>
      <color theme="1"/>
      <name val="Times New Roman"/>
      <family val="1"/>
    </font>
    <font>
      <b/>
      <sz val="11"/>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170">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6" xfId="0" applyFont="1" applyBorder="1" applyProtection="1">
      <protection hidden="1"/>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5" xfId="1" applyFont="1" applyBorder="1"/>
    <xf numFmtId="0" fontId="16" fillId="0" borderId="5" xfId="0" applyFont="1" applyBorder="1" applyProtection="1">
      <protection hidden="1"/>
    </xf>
    <xf numFmtId="1" fontId="0" fillId="0" borderId="5" xfId="0" applyNumberFormat="1" applyBorder="1"/>
    <xf numFmtId="1" fontId="0" fillId="0" borderId="5" xfId="0" applyNumberFormat="1" applyBorder="1" applyAlignment="1">
      <alignment horizontal="right"/>
    </xf>
    <xf numFmtId="1" fontId="0" fillId="0" borderId="7"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5" fillId="0" borderId="1" xfId="1" applyFont="1" applyBorder="1" applyAlignment="1" applyProtection="1">
      <alignment horizontal="center" vertical="top"/>
      <protection locked="0"/>
    </xf>
    <xf numFmtId="0" fontId="23" fillId="0" borderId="10" xfId="0" applyFont="1" applyBorder="1"/>
    <xf numFmtId="0" fontId="23" fillId="0" borderId="2"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0" fontId="0" fillId="0" borderId="9" xfId="0" applyBorder="1"/>
    <xf numFmtId="0" fontId="0" fillId="0" borderId="3" xfId="0" applyBorder="1"/>
    <xf numFmtId="0" fontId="0" fillId="0" borderId="1" xfId="0" applyBorder="1" applyAlignment="1">
      <alignment vertical="top" wrapText="1"/>
    </xf>
    <xf numFmtId="0" fontId="28" fillId="0" borderId="0" xfId="0" applyFont="1" applyAlignment="1">
      <alignment horizontal="left" vertical="center" readingOrder="1"/>
    </xf>
    <xf numFmtId="0" fontId="9" fillId="0" borderId="0" xfId="1" applyFont="1"/>
    <xf numFmtId="0" fontId="29" fillId="0" borderId="0" xfId="0" applyFont="1"/>
    <xf numFmtId="0" fontId="30" fillId="0" borderId="0" xfId="0" applyFont="1" applyAlignment="1">
      <alignment horizontal="center" vertical="center" wrapText="1"/>
    </xf>
    <xf numFmtId="1" fontId="5" fillId="0" borderId="0" xfId="1" applyNumberFormat="1" applyFont="1" applyAlignment="1" applyProtection="1">
      <alignment horizontal="center" vertical="center" wrapText="1"/>
      <protection locked="0"/>
    </xf>
    <xf numFmtId="1" fontId="6" fillId="0" borderId="0" xfId="0" applyNumberFormat="1" applyFont="1" applyAlignment="1">
      <alignment horizontal="center" vertical="center"/>
    </xf>
    <xf numFmtId="1" fontId="6" fillId="2" borderId="1" xfId="1" applyNumberFormat="1" applyFont="1" applyFill="1" applyBorder="1" applyAlignment="1">
      <alignment horizontal="center" vertical="center"/>
    </xf>
    <xf numFmtId="1" fontId="6" fillId="3" borderId="1" xfId="1" applyNumberFormat="1" applyFont="1" applyFill="1" applyBorder="1" applyAlignment="1">
      <alignment horizontal="center" vertical="center"/>
    </xf>
    <xf numFmtId="1" fontId="6" fillId="0" borderId="1" xfId="1" applyNumberFormat="1" applyFont="1" applyBorder="1" applyAlignment="1">
      <alignment horizontal="center" vertical="center"/>
    </xf>
    <xf numFmtId="1" fontId="6" fillId="0" borderId="1" xfId="1" applyNumberFormat="1" applyFont="1" applyBorder="1" applyAlignment="1">
      <alignment horizontal="center"/>
    </xf>
    <xf numFmtId="0" fontId="31" fillId="0" borderId="0" xfId="0" applyFont="1"/>
    <xf numFmtId="0" fontId="6"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1" fontId="11" fillId="0" borderId="1" xfId="1" applyNumberFormat="1" applyFont="1" applyBorder="1" applyAlignment="1">
      <alignment horizontal="center"/>
    </xf>
    <xf numFmtId="1" fontId="11" fillId="0" borderId="1" xfId="0" applyNumberFormat="1" applyFont="1" applyBorder="1" applyAlignment="1" applyProtection="1">
      <alignment horizontal="center" vertical="center" wrapText="1"/>
      <protection locked="0"/>
    </xf>
    <xf numFmtId="0" fontId="11" fillId="0" borderId="0" xfId="0" applyFont="1" applyAlignment="1">
      <alignment horizontal="center" vertical="center"/>
    </xf>
    <xf numFmtId="9" fontId="11" fillId="0" borderId="1" xfId="8" applyFont="1" applyFill="1" applyBorder="1" applyAlignment="1" applyProtection="1">
      <alignment horizontal="center" vertical="top" wrapText="1"/>
      <protection locked="0"/>
    </xf>
    <xf numFmtId="0" fontId="22" fillId="2" borderId="8" xfId="0" applyFont="1" applyFill="1" applyBorder="1"/>
    <xf numFmtId="0" fontId="23" fillId="0" borderId="4" xfId="0" applyFont="1" applyBorder="1"/>
    <xf numFmtId="1" fontId="9" fillId="0" borderId="1" xfId="1" applyNumberFormat="1" applyFont="1" applyBorder="1" applyAlignment="1" applyProtection="1">
      <alignment horizontal="center" vertical="top" wrapText="1"/>
      <protection locked="0"/>
    </xf>
    <xf numFmtId="9" fontId="9" fillId="0" borderId="1" xfId="8" applyFont="1" applyFill="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6" fillId="2" borderId="0" xfId="1" applyFont="1" applyFill="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14" fillId="0" borderId="0" xfId="1" applyNumberFormat="1" applyFont="1" applyAlignment="1">
      <alignment horizontal="center" vertical="center"/>
    </xf>
    <xf numFmtId="1" fontId="14" fillId="2" borderId="1" xfId="1" applyNumberFormat="1" applyFont="1" applyFill="1" applyBorder="1" applyAlignment="1">
      <alignment horizontal="center" vertical="center"/>
    </xf>
    <xf numFmtId="0" fontId="14" fillId="0" borderId="0" xfId="1" applyFont="1" applyAlignment="1">
      <alignment horizontal="center" vertical="center"/>
    </xf>
    <xf numFmtId="1" fontId="5" fillId="0" borderId="1" xfId="1" applyNumberFormat="1"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2" fontId="6" fillId="0" borderId="0" xfId="1" applyNumberFormat="1" applyFont="1" applyAlignment="1">
      <alignment horizontal="center" vertical="center"/>
    </xf>
    <xf numFmtId="0" fontId="6" fillId="0" borderId="1"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 fontId="12" fillId="0" borderId="1" xfId="0" applyNumberFormat="1" applyFont="1" applyBorder="1" applyAlignment="1" applyProtection="1">
      <alignment vertical="top" wrapText="1"/>
      <protection locked="0"/>
    </xf>
    <xf numFmtId="0" fontId="11" fillId="0" borderId="0" xfId="1" applyFont="1" applyAlignment="1" applyProtection="1">
      <alignment horizontal="left" vertical="top"/>
      <protection locked="0"/>
    </xf>
    <xf numFmtId="0" fontId="14" fillId="0" borderId="0" xfId="1" applyFont="1" applyAlignment="1" applyProtection="1">
      <alignment horizontal="left" vertical="top"/>
      <protection locked="0"/>
    </xf>
    <xf numFmtId="2" fontId="14" fillId="0" borderId="0" xfId="1" applyNumberFormat="1" applyFont="1" applyAlignment="1" applyProtection="1">
      <alignment horizontal="left" vertical="top" wrapText="1"/>
      <protection locked="0"/>
    </xf>
    <xf numFmtId="164" fontId="14" fillId="0" borderId="0" xfId="1" applyNumberFormat="1" applyFont="1" applyAlignment="1" applyProtection="1">
      <alignment horizontal="left" vertical="top"/>
      <protection locked="0"/>
    </xf>
    <xf numFmtId="2" fontId="14" fillId="0" borderId="0" xfId="1" applyNumberFormat="1" applyFont="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5" fillId="0" borderId="0" xfId="1" applyFont="1" applyAlignment="1" applyProtection="1">
      <alignment horizontal="left" vertical="top"/>
      <protection locked="0"/>
    </xf>
    <xf numFmtId="2" fontId="5" fillId="0" borderId="0" xfId="1" applyNumberFormat="1" applyFont="1" applyAlignment="1" applyProtection="1">
      <alignment horizontal="left" vertical="top" wrapText="1"/>
      <protection locked="0"/>
    </xf>
    <xf numFmtId="164" fontId="5" fillId="0" borderId="0" xfId="1" applyNumberFormat="1" applyFont="1" applyAlignment="1" applyProtection="1">
      <alignment horizontal="left" vertical="top"/>
      <protection locked="0"/>
    </xf>
    <xf numFmtId="2" fontId="5" fillId="0" borderId="0" xfId="1" applyNumberFormat="1" applyFont="1" applyAlignment="1" applyProtection="1">
      <alignment horizontal="left" vertical="top"/>
      <protection locked="0"/>
    </xf>
    <xf numFmtId="0" fontId="6"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vertical="top" wrapText="1"/>
      <protection locked="0"/>
    </xf>
    <xf numFmtId="0" fontId="7" fillId="0" borderId="1" xfId="1" applyFont="1" applyBorder="1" applyAlignment="1" applyProtection="1">
      <alignment horizontal="left" vertical="top"/>
      <protection locked="0"/>
    </xf>
    <xf numFmtId="1" fontId="5"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33" fillId="0" borderId="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vertical="top" wrapText="1"/>
      <protection locked="0"/>
    </xf>
    <xf numFmtId="1" fontId="32" fillId="0" borderId="1" xfId="1"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1" fillId="0" borderId="11" xfId="1" applyFont="1" applyBorder="1" applyAlignment="1" applyProtection="1">
      <alignment horizontal="left" vertical="top" wrapText="1"/>
      <protection locked="0"/>
    </xf>
    <xf numFmtId="0" fontId="11" fillId="0" borderId="12"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1" xfId="1" applyFont="1" applyBorder="1" applyAlignment="1" applyProtection="1">
      <alignment horizontal="center" vertical="top"/>
      <protection locked="0"/>
    </xf>
    <xf numFmtId="0" fontId="6"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167" fontId="11" fillId="0" borderId="1" xfId="9" applyNumberFormat="1" applyFont="1" applyFill="1" applyBorder="1" applyAlignment="1" applyProtection="1">
      <alignment horizontal="left" vertical="top"/>
      <protection locked="0"/>
    </xf>
    <xf numFmtId="9" fontId="11" fillId="0" borderId="1" xfId="8"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14" fontId="5" fillId="0" borderId="1" xfId="1" applyNumberFormat="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24" fillId="0" borderId="1" xfId="10" applyFill="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6"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9" fontId="6" fillId="0" borderId="1" xfId="8" applyFont="1" applyFill="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0" fontId="9" fillId="0" borderId="1" xfId="0" applyFont="1" applyBorder="1" applyAlignment="1" applyProtection="1">
      <alignment horizontal="center" vertical="center"/>
      <protection locked="0"/>
    </xf>
    <xf numFmtId="0" fontId="7" fillId="0" borderId="1" xfId="1" applyFont="1" applyBorder="1" applyAlignment="1" applyProtection="1">
      <alignment horizontal="left" vertical="top" wrapText="1"/>
      <protection locked="0"/>
    </xf>
    <xf numFmtId="0" fontId="5" fillId="0" borderId="1" xfId="1" applyNumberFormat="1" applyFont="1" applyBorder="1" applyAlignment="1" applyProtection="1">
      <alignment horizontal="left" vertical="top" wrapText="1"/>
      <protection locked="0"/>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0" fontId="8" fillId="0" borderId="1" xfId="5" applyFont="1" applyBorder="1" applyAlignment="1">
      <alignment horizontal="left"/>
    </xf>
    <xf numFmtId="0" fontId="11" fillId="0" borderId="9" xfId="1" applyFont="1" applyBorder="1" applyAlignment="1" applyProtection="1">
      <alignment horizontal="left" vertical="top" wrapText="1"/>
      <protection locked="0"/>
    </xf>
    <xf numFmtId="0" fontId="11" fillId="0" borderId="0"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8</xdr:col>
      <xdr:colOff>352425</xdr:colOff>
      <xdr:row>12</xdr:row>
      <xdr:rowOff>95250</xdr:rowOff>
    </xdr:from>
    <xdr:to>
      <xdr:col>12</xdr:col>
      <xdr:colOff>683573</xdr:colOff>
      <xdr:row>18</xdr:row>
      <xdr:rowOff>148275</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6667500" y="2914650"/>
          <a:ext cx="3931598" cy="2520000"/>
        </a:xfrm>
        <a:prstGeom prst="rect">
          <a:avLst/>
        </a:prstGeom>
      </xdr:spPr>
    </xdr:pic>
    <xdr:clientData/>
  </xdr:twoCellAnchor>
  <xdr:twoCellAnchor editAs="oneCell">
    <xdr:from>
      <xdr:col>11</xdr:col>
      <xdr:colOff>409575</xdr:colOff>
      <xdr:row>149</xdr:row>
      <xdr:rowOff>76200</xdr:rowOff>
    </xdr:from>
    <xdr:to>
      <xdr:col>15</xdr:col>
      <xdr:colOff>429124</xdr:colOff>
      <xdr:row>163</xdr:row>
      <xdr:rowOff>86842</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stretch>
          <a:fillRect/>
        </a:stretch>
      </xdr:blipFill>
      <xdr:spPr>
        <a:xfrm>
          <a:off x="9353550" y="26584275"/>
          <a:ext cx="3381874" cy="3211042"/>
        </a:xfrm>
        <a:prstGeom prst="rect">
          <a:avLst/>
        </a:prstGeom>
      </xdr:spPr>
    </xdr:pic>
    <xdr:clientData/>
  </xdr:twoCellAnchor>
  <xdr:twoCellAnchor editAs="oneCell">
    <xdr:from>
      <xdr:col>8</xdr:col>
      <xdr:colOff>981075</xdr:colOff>
      <xdr:row>130</xdr:row>
      <xdr:rowOff>104775</xdr:rowOff>
    </xdr:from>
    <xdr:to>
      <xdr:col>14</xdr:col>
      <xdr:colOff>364854</xdr:colOff>
      <xdr:row>139</xdr:row>
      <xdr:rowOff>107725</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3"/>
        <a:stretch>
          <a:fillRect/>
        </a:stretch>
      </xdr:blipFill>
      <xdr:spPr>
        <a:xfrm>
          <a:off x="7296150" y="22193250"/>
          <a:ext cx="4613004" cy="1803175"/>
        </a:xfrm>
        <a:prstGeom prst="rect">
          <a:avLst/>
        </a:prstGeom>
      </xdr:spPr>
    </xdr:pic>
    <xdr:clientData/>
  </xdr:twoCellAnchor>
  <xdr:twoCellAnchor>
    <xdr:from>
      <xdr:col>1</xdr:col>
      <xdr:colOff>180975</xdr:colOff>
      <xdr:row>351</xdr:row>
      <xdr:rowOff>28575</xdr:rowOff>
    </xdr:from>
    <xdr:to>
      <xdr:col>6</xdr:col>
      <xdr:colOff>695422</xdr:colOff>
      <xdr:row>363</xdr:row>
      <xdr:rowOff>148275</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b="21111"/>
        <a:stretch/>
      </xdr:blipFill>
      <xdr:spPr>
        <a:xfrm>
          <a:off x="942975" y="71989950"/>
          <a:ext cx="4600672" cy="2520000"/>
        </a:xfrm>
        <a:prstGeom prst="rect">
          <a:avLst/>
        </a:prstGeom>
        <a:ln>
          <a:solidFill>
            <a:schemeClr val="tx1"/>
          </a:solidFill>
        </a:ln>
      </xdr:spPr>
    </xdr:pic>
    <xdr:clientData/>
  </xdr:twoCellAnchor>
  <xdr:twoCellAnchor>
    <xdr:from>
      <xdr:col>4</xdr:col>
      <xdr:colOff>132704</xdr:colOff>
      <xdr:row>355</xdr:row>
      <xdr:rowOff>139085</xdr:rowOff>
    </xdr:from>
    <xdr:to>
      <xdr:col>4</xdr:col>
      <xdr:colOff>685800</xdr:colOff>
      <xdr:row>357</xdr:row>
      <xdr:rowOff>137657</xdr:rowOff>
    </xdr:to>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3456929" y="72900560"/>
          <a:ext cx="553096" cy="398622"/>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4</xdr:col>
      <xdr:colOff>600653</xdr:colOff>
      <xdr:row>351</xdr:row>
      <xdr:rowOff>57150</xdr:rowOff>
    </xdr:from>
    <xdr:to>
      <xdr:col>6</xdr:col>
      <xdr:colOff>314325</xdr:colOff>
      <xdr:row>363</xdr:row>
      <xdr:rowOff>95250</xdr:rowOff>
    </xdr:to>
    <xdr:cxnSp macro="">
      <xdr:nvCxnSpPr>
        <xdr:cNvPr id="9" name="Straight Connector 8">
          <a:extLst>
            <a:ext uri="{FF2B5EF4-FFF2-40B4-BE49-F238E27FC236}">
              <a16:creationId xmlns:a16="http://schemas.microsoft.com/office/drawing/2014/main" xmlns="" id="{00000000-0008-0000-0000-000009000000}"/>
            </a:ext>
          </a:extLst>
        </xdr:cNvPr>
        <xdr:cNvCxnSpPr/>
      </xdr:nvCxnSpPr>
      <xdr:spPr>
        <a:xfrm>
          <a:off x="3924878" y="72018525"/>
          <a:ext cx="1237672" cy="24384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204608</xdr:colOff>
      <xdr:row>356</xdr:row>
      <xdr:rowOff>87004</xdr:rowOff>
    </xdr:from>
    <xdr:to>
      <xdr:col>4</xdr:col>
      <xdr:colOff>669222</xdr:colOff>
      <xdr:row>357</xdr:row>
      <xdr:rowOff>127325</xdr:rowOff>
    </xdr:to>
    <xdr:sp macro="" textlink="">
      <xdr:nvSpPr>
        <xdr:cNvPr id="10" name="TextBox 41">
          <a:extLst>
            <a:ext uri="{FF2B5EF4-FFF2-40B4-BE49-F238E27FC236}">
              <a16:creationId xmlns:a16="http://schemas.microsoft.com/office/drawing/2014/main" xmlns="" id="{00000000-0008-0000-0000-00000A000000}"/>
            </a:ext>
          </a:extLst>
        </xdr:cNvPr>
        <xdr:cNvSpPr txBox="1"/>
      </xdr:nvSpPr>
      <xdr:spPr>
        <a:xfrm>
          <a:off x="3528833" y="73048504"/>
          <a:ext cx="464614" cy="24034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Site</a:t>
          </a:r>
          <a:endParaRPr lang="en-IN" sz="1100" b="1">
            <a:solidFill>
              <a:srgbClr val="FFFF00"/>
            </a:solidFill>
          </a:endParaRPr>
        </a:p>
      </xdr:txBody>
    </xdr:sp>
    <xdr:clientData/>
  </xdr:twoCellAnchor>
  <xdr:twoCellAnchor>
    <xdr:from>
      <xdr:col>5</xdr:col>
      <xdr:colOff>270168</xdr:colOff>
      <xdr:row>353</xdr:row>
      <xdr:rowOff>16494</xdr:rowOff>
    </xdr:from>
    <xdr:to>
      <xdr:col>6</xdr:col>
      <xdr:colOff>594837</xdr:colOff>
      <xdr:row>355</xdr:row>
      <xdr:rowOff>13253</xdr:rowOff>
    </xdr:to>
    <xdr:sp macro="" textlink="">
      <xdr:nvSpPr>
        <xdr:cNvPr id="11" name="Rectangle 10">
          <a:extLst>
            <a:ext uri="{FF2B5EF4-FFF2-40B4-BE49-F238E27FC236}">
              <a16:creationId xmlns:a16="http://schemas.microsoft.com/office/drawing/2014/main" xmlns="" id="{00000000-0008-0000-0000-00000B000000}"/>
            </a:ext>
          </a:extLst>
        </xdr:cNvPr>
        <xdr:cNvSpPr/>
      </xdr:nvSpPr>
      <xdr:spPr>
        <a:xfrm>
          <a:off x="4375443" y="72377919"/>
          <a:ext cx="1067619" cy="396809"/>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Railway </a:t>
          </a:r>
        </a:p>
        <a:p>
          <a:r>
            <a:rPr lang="en-US" sz="1100" b="1">
              <a:solidFill>
                <a:srgbClr val="FFFF00"/>
              </a:solidFill>
            </a:rPr>
            <a:t>Track</a:t>
          </a:r>
          <a:endParaRPr lang="en-IN" sz="1100" b="1">
            <a:solidFill>
              <a:srgbClr val="FFFF00"/>
            </a:solidFill>
          </a:endParaRPr>
        </a:p>
      </xdr:txBody>
    </xdr:sp>
    <xdr:clientData/>
  </xdr:twoCellAnchor>
  <xdr:twoCellAnchor>
    <xdr:from>
      <xdr:col>4</xdr:col>
      <xdr:colOff>409575</xdr:colOff>
      <xdr:row>351</xdr:row>
      <xdr:rowOff>117723</xdr:rowOff>
    </xdr:from>
    <xdr:to>
      <xdr:col>6</xdr:col>
      <xdr:colOff>38100</xdr:colOff>
      <xdr:row>363</xdr:row>
      <xdr:rowOff>133350</xdr:rowOff>
    </xdr:to>
    <xdr:cxnSp macro="">
      <xdr:nvCxnSpPr>
        <xdr:cNvPr id="12" name="Straight Connector 11">
          <a:extLst>
            <a:ext uri="{FF2B5EF4-FFF2-40B4-BE49-F238E27FC236}">
              <a16:creationId xmlns:a16="http://schemas.microsoft.com/office/drawing/2014/main" xmlns="" id="{00000000-0008-0000-0000-00000C000000}"/>
            </a:ext>
          </a:extLst>
        </xdr:cNvPr>
        <xdr:cNvCxnSpPr/>
      </xdr:nvCxnSpPr>
      <xdr:spPr>
        <a:xfrm>
          <a:off x="3733800" y="72079098"/>
          <a:ext cx="1152525" cy="241592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695324</xdr:colOff>
      <xdr:row>332</xdr:row>
      <xdr:rowOff>66675</xdr:rowOff>
    </xdr:from>
    <xdr:to>
      <xdr:col>7</xdr:col>
      <xdr:colOff>218716</xdr:colOff>
      <xdr:row>350</xdr:row>
      <xdr:rowOff>66225</xdr:rowOff>
    </xdr:to>
    <xdr:pic>
      <xdr:nvPicPr>
        <xdr:cNvPr id="18" name="Picture 17">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5"/>
        <a:stretch>
          <a:fillRect/>
        </a:stretch>
      </xdr:blipFill>
      <xdr:spPr>
        <a:xfrm>
          <a:off x="695324" y="67637025"/>
          <a:ext cx="5105042" cy="3600000"/>
        </a:xfrm>
        <a:prstGeom prst="rect">
          <a:avLst/>
        </a:prstGeom>
      </xdr:spPr>
    </xdr:pic>
    <xdr:clientData/>
  </xdr:twoCellAnchor>
  <xdr:twoCellAnchor editAs="oneCell">
    <xdr:from>
      <xdr:col>1</xdr:col>
      <xdr:colOff>228599</xdr:colOff>
      <xdr:row>305</xdr:row>
      <xdr:rowOff>180975</xdr:rowOff>
    </xdr:from>
    <xdr:to>
      <xdr:col>6</xdr:col>
      <xdr:colOff>549099</xdr:colOff>
      <xdr:row>327</xdr:row>
      <xdr:rowOff>100425</xdr:rowOff>
    </xdr:to>
    <xdr:pic>
      <xdr:nvPicPr>
        <xdr:cNvPr id="27" name="Picture 26">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6"/>
        <a:stretch>
          <a:fillRect/>
        </a:stretch>
      </xdr:blipFill>
      <xdr:spPr>
        <a:xfrm>
          <a:off x="990599" y="59340750"/>
          <a:ext cx="4406725" cy="4320000"/>
        </a:xfrm>
        <a:prstGeom prst="rect">
          <a:avLst/>
        </a:prstGeom>
      </xdr:spPr>
    </xdr:pic>
    <xdr:clientData/>
  </xdr:twoCellAnchor>
  <xdr:twoCellAnchor>
    <xdr:from>
      <xdr:col>4</xdr:col>
      <xdr:colOff>209550</xdr:colOff>
      <xdr:row>307</xdr:row>
      <xdr:rowOff>72999</xdr:rowOff>
    </xdr:from>
    <xdr:to>
      <xdr:col>5</xdr:col>
      <xdr:colOff>176469</xdr:colOff>
      <xdr:row>307</xdr:row>
      <xdr:rowOff>85725</xdr:rowOff>
    </xdr:to>
    <xdr:cxnSp macro="">
      <xdr:nvCxnSpPr>
        <xdr:cNvPr id="28" name="Straight Arrow Connector 27">
          <a:extLst>
            <a:ext uri="{FF2B5EF4-FFF2-40B4-BE49-F238E27FC236}">
              <a16:creationId xmlns:a16="http://schemas.microsoft.com/office/drawing/2014/main" xmlns="" id="{00000000-0008-0000-0000-00001C000000}"/>
            </a:ext>
          </a:extLst>
        </xdr:cNvPr>
        <xdr:cNvCxnSpPr/>
      </xdr:nvCxnSpPr>
      <xdr:spPr>
        <a:xfrm flipV="1">
          <a:off x="3533775" y="59042274"/>
          <a:ext cx="747969" cy="12726"/>
        </a:xfrm>
        <a:prstGeom prst="straightConnector1">
          <a:avLst/>
        </a:prstGeom>
        <a:ln w="285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142875</xdr:colOff>
      <xdr:row>306</xdr:row>
      <xdr:rowOff>85726</xdr:rowOff>
    </xdr:from>
    <xdr:to>
      <xdr:col>5</xdr:col>
      <xdr:colOff>447705</xdr:colOff>
      <xdr:row>308</xdr:row>
      <xdr:rowOff>85726</xdr:rowOff>
    </xdr:to>
    <xdr:sp macro="" textlink="">
      <xdr:nvSpPr>
        <xdr:cNvPr id="29" name="TextBox 51">
          <a:extLst>
            <a:ext uri="{FF2B5EF4-FFF2-40B4-BE49-F238E27FC236}">
              <a16:creationId xmlns:a16="http://schemas.microsoft.com/office/drawing/2014/main" xmlns="" id="{00000000-0008-0000-0000-00001D000000}"/>
            </a:ext>
          </a:extLst>
        </xdr:cNvPr>
        <xdr:cNvSpPr txBox="1"/>
      </xdr:nvSpPr>
      <xdr:spPr>
        <a:xfrm>
          <a:off x="4248150" y="58854976"/>
          <a:ext cx="304830" cy="40005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FF00"/>
              </a:solidFill>
            </a:rPr>
            <a:t>N</a:t>
          </a:r>
        </a:p>
        <a:p>
          <a:endParaRPr lang="en-IN"/>
        </a:p>
      </xdr:txBody>
    </xdr:sp>
    <xdr:clientData/>
  </xdr:twoCellAnchor>
  <xdr:twoCellAnchor>
    <xdr:from>
      <xdr:col>8</xdr:col>
      <xdr:colOff>701675</xdr:colOff>
      <xdr:row>264</xdr:row>
      <xdr:rowOff>92075</xdr:rowOff>
    </xdr:from>
    <xdr:to>
      <xdr:col>15</xdr:col>
      <xdr:colOff>466637</xdr:colOff>
      <xdr:row>298</xdr:row>
      <xdr:rowOff>4681</xdr:rowOff>
    </xdr:to>
    <xdr:grpSp>
      <xdr:nvGrpSpPr>
        <xdr:cNvPr id="6" name="Group 5"/>
        <xdr:cNvGrpSpPr/>
      </xdr:nvGrpSpPr>
      <xdr:grpSpPr>
        <a:xfrm>
          <a:off x="7473950" y="56889650"/>
          <a:ext cx="5803812" cy="6713456"/>
          <a:chOff x="234950" y="42170350"/>
          <a:chExt cx="6076862" cy="6605506"/>
        </a:xfrm>
      </xdr:grpSpPr>
      <xdr:pic>
        <xdr:nvPicPr>
          <xdr:cNvPr id="24" name="Picture 2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299368" y="46255856"/>
            <a:ext cx="1888032" cy="252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34950" y="42170350"/>
            <a:ext cx="2966907" cy="3960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85054" y="46255856"/>
            <a:ext cx="1888032" cy="252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344905" y="42170350"/>
            <a:ext cx="2966907" cy="3960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313682" y="46255856"/>
            <a:ext cx="1888032" cy="2520000"/>
          </a:xfrm>
          <a:prstGeom prst="rect">
            <a:avLst/>
          </a:prstGeom>
          <a:ln>
            <a:solidFill>
              <a:schemeClr val="tx1"/>
            </a:solidFill>
          </a:ln>
        </xdr:spPr>
      </xdr:pic>
    </xdr:grpSp>
    <xdr:clientData/>
  </xdr:twoCellAnchor>
  <xdr:twoCellAnchor>
    <xdr:from>
      <xdr:col>0</xdr:col>
      <xdr:colOff>66675</xdr:colOff>
      <xdr:row>265</xdr:row>
      <xdr:rowOff>19050</xdr:rowOff>
    </xdr:from>
    <xdr:to>
      <xdr:col>7</xdr:col>
      <xdr:colOff>1134741</xdr:colOff>
      <xdr:row>302</xdr:row>
      <xdr:rowOff>40101</xdr:rowOff>
    </xdr:to>
    <xdr:grpSp>
      <xdr:nvGrpSpPr>
        <xdr:cNvPr id="3" name="Group 2"/>
        <xdr:cNvGrpSpPr/>
      </xdr:nvGrpSpPr>
      <xdr:grpSpPr>
        <a:xfrm>
          <a:off x="66675" y="57016650"/>
          <a:ext cx="6649716" cy="7421976"/>
          <a:chOff x="66675" y="49968150"/>
          <a:chExt cx="6649716" cy="7421976"/>
        </a:xfrm>
      </xdr:grpSpPr>
      <xdr:pic>
        <xdr:nvPicPr>
          <xdr:cNvPr id="21" name="Picture 20" descr="insp-247794-1525.jpg (959×1280)"/>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4297878" y="55230126"/>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insp-247794-845.jpg (959×1280)"/>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256886" y="52959138"/>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insp-247794-844.jpg (959×1280)"/>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4558641" y="49968150"/>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insp-247794-861.jpg (959×1280)"/>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2312658" y="49968150"/>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insp-247794-862.jpg (959×1280)"/>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66675" y="49968150"/>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insp-247794-860.jpg (1079×810)"/>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3686244" y="52959138"/>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insp-247794-1022.jpg (959×1280)"/>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918504" y="55230126"/>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insp-247794-883.jpg (959×1280)"/>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1971565" y="52959138"/>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insp-247794-919.jpg (959×1280)"/>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2608191" y="55230126"/>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o1qyySAV7eTxnvFG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31"/>
  <sheetViews>
    <sheetView tabSelected="1" view="pageBreakPreview" zoomScaleNormal="100" zoomScaleSheetLayoutView="100" zoomScalePageLayoutView="85" workbookViewId="0">
      <selection activeCell="J5" sqref="J5"/>
    </sheetView>
  </sheetViews>
  <sheetFormatPr defaultColWidth="9.140625" defaultRowHeight="15.75"/>
  <cols>
    <col min="1" max="1" width="11.42578125" style="36" customWidth="1"/>
    <col min="2" max="2" width="12" style="36" customWidth="1"/>
    <col min="3" max="3" width="12.7109375" style="36" customWidth="1"/>
    <col min="4" max="4" width="13.7109375" style="36" customWidth="1"/>
    <col min="5" max="5" width="11.7109375" style="36" customWidth="1"/>
    <col min="6" max="6" width="11.140625" style="36" customWidth="1"/>
    <col min="7" max="7" width="11" style="36" customWidth="1"/>
    <col min="8" max="8" width="17.85546875" style="36" customWidth="1"/>
    <col min="9" max="9" width="17.42578125" style="17" customWidth="1"/>
    <col min="10" max="10" width="11.42578125" style="17" customWidth="1"/>
    <col min="11" max="11" width="11.28515625" style="17" bestFit="1" customWidth="1"/>
    <col min="12" max="12" width="13.85546875" style="17" bestFit="1" customWidth="1"/>
    <col min="13" max="13" width="11.85546875" style="17" customWidth="1"/>
    <col min="14" max="14" width="12.5703125" style="17" customWidth="1"/>
    <col min="15" max="15" width="12.140625" style="17" customWidth="1"/>
    <col min="16" max="16" width="11.7109375" style="17" customWidth="1"/>
    <col min="17" max="18" width="9.140625" style="17"/>
    <col min="19" max="19" width="10.85546875" style="17" bestFit="1" customWidth="1"/>
    <col min="20" max="20" width="10.7109375" style="17" customWidth="1"/>
    <col min="21" max="247" width="9.140625" style="17"/>
    <col min="248" max="248" width="8.7109375" style="17" customWidth="1"/>
    <col min="249" max="249" width="9.85546875" style="17" customWidth="1"/>
    <col min="250" max="250" width="14.42578125" style="17" customWidth="1"/>
    <col min="251" max="251" width="7.28515625" style="17" customWidth="1"/>
    <col min="252" max="252" width="5.5703125" style="17" customWidth="1"/>
    <col min="253" max="253" width="9" style="17" customWidth="1"/>
    <col min="254" max="255" width="9.85546875" style="17" customWidth="1"/>
    <col min="256" max="256" width="11.140625" style="17" customWidth="1"/>
    <col min="257" max="257" width="2.85546875" style="17" customWidth="1"/>
    <col min="258" max="258" width="3.5703125" style="17" customWidth="1"/>
    <col min="259" max="503" width="9.140625" style="17"/>
    <col min="504" max="504" width="8.7109375" style="17" customWidth="1"/>
    <col min="505" max="505" width="9.85546875" style="17" customWidth="1"/>
    <col min="506" max="506" width="14.42578125" style="17" customWidth="1"/>
    <col min="507" max="507" width="7.28515625" style="17" customWidth="1"/>
    <col min="508" max="508" width="5.5703125" style="17" customWidth="1"/>
    <col min="509" max="509" width="9" style="17" customWidth="1"/>
    <col min="510" max="511" width="9.85546875" style="17" customWidth="1"/>
    <col min="512" max="512" width="11.140625" style="17" customWidth="1"/>
    <col min="513" max="513" width="2.85546875" style="17" customWidth="1"/>
    <col min="514" max="514" width="3.5703125" style="17" customWidth="1"/>
    <col min="515" max="759" width="9.140625" style="17"/>
    <col min="760" max="760" width="8.7109375" style="17" customWidth="1"/>
    <col min="761" max="761" width="9.85546875" style="17" customWidth="1"/>
    <col min="762" max="762" width="14.42578125" style="17" customWidth="1"/>
    <col min="763" max="763" width="7.28515625" style="17" customWidth="1"/>
    <col min="764" max="764" width="5.5703125" style="17" customWidth="1"/>
    <col min="765" max="765" width="9" style="17" customWidth="1"/>
    <col min="766" max="767" width="9.85546875" style="17" customWidth="1"/>
    <col min="768" max="768" width="11.140625" style="17" customWidth="1"/>
    <col min="769" max="769" width="2.85546875" style="17" customWidth="1"/>
    <col min="770" max="770" width="3.5703125" style="17" customWidth="1"/>
    <col min="771" max="1015" width="9.140625" style="17"/>
    <col min="1016" max="1016" width="8.7109375" style="17" customWidth="1"/>
    <col min="1017" max="1017" width="9.85546875" style="17" customWidth="1"/>
    <col min="1018" max="1018" width="14.42578125" style="17" customWidth="1"/>
    <col min="1019" max="1019" width="7.28515625" style="17" customWidth="1"/>
    <col min="1020" max="1020" width="5.5703125" style="17" customWidth="1"/>
    <col min="1021" max="1021" width="9" style="17" customWidth="1"/>
    <col min="1022" max="1023" width="9.85546875" style="17" customWidth="1"/>
    <col min="1024" max="1024" width="11.140625" style="17" customWidth="1"/>
    <col min="1025" max="1025" width="2.85546875" style="17" customWidth="1"/>
    <col min="1026" max="1026" width="3.5703125" style="17" customWidth="1"/>
    <col min="1027" max="1271" width="9.140625" style="17"/>
    <col min="1272" max="1272" width="8.7109375" style="17" customWidth="1"/>
    <col min="1273" max="1273" width="9.85546875" style="17" customWidth="1"/>
    <col min="1274" max="1274" width="14.42578125" style="17" customWidth="1"/>
    <col min="1275" max="1275" width="7.28515625" style="17" customWidth="1"/>
    <col min="1276" max="1276" width="5.5703125" style="17" customWidth="1"/>
    <col min="1277" max="1277" width="9" style="17" customWidth="1"/>
    <col min="1278" max="1279" width="9.85546875" style="17" customWidth="1"/>
    <col min="1280" max="1280" width="11.140625" style="17" customWidth="1"/>
    <col min="1281" max="1281" width="2.85546875" style="17" customWidth="1"/>
    <col min="1282" max="1282" width="3.5703125" style="17" customWidth="1"/>
    <col min="1283" max="1527" width="9.140625" style="17"/>
    <col min="1528" max="1528" width="8.7109375" style="17" customWidth="1"/>
    <col min="1529" max="1529" width="9.85546875" style="17" customWidth="1"/>
    <col min="1530" max="1530" width="14.42578125" style="17" customWidth="1"/>
    <col min="1531" max="1531" width="7.28515625" style="17" customWidth="1"/>
    <col min="1532" max="1532" width="5.5703125" style="17" customWidth="1"/>
    <col min="1533" max="1533" width="9" style="17" customWidth="1"/>
    <col min="1534" max="1535" width="9.85546875" style="17" customWidth="1"/>
    <col min="1536" max="1536" width="11.140625" style="17" customWidth="1"/>
    <col min="1537" max="1537" width="2.85546875" style="17" customWidth="1"/>
    <col min="1538" max="1538" width="3.5703125" style="17" customWidth="1"/>
    <col min="1539" max="1783" width="9.140625" style="17"/>
    <col min="1784" max="1784" width="8.7109375" style="17" customWidth="1"/>
    <col min="1785" max="1785" width="9.85546875" style="17" customWidth="1"/>
    <col min="1786" max="1786" width="14.42578125" style="17" customWidth="1"/>
    <col min="1787" max="1787" width="7.28515625" style="17" customWidth="1"/>
    <col min="1788" max="1788" width="5.5703125" style="17" customWidth="1"/>
    <col min="1789" max="1789" width="9" style="17" customWidth="1"/>
    <col min="1790" max="1791" width="9.85546875" style="17" customWidth="1"/>
    <col min="1792" max="1792" width="11.140625" style="17" customWidth="1"/>
    <col min="1793" max="1793" width="2.85546875" style="17" customWidth="1"/>
    <col min="1794" max="1794" width="3.5703125" style="17" customWidth="1"/>
    <col min="1795" max="2039" width="9.140625" style="17"/>
    <col min="2040" max="2040" width="8.7109375" style="17" customWidth="1"/>
    <col min="2041" max="2041" width="9.85546875" style="17" customWidth="1"/>
    <col min="2042" max="2042" width="14.42578125" style="17" customWidth="1"/>
    <col min="2043" max="2043" width="7.28515625" style="17" customWidth="1"/>
    <col min="2044" max="2044" width="5.5703125" style="17" customWidth="1"/>
    <col min="2045" max="2045" width="9" style="17" customWidth="1"/>
    <col min="2046" max="2047" width="9.85546875" style="17" customWidth="1"/>
    <col min="2048" max="2048" width="11.140625" style="17" customWidth="1"/>
    <col min="2049" max="2049" width="2.85546875" style="17" customWidth="1"/>
    <col min="2050" max="2050" width="3.5703125" style="17" customWidth="1"/>
    <col min="2051" max="2295" width="9.140625" style="17"/>
    <col min="2296" max="2296" width="8.7109375" style="17" customWidth="1"/>
    <col min="2297" max="2297" width="9.85546875" style="17" customWidth="1"/>
    <col min="2298" max="2298" width="14.42578125" style="17" customWidth="1"/>
    <col min="2299" max="2299" width="7.28515625" style="17" customWidth="1"/>
    <col min="2300" max="2300" width="5.5703125" style="17" customWidth="1"/>
    <col min="2301" max="2301" width="9" style="17" customWidth="1"/>
    <col min="2302" max="2303" width="9.85546875" style="17" customWidth="1"/>
    <col min="2304" max="2304" width="11.140625" style="17" customWidth="1"/>
    <col min="2305" max="2305" width="2.85546875" style="17" customWidth="1"/>
    <col min="2306" max="2306" width="3.5703125" style="17" customWidth="1"/>
    <col min="2307" max="2551" width="9.140625" style="17"/>
    <col min="2552" max="2552" width="8.7109375" style="17" customWidth="1"/>
    <col min="2553" max="2553" width="9.85546875" style="17" customWidth="1"/>
    <col min="2554" max="2554" width="14.42578125" style="17" customWidth="1"/>
    <col min="2555" max="2555" width="7.28515625" style="17" customWidth="1"/>
    <col min="2556" max="2556" width="5.5703125" style="17" customWidth="1"/>
    <col min="2557" max="2557" width="9" style="17" customWidth="1"/>
    <col min="2558" max="2559" width="9.85546875" style="17" customWidth="1"/>
    <col min="2560" max="2560" width="11.140625" style="17" customWidth="1"/>
    <col min="2561" max="2561" width="2.85546875" style="17" customWidth="1"/>
    <col min="2562" max="2562" width="3.5703125" style="17" customWidth="1"/>
    <col min="2563" max="2807" width="9.140625" style="17"/>
    <col min="2808" max="2808" width="8.7109375" style="17" customWidth="1"/>
    <col min="2809" max="2809" width="9.85546875" style="17" customWidth="1"/>
    <col min="2810" max="2810" width="14.42578125" style="17" customWidth="1"/>
    <col min="2811" max="2811" width="7.28515625" style="17" customWidth="1"/>
    <col min="2812" max="2812" width="5.5703125" style="17" customWidth="1"/>
    <col min="2813" max="2813" width="9" style="17" customWidth="1"/>
    <col min="2814" max="2815" width="9.85546875" style="17" customWidth="1"/>
    <col min="2816" max="2816" width="11.140625" style="17" customWidth="1"/>
    <col min="2817" max="2817" width="2.85546875" style="17" customWidth="1"/>
    <col min="2818" max="2818" width="3.5703125" style="17" customWidth="1"/>
    <col min="2819" max="3063" width="9.140625" style="17"/>
    <col min="3064" max="3064" width="8.7109375" style="17" customWidth="1"/>
    <col min="3065" max="3065" width="9.85546875" style="17" customWidth="1"/>
    <col min="3066" max="3066" width="14.42578125" style="17" customWidth="1"/>
    <col min="3067" max="3067" width="7.28515625" style="17" customWidth="1"/>
    <col min="3068" max="3068" width="5.5703125" style="17" customWidth="1"/>
    <col min="3069" max="3069" width="9" style="17" customWidth="1"/>
    <col min="3070" max="3071" width="9.85546875" style="17" customWidth="1"/>
    <col min="3072" max="3072" width="11.140625" style="17" customWidth="1"/>
    <col min="3073" max="3073" width="2.85546875" style="17" customWidth="1"/>
    <col min="3074" max="3074" width="3.5703125" style="17" customWidth="1"/>
    <col min="3075" max="3319" width="9.140625" style="17"/>
    <col min="3320" max="3320" width="8.7109375" style="17" customWidth="1"/>
    <col min="3321" max="3321" width="9.85546875" style="17" customWidth="1"/>
    <col min="3322" max="3322" width="14.42578125" style="17" customWidth="1"/>
    <col min="3323" max="3323" width="7.28515625" style="17" customWidth="1"/>
    <col min="3324" max="3324" width="5.5703125" style="17" customWidth="1"/>
    <col min="3325" max="3325" width="9" style="17" customWidth="1"/>
    <col min="3326" max="3327" width="9.85546875" style="17" customWidth="1"/>
    <col min="3328" max="3328" width="11.140625" style="17" customWidth="1"/>
    <col min="3329" max="3329" width="2.85546875" style="17" customWidth="1"/>
    <col min="3330" max="3330" width="3.5703125" style="17" customWidth="1"/>
    <col min="3331" max="3575" width="9.140625" style="17"/>
    <col min="3576" max="3576" width="8.7109375" style="17" customWidth="1"/>
    <col min="3577" max="3577" width="9.85546875" style="17" customWidth="1"/>
    <col min="3578" max="3578" width="14.42578125" style="17" customWidth="1"/>
    <col min="3579" max="3579" width="7.28515625" style="17" customWidth="1"/>
    <col min="3580" max="3580" width="5.5703125" style="17" customWidth="1"/>
    <col min="3581" max="3581" width="9" style="17" customWidth="1"/>
    <col min="3582" max="3583" width="9.85546875" style="17" customWidth="1"/>
    <col min="3584" max="3584" width="11.140625" style="17" customWidth="1"/>
    <col min="3585" max="3585" width="2.85546875" style="17" customWidth="1"/>
    <col min="3586" max="3586" width="3.5703125" style="17" customWidth="1"/>
    <col min="3587" max="3831" width="9.140625" style="17"/>
    <col min="3832" max="3832" width="8.7109375" style="17" customWidth="1"/>
    <col min="3833" max="3833" width="9.85546875" style="17" customWidth="1"/>
    <col min="3834" max="3834" width="14.42578125" style="17" customWidth="1"/>
    <col min="3835" max="3835" width="7.28515625" style="17" customWidth="1"/>
    <col min="3836" max="3836" width="5.5703125" style="17" customWidth="1"/>
    <col min="3837" max="3837" width="9" style="17" customWidth="1"/>
    <col min="3838" max="3839" width="9.85546875" style="17" customWidth="1"/>
    <col min="3840" max="3840" width="11.140625" style="17" customWidth="1"/>
    <col min="3841" max="3841" width="2.85546875" style="17" customWidth="1"/>
    <col min="3842" max="3842" width="3.5703125" style="17" customWidth="1"/>
    <col min="3843" max="4087" width="9.140625" style="17"/>
    <col min="4088" max="4088" width="8.7109375" style="17" customWidth="1"/>
    <col min="4089" max="4089" width="9.85546875" style="17" customWidth="1"/>
    <col min="4090" max="4090" width="14.42578125" style="17" customWidth="1"/>
    <col min="4091" max="4091" width="7.28515625" style="17" customWidth="1"/>
    <col min="4092" max="4092" width="5.5703125" style="17" customWidth="1"/>
    <col min="4093" max="4093" width="9" style="17" customWidth="1"/>
    <col min="4094" max="4095" width="9.85546875" style="17" customWidth="1"/>
    <col min="4096" max="4096" width="11.140625" style="17" customWidth="1"/>
    <col min="4097" max="4097" width="2.85546875" style="17" customWidth="1"/>
    <col min="4098" max="4098" width="3.5703125" style="17" customWidth="1"/>
    <col min="4099" max="4343" width="9.140625" style="17"/>
    <col min="4344" max="4344" width="8.7109375" style="17" customWidth="1"/>
    <col min="4345" max="4345" width="9.85546875" style="17" customWidth="1"/>
    <col min="4346" max="4346" width="14.42578125" style="17" customWidth="1"/>
    <col min="4347" max="4347" width="7.28515625" style="17" customWidth="1"/>
    <col min="4348" max="4348" width="5.5703125" style="17" customWidth="1"/>
    <col min="4349" max="4349" width="9" style="17" customWidth="1"/>
    <col min="4350" max="4351" width="9.85546875" style="17" customWidth="1"/>
    <col min="4352" max="4352" width="11.140625" style="17" customWidth="1"/>
    <col min="4353" max="4353" width="2.85546875" style="17" customWidth="1"/>
    <col min="4354" max="4354" width="3.5703125" style="17" customWidth="1"/>
    <col min="4355" max="4599" width="9.140625" style="17"/>
    <col min="4600" max="4600" width="8.7109375" style="17" customWidth="1"/>
    <col min="4601" max="4601" width="9.85546875" style="17" customWidth="1"/>
    <col min="4602" max="4602" width="14.42578125" style="17" customWidth="1"/>
    <col min="4603" max="4603" width="7.28515625" style="17" customWidth="1"/>
    <col min="4604" max="4604" width="5.5703125" style="17" customWidth="1"/>
    <col min="4605" max="4605" width="9" style="17" customWidth="1"/>
    <col min="4606" max="4607" width="9.85546875" style="17" customWidth="1"/>
    <col min="4608" max="4608" width="11.140625" style="17" customWidth="1"/>
    <col min="4609" max="4609" width="2.85546875" style="17" customWidth="1"/>
    <col min="4610" max="4610" width="3.5703125" style="17" customWidth="1"/>
    <col min="4611" max="4855" width="9.140625" style="17"/>
    <col min="4856" max="4856" width="8.7109375" style="17" customWidth="1"/>
    <col min="4857" max="4857" width="9.85546875" style="17" customWidth="1"/>
    <col min="4858" max="4858" width="14.42578125" style="17" customWidth="1"/>
    <col min="4859" max="4859" width="7.28515625" style="17" customWidth="1"/>
    <col min="4860" max="4860" width="5.5703125" style="17" customWidth="1"/>
    <col min="4861" max="4861" width="9" style="17" customWidth="1"/>
    <col min="4862" max="4863" width="9.85546875" style="17" customWidth="1"/>
    <col min="4864" max="4864" width="11.140625" style="17" customWidth="1"/>
    <col min="4865" max="4865" width="2.85546875" style="17" customWidth="1"/>
    <col min="4866" max="4866" width="3.5703125" style="17" customWidth="1"/>
    <col min="4867" max="5111" width="9.140625" style="17"/>
    <col min="5112" max="5112" width="8.7109375" style="17" customWidth="1"/>
    <col min="5113" max="5113" width="9.85546875" style="17" customWidth="1"/>
    <col min="5114" max="5114" width="14.42578125" style="17" customWidth="1"/>
    <col min="5115" max="5115" width="7.28515625" style="17" customWidth="1"/>
    <col min="5116" max="5116" width="5.5703125" style="17" customWidth="1"/>
    <col min="5117" max="5117" width="9" style="17" customWidth="1"/>
    <col min="5118" max="5119" width="9.85546875" style="17" customWidth="1"/>
    <col min="5120" max="5120" width="11.140625" style="17" customWidth="1"/>
    <col min="5121" max="5121" width="2.85546875" style="17" customWidth="1"/>
    <col min="5122" max="5122" width="3.5703125" style="17" customWidth="1"/>
    <col min="5123" max="5367" width="9.140625" style="17"/>
    <col min="5368" max="5368" width="8.7109375" style="17" customWidth="1"/>
    <col min="5369" max="5369" width="9.85546875" style="17" customWidth="1"/>
    <col min="5370" max="5370" width="14.42578125" style="17" customWidth="1"/>
    <col min="5371" max="5371" width="7.28515625" style="17" customWidth="1"/>
    <col min="5372" max="5372" width="5.5703125" style="17" customWidth="1"/>
    <col min="5373" max="5373" width="9" style="17" customWidth="1"/>
    <col min="5374" max="5375" width="9.85546875" style="17" customWidth="1"/>
    <col min="5376" max="5376" width="11.140625" style="17" customWidth="1"/>
    <col min="5377" max="5377" width="2.85546875" style="17" customWidth="1"/>
    <col min="5378" max="5378" width="3.5703125" style="17" customWidth="1"/>
    <col min="5379" max="5623" width="9.140625" style="17"/>
    <col min="5624" max="5624" width="8.7109375" style="17" customWidth="1"/>
    <col min="5625" max="5625" width="9.85546875" style="17" customWidth="1"/>
    <col min="5626" max="5626" width="14.42578125" style="17" customWidth="1"/>
    <col min="5627" max="5627" width="7.28515625" style="17" customWidth="1"/>
    <col min="5628" max="5628" width="5.5703125" style="17" customWidth="1"/>
    <col min="5629" max="5629" width="9" style="17" customWidth="1"/>
    <col min="5630" max="5631" width="9.85546875" style="17" customWidth="1"/>
    <col min="5632" max="5632" width="11.140625" style="17" customWidth="1"/>
    <col min="5633" max="5633" width="2.85546875" style="17" customWidth="1"/>
    <col min="5634" max="5634" width="3.5703125" style="17" customWidth="1"/>
    <col min="5635" max="5879" width="9.140625" style="17"/>
    <col min="5880" max="5880" width="8.7109375" style="17" customWidth="1"/>
    <col min="5881" max="5881" width="9.85546875" style="17" customWidth="1"/>
    <col min="5882" max="5882" width="14.42578125" style="17" customWidth="1"/>
    <col min="5883" max="5883" width="7.28515625" style="17" customWidth="1"/>
    <col min="5884" max="5884" width="5.5703125" style="17" customWidth="1"/>
    <col min="5885" max="5885" width="9" style="17" customWidth="1"/>
    <col min="5886" max="5887" width="9.85546875" style="17" customWidth="1"/>
    <col min="5888" max="5888" width="11.140625" style="17" customWidth="1"/>
    <col min="5889" max="5889" width="2.85546875" style="17" customWidth="1"/>
    <col min="5890" max="5890" width="3.5703125" style="17" customWidth="1"/>
    <col min="5891" max="6135" width="9.140625" style="17"/>
    <col min="6136" max="6136" width="8.7109375" style="17" customWidth="1"/>
    <col min="6137" max="6137" width="9.85546875" style="17" customWidth="1"/>
    <col min="6138" max="6138" width="14.42578125" style="17" customWidth="1"/>
    <col min="6139" max="6139" width="7.28515625" style="17" customWidth="1"/>
    <col min="6140" max="6140" width="5.5703125" style="17" customWidth="1"/>
    <col min="6141" max="6141" width="9" style="17" customWidth="1"/>
    <col min="6142" max="6143" width="9.85546875" style="17" customWidth="1"/>
    <col min="6144" max="6144" width="11.140625" style="17" customWidth="1"/>
    <col min="6145" max="6145" width="2.85546875" style="17" customWidth="1"/>
    <col min="6146" max="6146" width="3.5703125" style="17" customWidth="1"/>
    <col min="6147" max="6391" width="9.140625" style="17"/>
    <col min="6392" max="6392" width="8.7109375" style="17" customWidth="1"/>
    <col min="6393" max="6393" width="9.85546875" style="17" customWidth="1"/>
    <col min="6394" max="6394" width="14.42578125" style="17" customWidth="1"/>
    <col min="6395" max="6395" width="7.28515625" style="17" customWidth="1"/>
    <col min="6396" max="6396" width="5.5703125" style="17" customWidth="1"/>
    <col min="6397" max="6397" width="9" style="17" customWidth="1"/>
    <col min="6398" max="6399" width="9.85546875" style="17" customWidth="1"/>
    <col min="6400" max="6400" width="11.140625" style="17" customWidth="1"/>
    <col min="6401" max="6401" width="2.85546875" style="17" customWidth="1"/>
    <col min="6402" max="6402" width="3.5703125" style="17" customWidth="1"/>
    <col min="6403" max="6647" width="9.140625" style="17"/>
    <col min="6648" max="6648" width="8.7109375" style="17" customWidth="1"/>
    <col min="6649" max="6649" width="9.85546875" style="17" customWidth="1"/>
    <col min="6650" max="6650" width="14.42578125" style="17" customWidth="1"/>
    <col min="6651" max="6651" width="7.28515625" style="17" customWidth="1"/>
    <col min="6652" max="6652" width="5.5703125" style="17" customWidth="1"/>
    <col min="6653" max="6653" width="9" style="17" customWidth="1"/>
    <col min="6654" max="6655" width="9.85546875" style="17" customWidth="1"/>
    <col min="6656" max="6656" width="11.140625" style="17" customWidth="1"/>
    <col min="6657" max="6657" width="2.85546875" style="17" customWidth="1"/>
    <col min="6658" max="6658" width="3.5703125" style="17" customWidth="1"/>
    <col min="6659" max="6903" width="9.140625" style="17"/>
    <col min="6904" max="6904" width="8.7109375" style="17" customWidth="1"/>
    <col min="6905" max="6905" width="9.85546875" style="17" customWidth="1"/>
    <col min="6906" max="6906" width="14.42578125" style="17" customWidth="1"/>
    <col min="6907" max="6907" width="7.28515625" style="17" customWidth="1"/>
    <col min="6908" max="6908" width="5.5703125" style="17" customWidth="1"/>
    <col min="6909" max="6909" width="9" style="17" customWidth="1"/>
    <col min="6910" max="6911" width="9.85546875" style="17" customWidth="1"/>
    <col min="6912" max="6912" width="11.140625" style="17" customWidth="1"/>
    <col min="6913" max="6913" width="2.85546875" style="17" customWidth="1"/>
    <col min="6914" max="6914" width="3.5703125" style="17" customWidth="1"/>
    <col min="6915" max="7159" width="9.140625" style="17"/>
    <col min="7160" max="7160" width="8.7109375" style="17" customWidth="1"/>
    <col min="7161" max="7161" width="9.85546875" style="17" customWidth="1"/>
    <col min="7162" max="7162" width="14.42578125" style="17" customWidth="1"/>
    <col min="7163" max="7163" width="7.28515625" style="17" customWidth="1"/>
    <col min="7164" max="7164" width="5.5703125" style="17" customWidth="1"/>
    <col min="7165" max="7165" width="9" style="17" customWidth="1"/>
    <col min="7166" max="7167" width="9.85546875" style="17" customWidth="1"/>
    <col min="7168" max="7168" width="11.140625" style="17" customWidth="1"/>
    <col min="7169" max="7169" width="2.85546875" style="17" customWidth="1"/>
    <col min="7170" max="7170" width="3.5703125" style="17" customWidth="1"/>
    <col min="7171" max="7415" width="9.140625" style="17"/>
    <col min="7416" max="7416" width="8.7109375" style="17" customWidth="1"/>
    <col min="7417" max="7417" width="9.85546875" style="17" customWidth="1"/>
    <col min="7418" max="7418" width="14.42578125" style="17" customWidth="1"/>
    <col min="7419" max="7419" width="7.28515625" style="17" customWidth="1"/>
    <col min="7420" max="7420" width="5.5703125" style="17" customWidth="1"/>
    <col min="7421" max="7421" width="9" style="17" customWidth="1"/>
    <col min="7422" max="7423" width="9.85546875" style="17" customWidth="1"/>
    <col min="7424" max="7424" width="11.140625" style="17" customWidth="1"/>
    <col min="7425" max="7425" width="2.85546875" style="17" customWidth="1"/>
    <col min="7426" max="7426" width="3.5703125" style="17" customWidth="1"/>
    <col min="7427" max="7671" width="9.140625" style="17"/>
    <col min="7672" max="7672" width="8.7109375" style="17" customWidth="1"/>
    <col min="7673" max="7673" width="9.85546875" style="17" customWidth="1"/>
    <col min="7674" max="7674" width="14.42578125" style="17" customWidth="1"/>
    <col min="7675" max="7675" width="7.28515625" style="17" customWidth="1"/>
    <col min="7676" max="7676" width="5.5703125" style="17" customWidth="1"/>
    <col min="7677" max="7677" width="9" style="17" customWidth="1"/>
    <col min="7678" max="7679" width="9.85546875" style="17" customWidth="1"/>
    <col min="7680" max="7680" width="11.140625" style="17" customWidth="1"/>
    <col min="7681" max="7681" width="2.85546875" style="17" customWidth="1"/>
    <col min="7682" max="7682" width="3.5703125" style="17" customWidth="1"/>
    <col min="7683" max="7927" width="9.140625" style="17"/>
    <col min="7928" max="7928" width="8.7109375" style="17" customWidth="1"/>
    <col min="7929" max="7929" width="9.85546875" style="17" customWidth="1"/>
    <col min="7930" max="7930" width="14.42578125" style="17" customWidth="1"/>
    <col min="7931" max="7931" width="7.28515625" style="17" customWidth="1"/>
    <col min="7932" max="7932" width="5.5703125" style="17" customWidth="1"/>
    <col min="7933" max="7933" width="9" style="17" customWidth="1"/>
    <col min="7934" max="7935" width="9.85546875" style="17" customWidth="1"/>
    <col min="7936" max="7936" width="11.140625" style="17" customWidth="1"/>
    <col min="7937" max="7937" width="2.85546875" style="17" customWidth="1"/>
    <col min="7938" max="7938" width="3.5703125" style="17" customWidth="1"/>
    <col min="7939" max="8183" width="9.140625" style="17"/>
    <col min="8184" max="8184" width="8.7109375" style="17" customWidth="1"/>
    <col min="8185" max="8185" width="9.85546875" style="17" customWidth="1"/>
    <col min="8186" max="8186" width="14.42578125" style="17" customWidth="1"/>
    <col min="8187" max="8187" width="7.28515625" style="17" customWidth="1"/>
    <col min="8188" max="8188" width="5.5703125" style="17" customWidth="1"/>
    <col min="8189" max="8189" width="9" style="17" customWidth="1"/>
    <col min="8190" max="8191" width="9.85546875" style="17" customWidth="1"/>
    <col min="8192" max="8192" width="11.140625" style="17" customWidth="1"/>
    <col min="8193" max="8193" width="2.85546875" style="17" customWidth="1"/>
    <col min="8194" max="8194" width="3.5703125" style="17" customWidth="1"/>
    <col min="8195" max="8439" width="9.140625" style="17"/>
    <col min="8440" max="8440" width="8.7109375" style="17" customWidth="1"/>
    <col min="8441" max="8441" width="9.85546875" style="17" customWidth="1"/>
    <col min="8442" max="8442" width="14.42578125" style="17" customWidth="1"/>
    <col min="8443" max="8443" width="7.28515625" style="17" customWidth="1"/>
    <col min="8444" max="8444" width="5.5703125" style="17" customWidth="1"/>
    <col min="8445" max="8445" width="9" style="17" customWidth="1"/>
    <col min="8446" max="8447" width="9.85546875" style="17" customWidth="1"/>
    <col min="8448" max="8448" width="11.140625" style="17" customWidth="1"/>
    <col min="8449" max="8449" width="2.85546875" style="17" customWidth="1"/>
    <col min="8450" max="8450" width="3.5703125" style="17" customWidth="1"/>
    <col min="8451" max="8695" width="9.140625" style="17"/>
    <col min="8696" max="8696" width="8.7109375" style="17" customWidth="1"/>
    <col min="8697" max="8697" width="9.85546875" style="17" customWidth="1"/>
    <col min="8698" max="8698" width="14.42578125" style="17" customWidth="1"/>
    <col min="8699" max="8699" width="7.28515625" style="17" customWidth="1"/>
    <col min="8700" max="8700" width="5.5703125" style="17" customWidth="1"/>
    <col min="8701" max="8701" width="9" style="17" customWidth="1"/>
    <col min="8702" max="8703" width="9.85546875" style="17" customWidth="1"/>
    <col min="8704" max="8704" width="11.140625" style="17" customWidth="1"/>
    <col min="8705" max="8705" width="2.85546875" style="17" customWidth="1"/>
    <col min="8706" max="8706" width="3.5703125" style="17" customWidth="1"/>
    <col min="8707" max="8951" width="9.140625" style="17"/>
    <col min="8952" max="8952" width="8.7109375" style="17" customWidth="1"/>
    <col min="8953" max="8953" width="9.85546875" style="17" customWidth="1"/>
    <col min="8954" max="8954" width="14.42578125" style="17" customWidth="1"/>
    <col min="8955" max="8955" width="7.28515625" style="17" customWidth="1"/>
    <col min="8956" max="8956" width="5.5703125" style="17" customWidth="1"/>
    <col min="8957" max="8957" width="9" style="17" customWidth="1"/>
    <col min="8958" max="8959" width="9.85546875" style="17" customWidth="1"/>
    <col min="8960" max="8960" width="11.140625" style="17" customWidth="1"/>
    <col min="8961" max="8961" width="2.85546875" style="17" customWidth="1"/>
    <col min="8962" max="8962" width="3.5703125" style="17" customWidth="1"/>
    <col min="8963" max="9207" width="9.140625" style="17"/>
    <col min="9208" max="9208" width="8.7109375" style="17" customWidth="1"/>
    <col min="9209" max="9209" width="9.85546875" style="17" customWidth="1"/>
    <col min="9210" max="9210" width="14.42578125" style="17" customWidth="1"/>
    <col min="9211" max="9211" width="7.28515625" style="17" customWidth="1"/>
    <col min="9212" max="9212" width="5.5703125" style="17" customWidth="1"/>
    <col min="9213" max="9213" width="9" style="17" customWidth="1"/>
    <col min="9214" max="9215" width="9.85546875" style="17" customWidth="1"/>
    <col min="9216" max="9216" width="11.140625" style="17" customWidth="1"/>
    <col min="9217" max="9217" width="2.85546875" style="17" customWidth="1"/>
    <col min="9218" max="9218" width="3.5703125" style="17" customWidth="1"/>
    <col min="9219" max="9463" width="9.140625" style="17"/>
    <col min="9464" max="9464" width="8.7109375" style="17" customWidth="1"/>
    <col min="9465" max="9465" width="9.85546875" style="17" customWidth="1"/>
    <col min="9466" max="9466" width="14.42578125" style="17" customWidth="1"/>
    <col min="9467" max="9467" width="7.28515625" style="17" customWidth="1"/>
    <col min="9468" max="9468" width="5.5703125" style="17" customWidth="1"/>
    <col min="9469" max="9469" width="9" style="17" customWidth="1"/>
    <col min="9470" max="9471" width="9.85546875" style="17" customWidth="1"/>
    <col min="9472" max="9472" width="11.140625" style="17" customWidth="1"/>
    <col min="9473" max="9473" width="2.85546875" style="17" customWidth="1"/>
    <col min="9474" max="9474" width="3.5703125" style="17" customWidth="1"/>
    <col min="9475" max="9719" width="9.140625" style="17"/>
    <col min="9720" max="9720" width="8.7109375" style="17" customWidth="1"/>
    <col min="9721" max="9721" width="9.85546875" style="17" customWidth="1"/>
    <col min="9722" max="9722" width="14.42578125" style="17" customWidth="1"/>
    <col min="9723" max="9723" width="7.28515625" style="17" customWidth="1"/>
    <col min="9724" max="9724" width="5.5703125" style="17" customWidth="1"/>
    <col min="9725" max="9725" width="9" style="17" customWidth="1"/>
    <col min="9726" max="9727" width="9.85546875" style="17" customWidth="1"/>
    <col min="9728" max="9728" width="11.140625" style="17" customWidth="1"/>
    <col min="9729" max="9729" width="2.85546875" style="17" customWidth="1"/>
    <col min="9730" max="9730" width="3.5703125" style="17" customWidth="1"/>
    <col min="9731" max="9975" width="9.140625" style="17"/>
    <col min="9976" max="9976" width="8.7109375" style="17" customWidth="1"/>
    <col min="9977" max="9977" width="9.85546875" style="17" customWidth="1"/>
    <col min="9978" max="9978" width="14.42578125" style="17" customWidth="1"/>
    <col min="9979" max="9979" width="7.28515625" style="17" customWidth="1"/>
    <col min="9980" max="9980" width="5.5703125" style="17" customWidth="1"/>
    <col min="9981" max="9981" width="9" style="17" customWidth="1"/>
    <col min="9982" max="9983" width="9.85546875" style="17" customWidth="1"/>
    <col min="9984" max="9984" width="11.140625" style="17" customWidth="1"/>
    <col min="9985" max="9985" width="2.85546875" style="17" customWidth="1"/>
    <col min="9986" max="9986" width="3.5703125" style="17" customWidth="1"/>
    <col min="9987" max="10231" width="9.140625" style="17"/>
    <col min="10232" max="10232" width="8.7109375" style="17" customWidth="1"/>
    <col min="10233" max="10233" width="9.85546875" style="17" customWidth="1"/>
    <col min="10234" max="10234" width="14.42578125" style="17" customWidth="1"/>
    <col min="10235" max="10235" width="7.28515625" style="17" customWidth="1"/>
    <col min="10236" max="10236" width="5.5703125" style="17" customWidth="1"/>
    <col min="10237" max="10237" width="9" style="17" customWidth="1"/>
    <col min="10238" max="10239" width="9.85546875" style="17" customWidth="1"/>
    <col min="10240" max="10240" width="11.140625" style="17" customWidth="1"/>
    <col min="10241" max="10241" width="2.85546875" style="17" customWidth="1"/>
    <col min="10242" max="10242" width="3.5703125" style="17" customWidth="1"/>
    <col min="10243" max="10487" width="9.140625" style="17"/>
    <col min="10488" max="10488" width="8.7109375" style="17" customWidth="1"/>
    <col min="10489" max="10489" width="9.85546875" style="17" customWidth="1"/>
    <col min="10490" max="10490" width="14.42578125" style="17" customWidth="1"/>
    <col min="10491" max="10491" width="7.28515625" style="17" customWidth="1"/>
    <col min="10492" max="10492" width="5.5703125" style="17" customWidth="1"/>
    <col min="10493" max="10493" width="9" style="17" customWidth="1"/>
    <col min="10494" max="10495" width="9.85546875" style="17" customWidth="1"/>
    <col min="10496" max="10496" width="11.140625" style="17" customWidth="1"/>
    <col min="10497" max="10497" width="2.85546875" style="17" customWidth="1"/>
    <col min="10498" max="10498" width="3.5703125" style="17" customWidth="1"/>
    <col min="10499" max="10743" width="9.140625" style="17"/>
    <col min="10744" max="10744" width="8.7109375" style="17" customWidth="1"/>
    <col min="10745" max="10745" width="9.85546875" style="17" customWidth="1"/>
    <col min="10746" max="10746" width="14.42578125" style="17" customWidth="1"/>
    <col min="10747" max="10747" width="7.28515625" style="17" customWidth="1"/>
    <col min="10748" max="10748" width="5.5703125" style="17" customWidth="1"/>
    <col min="10749" max="10749" width="9" style="17" customWidth="1"/>
    <col min="10750" max="10751" width="9.85546875" style="17" customWidth="1"/>
    <col min="10752" max="10752" width="11.140625" style="17" customWidth="1"/>
    <col min="10753" max="10753" width="2.85546875" style="17" customWidth="1"/>
    <col min="10754" max="10754" width="3.5703125" style="17" customWidth="1"/>
    <col min="10755" max="10999" width="9.140625" style="17"/>
    <col min="11000" max="11000" width="8.7109375" style="17" customWidth="1"/>
    <col min="11001" max="11001" width="9.85546875" style="17" customWidth="1"/>
    <col min="11002" max="11002" width="14.42578125" style="17" customWidth="1"/>
    <col min="11003" max="11003" width="7.28515625" style="17" customWidth="1"/>
    <col min="11004" max="11004" width="5.5703125" style="17" customWidth="1"/>
    <col min="11005" max="11005" width="9" style="17" customWidth="1"/>
    <col min="11006" max="11007" width="9.85546875" style="17" customWidth="1"/>
    <col min="11008" max="11008" width="11.140625" style="17" customWidth="1"/>
    <col min="11009" max="11009" width="2.85546875" style="17" customWidth="1"/>
    <col min="11010" max="11010" width="3.5703125" style="17" customWidth="1"/>
    <col min="11011" max="11255" width="9.140625" style="17"/>
    <col min="11256" max="11256" width="8.7109375" style="17" customWidth="1"/>
    <col min="11257" max="11257" width="9.85546875" style="17" customWidth="1"/>
    <col min="11258" max="11258" width="14.42578125" style="17" customWidth="1"/>
    <col min="11259" max="11259" width="7.28515625" style="17" customWidth="1"/>
    <col min="11260" max="11260" width="5.5703125" style="17" customWidth="1"/>
    <col min="11261" max="11261" width="9" style="17" customWidth="1"/>
    <col min="11262" max="11263" width="9.85546875" style="17" customWidth="1"/>
    <col min="11264" max="11264" width="11.140625" style="17" customWidth="1"/>
    <col min="11265" max="11265" width="2.85546875" style="17" customWidth="1"/>
    <col min="11266" max="11266" width="3.5703125" style="17" customWidth="1"/>
    <col min="11267" max="11511" width="9.140625" style="17"/>
    <col min="11512" max="11512" width="8.7109375" style="17" customWidth="1"/>
    <col min="11513" max="11513" width="9.85546875" style="17" customWidth="1"/>
    <col min="11514" max="11514" width="14.42578125" style="17" customWidth="1"/>
    <col min="11515" max="11515" width="7.28515625" style="17" customWidth="1"/>
    <col min="11516" max="11516" width="5.5703125" style="17" customWidth="1"/>
    <col min="11517" max="11517" width="9" style="17" customWidth="1"/>
    <col min="11518" max="11519" width="9.85546875" style="17" customWidth="1"/>
    <col min="11520" max="11520" width="11.140625" style="17" customWidth="1"/>
    <col min="11521" max="11521" width="2.85546875" style="17" customWidth="1"/>
    <col min="11522" max="11522" width="3.5703125" style="17" customWidth="1"/>
    <col min="11523" max="11767" width="9.140625" style="17"/>
    <col min="11768" max="11768" width="8.7109375" style="17" customWidth="1"/>
    <col min="11769" max="11769" width="9.85546875" style="17" customWidth="1"/>
    <col min="11770" max="11770" width="14.42578125" style="17" customWidth="1"/>
    <col min="11771" max="11771" width="7.28515625" style="17" customWidth="1"/>
    <col min="11772" max="11772" width="5.5703125" style="17" customWidth="1"/>
    <col min="11773" max="11773" width="9" style="17" customWidth="1"/>
    <col min="11774" max="11775" width="9.85546875" style="17" customWidth="1"/>
    <col min="11776" max="11776" width="11.140625" style="17" customWidth="1"/>
    <col min="11777" max="11777" width="2.85546875" style="17" customWidth="1"/>
    <col min="11778" max="11778" width="3.5703125" style="17" customWidth="1"/>
    <col min="11779" max="12023" width="9.140625" style="17"/>
    <col min="12024" max="12024" width="8.7109375" style="17" customWidth="1"/>
    <col min="12025" max="12025" width="9.85546875" style="17" customWidth="1"/>
    <col min="12026" max="12026" width="14.42578125" style="17" customWidth="1"/>
    <col min="12027" max="12027" width="7.28515625" style="17" customWidth="1"/>
    <col min="12028" max="12028" width="5.5703125" style="17" customWidth="1"/>
    <col min="12029" max="12029" width="9" style="17" customWidth="1"/>
    <col min="12030" max="12031" width="9.85546875" style="17" customWidth="1"/>
    <col min="12032" max="12032" width="11.140625" style="17" customWidth="1"/>
    <col min="12033" max="12033" width="2.85546875" style="17" customWidth="1"/>
    <col min="12034" max="12034" width="3.5703125" style="17" customWidth="1"/>
    <col min="12035" max="12279" width="9.140625" style="17"/>
    <col min="12280" max="12280" width="8.7109375" style="17" customWidth="1"/>
    <col min="12281" max="12281" width="9.85546875" style="17" customWidth="1"/>
    <col min="12282" max="12282" width="14.42578125" style="17" customWidth="1"/>
    <col min="12283" max="12283" width="7.28515625" style="17" customWidth="1"/>
    <col min="12284" max="12284" width="5.5703125" style="17" customWidth="1"/>
    <col min="12285" max="12285" width="9" style="17" customWidth="1"/>
    <col min="12286" max="12287" width="9.85546875" style="17" customWidth="1"/>
    <col min="12288" max="12288" width="11.140625" style="17" customWidth="1"/>
    <col min="12289" max="12289" width="2.85546875" style="17" customWidth="1"/>
    <col min="12290" max="12290" width="3.5703125" style="17" customWidth="1"/>
    <col min="12291" max="12535" width="9.140625" style="17"/>
    <col min="12536" max="12536" width="8.7109375" style="17" customWidth="1"/>
    <col min="12537" max="12537" width="9.85546875" style="17" customWidth="1"/>
    <col min="12538" max="12538" width="14.42578125" style="17" customWidth="1"/>
    <col min="12539" max="12539" width="7.28515625" style="17" customWidth="1"/>
    <col min="12540" max="12540" width="5.5703125" style="17" customWidth="1"/>
    <col min="12541" max="12541" width="9" style="17" customWidth="1"/>
    <col min="12542" max="12543" width="9.85546875" style="17" customWidth="1"/>
    <col min="12544" max="12544" width="11.140625" style="17" customWidth="1"/>
    <col min="12545" max="12545" width="2.85546875" style="17" customWidth="1"/>
    <col min="12546" max="12546" width="3.5703125" style="17" customWidth="1"/>
    <col min="12547" max="12791" width="9.140625" style="17"/>
    <col min="12792" max="12792" width="8.7109375" style="17" customWidth="1"/>
    <col min="12793" max="12793" width="9.85546875" style="17" customWidth="1"/>
    <col min="12794" max="12794" width="14.42578125" style="17" customWidth="1"/>
    <col min="12795" max="12795" width="7.28515625" style="17" customWidth="1"/>
    <col min="12796" max="12796" width="5.5703125" style="17" customWidth="1"/>
    <col min="12797" max="12797" width="9" style="17" customWidth="1"/>
    <col min="12798" max="12799" width="9.85546875" style="17" customWidth="1"/>
    <col min="12800" max="12800" width="11.140625" style="17" customWidth="1"/>
    <col min="12801" max="12801" width="2.85546875" style="17" customWidth="1"/>
    <col min="12802" max="12802" width="3.5703125" style="17" customWidth="1"/>
    <col min="12803" max="13047" width="9.140625" style="17"/>
    <col min="13048" max="13048" width="8.7109375" style="17" customWidth="1"/>
    <col min="13049" max="13049" width="9.85546875" style="17" customWidth="1"/>
    <col min="13050" max="13050" width="14.42578125" style="17" customWidth="1"/>
    <col min="13051" max="13051" width="7.28515625" style="17" customWidth="1"/>
    <col min="13052" max="13052" width="5.5703125" style="17" customWidth="1"/>
    <col min="13053" max="13053" width="9" style="17" customWidth="1"/>
    <col min="13054" max="13055" width="9.85546875" style="17" customWidth="1"/>
    <col min="13056" max="13056" width="11.140625" style="17" customWidth="1"/>
    <col min="13057" max="13057" width="2.85546875" style="17" customWidth="1"/>
    <col min="13058" max="13058" width="3.5703125" style="17" customWidth="1"/>
    <col min="13059" max="13303" width="9.140625" style="17"/>
    <col min="13304" max="13304" width="8.7109375" style="17" customWidth="1"/>
    <col min="13305" max="13305" width="9.85546875" style="17" customWidth="1"/>
    <col min="13306" max="13306" width="14.42578125" style="17" customWidth="1"/>
    <col min="13307" max="13307" width="7.28515625" style="17" customWidth="1"/>
    <col min="13308" max="13308" width="5.5703125" style="17" customWidth="1"/>
    <col min="13309" max="13309" width="9" style="17" customWidth="1"/>
    <col min="13310" max="13311" width="9.85546875" style="17" customWidth="1"/>
    <col min="13312" max="13312" width="11.140625" style="17" customWidth="1"/>
    <col min="13313" max="13313" width="2.85546875" style="17" customWidth="1"/>
    <col min="13314" max="13314" width="3.5703125" style="17" customWidth="1"/>
    <col min="13315" max="13559" width="9.140625" style="17"/>
    <col min="13560" max="13560" width="8.7109375" style="17" customWidth="1"/>
    <col min="13561" max="13561" width="9.85546875" style="17" customWidth="1"/>
    <col min="13562" max="13562" width="14.42578125" style="17" customWidth="1"/>
    <col min="13563" max="13563" width="7.28515625" style="17" customWidth="1"/>
    <col min="13564" max="13564" width="5.5703125" style="17" customWidth="1"/>
    <col min="13565" max="13565" width="9" style="17" customWidth="1"/>
    <col min="13566" max="13567" width="9.85546875" style="17" customWidth="1"/>
    <col min="13568" max="13568" width="11.140625" style="17" customWidth="1"/>
    <col min="13569" max="13569" width="2.85546875" style="17" customWidth="1"/>
    <col min="13570" max="13570" width="3.5703125" style="17" customWidth="1"/>
    <col min="13571" max="13815" width="9.140625" style="17"/>
    <col min="13816" max="13816" width="8.7109375" style="17" customWidth="1"/>
    <col min="13817" max="13817" width="9.85546875" style="17" customWidth="1"/>
    <col min="13818" max="13818" width="14.42578125" style="17" customWidth="1"/>
    <col min="13819" max="13819" width="7.28515625" style="17" customWidth="1"/>
    <col min="13820" max="13820" width="5.5703125" style="17" customWidth="1"/>
    <col min="13821" max="13821" width="9" style="17" customWidth="1"/>
    <col min="13822" max="13823" width="9.85546875" style="17" customWidth="1"/>
    <col min="13824" max="13824" width="11.140625" style="17" customWidth="1"/>
    <col min="13825" max="13825" width="2.85546875" style="17" customWidth="1"/>
    <col min="13826" max="13826" width="3.5703125" style="17" customWidth="1"/>
    <col min="13827" max="14071" width="9.140625" style="17"/>
    <col min="14072" max="14072" width="8.7109375" style="17" customWidth="1"/>
    <col min="14073" max="14073" width="9.85546875" style="17" customWidth="1"/>
    <col min="14074" max="14074" width="14.42578125" style="17" customWidth="1"/>
    <col min="14075" max="14075" width="7.28515625" style="17" customWidth="1"/>
    <col min="14076" max="14076" width="5.5703125" style="17" customWidth="1"/>
    <col min="14077" max="14077" width="9" style="17" customWidth="1"/>
    <col min="14078" max="14079" width="9.85546875" style="17" customWidth="1"/>
    <col min="14080" max="14080" width="11.140625" style="17" customWidth="1"/>
    <col min="14081" max="14081" width="2.85546875" style="17" customWidth="1"/>
    <col min="14082" max="14082" width="3.5703125" style="17" customWidth="1"/>
    <col min="14083" max="14327" width="9.140625" style="17"/>
    <col min="14328" max="14328" width="8.7109375" style="17" customWidth="1"/>
    <col min="14329" max="14329" width="9.85546875" style="17" customWidth="1"/>
    <col min="14330" max="14330" width="14.42578125" style="17" customWidth="1"/>
    <col min="14331" max="14331" width="7.28515625" style="17" customWidth="1"/>
    <col min="14332" max="14332" width="5.5703125" style="17" customWidth="1"/>
    <col min="14333" max="14333" width="9" style="17" customWidth="1"/>
    <col min="14334" max="14335" width="9.85546875" style="17" customWidth="1"/>
    <col min="14336" max="14336" width="11.140625" style="17" customWidth="1"/>
    <col min="14337" max="14337" width="2.85546875" style="17" customWidth="1"/>
    <col min="14338" max="14338" width="3.5703125" style="17" customWidth="1"/>
    <col min="14339" max="14583" width="9.140625" style="17"/>
    <col min="14584" max="14584" width="8.7109375" style="17" customWidth="1"/>
    <col min="14585" max="14585" width="9.85546875" style="17" customWidth="1"/>
    <col min="14586" max="14586" width="14.42578125" style="17" customWidth="1"/>
    <col min="14587" max="14587" width="7.28515625" style="17" customWidth="1"/>
    <col min="14588" max="14588" width="5.5703125" style="17" customWidth="1"/>
    <col min="14589" max="14589" width="9" style="17" customWidth="1"/>
    <col min="14590" max="14591" width="9.85546875" style="17" customWidth="1"/>
    <col min="14592" max="14592" width="11.140625" style="17" customWidth="1"/>
    <col min="14593" max="14593" width="2.85546875" style="17" customWidth="1"/>
    <col min="14594" max="14594" width="3.5703125" style="17" customWidth="1"/>
    <col min="14595" max="14839" width="9.140625" style="17"/>
    <col min="14840" max="14840" width="8.7109375" style="17" customWidth="1"/>
    <col min="14841" max="14841" width="9.85546875" style="17" customWidth="1"/>
    <col min="14842" max="14842" width="14.42578125" style="17" customWidth="1"/>
    <col min="14843" max="14843" width="7.28515625" style="17" customWidth="1"/>
    <col min="14844" max="14844" width="5.5703125" style="17" customWidth="1"/>
    <col min="14845" max="14845" width="9" style="17" customWidth="1"/>
    <col min="14846" max="14847" width="9.85546875" style="17" customWidth="1"/>
    <col min="14848" max="14848" width="11.140625" style="17" customWidth="1"/>
    <col min="14849" max="14849" width="2.85546875" style="17" customWidth="1"/>
    <col min="14850" max="14850" width="3.5703125" style="17" customWidth="1"/>
    <col min="14851" max="15095" width="9.140625" style="17"/>
    <col min="15096" max="15096" width="8.7109375" style="17" customWidth="1"/>
    <col min="15097" max="15097" width="9.85546875" style="17" customWidth="1"/>
    <col min="15098" max="15098" width="14.42578125" style="17" customWidth="1"/>
    <col min="15099" max="15099" width="7.28515625" style="17" customWidth="1"/>
    <col min="15100" max="15100" width="5.5703125" style="17" customWidth="1"/>
    <col min="15101" max="15101" width="9" style="17" customWidth="1"/>
    <col min="15102" max="15103" width="9.85546875" style="17" customWidth="1"/>
    <col min="15104" max="15104" width="11.140625" style="17" customWidth="1"/>
    <col min="15105" max="15105" width="2.85546875" style="17" customWidth="1"/>
    <col min="15106" max="15106" width="3.5703125" style="17" customWidth="1"/>
    <col min="15107" max="15351" width="9.140625" style="17"/>
    <col min="15352" max="15352" width="8.7109375" style="17" customWidth="1"/>
    <col min="15353" max="15353" width="9.85546875" style="17" customWidth="1"/>
    <col min="15354" max="15354" width="14.42578125" style="17" customWidth="1"/>
    <col min="15355" max="15355" width="7.28515625" style="17" customWidth="1"/>
    <col min="15356" max="15356" width="5.5703125" style="17" customWidth="1"/>
    <col min="15357" max="15357" width="9" style="17" customWidth="1"/>
    <col min="15358" max="15359" width="9.85546875" style="17" customWidth="1"/>
    <col min="15360" max="15360" width="11.140625" style="17" customWidth="1"/>
    <col min="15361" max="15361" width="2.85546875" style="17" customWidth="1"/>
    <col min="15362" max="15362" width="3.5703125" style="17" customWidth="1"/>
    <col min="15363" max="15607" width="9.140625" style="17"/>
    <col min="15608" max="15608" width="8.7109375" style="17" customWidth="1"/>
    <col min="15609" max="15609" width="9.85546875" style="17" customWidth="1"/>
    <col min="15610" max="15610" width="14.42578125" style="17" customWidth="1"/>
    <col min="15611" max="15611" width="7.28515625" style="17" customWidth="1"/>
    <col min="15612" max="15612" width="5.5703125" style="17" customWidth="1"/>
    <col min="15613" max="15613" width="9" style="17" customWidth="1"/>
    <col min="15614" max="15615" width="9.85546875" style="17" customWidth="1"/>
    <col min="15616" max="15616" width="11.140625" style="17" customWidth="1"/>
    <col min="15617" max="15617" width="2.85546875" style="17" customWidth="1"/>
    <col min="15618" max="15618" width="3.5703125" style="17" customWidth="1"/>
    <col min="15619" max="15863" width="9.140625" style="17"/>
    <col min="15864" max="15864" width="8.7109375" style="17" customWidth="1"/>
    <col min="15865" max="15865" width="9.85546875" style="17" customWidth="1"/>
    <col min="15866" max="15866" width="14.42578125" style="17" customWidth="1"/>
    <col min="15867" max="15867" width="7.28515625" style="17" customWidth="1"/>
    <col min="15868" max="15868" width="5.5703125" style="17" customWidth="1"/>
    <col min="15869" max="15869" width="9" style="17" customWidth="1"/>
    <col min="15870" max="15871" width="9.85546875" style="17" customWidth="1"/>
    <col min="15872" max="15872" width="11.140625" style="17" customWidth="1"/>
    <col min="15873" max="15873" width="2.85546875" style="17" customWidth="1"/>
    <col min="15874" max="15874" width="3.5703125" style="17" customWidth="1"/>
    <col min="15875" max="16119" width="9.140625" style="17"/>
    <col min="16120" max="16120" width="8.7109375" style="17" customWidth="1"/>
    <col min="16121" max="16121" width="9.85546875" style="17" customWidth="1"/>
    <col min="16122" max="16122" width="14.42578125" style="17" customWidth="1"/>
    <col min="16123" max="16123" width="7.28515625" style="17" customWidth="1"/>
    <col min="16124" max="16124" width="5.5703125" style="17" customWidth="1"/>
    <col min="16125" max="16125" width="9" style="17" customWidth="1"/>
    <col min="16126" max="16127" width="9.85546875" style="17" customWidth="1"/>
    <col min="16128" max="16128" width="11.140625" style="17" customWidth="1"/>
    <col min="16129" max="16129" width="2.85546875" style="17" customWidth="1"/>
    <col min="16130" max="16130" width="3.5703125" style="17" customWidth="1"/>
    <col min="16131" max="16384" width="9.140625" style="17"/>
  </cols>
  <sheetData>
    <row r="1" spans="1:26" ht="46.5" customHeight="1">
      <c r="A1" s="150" t="s">
        <v>155</v>
      </c>
      <c r="B1" s="150"/>
      <c r="C1" s="150"/>
      <c r="D1" s="150"/>
      <c r="E1" s="150"/>
      <c r="F1" s="150"/>
      <c r="G1" s="150"/>
      <c r="H1" s="150"/>
    </row>
    <row r="2" spans="1:26" ht="16.5" customHeight="1">
      <c r="A2" s="151" t="s">
        <v>0</v>
      </c>
      <c r="B2" s="151"/>
      <c r="C2" s="151"/>
      <c r="D2" s="151"/>
      <c r="E2" s="151"/>
      <c r="F2" s="151"/>
      <c r="G2" s="151"/>
      <c r="H2" s="151"/>
    </row>
    <row r="3" spans="1:26">
      <c r="A3" s="104" t="s">
        <v>1</v>
      </c>
      <c r="B3" s="104"/>
      <c r="C3" s="104"/>
      <c r="D3" s="104"/>
      <c r="E3" s="104" t="str">
        <f ca="1">TEXT(TODAY(),"DD/MM/YYYY")</f>
        <v>26/09/2025</v>
      </c>
      <c r="F3" s="104"/>
      <c r="G3" s="104"/>
      <c r="H3" s="104"/>
      <c r="K3" s="44" t="s">
        <v>226</v>
      </c>
      <c r="L3" s="43" t="s">
        <v>224</v>
      </c>
      <c r="M3" s="43" t="s">
        <v>229</v>
      </c>
      <c r="N3" s="43" t="s">
        <v>227</v>
      </c>
      <c r="O3" s="43" t="s">
        <v>228</v>
      </c>
      <c r="P3" s="43" t="s">
        <v>230</v>
      </c>
    </row>
    <row r="4" spans="1:26" ht="15" customHeight="1">
      <c r="A4" s="104" t="s">
        <v>223</v>
      </c>
      <c r="B4" s="104"/>
      <c r="C4" s="104"/>
      <c r="D4" s="104"/>
      <c r="E4" s="104" t="s">
        <v>224</v>
      </c>
      <c r="F4" s="104"/>
      <c r="G4" s="104"/>
      <c r="H4" s="104"/>
      <c r="K4" s="42" t="s">
        <v>225</v>
      </c>
      <c r="L4" s="43" t="s">
        <v>161</v>
      </c>
      <c r="M4" s="43" t="s">
        <v>234</v>
      </c>
      <c r="N4" s="43" t="s">
        <v>236</v>
      </c>
      <c r="O4" s="43" t="s">
        <v>238</v>
      </c>
      <c r="P4" s="43"/>
    </row>
    <row r="5" spans="1:26" ht="15" customHeight="1">
      <c r="A5" s="104" t="s">
        <v>2</v>
      </c>
      <c r="B5" s="104"/>
      <c r="C5" s="104"/>
      <c r="D5" s="104"/>
      <c r="E5" s="104" t="s">
        <v>161</v>
      </c>
      <c r="F5" s="104"/>
      <c r="G5" s="104"/>
      <c r="H5" s="104"/>
      <c r="K5" s="42"/>
      <c r="L5" s="43" t="s">
        <v>231</v>
      </c>
      <c r="M5" s="43" t="s">
        <v>235</v>
      </c>
      <c r="N5" s="43" t="s">
        <v>237</v>
      </c>
      <c r="O5" s="43" t="s">
        <v>239</v>
      </c>
      <c r="P5" s="43"/>
    </row>
    <row r="6" spans="1:26">
      <c r="A6" s="104" t="s">
        <v>3</v>
      </c>
      <c r="B6" s="104"/>
      <c r="C6" s="104"/>
      <c r="D6" s="104"/>
      <c r="E6" s="152">
        <v>45915</v>
      </c>
      <c r="F6" s="104"/>
      <c r="G6" s="104"/>
      <c r="H6" s="104"/>
      <c r="K6" s="42"/>
      <c r="L6" s="43" t="s">
        <v>232</v>
      </c>
      <c r="M6" s="43"/>
      <c r="N6" s="43"/>
      <c r="O6" s="43" t="s">
        <v>240</v>
      </c>
      <c r="P6" s="43"/>
    </row>
    <row r="7" spans="1:26" ht="16.5" customHeight="1">
      <c r="A7" s="104" t="s">
        <v>4</v>
      </c>
      <c r="B7" s="104"/>
      <c r="C7" s="104"/>
      <c r="D7" s="104"/>
      <c r="E7" s="104" t="s">
        <v>289</v>
      </c>
      <c r="F7" s="104"/>
      <c r="G7" s="104"/>
      <c r="H7" s="104"/>
      <c r="K7" s="42"/>
      <c r="L7" s="43" t="s">
        <v>233</v>
      </c>
      <c r="M7" s="43"/>
      <c r="N7" s="43"/>
      <c r="O7" s="43" t="s">
        <v>240</v>
      </c>
      <c r="P7" s="43"/>
    </row>
    <row r="8" spans="1:26" ht="15" customHeight="1">
      <c r="A8" s="104" t="s">
        <v>5</v>
      </c>
      <c r="B8" s="104"/>
      <c r="C8" s="104"/>
      <c r="D8" s="104"/>
      <c r="E8" s="104" t="str">
        <f>E7</f>
        <v>Sethi Realtors</v>
      </c>
      <c r="F8" s="104"/>
      <c r="G8" s="104"/>
      <c r="H8" s="104"/>
      <c r="K8" s="42"/>
      <c r="L8" s="43"/>
      <c r="M8" s="43"/>
      <c r="N8" s="43"/>
      <c r="O8" s="43" t="s">
        <v>241</v>
      </c>
      <c r="P8" s="43"/>
    </row>
    <row r="9" spans="1:26" ht="16.5" customHeight="1">
      <c r="A9" s="127" t="s">
        <v>329</v>
      </c>
      <c r="B9" s="127"/>
      <c r="C9" s="127"/>
      <c r="D9" s="127"/>
      <c r="E9" s="142" t="s">
        <v>290</v>
      </c>
      <c r="F9" s="142"/>
      <c r="G9" s="142"/>
      <c r="H9" s="142"/>
      <c r="I9" s="52"/>
      <c r="K9" s="42"/>
      <c r="L9" s="43"/>
      <c r="M9" s="43"/>
      <c r="N9" s="43"/>
      <c r="O9" s="43" t="s">
        <v>242</v>
      </c>
      <c r="P9" s="43"/>
    </row>
    <row r="10" spans="1:26" ht="15" customHeight="1">
      <c r="A10" s="127" t="s">
        <v>319</v>
      </c>
      <c r="B10" s="127"/>
      <c r="C10" s="127"/>
      <c r="D10" s="127"/>
      <c r="E10" s="153" t="s">
        <v>345</v>
      </c>
      <c r="F10" s="142"/>
      <c r="G10" s="142"/>
      <c r="H10" s="142"/>
      <c r="I10" s="52"/>
      <c r="K10" s="42"/>
      <c r="L10" s="43"/>
      <c r="M10" s="43"/>
      <c r="N10" s="43"/>
      <c r="O10" s="43" t="s">
        <v>242</v>
      </c>
      <c r="P10" s="43"/>
    </row>
    <row r="11" spans="1:26">
      <c r="A11" s="127" t="s">
        <v>158</v>
      </c>
      <c r="B11" s="127"/>
      <c r="C11" s="127"/>
      <c r="D11" s="127"/>
      <c r="E11" s="127" t="s">
        <v>343</v>
      </c>
      <c r="F11" s="127"/>
      <c r="G11" s="127"/>
      <c r="H11" s="127"/>
      <c r="K11" s="42"/>
      <c r="L11" s="43"/>
      <c r="M11" s="43"/>
      <c r="N11" s="43"/>
      <c r="O11" s="43"/>
      <c r="P11" s="43"/>
    </row>
    <row r="12" spans="1:26" ht="16.5" customHeight="1">
      <c r="A12" s="127" t="s">
        <v>159</v>
      </c>
      <c r="B12" s="127"/>
      <c r="C12" s="127"/>
      <c r="D12" s="127"/>
      <c r="E12" s="127" t="s">
        <v>364</v>
      </c>
      <c r="F12" s="127"/>
      <c r="G12" s="127"/>
      <c r="H12" s="127"/>
      <c r="I12" s="127" t="s">
        <v>331</v>
      </c>
      <c r="J12" s="127"/>
      <c r="K12" s="127"/>
      <c r="L12" s="127"/>
    </row>
    <row r="13" spans="1:26">
      <c r="A13" s="127" t="s">
        <v>6</v>
      </c>
      <c r="B13" s="127"/>
      <c r="C13" s="127"/>
      <c r="D13" s="127"/>
      <c r="E13" s="127" t="s">
        <v>344</v>
      </c>
      <c r="F13" s="127"/>
      <c r="G13" s="127"/>
      <c r="H13" s="127"/>
    </row>
    <row r="14" spans="1:26">
      <c r="A14" s="127" t="s">
        <v>162</v>
      </c>
      <c r="B14" s="127"/>
      <c r="C14" s="127"/>
      <c r="D14" s="127"/>
      <c r="E14" s="127" t="s">
        <v>27</v>
      </c>
      <c r="F14" s="127"/>
      <c r="G14" s="127"/>
      <c r="H14" s="127"/>
      <c r="I14"/>
      <c r="S14" s="43" t="s">
        <v>169</v>
      </c>
      <c r="T14" s="43" t="s">
        <v>179</v>
      </c>
      <c r="U14" s="43" t="s">
        <v>163</v>
      </c>
      <c r="V14" s="43" t="s">
        <v>184</v>
      </c>
      <c r="W14" s="43" t="s">
        <v>202</v>
      </c>
      <c r="X14"/>
      <c r="Y14" t="s">
        <v>184</v>
      </c>
      <c r="Z14" t="e">
        <f ca="1">OFFSET($S$14,1,MATCH($G21,$S$14:$W$14,0)-1,15,1)</f>
        <v>#VALUE!</v>
      </c>
    </row>
    <row r="15" spans="1:26" ht="33.75" customHeight="1">
      <c r="A15" s="127" t="s">
        <v>269</v>
      </c>
      <c r="B15" s="127"/>
      <c r="C15" s="127"/>
      <c r="D15" s="127"/>
      <c r="E15" s="126" t="s">
        <v>375</v>
      </c>
      <c r="F15" s="126"/>
      <c r="G15" s="126"/>
      <c r="H15" s="126"/>
      <c r="I15" s="53"/>
      <c r="S15" s="43" t="s">
        <v>170</v>
      </c>
      <c r="T15" s="43" t="s">
        <v>177</v>
      </c>
      <c r="U15" s="43" t="s">
        <v>199</v>
      </c>
      <c r="V15" s="43" t="s">
        <v>185</v>
      </c>
      <c r="W15" s="43" t="s">
        <v>203</v>
      </c>
      <c r="X15"/>
      <c r="Y15"/>
      <c r="Z15"/>
    </row>
    <row r="16" spans="1:26" ht="32.25" customHeight="1">
      <c r="A16" s="127" t="s">
        <v>7</v>
      </c>
      <c r="B16" s="127"/>
      <c r="C16" s="127"/>
      <c r="D16" s="127"/>
      <c r="E16" s="126" t="s">
        <v>371</v>
      </c>
      <c r="F16" s="127"/>
      <c r="G16" s="127"/>
      <c r="H16" s="127"/>
      <c r="I16" s="164" t="e">
        <f ca="1">OFFSET($D$5,1,MATCH($J14,$D$5:$H$5,0)-1,15,1)</f>
        <v>#N/A</v>
      </c>
      <c r="J16" s="164"/>
      <c r="K16" s="164"/>
      <c r="L16" s="164"/>
      <c r="M16" s="164"/>
      <c r="N16" s="164"/>
      <c r="O16" s="164"/>
      <c r="P16" s="164"/>
      <c r="S16" s="43" t="s">
        <v>171</v>
      </c>
      <c r="T16" s="43" t="s">
        <v>178</v>
      </c>
      <c r="U16" s="43" t="s">
        <v>200</v>
      </c>
      <c r="V16" s="43" t="s">
        <v>186</v>
      </c>
      <c r="W16" s="43" t="s">
        <v>216</v>
      </c>
      <c r="X16"/>
      <c r="Y16"/>
      <c r="Z16"/>
    </row>
    <row r="17" spans="1:26" ht="65.25" customHeight="1">
      <c r="A17" s="102" t="s">
        <v>8</v>
      </c>
      <c r="B17" s="102"/>
      <c r="C17" s="102" t="str">
        <f>CONCATENATE((IF(OR(E9="",E9="NA"),"",E9)),", ",(IF(OR(A18="",A18="NA"),"",A18)),".",(IF(OR(C18="",C18="NA"),"",C18)),", near ",(IF(OR(C23="",C23="NA"),"",C23)),", ",(IF(OR(C20="",C20="NA"),"",C20)),", ",(IF(OR(C19="",C19="NA"),"",C19)),", ",(IF(OR(G20="",G20="NA"),"",G20)),", ",(IF(OR(C21="",C21="NA"),"",C21)),", ",(IF(OR(C22="",C22="NA"),"",C22)),", ",(IF(OR(G21="",G21="NA"),"",G21))," - ",(IF(OR(G22="",G22="NA"),"",G22)),".")</f>
        <v>Sethi Sky A Wing, Survey No.(Old S. No. 45, H. No.1, S No. 47, H. No. 4, 5 &amp; 8, S No. 57, H. No. 1) New S. No. 45D Amalgamated With S.No.45/B/Pt, 45/C/Pt &amp;  47/B/Pt, near Swamini Palace, Gokul Angan Marg, Om Nagar, Diwanman, Vasai west, Vasai, Palghar - 401202.</v>
      </c>
      <c r="D17" s="102"/>
      <c r="E17" s="102"/>
      <c r="F17" s="102"/>
      <c r="G17" s="102"/>
      <c r="H17" s="102"/>
      <c r="S17" s="43" t="s">
        <v>172</v>
      </c>
      <c r="T17" s="43" t="s">
        <v>180</v>
      </c>
      <c r="U17" s="43" t="s">
        <v>201</v>
      </c>
      <c r="V17" s="43" t="s">
        <v>187</v>
      </c>
      <c r="W17" s="43" t="s">
        <v>204</v>
      </c>
      <c r="X17"/>
      <c r="Y17"/>
      <c r="Z17"/>
    </row>
    <row r="18" spans="1:26" ht="31.5" customHeight="1">
      <c r="A18" s="126" t="s">
        <v>291</v>
      </c>
      <c r="B18" s="126"/>
      <c r="C18" s="126" t="s">
        <v>320</v>
      </c>
      <c r="D18" s="126"/>
      <c r="E18" s="126"/>
      <c r="F18" s="126"/>
      <c r="G18" s="126"/>
      <c r="H18" s="126"/>
      <c r="S18" s="43" t="s">
        <v>173</v>
      </c>
      <c r="T18" s="43" t="s">
        <v>181</v>
      </c>
      <c r="U18" s="43" t="s">
        <v>163</v>
      </c>
      <c r="V18" s="43" t="s">
        <v>188</v>
      </c>
      <c r="W18" s="43" t="s">
        <v>205</v>
      </c>
      <c r="X18"/>
      <c r="Y18"/>
      <c r="Z18"/>
    </row>
    <row r="19" spans="1:26" ht="15.75" customHeight="1">
      <c r="A19" s="105" t="s">
        <v>153</v>
      </c>
      <c r="B19" s="105"/>
      <c r="C19" s="105" t="s">
        <v>293</v>
      </c>
      <c r="D19" s="105"/>
      <c r="E19" s="105"/>
      <c r="F19" s="105"/>
      <c r="G19" s="105"/>
      <c r="H19" s="105"/>
      <c r="S19" s="43" t="s">
        <v>174</v>
      </c>
      <c r="T19" s="43" t="s">
        <v>179</v>
      </c>
      <c r="U19" s="43"/>
      <c r="V19" s="43" t="s">
        <v>189</v>
      </c>
      <c r="W19" s="43" t="s">
        <v>206</v>
      </c>
      <c r="X19"/>
      <c r="Y19"/>
      <c r="Z19"/>
    </row>
    <row r="20" spans="1:26" ht="15.75" customHeight="1">
      <c r="A20" s="102" t="s">
        <v>9</v>
      </c>
      <c r="B20" s="102"/>
      <c r="C20" s="127" t="s">
        <v>294</v>
      </c>
      <c r="D20" s="127"/>
      <c r="E20" s="126" t="s">
        <v>69</v>
      </c>
      <c r="F20" s="126"/>
      <c r="G20" s="126" t="s">
        <v>292</v>
      </c>
      <c r="H20" s="126"/>
      <c r="S20" s="43" t="s">
        <v>175</v>
      </c>
      <c r="T20" s="43" t="s">
        <v>182</v>
      </c>
      <c r="U20" s="43"/>
      <c r="V20" s="43" t="s">
        <v>190</v>
      </c>
      <c r="W20" s="43" t="s">
        <v>207</v>
      </c>
      <c r="X20"/>
      <c r="Y20"/>
      <c r="Z20"/>
    </row>
    <row r="21" spans="1:26">
      <c r="A21" s="101" t="s">
        <v>11</v>
      </c>
      <c r="B21" s="101"/>
      <c r="C21" s="126" t="s">
        <v>295</v>
      </c>
      <c r="D21" s="126"/>
      <c r="E21" s="126" t="s">
        <v>10</v>
      </c>
      <c r="F21" s="126"/>
      <c r="G21" s="149" t="s">
        <v>179</v>
      </c>
      <c r="H21" s="149"/>
      <c r="S21" s="43" t="s">
        <v>176</v>
      </c>
      <c r="T21" s="43" t="s">
        <v>183</v>
      </c>
      <c r="U21" s="43"/>
      <c r="V21" s="43" t="s">
        <v>191</v>
      </c>
      <c r="W21" s="43" t="s">
        <v>208</v>
      </c>
      <c r="X21"/>
      <c r="Y21"/>
      <c r="Z21"/>
    </row>
    <row r="22" spans="1:26">
      <c r="A22" s="101" t="s">
        <v>70</v>
      </c>
      <c r="B22" s="101"/>
      <c r="C22" s="126" t="s">
        <v>180</v>
      </c>
      <c r="D22" s="126"/>
      <c r="E22" s="126" t="s">
        <v>12</v>
      </c>
      <c r="F22" s="126"/>
      <c r="G22" s="126">
        <v>401202</v>
      </c>
      <c r="H22" s="126"/>
      <c r="S22" s="43"/>
      <c r="T22" s="43"/>
      <c r="U22" s="43"/>
      <c r="V22" s="43" t="s">
        <v>192</v>
      </c>
      <c r="W22" s="43" t="s">
        <v>209</v>
      </c>
      <c r="X22"/>
      <c r="Y22"/>
      <c r="Z22"/>
    </row>
    <row r="23" spans="1:26" ht="32.25" customHeight="1">
      <c r="A23" s="101" t="s">
        <v>114</v>
      </c>
      <c r="B23" s="101"/>
      <c r="C23" s="126" t="s">
        <v>296</v>
      </c>
      <c r="D23" s="126"/>
      <c r="E23" s="126" t="s">
        <v>13</v>
      </c>
      <c r="F23" s="126"/>
      <c r="G23" s="126" t="s">
        <v>297</v>
      </c>
      <c r="H23" s="126"/>
      <c r="S23" s="43"/>
      <c r="T23" s="43"/>
      <c r="U23" s="43"/>
      <c r="V23" s="43" t="s">
        <v>193</v>
      </c>
      <c r="W23" s="43" t="s">
        <v>210</v>
      </c>
      <c r="X23"/>
      <c r="Y23"/>
      <c r="Z23"/>
    </row>
    <row r="24" spans="1:26" ht="15" customHeight="1">
      <c r="A24" s="102" t="s">
        <v>72</v>
      </c>
      <c r="B24" s="102"/>
      <c r="C24" s="102"/>
      <c r="D24" s="102"/>
      <c r="E24" s="104" t="s">
        <v>14</v>
      </c>
      <c r="F24" s="104"/>
      <c r="G24" s="104"/>
      <c r="H24" s="104"/>
      <c r="S24" s="43"/>
      <c r="T24" s="43"/>
      <c r="U24" s="43"/>
      <c r="V24" s="43" t="s">
        <v>194</v>
      </c>
      <c r="W24" s="43" t="s">
        <v>211</v>
      </c>
      <c r="X24"/>
      <c r="Y24"/>
      <c r="Z24"/>
    </row>
    <row r="25" spans="1:26" ht="18.75" customHeight="1">
      <c r="A25" s="102"/>
      <c r="B25" s="102"/>
      <c r="C25" s="102"/>
      <c r="D25" s="102"/>
      <c r="E25" s="104"/>
      <c r="F25" s="104"/>
      <c r="G25" s="104"/>
      <c r="H25" s="104"/>
      <c r="S25" s="43"/>
      <c r="T25" s="43"/>
      <c r="U25" s="43"/>
      <c r="V25" s="43" t="s">
        <v>195</v>
      </c>
      <c r="W25" s="43" t="s">
        <v>212</v>
      </c>
      <c r="X25"/>
      <c r="Y25"/>
      <c r="Z25"/>
    </row>
    <row r="26" spans="1:26" ht="15" customHeight="1">
      <c r="A26" s="102" t="s">
        <v>15</v>
      </c>
      <c r="B26" s="102"/>
      <c r="C26" s="102"/>
      <c r="D26" s="102"/>
      <c r="E26" s="105" t="s">
        <v>16</v>
      </c>
      <c r="F26" s="105"/>
      <c r="G26" s="105"/>
      <c r="H26" s="105"/>
      <c r="I26" s="54"/>
      <c r="J26" s="55"/>
      <c r="S26" s="43"/>
      <c r="T26" s="43"/>
      <c r="U26" s="43"/>
      <c r="V26" s="43" t="s">
        <v>196</v>
      </c>
      <c r="W26" s="43" t="s">
        <v>213</v>
      </c>
      <c r="X26"/>
      <c r="Y26"/>
      <c r="Z26"/>
    </row>
    <row r="27" spans="1:26" ht="15" customHeight="1">
      <c r="A27" s="101" t="s">
        <v>17</v>
      </c>
      <c r="B27" s="101"/>
      <c r="C27" s="101"/>
      <c r="D27" s="101"/>
      <c r="E27" s="105" t="str">
        <f>IF(AND(G21="Mumbai"),"Upper Class","Middle Class")</f>
        <v>Middle Class</v>
      </c>
      <c r="F27" s="105"/>
      <c r="G27" s="105"/>
      <c r="H27" s="105"/>
      <c r="J27" s="55"/>
      <c r="S27" s="43"/>
      <c r="T27" s="43"/>
      <c r="U27" s="43"/>
      <c r="V27" s="43" t="s">
        <v>197</v>
      </c>
      <c r="W27" s="43" t="s">
        <v>214</v>
      </c>
      <c r="X27"/>
      <c r="Y27"/>
      <c r="Z27"/>
    </row>
    <row r="28" spans="1:26">
      <c r="A28" s="101" t="s">
        <v>18</v>
      </c>
      <c r="B28" s="101"/>
      <c r="C28" s="101"/>
      <c r="D28" s="101"/>
      <c r="E28" s="105" t="s">
        <v>19</v>
      </c>
      <c r="F28" s="105"/>
      <c r="G28" s="105"/>
      <c r="H28" s="105"/>
      <c r="J28" s="55"/>
      <c r="S28" s="43"/>
      <c r="T28" s="43"/>
      <c r="U28" s="43"/>
      <c r="V28" s="43" t="s">
        <v>198</v>
      </c>
      <c r="W28" s="43" t="s">
        <v>215</v>
      </c>
      <c r="X28"/>
      <c r="Y28"/>
      <c r="Z28"/>
    </row>
    <row r="29" spans="1:26" ht="15.75" customHeight="1">
      <c r="A29" s="101" t="s">
        <v>20</v>
      </c>
      <c r="B29" s="101"/>
      <c r="C29" s="101"/>
      <c r="D29" s="101"/>
      <c r="E29" s="105" t="str">
        <f>IF(AND(G21="Mumbai"),"Developed","Developing")</f>
        <v>Developing</v>
      </c>
      <c r="F29" s="105"/>
      <c r="G29" s="105"/>
      <c r="H29" s="105"/>
      <c r="J29" s="55"/>
    </row>
    <row r="30" spans="1:26">
      <c r="A30" s="101" t="s">
        <v>21</v>
      </c>
      <c r="B30" s="101"/>
      <c r="C30" s="101"/>
      <c r="D30" s="101"/>
      <c r="E30" s="105" t="s">
        <v>22</v>
      </c>
      <c r="F30" s="105"/>
      <c r="G30" s="105"/>
      <c r="H30" s="105"/>
      <c r="J30" s="55"/>
    </row>
    <row r="31" spans="1:26" ht="15.75" customHeight="1">
      <c r="A31" s="101" t="s">
        <v>77</v>
      </c>
      <c r="B31" s="101"/>
      <c r="C31" s="101"/>
      <c r="D31" s="101"/>
      <c r="E31" s="105" t="s">
        <v>78</v>
      </c>
      <c r="F31" s="105"/>
      <c r="G31" s="105"/>
      <c r="H31" s="105"/>
      <c r="J31" s="55"/>
    </row>
    <row r="32" spans="1:26" ht="15" customHeight="1">
      <c r="A32" s="101" t="s">
        <v>29</v>
      </c>
      <c r="B32" s="101"/>
      <c r="C32" s="101"/>
      <c r="D32" s="101"/>
      <c r="E32" s="105" t="str">
        <f>IF(AND(ISNUMBER(SEARCH("Flat",D62)),ISNUMBER(SEARCH("Shop",D62)),ISNUMBER(SEARCH("Office",D62))),"Residential + Commercial",IF(AND(ISNUMBER(SEARCH("Flat",D62)),ISNUMBER(SEARCH("Shop",D62))),"Residential + Commercial",IF(AND(ISNUMBER(SEARCH("Flat",D62)),ISNUMBER(SEARCH("Office",D62))),"Residential + Commercial",IF(AND(ISNUMBER(SEARCH("Shop",D62)),ISNUMBER(SEARCH("Office",D62))),"Commercial",IF(ISNUMBER(SEARCH("Shop",D62)),"Commercial",IF(ISNUMBER(SEARCH("Office",D62)),"Commercial",IF(ISNUMBER(SEARCH("Flat",D62)),"Residential")))))))</f>
        <v>Residential + Commercial</v>
      </c>
      <c r="F32" s="105"/>
      <c r="G32" s="105"/>
      <c r="H32" s="105"/>
    </row>
    <row r="33" spans="1:19" ht="15.75" customHeight="1">
      <c r="A33" s="101" t="s">
        <v>88</v>
      </c>
      <c r="B33" s="101"/>
      <c r="C33" s="101"/>
      <c r="D33" s="101"/>
      <c r="E33" s="105" t="s">
        <v>30</v>
      </c>
      <c r="F33" s="105"/>
      <c r="G33" s="105"/>
      <c r="H33" s="105"/>
    </row>
    <row r="34" spans="1:19" s="18" customFormat="1">
      <c r="A34" s="148" t="s">
        <v>89</v>
      </c>
      <c r="B34" s="148"/>
      <c r="C34" s="147" t="s">
        <v>164</v>
      </c>
      <c r="D34" s="147"/>
      <c r="E34" s="147"/>
      <c r="F34" s="147" t="s">
        <v>28</v>
      </c>
      <c r="G34" s="147"/>
      <c r="H34" s="147"/>
      <c r="S34" s="18" t="e">
        <f ca="1">OFFSET($S$14,1,MATCH($G21,$S$14:$W$14,0)-1,15,1)</f>
        <v>#VALUE!</v>
      </c>
    </row>
    <row r="35" spans="1:19" s="18" customFormat="1">
      <c r="A35" s="144" t="s">
        <v>23</v>
      </c>
      <c r="B35" s="144" t="s">
        <v>27</v>
      </c>
      <c r="C35" s="134" t="s">
        <v>298</v>
      </c>
      <c r="D35" s="134"/>
      <c r="E35" s="134"/>
      <c r="F35" s="134" t="s">
        <v>298</v>
      </c>
      <c r="G35" s="134"/>
      <c r="H35" s="134"/>
    </row>
    <row r="36" spans="1:19">
      <c r="A36" s="144" t="s">
        <v>24</v>
      </c>
      <c r="B36" s="144" t="s">
        <v>27</v>
      </c>
      <c r="C36" s="134" t="s">
        <v>322</v>
      </c>
      <c r="D36" s="134"/>
      <c r="E36" s="134"/>
      <c r="F36" s="134" t="s">
        <v>321</v>
      </c>
      <c r="G36" s="134"/>
      <c r="H36" s="134"/>
    </row>
    <row r="37" spans="1:19" s="18" customFormat="1">
      <c r="A37" s="144" t="s">
        <v>26</v>
      </c>
      <c r="B37" s="144" t="s">
        <v>27</v>
      </c>
      <c r="C37" s="134" t="s">
        <v>324</v>
      </c>
      <c r="D37" s="134"/>
      <c r="E37" s="134"/>
      <c r="F37" s="134" t="s">
        <v>294</v>
      </c>
      <c r="G37" s="134"/>
      <c r="H37" s="134"/>
    </row>
    <row r="38" spans="1:19">
      <c r="A38" s="144" t="s">
        <v>25</v>
      </c>
      <c r="B38" s="144" t="s">
        <v>27</v>
      </c>
      <c r="C38" s="134" t="s">
        <v>323</v>
      </c>
      <c r="D38" s="134"/>
      <c r="E38" s="134"/>
      <c r="F38" s="134" t="s">
        <v>296</v>
      </c>
      <c r="G38" s="134"/>
      <c r="H38" s="134"/>
    </row>
    <row r="39" spans="1:19">
      <c r="A39" s="101" t="s">
        <v>270</v>
      </c>
      <c r="B39" s="101"/>
      <c r="C39" s="101"/>
      <c r="D39" s="101"/>
      <c r="E39" s="101"/>
      <c r="F39" s="101"/>
      <c r="G39" s="101"/>
      <c r="H39" s="101"/>
    </row>
    <row r="40" spans="1:19" ht="15.75" customHeight="1">
      <c r="A40" s="101" t="s">
        <v>156</v>
      </c>
      <c r="B40" s="101"/>
      <c r="C40" s="115" t="s">
        <v>300</v>
      </c>
      <c r="D40" s="115"/>
      <c r="E40" s="115"/>
      <c r="F40" s="115"/>
      <c r="G40" s="115"/>
      <c r="H40" s="115"/>
    </row>
    <row r="41" spans="1:19">
      <c r="A41" s="101" t="s">
        <v>152</v>
      </c>
      <c r="B41" s="101"/>
      <c r="C41" s="146" t="s">
        <v>299</v>
      </c>
      <c r="D41" s="105"/>
      <c r="E41" s="105"/>
      <c r="F41" s="105"/>
      <c r="G41" s="105"/>
      <c r="H41" s="105"/>
    </row>
    <row r="42" spans="1:19">
      <c r="A42" s="115" t="s">
        <v>31</v>
      </c>
      <c r="B42" s="115"/>
      <c r="C42" s="115"/>
      <c r="D42" s="115"/>
      <c r="E42" s="115"/>
      <c r="F42" s="115"/>
      <c r="G42" s="115"/>
      <c r="H42" s="115"/>
    </row>
    <row r="43" spans="1:19">
      <c r="A43" s="101" t="s">
        <v>32</v>
      </c>
      <c r="B43" s="101"/>
      <c r="C43" s="101"/>
      <c r="D43" s="101"/>
      <c r="E43" s="145">
        <v>12147.67</v>
      </c>
      <c r="F43" s="145"/>
      <c r="G43" s="145"/>
      <c r="H43" s="145"/>
      <c r="I43" s="106"/>
      <c r="J43" s="106"/>
      <c r="K43" s="106"/>
      <c r="L43" s="106"/>
      <c r="M43" s="107"/>
      <c r="N43" s="107"/>
      <c r="O43" s="107"/>
      <c r="P43" s="107"/>
    </row>
    <row r="44" spans="1:19">
      <c r="A44" s="101" t="s">
        <v>33</v>
      </c>
      <c r="B44" s="101"/>
      <c r="C44" s="101"/>
      <c r="D44" s="101"/>
      <c r="E44" s="140">
        <f>13362.44/E43</f>
        <v>1.1000002469609398</v>
      </c>
      <c r="F44" s="140"/>
      <c r="G44" s="140"/>
      <c r="H44" s="140"/>
      <c r="I44" s="106"/>
      <c r="J44" s="106"/>
      <c r="K44" s="106"/>
      <c r="L44" s="106"/>
      <c r="M44" s="108"/>
      <c r="N44" s="108"/>
      <c r="O44" s="108"/>
      <c r="P44" s="108"/>
    </row>
    <row r="45" spans="1:19">
      <c r="A45" s="101" t="s">
        <v>34</v>
      </c>
      <c r="B45" s="101"/>
      <c r="C45" s="101"/>
      <c r="D45" s="101"/>
      <c r="E45" s="140">
        <f>E47/E43-E44</f>
        <v>1.7876555751020566</v>
      </c>
      <c r="F45" s="140"/>
      <c r="G45" s="140"/>
      <c r="H45" s="140"/>
      <c r="I45" s="106"/>
      <c r="J45" s="106"/>
      <c r="K45" s="106"/>
      <c r="L45" s="106"/>
      <c r="M45" s="108"/>
      <c r="N45" s="108"/>
      <c r="O45" s="108"/>
      <c r="P45" s="108"/>
    </row>
    <row r="46" spans="1:19">
      <c r="A46" s="101" t="s">
        <v>35</v>
      </c>
      <c r="B46" s="101"/>
      <c r="C46" s="101"/>
      <c r="D46" s="101"/>
      <c r="E46" s="140">
        <f>E44+E45</f>
        <v>2.8876558220629964</v>
      </c>
      <c r="F46" s="140"/>
      <c r="G46" s="140"/>
      <c r="H46" s="140"/>
      <c r="I46" s="106"/>
      <c r="J46" s="106"/>
      <c r="K46" s="106"/>
      <c r="L46" s="106"/>
      <c r="M46" s="108"/>
      <c r="N46" s="108"/>
      <c r="O46" s="108"/>
      <c r="P46" s="108"/>
    </row>
    <row r="47" spans="1:19">
      <c r="A47" s="101" t="s">
        <v>87</v>
      </c>
      <c r="B47" s="101"/>
      <c r="C47" s="101"/>
      <c r="D47" s="101"/>
      <c r="E47" s="141">
        <v>35078.29</v>
      </c>
      <c r="F47" s="141"/>
      <c r="G47" s="141"/>
      <c r="H47" s="141"/>
      <c r="I47" s="106">
        <v>20359.009999999998</v>
      </c>
      <c r="J47" s="106"/>
      <c r="K47" s="106"/>
      <c r="L47" s="106"/>
      <c r="M47" s="109"/>
      <c r="N47" s="109"/>
      <c r="O47" s="109"/>
      <c r="P47" s="109"/>
    </row>
    <row r="48" spans="1:19">
      <c r="A48" s="104" t="s">
        <v>36</v>
      </c>
      <c r="B48" s="104"/>
      <c r="C48" s="104"/>
      <c r="D48" s="104"/>
      <c r="E48" s="127" t="s">
        <v>346</v>
      </c>
      <c r="F48" s="127"/>
      <c r="G48" s="127"/>
      <c r="H48" s="127"/>
      <c r="I48" s="95"/>
      <c r="J48" s="95"/>
      <c r="K48" s="95"/>
      <c r="L48" s="95"/>
      <c r="M48" s="96"/>
      <c r="N48" s="96"/>
      <c r="O48" s="96"/>
      <c r="P48" s="96"/>
    </row>
    <row r="49" spans="1:24">
      <c r="A49" s="115" t="s">
        <v>37</v>
      </c>
      <c r="B49" s="115"/>
      <c r="C49" s="115"/>
      <c r="D49" s="115"/>
      <c r="E49" s="115"/>
      <c r="F49" s="115"/>
      <c r="G49" s="115"/>
      <c r="H49" s="115"/>
    </row>
    <row r="50" spans="1:24" ht="32.25" customHeight="1">
      <c r="A50" s="102" t="s">
        <v>143</v>
      </c>
      <c r="B50" s="102"/>
      <c r="C50" s="142" t="s">
        <v>265</v>
      </c>
      <c r="D50" s="142"/>
      <c r="E50" s="142"/>
      <c r="F50" s="142"/>
      <c r="G50" s="142"/>
      <c r="H50" s="142"/>
      <c r="I50" s="97"/>
      <c r="J50" s="97"/>
      <c r="K50" s="97"/>
      <c r="L50" s="97"/>
      <c r="R50" t="s">
        <v>243</v>
      </c>
      <c r="S50" t="s">
        <v>163</v>
      </c>
      <c r="T50" t="s">
        <v>169</v>
      </c>
      <c r="U50" t="s">
        <v>184</v>
      </c>
      <c r="V50" t="s">
        <v>179</v>
      </c>
    </row>
    <row r="51" spans="1:24" ht="31.5" customHeight="1">
      <c r="A51" s="102" t="s">
        <v>38</v>
      </c>
      <c r="B51" s="102"/>
      <c r="C51" s="102" t="s">
        <v>302</v>
      </c>
      <c r="D51" s="102"/>
      <c r="E51" s="102"/>
      <c r="F51" s="15" t="s">
        <v>39</v>
      </c>
      <c r="G51" s="143">
        <v>45105</v>
      </c>
      <c r="H51" s="102"/>
      <c r="I51" s="98"/>
      <c r="J51" s="98"/>
      <c r="K51" s="98"/>
      <c r="L51" s="98"/>
      <c r="R51"/>
      <c r="S51" t="s">
        <v>244</v>
      </c>
      <c r="T51" t="s">
        <v>249</v>
      </c>
      <c r="U51" t="s">
        <v>260</v>
      </c>
      <c r="V51" t="s">
        <v>265</v>
      </c>
    </row>
    <row r="52" spans="1:24" ht="31.5" customHeight="1">
      <c r="A52" s="102" t="s">
        <v>40</v>
      </c>
      <c r="B52" s="102"/>
      <c r="C52" s="102" t="str">
        <f>C51</f>
        <v>VVCMC/TP/AMEND/VP/4200/40/2023-24</v>
      </c>
      <c r="D52" s="102"/>
      <c r="E52" s="102"/>
      <c r="F52" s="15" t="s">
        <v>39</v>
      </c>
      <c r="G52" s="143">
        <v>45105</v>
      </c>
      <c r="H52" s="102"/>
      <c r="I52" s="98"/>
      <c r="J52" s="98"/>
      <c r="K52" s="98"/>
      <c r="L52" s="98"/>
      <c r="R52"/>
      <c r="S52" t="s">
        <v>245</v>
      </c>
      <c r="T52" t="s">
        <v>250</v>
      </c>
      <c r="U52" t="s">
        <v>258</v>
      </c>
      <c r="V52" t="s">
        <v>266</v>
      </c>
    </row>
    <row r="53" spans="1:24" s="19" customFormat="1" ht="15.75" customHeight="1">
      <c r="A53" s="102" t="s">
        <v>349</v>
      </c>
      <c r="B53" s="102"/>
      <c r="C53" s="102" t="s">
        <v>303</v>
      </c>
      <c r="D53" s="102"/>
      <c r="E53" s="102"/>
      <c r="F53" s="15" t="s">
        <v>39</v>
      </c>
      <c r="G53" s="143">
        <v>45105</v>
      </c>
      <c r="H53" s="102"/>
      <c r="I53" s="98"/>
      <c r="J53" s="98"/>
      <c r="K53" s="98"/>
      <c r="L53" s="98"/>
      <c r="R53"/>
      <c r="S53" t="s">
        <v>246</v>
      </c>
      <c r="T53" t="s">
        <v>251</v>
      </c>
      <c r="U53" t="s">
        <v>248</v>
      </c>
      <c r="V53" t="s">
        <v>267</v>
      </c>
    </row>
    <row r="54" spans="1:24" s="19" customFormat="1" ht="33.75" customHeight="1">
      <c r="A54" s="102"/>
      <c r="B54" s="102"/>
      <c r="C54" s="102" t="s">
        <v>350</v>
      </c>
      <c r="D54" s="102"/>
      <c r="E54" s="102"/>
      <c r="F54" s="102"/>
      <c r="G54" s="102"/>
      <c r="H54" s="102"/>
      <c r="I54" s="99"/>
      <c r="J54" s="99"/>
      <c r="K54" s="99"/>
      <c r="L54" s="99"/>
      <c r="R54"/>
      <c r="S54" t="s">
        <v>247</v>
      </c>
      <c r="T54" t="s">
        <v>254</v>
      </c>
      <c r="U54" t="s">
        <v>261</v>
      </c>
    </row>
    <row r="55" spans="1:24" s="19" customFormat="1">
      <c r="A55" s="126" t="s">
        <v>368</v>
      </c>
      <c r="B55" s="126"/>
      <c r="C55" s="102" t="s">
        <v>369</v>
      </c>
      <c r="D55" s="102"/>
      <c r="E55" s="102"/>
      <c r="F55" s="15" t="s">
        <v>39</v>
      </c>
      <c r="G55" s="143">
        <v>44666</v>
      </c>
      <c r="H55" s="102"/>
      <c r="I55" s="96"/>
      <c r="J55" s="96"/>
      <c r="K55" s="96"/>
      <c r="L55" s="96"/>
      <c r="R55"/>
      <c r="S55" t="s">
        <v>246</v>
      </c>
      <c r="T55" t="s">
        <v>251</v>
      </c>
      <c r="U55" t="s">
        <v>248</v>
      </c>
      <c r="V55" t="s">
        <v>267</v>
      </c>
    </row>
    <row r="56" spans="1:24" s="19" customFormat="1" ht="32.25" customHeight="1">
      <c r="A56" s="126"/>
      <c r="B56" s="126"/>
      <c r="C56" s="123" t="s">
        <v>370</v>
      </c>
      <c r="D56" s="123"/>
      <c r="E56" s="123"/>
      <c r="F56" s="123"/>
      <c r="G56" s="123"/>
      <c r="H56" s="123"/>
      <c r="R56"/>
      <c r="S56" t="s">
        <v>248</v>
      </c>
      <c r="T56" t="s">
        <v>252</v>
      </c>
      <c r="U56" t="s">
        <v>262</v>
      </c>
      <c r="V56" s="17"/>
      <c r="W56" s="17"/>
      <c r="X56" s="17"/>
    </row>
    <row r="57" spans="1:24" s="19" customFormat="1" ht="15.75" customHeight="1">
      <c r="A57" s="126" t="s">
        <v>317</v>
      </c>
      <c r="B57" s="126"/>
      <c r="C57" s="163" t="s">
        <v>361</v>
      </c>
      <c r="D57" s="163"/>
      <c r="E57" s="163"/>
      <c r="F57" s="15" t="s">
        <v>39</v>
      </c>
      <c r="G57" s="143">
        <v>45742</v>
      </c>
      <c r="H57" s="102"/>
      <c r="R57"/>
      <c r="S57" s="17"/>
      <c r="T57" t="s">
        <v>256</v>
      </c>
      <c r="U57" s="17" t="s">
        <v>284</v>
      </c>
      <c r="V57" s="17"/>
      <c r="W57" s="17"/>
      <c r="X57" s="17"/>
    </row>
    <row r="58" spans="1:24" s="19" customFormat="1" ht="15.75" customHeight="1">
      <c r="A58" s="126"/>
      <c r="B58" s="126"/>
      <c r="C58" s="102" t="s">
        <v>360</v>
      </c>
      <c r="D58" s="102"/>
      <c r="E58" s="102"/>
      <c r="F58" s="102"/>
      <c r="G58" s="102"/>
      <c r="H58" s="102"/>
      <c r="R58"/>
      <c r="S58" s="17"/>
      <c r="T58" t="s">
        <v>257</v>
      </c>
      <c r="U58" s="17"/>
      <c r="V58" s="17"/>
      <c r="W58" s="17"/>
      <c r="X58" s="17"/>
    </row>
    <row r="59" spans="1:24">
      <c r="A59" s="162" t="s">
        <v>41</v>
      </c>
      <c r="B59" s="162"/>
      <c r="C59" s="162" t="s">
        <v>100</v>
      </c>
      <c r="D59" s="162"/>
      <c r="E59" s="162"/>
      <c r="F59" s="64" t="s">
        <v>39</v>
      </c>
      <c r="G59" s="115" t="s">
        <v>27</v>
      </c>
      <c r="H59" s="115"/>
      <c r="R59"/>
      <c r="T59" t="s">
        <v>259</v>
      </c>
    </row>
    <row r="60" spans="1:24">
      <c r="A60" s="157" t="s">
        <v>43</v>
      </c>
      <c r="B60" s="157"/>
      <c r="C60" s="157"/>
      <c r="D60" s="157"/>
      <c r="E60" s="157"/>
      <c r="F60" s="157"/>
      <c r="G60" s="157"/>
      <c r="H60" s="157"/>
      <c r="T60" t="s">
        <v>268</v>
      </c>
    </row>
    <row r="61" spans="1:24" ht="30.75" customHeight="1">
      <c r="A61" s="102" t="s">
        <v>347</v>
      </c>
      <c r="B61" s="102"/>
      <c r="C61" s="102"/>
      <c r="D61" s="101">
        <f>12735.48+3326.43</f>
        <v>16061.91</v>
      </c>
      <c r="E61" s="101"/>
      <c r="F61" s="101"/>
      <c r="G61" s="101"/>
      <c r="H61" s="101"/>
      <c r="R61"/>
    </row>
    <row r="62" spans="1:24">
      <c r="A62" s="105" t="s">
        <v>44</v>
      </c>
      <c r="B62" s="104"/>
      <c r="C62" s="104"/>
      <c r="D62" s="127" t="s">
        <v>357</v>
      </c>
      <c r="E62" s="127"/>
      <c r="F62" s="127"/>
      <c r="G62" s="127"/>
      <c r="H62" s="127"/>
      <c r="I62" s="20"/>
      <c r="R62"/>
    </row>
    <row r="63" spans="1:24" ht="32.25" customHeight="1">
      <c r="A63" s="105" t="s">
        <v>45</v>
      </c>
      <c r="B63" s="105"/>
      <c r="C63" s="105"/>
      <c r="D63" s="126" t="s">
        <v>348</v>
      </c>
      <c r="E63" s="127"/>
      <c r="F63" s="127"/>
      <c r="G63" s="127"/>
      <c r="H63" s="127"/>
      <c r="R63"/>
    </row>
    <row r="64" spans="1:24" ht="15.75" customHeight="1">
      <c r="A64" s="128" t="s">
        <v>85</v>
      </c>
      <c r="B64" s="129"/>
      <c r="C64" s="130"/>
      <c r="D64" s="126" t="s">
        <v>372</v>
      </c>
      <c r="E64" s="127"/>
      <c r="F64" s="127"/>
      <c r="G64" s="127"/>
      <c r="H64" s="127"/>
      <c r="R64"/>
    </row>
    <row r="65" spans="1:19" ht="15.75" customHeight="1">
      <c r="A65" s="167"/>
      <c r="B65" s="168"/>
      <c r="C65" s="169"/>
      <c r="D65" s="126" t="s">
        <v>373</v>
      </c>
      <c r="E65" s="127"/>
      <c r="F65" s="127"/>
      <c r="G65" s="127"/>
      <c r="H65" s="127"/>
      <c r="R65"/>
    </row>
    <row r="66" spans="1:19" ht="15.75" customHeight="1">
      <c r="A66" s="131"/>
      <c r="B66" s="132"/>
      <c r="C66" s="133"/>
      <c r="D66" s="126" t="s">
        <v>374</v>
      </c>
      <c r="E66" s="127"/>
      <c r="F66" s="127"/>
      <c r="G66" s="127"/>
      <c r="H66" s="127"/>
      <c r="R66"/>
    </row>
    <row r="67" spans="1:19" ht="48" customHeight="1">
      <c r="A67" s="101" t="s">
        <v>42</v>
      </c>
      <c r="B67" s="101"/>
      <c r="C67" s="101"/>
      <c r="D67" s="102" t="s">
        <v>351</v>
      </c>
      <c r="E67" s="102"/>
      <c r="F67" s="102"/>
      <c r="G67" s="102"/>
      <c r="H67" s="102"/>
      <c r="I67" s="54"/>
      <c r="J67" s="21"/>
      <c r="K67" s="20"/>
      <c r="N67" s="20"/>
      <c r="S67"/>
    </row>
    <row r="68" spans="1:19" ht="15.75" customHeight="1">
      <c r="A68" s="101" t="s">
        <v>83</v>
      </c>
      <c r="B68" s="101"/>
      <c r="C68" s="101"/>
      <c r="D68" s="139" t="str">
        <f>(IF(G59="NA","60 Years After Completion",IF(G59&lt;&gt;"NA",""&amp;60-ROUNDDOWN((E3-G59)/360,0)&amp;" Years"," ")))</f>
        <v>60 Years After Completion</v>
      </c>
      <c r="E68" s="139"/>
      <c r="F68" s="139"/>
      <c r="G68" s="139"/>
      <c r="H68" s="139"/>
      <c r="N68" s="20"/>
      <c r="S68"/>
    </row>
    <row r="69" spans="1:19" ht="15.75" customHeight="1">
      <c r="A69" s="101" t="s">
        <v>84</v>
      </c>
      <c r="B69" s="101"/>
      <c r="C69" s="101"/>
      <c r="D69" s="102" t="s">
        <v>22</v>
      </c>
      <c r="E69" s="102"/>
      <c r="F69" s="102"/>
      <c r="G69" s="102"/>
      <c r="H69" s="102"/>
      <c r="I69" s="21"/>
      <c r="J69" s="54"/>
      <c r="K69" s="22"/>
      <c r="M69" s="54"/>
      <c r="O69" s="54"/>
      <c r="S69"/>
    </row>
    <row r="70" spans="1:19">
      <c r="A70" s="104" t="s">
        <v>328</v>
      </c>
      <c r="B70" s="104"/>
      <c r="C70" s="104"/>
      <c r="D70" s="105" t="s">
        <v>27</v>
      </c>
      <c r="E70" s="105"/>
      <c r="F70" s="105"/>
      <c r="G70" s="105"/>
      <c r="H70" s="105"/>
      <c r="L70" s="55"/>
      <c r="S70"/>
    </row>
    <row r="71" spans="1:19">
      <c r="A71" s="102" t="s">
        <v>140</v>
      </c>
      <c r="B71" s="102"/>
      <c r="C71" s="102"/>
      <c r="D71" s="102" t="s">
        <v>27</v>
      </c>
      <c r="E71" s="102"/>
      <c r="F71" s="102"/>
      <c r="G71" s="102"/>
      <c r="H71" s="102"/>
      <c r="I71" s="23"/>
      <c r="J71" s="23"/>
      <c r="K71" s="23"/>
      <c r="L71" s="55"/>
      <c r="M71" s="23"/>
      <c r="N71" s="23"/>
    </row>
    <row r="72" spans="1:19" ht="15.75" customHeight="1">
      <c r="A72" s="101" t="s">
        <v>82</v>
      </c>
      <c r="B72" s="101"/>
      <c r="C72" s="101"/>
      <c r="D72" s="105" t="str">
        <f ca="1">(IF(G78&gt;95%,"Nothing",IF(G78&gt;0%,"Cement, Aggregate, Steel, etc",IF(G78=0%,"Work not yet Started"))))</f>
        <v>Cement, Aggregate, Steel, etc</v>
      </c>
      <c r="E72" s="105"/>
      <c r="F72" s="105"/>
      <c r="G72" s="105"/>
      <c r="H72" s="105"/>
      <c r="J72" s="22"/>
      <c r="L72" s="55"/>
      <c r="S72"/>
    </row>
    <row r="73" spans="1:19" ht="33.75" customHeight="1" thickBot="1">
      <c r="A73" s="102" t="s">
        <v>113</v>
      </c>
      <c r="B73" s="102"/>
      <c r="C73" s="102"/>
      <c r="D73" s="105" t="str">
        <f ca="1">(IF(D72="Nothing","Yes",IF(D72="Cement, Aggregate, Steel, etc","Under Construction",IF(D72="Work not yet Started","Work not yet Started"))))</f>
        <v>Under Construction</v>
      </c>
      <c r="E73" s="105"/>
      <c r="F73" s="105" t="str">
        <f ca="1">(IF(D72="Nothing","Yes",IF(D72="Cement, Aggregate, Steel, etc","Under Construction",IF(D72="Work not yet Started","Work not yet Started"))))</f>
        <v>Under Construction</v>
      </c>
      <c r="G73" s="105"/>
      <c r="H73" s="105"/>
      <c r="L73" s="55"/>
      <c r="S73"/>
    </row>
    <row r="74" spans="1:19" ht="15.75" customHeight="1">
      <c r="A74" s="103" t="s">
        <v>132</v>
      </c>
      <c r="B74" s="103"/>
      <c r="C74" s="103" t="str">
        <f>D64</f>
        <v xml:space="preserve">Building No. 4 (Wing A) = St + Gr + 1st to 23rd Floor
</v>
      </c>
      <c r="D74" s="103"/>
      <c r="E74" s="103"/>
      <c r="F74" s="103"/>
      <c r="G74" s="103"/>
      <c r="H74" s="103"/>
      <c r="I74" s="70" t="str">
        <f ca="1">IF(D87=100%,"All work Completed. Possession granted to the Building.",IF(D86=100%,"All work Completed, Waiting for OC",I75&amp;""&amp;I76&amp;""&amp;J75&amp;""&amp;J74&amp;" "&amp;J76))</f>
        <v>Excavation, Plinth Completed, RCC upto 23 Slab, Brickwork upto 20 Floor, Internal Plaster upto 15 Floor, External Plaster upto 12 Floor, Flooring upto 1 Floor Completed</v>
      </c>
      <c r="J74" s="39"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23 Slab, Brickwork upto 20 Floor, Internal Plaster upto 15 Floor, External Plaster upto 12 Floor, Flooring upto 1 Floor</v>
      </c>
      <c r="L74" s="55"/>
      <c r="S74"/>
    </row>
    <row r="75" spans="1:19">
      <c r="A75" s="85" t="s">
        <v>134</v>
      </c>
      <c r="B75" s="85">
        <f>IF(AND(ISNUMBER(SEARCH("1B",C74))),1,IF(AND(ISNUMBER(SEARCH("2B",C74))),2,IF(AND(ISNUMBER(SEARCH("3B",C74))),3,IF(AND(ISNUMBER(SEARCH("4B",C74))),4,IF(ISNUMBER(SEARCH("5B",C74)),5,0)))))</f>
        <v>0</v>
      </c>
      <c r="C75" s="85" t="s">
        <v>68</v>
      </c>
      <c r="D75" s="85">
        <v>1</v>
      </c>
      <c r="E75" s="85" t="s">
        <v>67</v>
      </c>
      <c r="F75" s="85">
        <v>0</v>
      </c>
      <c r="G75" s="85" t="s">
        <v>76</v>
      </c>
      <c r="H75" s="85">
        <f ca="1">--TRIM(RIGHT(SUBSTITUTE(LEFT(C74,_xlfn.AGGREGATE(16,6,FIND({0,1,2,3,4,5,6,7,8,9},C74,ROW(INDIRECT("1:"&amp;LEN(C74)))),1))," ",REPT(" ",LEN(C74))),LEN(C74)))</f>
        <v>23</v>
      </c>
      <c r="I75" s="71" t="str">
        <f ca="1">IF(D78=100%,"Excavation","")&amp;IF(D79=100%,", Plinth","")&amp;IF(D80=100%,", RCC Slab","")&amp;IF(D81=100%,", Brickwork","")&amp;IF(D82=100%,", Internal Plaster","")&amp;IF(D83=100%,", External Plaster","")&amp;IF(D84=100%,", Flooring","")&amp;IF(D85=100%,", Painting","")&amp;IF(D86=100%,", Building common Amenities","")</f>
        <v>Excavation, Plinth</v>
      </c>
      <c r="J75" s="40"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L75" s="55"/>
      <c r="S75"/>
    </row>
    <row r="76" spans="1:19" ht="46.5" customHeight="1">
      <c r="A76" s="125" t="s">
        <v>86</v>
      </c>
      <c r="B76" s="125"/>
      <c r="C76" s="103" t="str">
        <f ca="1">I74</f>
        <v>Excavation, Plinth Completed, RCC upto 23 Slab, Brickwork upto 20 Floor, Internal Plaster upto 15 Floor, External Plaster upto 12 Floor, Flooring upto 1 Floor Completed</v>
      </c>
      <c r="D76" s="103"/>
      <c r="E76" s="103"/>
      <c r="F76" s="103"/>
      <c r="G76" s="103"/>
      <c r="H76" s="103"/>
      <c r="I76" s="71" t="str">
        <f ca="1">IF(I75&lt;&gt;""," Completed","")</f>
        <v xml:space="preserve"> Completed</v>
      </c>
      <c r="J76" s="40" t="str">
        <f ca="1">IF(J74&lt;&gt;"","Completed","")</f>
        <v>Completed</v>
      </c>
      <c r="S76"/>
    </row>
    <row r="77" spans="1:19" ht="15.75" customHeight="1">
      <c r="A77" s="100" t="s">
        <v>46</v>
      </c>
      <c r="B77" s="100"/>
      <c r="C77" s="83" t="s">
        <v>131</v>
      </c>
      <c r="D77" s="83" t="s">
        <v>79</v>
      </c>
      <c r="E77" s="100" t="s">
        <v>81</v>
      </c>
      <c r="F77" s="100"/>
      <c r="G77" s="100" t="s">
        <v>80</v>
      </c>
      <c r="H77" s="100"/>
      <c r="I77" s="13" t="s">
        <v>133</v>
      </c>
      <c r="J77" s="24">
        <f ca="1">H75*25%</f>
        <v>5.75</v>
      </c>
      <c r="S77"/>
    </row>
    <row r="78" spans="1:19">
      <c r="A78" s="100" t="s">
        <v>120</v>
      </c>
      <c r="B78" s="100"/>
      <c r="C78" s="83">
        <f ca="1">J79</f>
        <v>23</v>
      </c>
      <c r="D78" s="69">
        <f ca="1">((100/H75)*C78)/100</f>
        <v>1</v>
      </c>
      <c r="E78" s="138">
        <f ca="1">(((C79/H75*10)+(40/(D75+F75+H75)*C80)+(7.5/(H75)*C81)+(7.5/(H75)*C82)+(10/H75*C83)+(10/H75*C84)+(5/H75*C85)+(5/H75*C86)+(5/H75*C87))/100)</f>
        <v>0.65398550724637683</v>
      </c>
      <c r="F78" s="138"/>
      <c r="G78" s="138">
        <f ca="1">((((C78/H75)*20)+((C79/H75)*25)+(30/(H75+F75+D75)*C80)+(5/H75*C81)+(5/H75*C82)+(5/H75*C83)+(5/H75*C84)+(0/H75*C85)+(0/H75*C86)+(5/H75*C87))/100)</f>
        <v>0.84184782608695641</v>
      </c>
      <c r="H78" s="138"/>
      <c r="I78" s="13" t="s">
        <v>95</v>
      </c>
      <c r="J78" s="25">
        <f ca="1">H75*50%</f>
        <v>11.5</v>
      </c>
    </row>
    <row r="79" spans="1:19">
      <c r="A79" s="100" t="s">
        <v>47</v>
      </c>
      <c r="B79" s="100"/>
      <c r="C79" s="83">
        <f ca="1">J87</f>
        <v>23</v>
      </c>
      <c r="D79" s="69">
        <f ca="1">((100/H75)*C79)/100</f>
        <v>1</v>
      </c>
      <c r="E79" s="138"/>
      <c r="F79" s="138"/>
      <c r="G79" s="138"/>
      <c r="H79" s="138"/>
      <c r="I79" s="13" t="s">
        <v>96</v>
      </c>
      <c r="J79" s="25">
        <f ca="1">H75</f>
        <v>23</v>
      </c>
      <c r="S79"/>
    </row>
    <row r="80" spans="1:19" ht="15.75" customHeight="1">
      <c r="A80" s="100" t="s">
        <v>121</v>
      </c>
      <c r="B80" s="100"/>
      <c r="C80" s="83">
        <v>23</v>
      </c>
      <c r="D80" s="69">
        <f ca="1">((100/(D75+F75+H75))*C80)/100</f>
        <v>0.95833333333333348</v>
      </c>
      <c r="E80" s="138"/>
      <c r="F80" s="138"/>
      <c r="G80" s="138"/>
      <c r="H80" s="138"/>
      <c r="I80" s="13" t="s">
        <v>97</v>
      </c>
      <c r="J80" s="26">
        <f ca="1">(IF(B75&gt;1,(H75/(B75+2)),H75/4))</f>
        <v>5.75</v>
      </c>
      <c r="S80"/>
    </row>
    <row r="81" spans="1:10" ht="15.75" customHeight="1">
      <c r="A81" s="100" t="s">
        <v>128</v>
      </c>
      <c r="B81" s="100" t="s">
        <v>122</v>
      </c>
      <c r="C81" s="83">
        <v>20</v>
      </c>
      <c r="D81" s="69">
        <f ca="1">((100/H75)*C81)/100</f>
        <v>0.86956521739130432</v>
      </c>
      <c r="E81" s="138"/>
      <c r="F81" s="138"/>
      <c r="G81" s="138"/>
      <c r="H81" s="138"/>
      <c r="I81" s="13" t="s">
        <v>98</v>
      </c>
      <c r="J81" s="26">
        <f ca="1">(IF(B75&gt;1,(H75/(B75+2)+J80),H75/4+J80))</f>
        <v>11.5</v>
      </c>
    </row>
    <row r="82" spans="1:10" ht="15.75" customHeight="1">
      <c r="A82" s="100" t="s">
        <v>129</v>
      </c>
      <c r="B82" s="100" t="s">
        <v>122</v>
      </c>
      <c r="C82" s="83">
        <v>15</v>
      </c>
      <c r="D82" s="69">
        <f ca="1">((100/H75)*C82)/100</f>
        <v>0.65217391304347827</v>
      </c>
      <c r="E82" s="138"/>
      <c r="F82" s="138"/>
      <c r="G82" s="138"/>
      <c r="H82" s="138"/>
      <c r="I82" s="13" t="s">
        <v>138</v>
      </c>
      <c r="J82" s="26">
        <f>(IF(B75&gt;1,(H75/(B75+2)+J81),0))</f>
        <v>0</v>
      </c>
    </row>
    <row r="83" spans="1:10" ht="15" customHeight="1">
      <c r="A83" s="100" t="s">
        <v>127</v>
      </c>
      <c r="B83" s="100" t="s">
        <v>124</v>
      </c>
      <c r="C83" s="83">
        <v>12</v>
      </c>
      <c r="D83" s="69">
        <f ca="1">((100/(H75))*C83)/100</f>
        <v>0.52173913043478259</v>
      </c>
      <c r="E83" s="138"/>
      <c r="F83" s="138"/>
      <c r="G83" s="138"/>
      <c r="H83" s="138"/>
      <c r="I83" s="13" t="s">
        <v>135</v>
      </c>
      <c r="J83" s="26">
        <f>(IF(B75&gt;2,(H75/(B75+2)+J82),0))</f>
        <v>0</v>
      </c>
    </row>
    <row r="84" spans="1:10" ht="15.75" customHeight="1">
      <c r="A84" s="100" t="s">
        <v>123</v>
      </c>
      <c r="B84" s="100" t="s">
        <v>123</v>
      </c>
      <c r="C84" s="83">
        <v>1</v>
      </c>
      <c r="D84" s="69">
        <f ca="1">((100/H75)*C84)/100</f>
        <v>4.3478260869565216E-2</v>
      </c>
      <c r="E84" s="138"/>
      <c r="F84" s="138"/>
      <c r="G84" s="138"/>
      <c r="H84" s="138"/>
      <c r="I84" s="13" t="s">
        <v>136</v>
      </c>
      <c r="J84" s="27">
        <f>(IF(B75&gt;3,(H75/(B75+2)+J83),0))</f>
        <v>0</v>
      </c>
    </row>
    <row r="85" spans="1:10" ht="15.75" customHeight="1">
      <c r="A85" s="100" t="s">
        <v>130</v>
      </c>
      <c r="B85" s="100"/>
      <c r="C85" s="83">
        <v>0</v>
      </c>
      <c r="D85" s="69">
        <f ca="1">((100/H75)*C85)/100</f>
        <v>0</v>
      </c>
      <c r="E85" s="138"/>
      <c r="F85" s="138"/>
      <c r="G85" s="138"/>
      <c r="H85" s="138"/>
      <c r="I85" s="13" t="s">
        <v>137</v>
      </c>
      <c r="J85" s="26">
        <f>(IF(B75&gt;4,(H75/(B75+2)+J84),0))</f>
        <v>0</v>
      </c>
    </row>
    <row r="86" spans="1:10" ht="15.75" customHeight="1">
      <c r="A86" s="100" t="s">
        <v>125</v>
      </c>
      <c r="B86" s="100" t="s">
        <v>125</v>
      </c>
      <c r="C86" s="83">
        <v>0</v>
      </c>
      <c r="D86" s="69">
        <f ca="1">((100/(H75))*C86)/100</f>
        <v>0</v>
      </c>
      <c r="E86" s="138"/>
      <c r="F86" s="138"/>
      <c r="G86" s="138"/>
      <c r="H86" s="138"/>
      <c r="I86" s="13" t="s">
        <v>139</v>
      </c>
      <c r="J86" s="26">
        <f ca="1">(IF(B75=1,(H75/(B75+3)+J81),IF(B75=0,(H75/4+J81),IF(B75&gt;1,0))))</f>
        <v>17.25</v>
      </c>
    </row>
    <row r="87" spans="1:10" ht="16.5" thickBot="1">
      <c r="A87" s="100" t="s">
        <v>126</v>
      </c>
      <c r="B87" s="100"/>
      <c r="C87" s="83">
        <v>0</v>
      </c>
      <c r="D87" s="69">
        <f ca="1">((100/(H75))*C87)/100</f>
        <v>0</v>
      </c>
      <c r="E87" s="138"/>
      <c r="F87" s="138"/>
      <c r="G87" s="138"/>
      <c r="H87" s="138"/>
      <c r="I87" s="14" t="s">
        <v>99</v>
      </c>
      <c r="J87" s="28">
        <f ca="1">(IF(B75&gt;1.5,(H75/(B75+2)+J81+MAX(0,J82-J81)+MAX(0,J83-J82)+MAX(0,J84-J83)+MAX(0,J85-J84)+MAX(0,J86-J85)),IF(B75=1,(H75/(B75+3)+J86),IF(B75=0,H75/4+J86))))</f>
        <v>23</v>
      </c>
    </row>
    <row r="88" spans="1:10" ht="15.75" customHeight="1">
      <c r="A88" s="162" t="s">
        <v>132</v>
      </c>
      <c r="B88" s="162"/>
      <c r="C88" s="162" t="str">
        <f>D65</f>
        <v xml:space="preserve">Building No. 4 (Wing B) = St + Gr + 1st to 23rd Floor
</v>
      </c>
      <c r="D88" s="162"/>
      <c r="E88" s="162"/>
      <c r="F88" s="162"/>
      <c r="G88" s="162"/>
      <c r="H88" s="162"/>
      <c r="I88" s="70" t="str">
        <f ca="1">IF(D101=100%,"All work Completed. Possession granted to the Building.",IF(D100=100%,"All work Completed, Waiting for OC",I89&amp;""&amp;I90&amp;""&amp;J89&amp;""&amp;J88&amp;" "&amp;J90))</f>
        <v>Excavation, Plinth Completed, RCC upto 1 Slab Completed</v>
      </c>
      <c r="J88" s="39"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1 Slab</v>
      </c>
    </row>
    <row r="89" spans="1:10">
      <c r="A89" s="41" t="s">
        <v>134</v>
      </c>
      <c r="B89" s="41">
        <f>IF(AND(ISNUMBER(SEARCH("1B",C88))),1,IF(AND(ISNUMBER(SEARCH("2B",C88))),2,IF(AND(ISNUMBER(SEARCH("3B",C88))),3,IF(AND(ISNUMBER(SEARCH("4B",C88))),4,IF(ISNUMBER(SEARCH("5B",C88)),5,0)))))</f>
        <v>0</v>
      </c>
      <c r="C89" s="41" t="s">
        <v>68</v>
      </c>
      <c r="D89" s="41">
        <v>1</v>
      </c>
      <c r="E89" s="41" t="s">
        <v>67</v>
      </c>
      <c r="F89" s="90">
        <v>0</v>
      </c>
      <c r="G89" s="38" t="s">
        <v>76</v>
      </c>
      <c r="H89" s="41">
        <f ca="1">--TRIM(RIGHT(SUBSTITUTE(LEFT(C88,_xlfn.AGGREGATE(16,6,FIND({0,1,2,3,4,5,6,7,8,9},C88,ROW(INDIRECT("1:"&amp;LEN(C88)))),1))," ",REPT(" ",LEN(C88))),LEN(C88)))</f>
        <v>23</v>
      </c>
      <c r="I89" s="71" t="str">
        <f ca="1">IF(D92=100%,"Excavation","")&amp;IF(D93=100%,", Plinth","")&amp;IF(D94=100%,", RCC Slab","")&amp;IF(D95=100%,", Brickwork","")&amp;IF(D96=100%,", Internal Plaster","")&amp;IF(D97=100%,", External Plaster","")&amp;IF(D98=100%,", Flooring","")&amp;IF(D99=100%,", Painting","")&amp;IF(D100=100%,", Building common Amenities","")</f>
        <v>Excavation, Plinth</v>
      </c>
      <c r="J89" s="40"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0">
      <c r="A90" s="125" t="s">
        <v>86</v>
      </c>
      <c r="B90" s="125"/>
      <c r="C90" s="103" t="str">
        <f ca="1">(IF($G$59="NA",I88,"All work Completed. OC Received."))</f>
        <v>Excavation, Plinth Completed, RCC upto 1 Slab Completed</v>
      </c>
      <c r="D90" s="103"/>
      <c r="E90" s="103"/>
      <c r="F90" s="103"/>
      <c r="G90" s="103"/>
      <c r="H90" s="103"/>
      <c r="I90" s="71" t="str">
        <f ca="1">IF(I89&lt;&gt;""," Completed","")</f>
        <v xml:space="preserve"> Completed</v>
      </c>
      <c r="J90" s="40" t="str">
        <f ca="1">IF(J88&lt;&gt;"","Completed","")</f>
        <v>Completed</v>
      </c>
    </row>
    <row r="91" spans="1:10" ht="15.75" customHeight="1">
      <c r="A91" s="110" t="s">
        <v>46</v>
      </c>
      <c r="B91" s="110"/>
      <c r="C91" s="63" t="s">
        <v>131</v>
      </c>
      <c r="D91" s="63" t="s">
        <v>79</v>
      </c>
      <c r="E91" s="110" t="s">
        <v>81</v>
      </c>
      <c r="F91" s="110"/>
      <c r="G91" s="110" t="s">
        <v>80</v>
      </c>
      <c r="H91" s="110"/>
      <c r="I91" s="13" t="s">
        <v>133</v>
      </c>
      <c r="J91" s="24">
        <f ca="1">H89*25%</f>
        <v>5.75</v>
      </c>
    </row>
    <row r="92" spans="1:10">
      <c r="A92" s="110" t="s">
        <v>120</v>
      </c>
      <c r="B92" s="110"/>
      <c r="C92" s="88">
        <f ca="1">J93</f>
        <v>23</v>
      </c>
      <c r="D92" s="16">
        <f ca="1">((100/H89)*C92)/100</f>
        <v>1</v>
      </c>
      <c r="E92" s="158">
        <f ca="1">(((C93/H89*10)+(40/(D89+F89+H89)*C94)+(7.5/(H89)*C95)+(7.5/(H89)*C96)+(10/H89*C97)+(10/H89*C98)+(5/H89*C99)+(5/H89*C100)+(5/H89*C101))/100)</f>
        <v>0.11666666666666665</v>
      </c>
      <c r="F92" s="158"/>
      <c r="G92" s="158">
        <f ca="1">((((C92/H89)*20)+((C93/H89)*25)+(30/(H89+F89+D89)*C94)+(5/H89*C95)+(5/H89*C96)+(5/H89*C97)+(5/H89*C98)+(0/H89*C99)+(0/H89*C100)+(5/H89*C101))/100)</f>
        <v>0.46250000000000002</v>
      </c>
      <c r="H92" s="158"/>
      <c r="I92" s="13" t="s">
        <v>95</v>
      </c>
      <c r="J92" s="25">
        <f ca="1">H89*50%</f>
        <v>11.5</v>
      </c>
    </row>
    <row r="93" spans="1:10">
      <c r="A93" s="110" t="s">
        <v>47</v>
      </c>
      <c r="B93" s="110"/>
      <c r="C93" s="91">
        <f ca="1">J101</f>
        <v>23</v>
      </c>
      <c r="D93" s="16">
        <f ca="1">((100/H89)*C93)/100</f>
        <v>1</v>
      </c>
      <c r="E93" s="158"/>
      <c r="F93" s="158"/>
      <c r="G93" s="158"/>
      <c r="H93" s="158"/>
      <c r="I93" s="13" t="s">
        <v>96</v>
      </c>
      <c r="J93" s="25">
        <f ca="1">H89</f>
        <v>23</v>
      </c>
    </row>
    <row r="94" spans="1:10" ht="15.75" customHeight="1">
      <c r="A94" s="110" t="s">
        <v>121</v>
      </c>
      <c r="B94" s="110"/>
      <c r="C94" s="63">
        <v>1</v>
      </c>
      <c r="D94" s="16">
        <f ca="1">((100/(D89+F89+H89))*C94)/100</f>
        <v>4.1666666666666671E-2</v>
      </c>
      <c r="E94" s="158"/>
      <c r="F94" s="158"/>
      <c r="G94" s="158"/>
      <c r="H94" s="158"/>
      <c r="I94" s="13" t="s">
        <v>97</v>
      </c>
      <c r="J94" s="26">
        <f ca="1">(IF(B89&gt;1,(H89/(B89+2)),H89/4))</f>
        <v>5.75</v>
      </c>
    </row>
    <row r="95" spans="1:10" ht="15.75" customHeight="1">
      <c r="A95" s="110" t="s">
        <v>128</v>
      </c>
      <c r="B95" s="110" t="s">
        <v>122</v>
      </c>
      <c r="C95" s="63">
        <v>0</v>
      </c>
      <c r="D95" s="16">
        <f ca="1">((100/H89)*C95)/100</f>
        <v>0</v>
      </c>
      <c r="E95" s="158"/>
      <c r="F95" s="158"/>
      <c r="G95" s="158"/>
      <c r="H95" s="158"/>
      <c r="I95" s="13" t="s">
        <v>98</v>
      </c>
      <c r="J95" s="26">
        <f ca="1">(IF(B89&gt;1,(H89/(B89+2)+J94),H89/4+J94))</f>
        <v>11.5</v>
      </c>
    </row>
    <row r="96" spans="1:10" ht="15.75" customHeight="1">
      <c r="A96" s="110" t="s">
        <v>129</v>
      </c>
      <c r="B96" s="110" t="s">
        <v>122</v>
      </c>
      <c r="C96" s="63">
        <v>0</v>
      </c>
      <c r="D96" s="16">
        <f ca="1">((100/H89)*C96)/100</f>
        <v>0</v>
      </c>
      <c r="E96" s="158"/>
      <c r="F96" s="158"/>
      <c r="G96" s="158"/>
      <c r="H96" s="158"/>
      <c r="I96" s="13" t="s">
        <v>138</v>
      </c>
      <c r="J96" s="26">
        <f>(IF(B89&gt;1,(H89/(B89+2)+J95),0))</f>
        <v>0</v>
      </c>
    </row>
    <row r="97" spans="1:10" ht="15" customHeight="1">
      <c r="A97" s="110" t="s">
        <v>127</v>
      </c>
      <c r="B97" s="110" t="s">
        <v>124</v>
      </c>
      <c r="C97" s="63">
        <v>0</v>
      </c>
      <c r="D97" s="16">
        <f ca="1">((100/(H89))*C97)/100</f>
        <v>0</v>
      </c>
      <c r="E97" s="158"/>
      <c r="F97" s="158"/>
      <c r="G97" s="158"/>
      <c r="H97" s="158"/>
      <c r="I97" s="13" t="s">
        <v>135</v>
      </c>
      <c r="J97" s="26">
        <f>(IF(B89&gt;2,(H89/(B89+2)+J96),0))</f>
        <v>0</v>
      </c>
    </row>
    <row r="98" spans="1:10" ht="15.75" customHeight="1">
      <c r="A98" s="110" t="s">
        <v>123</v>
      </c>
      <c r="B98" s="110" t="s">
        <v>123</v>
      </c>
      <c r="C98" s="63">
        <v>0</v>
      </c>
      <c r="D98" s="16">
        <f ca="1">((100/H89)*C98)/100</f>
        <v>0</v>
      </c>
      <c r="E98" s="158"/>
      <c r="F98" s="158"/>
      <c r="G98" s="158"/>
      <c r="H98" s="158"/>
      <c r="I98" s="13" t="s">
        <v>136</v>
      </c>
      <c r="J98" s="27">
        <f>(IF(B89&gt;3,(H89/(B89+2)+J97),0))</f>
        <v>0</v>
      </c>
    </row>
    <row r="99" spans="1:10" ht="15.75" customHeight="1">
      <c r="A99" s="110" t="s">
        <v>130</v>
      </c>
      <c r="B99" s="110"/>
      <c r="C99" s="63">
        <v>0</v>
      </c>
      <c r="D99" s="16">
        <f ca="1">((100/H89)*C99)/100</f>
        <v>0</v>
      </c>
      <c r="E99" s="158"/>
      <c r="F99" s="158"/>
      <c r="G99" s="158"/>
      <c r="H99" s="158"/>
      <c r="I99" s="13" t="s">
        <v>137</v>
      </c>
      <c r="J99" s="26">
        <f>(IF(B89&gt;4,(H89/(B89+2)+J98),0))</f>
        <v>0</v>
      </c>
    </row>
    <row r="100" spans="1:10" ht="15.75" customHeight="1">
      <c r="A100" s="110" t="s">
        <v>125</v>
      </c>
      <c r="B100" s="110" t="s">
        <v>125</v>
      </c>
      <c r="C100" s="63">
        <v>0</v>
      </c>
      <c r="D100" s="16">
        <f ca="1">((100/(H89))*C100)/100</f>
        <v>0</v>
      </c>
      <c r="E100" s="158"/>
      <c r="F100" s="158"/>
      <c r="G100" s="158"/>
      <c r="H100" s="158"/>
      <c r="I100" s="13" t="s">
        <v>139</v>
      </c>
      <c r="J100" s="26">
        <f ca="1">(IF(B89=1,(H89/(B89+3)+J95),IF(B89=0,(H89/4+J95),IF(B89&gt;1,0))))</f>
        <v>17.25</v>
      </c>
    </row>
    <row r="101" spans="1:10" ht="16.5" thickBot="1">
      <c r="A101" s="110" t="s">
        <v>126</v>
      </c>
      <c r="B101" s="110"/>
      <c r="C101" s="63">
        <v>0</v>
      </c>
      <c r="D101" s="16">
        <f ca="1">((100/(H89))*C101)/100</f>
        <v>0</v>
      </c>
      <c r="E101" s="158"/>
      <c r="F101" s="158"/>
      <c r="G101" s="158"/>
      <c r="H101" s="158"/>
      <c r="I101" s="14" t="s">
        <v>99</v>
      </c>
      <c r="J101" s="28">
        <f ca="1">(IF(B89&gt;1.5,(H89/(B89+2)+J95+MAX(0,J96-J95)+MAX(0,J97-J96)+MAX(0,J98-J97)+MAX(0,J99-J98)+MAX(0,J100-J99)),IF(B89=1,(H89/(B89+3)+J100),IF(B89=0,H89/4+J100))))</f>
        <v>23</v>
      </c>
    </row>
    <row r="102" spans="1:10" ht="15.75" customHeight="1">
      <c r="A102" s="162" t="s">
        <v>132</v>
      </c>
      <c r="B102" s="162"/>
      <c r="C102" s="162" t="str">
        <f>D66</f>
        <v xml:space="preserve">Building No. 4 (Wing C) = St + 1st to 12th Floor
</v>
      </c>
      <c r="D102" s="162"/>
      <c r="E102" s="162"/>
      <c r="F102" s="162"/>
      <c r="G102" s="162"/>
      <c r="H102" s="162"/>
      <c r="I102" s="70" t="str">
        <f ca="1">IF(D115=100%,"All work Completed. Possession granted to the Building.",IF(D114=100%,"All work Completed, Waiting for OC",I103&amp;""&amp;I104&amp;""&amp;J103&amp;""&amp;J102&amp;" "&amp;J104))</f>
        <v>Excavation, Plinth Completed, RCC upto 1 Slab Completed</v>
      </c>
      <c r="J102" s="39" t="str">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 RCC upto 1 Slab</v>
      </c>
    </row>
    <row r="103" spans="1:10">
      <c r="A103" s="93" t="s">
        <v>134</v>
      </c>
      <c r="B103" s="93">
        <f>IF(AND(ISNUMBER(SEARCH("1B",C102))),1,IF(AND(ISNUMBER(SEARCH("2B",C102))),2,IF(AND(ISNUMBER(SEARCH("3B",C102))),3,IF(AND(ISNUMBER(SEARCH("4B",C102))),4,IF(ISNUMBER(SEARCH("5B",C102)),5,0)))))</f>
        <v>0</v>
      </c>
      <c r="C103" s="93" t="s">
        <v>68</v>
      </c>
      <c r="D103" s="93">
        <v>1</v>
      </c>
      <c r="E103" s="93" t="s">
        <v>67</v>
      </c>
      <c r="F103" s="90">
        <v>0</v>
      </c>
      <c r="G103" s="38" t="s">
        <v>76</v>
      </c>
      <c r="H103" s="93">
        <f ca="1">--TRIM(RIGHT(SUBSTITUTE(LEFT(C102,_xlfn.AGGREGATE(16,6,FIND({0,1,2,3,4,5,6,7,8,9},C102,ROW(INDIRECT("1:"&amp;LEN(C102)))),1))," ",REPT(" ",LEN(C102))),LEN(C102)))</f>
        <v>12</v>
      </c>
      <c r="I103" s="71" t="str">
        <f ca="1">IF(D106=100%,"Excavation","")&amp;IF(D107=100%,", Plinth","")&amp;IF(D108=100%,", RCC Slab","")&amp;IF(D109=100%,", Brickwork","")&amp;IF(D110=100%,", Internal Plaster","")&amp;IF(D111=100%,", External Plaster","")&amp;IF(D112=100%,", Flooring","")&amp;IF(D113=100%,", Painting","")&amp;IF(D114=100%,", Building common Amenities","")</f>
        <v>Excavation, Plinth</v>
      </c>
      <c r="J103" s="40" t="str">
        <f ca="1">(IF(C106=0,"Work not yet Started.",IF(D106=25%,"Piling work in process",IF(D106=50%,"Excavation work in process",IF(D106=100%,"","0")))))&amp;(IF(C107=0%,"",IF(C107=J108,", Footing work is process",IF(C107=J109,", Footing work Completed",IF(C107=J110,", 1st Basement Completed",IF(C107=J111,", 1st &amp; 2nd Basement Completed",IF(C107=J112,", 1st to 3rd Basement Completed",IF(C107=J113,", 1st to 4th Basement Completed",IF(C107=J114,", Plinth work is process",IF(C107=J115,"","0"))))))))))</f>
        <v/>
      </c>
    </row>
    <row r="104" spans="1:10">
      <c r="A104" s="125" t="s">
        <v>86</v>
      </c>
      <c r="B104" s="125"/>
      <c r="C104" s="103" t="str">
        <f ca="1">(IF($G$59="NA",I102,"All work Completed. OC Received."))</f>
        <v>Excavation, Plinth Completed, RCC upto 1 Slab Completed</v>
      </c>
      <c r="D104" s="103"/>
      <c r="E104" s="103"/>
      <c r="F104" s="103"/>
      <c r="G104" s="103"/>
      <c r="H104" s="103"/>
      <c r="I104" s="71" t="str">
        <f ca="1">IF(I103&lt;&gt;""," Completed","")</f>
        <v xml:space="preserve"> Completed</v>
      </c>
      <c r="J104" s="40" t="str">
        <f ca="1">IF(J102&lt;&gt;"","Completed","")</f>
        <v>Completed</v>
      </c>
    </row>
    <row r="105" spans="1:10" ht="15.75" customHeight="1">
      <c r="A105" s="110" t="s">
        <v>46</v>
      </c>
      <c r="B105" s="110"/>
      <c r="C105" s="92" t="s">
        <v>131</v>
      </c>
      <c r="D105" s="92" t="s">
        <v>79</v>
      </c>
      <c r="E105" s="110" t="s">
        <v>81</v>
      </c>
      <c r="F105" s="110"/>
      <c r="G105" s="110" t="s">
        <v>80</v>
      </c>
      <c r="H105" s="110"/>
      <c r="I105" s="13" t="s">
        <v>133</v>
      </c>
      <c r="J105" s="24">
        <f ca="1">H103*25%</f>
        <v>3</v>
      </c>
    </row>
    <row r="106" spans="1:10">
      <c r="A106" s="110" t="s">
        <v>120</v>
      </c>
      <c r="B106" s="110"/>
      <c r="C106" s="92">
        <f ca="1">J107</f>
        <v>12</v>
      </c>
      <c r="D106" s="16">
        <f ca="1">((100/H103)*C106)/100</f>
        <v>1</v>
      </c>
      <c r="E106" s="158">
        <f ca="1">(((C107/H103*10)+(40/(D103+F103+H103)*C108)+(7.5/(H103)*C109)+(7.5/(H103)*C110)+(10/H103*C111)+(10/H103*C112)+(5/H103*C113)+(5/H103*C114)+(5/H103*C115))/100)</f>
        <v>0.13076923076923078</v>
      </c>
      <c r="F106" s="158"/>
      <c r="G106" s="158">
        <f ca="1">((((C106/H103)*20)+((C107/H103)*25)+(30/(H103+F103+D103)*C108)+(5/H103*C109)+(5/H103*C110)+(5/H103*C111)+(5/H103*C112)+(0/H103*C113)+(0/H103*C114)+(5/H103*C115))/100)</f>
        <v>0.47307692307692306</v>
      </c>
      <c r="H106" s="158"/>
      <c r="I106" s="13" t="s">
        <v>95</v>
      </c>
      <c r="J106" s="25">
        <f ca="1">H103*50%</f>
        <v>6</v>
      </c>
    </row>
    <row r="107" spans="1:10">
      <c r="A107" s="110" t="s">
        <v>47</v>
      </c>
      <c r="B107" s="110"/>
      <c r="C107" s="91">
        <f ca="1">J115</f>
        <v>12</v>
      </c>
      <c r="D107" s="16">
        <f ca="1">((100/H103)*C107)/100</f>
        <v>1</v>
      </c>
      <c r="E107" s="158"/>
      <c r="F107" s="158"/>
      <c r="G107" s="158"/>
      <c r="H107" s="158"/>
      <c r="I107" s="13" t="s">
        <v>96</v>
      </c>
      <c r="J107" s="25">
        <f ca="1">H103</f>
        <v>12</v>
      </c>
    </row>
    <row r="108" spans="1:10" ht="15.75" customHeight="1">
      <c r="A108" s="110" t="s">
        <v>121</v>
      </c>
      <c r="B108" s="110"/>
      <c r="C108" s="92">
        <v>1</v>
      </c>
      <c r="D108" s="16">
        <f ca="1">((100/(D103+F103+H103))*C108)/100</f>
        <v>7.6923076923076927E-2</v>
      </c>
      <c r="E108" s="158"/>
      <c r="F108" s="158"/>
      <c r="G108" s="158"/>
      <c r="H108" s="158"/>
      <c r="I108" s="13" t="s">
        <v>97</v>
      </c>
      <c r="J108" s="26">
        <f ca="1">(IF(B103&gt;1,(H103/(B103+2)),H103/4))</f>
        <v>3</v>
      </c>
    </row>
    <row r="109" spans="1:10" ht="15.75" customHeight="1">
      <c r="A109" s="110" t="s">
        <v>128</v>
      </c>
      <c r="B109" s="110" t="s">
        <v>122</v>
      </c>
      <c r="C109" s="92">
        <v>0</v>
      </c>
      <c r="D109" s="16">
        <f ca="1">((100/H103)*C109)/100</f>
        <v>0</v>
      </c>
      <c r="E109" s="158"/>
      <c r="F109" s="158"/>
      <c r="G109" s="158"/>
      <c r="H109" s="158"/>
      <c r="I109" s="13" t="s">
        <v>98</v>
      </c>
      <c r="J109" s="26">
        <f ca="1">(IF(B103&gt;1,(H103/(B103+2)+J108),H103/4+J108))</f>
        <v>6</v>
      </c>
    </row>
    <row r="110" spans="1:10" ht="15.75" customHeight="1">
      <c r="A110" s="110" t="s">
        <v>129</v>
      </c>
      <c r="B110" s="110" t="s">
        <v>122</v>
      </c>
      <c r="C110" s="92">
        <v>0</v>
      </c>
      <c r="D110" s="16">
        <f ca="1">((100/H103)*C110)/100</f>
        <v>0</v>
      </c>
      <c r="E110" s="158"/>
      <c r="F110" s="158"/>
      <c r="G110" s="158"/>
      <c r="H110" s="158"/>
      <c r="I110" s="13" t="s">
        <v>138</v>
      </c>
      <c r="J110" s="26">
        <f>(IF(B103&gt;1,(H103/(B103+2)+J109),0))</f>
        <v>0</v>
      </c>
    </row>
    <row r="111" spans="1:10" ht="15" customHeight="1">
      <c r="A111" s="110" t="s">
        <v>127</v>
      </c>
      <c r="B111" s="110" t="s">
        <v>124</v>
      </c>
      <c r="C111" s="92">
        <v>0</v>
      </c>
      <c r="D111" s="16">
        <f ca="1">((100/(H103))*C111)/100</f>
        <v>0</v>
      </c>
      <c r="E111" s="158"/>
      <c r="F111" s="158"/>
      <c r="G111" s="158"/>
      <c r="H111" s="158"/>
      <c r="I111" s="13" t="s">
        <v>135</v>
      </c>
      <c r="J111" s="26">
        <f>(IF(B103&gt;2,(H103/(B103+2)+J110),0))</f>
        <v>0</v>
      </c>
    </row>
    <row r="112" spans="1:10" ht="15.75" customHeight="1">
      <c r="A112" s="110" t="s">
        <v>123</v>
      </c>
      <c r="B112" s="110" t="s">
        <v>123</v>
      </c>
      <c r="C112" s="92">
        <v>0</v>
      </c>
      <c r="D112" s="16">
        <f ca="1">((100/H103)*C112)/100</f>
        <v>0</v>
      </c>
      <c r="E112" s="158"/>
      <c r="F112" s="158"/>
      <c r="G112" s="158"/>
      <c r="H112" s="158"/>
      <c r="I112" s="13" t="s">
        <v>136</v>
      </c>
      <c r="J112" s="27">
        <f>(IF(B103&gt;3,(H103/(B103+2)+J111),0))</f>
        <v>0</v>
      </c>
    </row>
    <row r="113" spans="1:22" ht="15.75" customHeight="1">
      <c r="A113" s="110" t="s">
        <v>130</v>
      </c>
      <c r="B113" s="110"/>
      <c r="C113" s="92">
        <v>0</v>
      </c>
      <c r="D113" s="16">
        <f ca="1">((100/H103)*C113)/100</f>
        <v>0</v>
      </c>
      <c r="E113" s="158"/>
      <c r="F113" s="158"/>
      <c r="G113" s="158"/>
      <c r="H113" s="158"/>
      <c r="I113" s="13" t="s">
        <v>137</v>
      </c>
      <c r="J113" s="26">
        <f>(IF(B103&gt;4,(H103/(B103+2)+J112),0))</f>
        <v>0</v>
      </c>
    </row>
    <row r="114" spans="1:22" ht="15.75" customHeight="1">
      <c r="A114" s="110" t="s">
        <v>125</v>
      </c>
      <c r="B114" s="110" t="s">
        <v>125</v>
      </c>
      <c r="C114" s="92">
        <v>0</v>
      </c>
      <c r="D114" s="16">
        <f ca="1">((100/(H103))*C114)/100</f>
        <v>0</v>
      </c>
      <c r="E114" s="158"/>
      <c r="F114" s="158"/>
      <c r="G114" s="158"/>
      <c r="H114" s="158"/>
      <c r="I114" s="13" t="s">
        <v>139</v>
      </c>
      <c r="J114" s="26">
        <f ca="1">(IF(B103=1,(H103/(B103+3)+J109),IF(B103=0,(H103/4+J109),IF(B103&gt;1,0))))</f>
        <v>9</v>
      </c>
    </row>
    <row r="115" spans="1:22" ht="16.5" thickBot="1">
      <c r="A115" s="110" t="s">
        <v>126</v>
      </c>
      <c r="B115" s="110"/>
      <c r="C115" s="92">
        <v>0</v>
      </c>
      <c r="D115" s="16">
        <f ca="1">((100/(H103))*C115)/100</f>
        <v>0</v>
      </c>
      <c r="E115" s="158"/>
      <c r="F115" s="158"/>
      <c r="G115" s="158"/>
      <c r="H115" s="158"/>
      <c r="I115" s="14" t="s">
        <v>99</v>
      </c>
      <c r="J115" s="28">
        <f ca="1">(IF(B103&gt;1.5,(H103/(B103+2)+J109+MAX(0,J110-J109)+MAX(0,J111-J110)+MAX(0,J112-J111)+MAX(0,J113-J112)+MAX(0,J114-J113)),IF(B103=1,(H103/(B103+3)+J114),IF(B103=0,H103/4+J114))))</f>
        <v>12</v>
      </c>
    </row>
    <row r="116" spans="1:22">
      <c r="A116" s="115" t="s">
        <v>147</v>
      </c>
      <c r="B116" s="115"/>
      <c r="C116" s="115"/>
      <c r="D116" s="115"/>
      <c r="E116" s="115"/>
      <c r="F116" s="151" t="s">
        <v>151</v>
      </c>
      <c r="G116" s="151"/>
      <c r="H116" s="151"/>
      <c r="I116" s="18" t="s">
        <v>341</v>
      </c>
      <c r="J116" s="18"/>
      <c r="K116" s="18"/>
      <c r="L116" s="18"/>
      <c r="M116" s="18"/>
      <c r="N116" s="18"/>
      <c r="R116" t="s">
        <v>243</v>
      </c>
      <c r="S116" t="s">
        <v>163</v>
      </c>
      <c r="T116" t="s">
        <v>169</v>
      </c>
      <c r="U116" t="s">
        <v>184</v>
      </c>
      <c r="V116" t="s">
        <v>179</v>
      </c>
    </row>
    <row r="117" spans="1:22">
      <c r="A117" s="101" t="s">
        <v>149</v>
      </c>
      <c r="B117" s="101"/>
      <c r="C117" s="101"/>
      <c r="D117" s="101"/>
      <c r="E117" s="101"/>
      <c r="F117" s="137">
        <v>7200</v>
      </c>
      <c r="G117" s="137"/>
      <c r="H117" s="137"/>
      <c r="J117" s="75" t="s">
        <v>332</v>
      </c>
      <c r="R117"/>
      <c r="S117">
        <v>800000</v>
      </c>
      <c r="T117">
        <v>150000</v>
      </c>
      <c r="U117">
        <v>100000</v>
      </c>
      <c r="V117">
        <v>100000</v>
      </c>
    </row>
    <row r="118" spans="1:22">
      <c r="A118" s="101" t="s">
        <v>148</v>
      </c>
      <c r="B118" s="101"/>
      <c r="C118" s="101"/>
      <c r="D118" s="101"/>
      <c r="E118" s="101"/>
      <c r="F118" s="137">
        <v>10000</v>
      </c>
      <c r="G118" s="137"/>
      <c r="H118" s="137"/>
      <c r="J118" s="17" t="s">
        <v>334</v>
      </c>
      <c r="K118" s="21">
        <v>45533</v>
      </c>
      <c r="L118" s="17" t="s">
        <v>335</v>
      </c>
      <c r="M118" s="17" t="s">
        <v>337</v>
      </c>
      <c r="N118" s="17" t="s">
        <v>338</v>
      </c>
      <c r="R118"/>
      <c r="S118">
        <v>900000</v>
      </c>
      <c r="T118">
        <v>200000</v>
      </c>
      <c r="U118">
        <v>150000</v>
      </c>
      <c r="V118">
        <v>150000</v>
      </c>
    </row>
    <row r="119" spans="1:22" hidden="1">
      <c r="A119" s="101" t="s">
        <v>150</v>
      </c>
      <c r="B119" s="101"/>
      <c r="C119" s="101"/>
      <c r="D119" s="101"/>
      <c r="E119" s="101"/>
      <c r="F119" s="137"/>
      <c r="G119" s="137"/>
      <c r="H119" s="137"/>
      <c r="R119"/>
      <c r="S119">
        <v>1000000</v>
      </c>
      <c r="T119">
        <v>250000</v>
      </c>
      <c r="U119">
        <v>200000</v>
      </c>
      <c r="V119">
        <v>200000</v>
      </c>
    </row>
    <row r="120" spans="1:22" s="29" customFormat="1" hidden="1">
      <c r="A120" s="101" t="s">
        <v>166</v>
      </c>
      <c r="B120" s="101"/>
      <c r="C120" s="101"/>
      <c r="D120" s="101"/>
      <c r="E120" s="101"/>
      <c r="F120" s="137"/>
      <c r="G120" s="137"/>
      <c r="H120" s="137"/>
      <c r="R120"/>
      <c r="S120">
        <v>1100000</v>
      </c>
      <c r="T120">
        <v>300000</v>
      </c>
      <c r="U120">
        <v>250000</v>
      </c>
      <c r="V120" s="19">
        <v>250000</v>
      </c>
    </row>
    <row r="121" spans="1:22" s="29" customFormat="1">
      <c r="A121" s="101" t="s">
        <v>333</v>
      </c>
      <c r="B121" s="101"/>
      <c r="C121" s="101"/>
      <c r="D121" s="101"/>
      <c r="E121" s="101"/>
      <c r="F121" s="137">
        <v>350000</v>
      </c>
      <c r="G121" s="137"/>
      <c r="H121" s="137"/>
      <c r="R121"/>
      <c r="S121">
        <v>1200000</v>
      </c>
      <c r="T121">
        <v>350000</v>
      </c>
      <c r="U121">
        <v>300000</v>
      </c>
      <c r="V121">
        <v>300000</v>
      </c>
    </row>
    <row r="122" spans="1:22" s="29" customFormat="1" hidden="1">
      <c r="A122" s="101" t="s">
        <v>90</v>
      </c>
      <c r="B122" s="101"/>
      <c r="C122" s="101"/>
      <c r="D122" s="101"/>
      <c r="E122" s="101"/>
      <c r="F122" s="137"/>
      <c r="G122" s="137"/>
      <c r="H122" s="137"/>
      <c r="R122"/>
      <c r="S122">
        <v>1300000</v>
      </c>
      <c r="T122">
        <v>400000</v>
      </c>
      <c r="U122">
        <v>350000</v>
      </c>
      <c r="V122" s="19">
        <v>400000</v>
      </c>
    </row>
    <row r="123" spans="1:22" s="29" customFormat="1" hidden="1">
      <c r="A123" s="101" t="s">
        <v>91</v>
      </c>
      <c r="B123" s="101"/>
      <c r="C123" s="101"/>
      <c r="D123" s="101"/>
      <c r="E123" s="101"/>
      <c r="F123" s="137"/>
      <c r="G123" s="137"/>
      <c r="H123" s="137"/>
      <c r="R123"/>
      <c r="S123">
        <v>1400000</v>
      </c>
      <c r="T123">
        <v>500000</v>
      </c>
      <c r="U123">
        <v>400000</v>
      </c>
      <c r="V123"/>
    </row>
    <row r="124" spans="1:22" s="29" customFormat="1" hidden="1">
      <c r="A124" s="101" t="s">
        <v>92</v>
      </c>
      <c r="B124" s="101"/>
      <c r="C124" s="101"/>
      <c r="D124" s="101"/>
      <c r="E124" s="101"/>
      <c r="F124" s="137"/>
      <c r="G124" s="137"/>
      <c r="H124" s="137"/>
      <c r="R124"/>
      <c r="S124">
        <v>1500000</v>
      </c>
      <c r="T124">
        <v>600000</v>
      </c>
      <c r="U124">
        <v>500000</v>
      </c>
      <c r="V124" s="19"/>
    </row>
    <row r="125" spans="1:22" s="29" customFormat="1" hidden="1">
      <c r="A125" s="101" t="s">
        <v>93</v>
      </c>
      <c r="B125" s="101"/>
      <c r="C125" s="101"/>
      <c r="D125" s="101"/>
      <c r="E125" s="101"/>
      <c r="F125" s="137"/>
      <c r="G125" s="137"/>
      <c r="H125" s="137"/>
      <c r="R125"/>
      <c r="S125">
        <v>1600000</v>
      </c>
      <c r="T125">
        <v>700000</v>
      </c>
      <c r="U125">
        <v>600000</v>
      </c>
      <c r="V125"/>
    </row>
    <row r="126" spans="1:22" s="29" customFormat="1" hidden="1">
      <c r="A126" s="101" t="s">
        <v>94</v>
      </c>
      <c r="B126" s="101"/>
      <c r="C126" s="101"/>
      <c r="D126" s="101"/>
      <c r="E126" s="101"/>
      <c r="F126" s="137"/>
      <c r="G126" s="137"/>
      <c r="H126" s="137"/>
      <c r="R126"/>
      <c r="S126">
        <v>1700000</v>
      </c>
      <c r="T126">
        <v>800000</v>
      </c>
      <c r="U126"/>
      <c r="V126" s="19"/>
    </row>
    <row r="127" spans="1:22">
      <c r="A127" s="101" t="s">
        <v>48</v>
      </c>
      <c r="B127" s="101"/>
      <c r="C127" s="101"/>
      <c r="D127" s="101"/>
      <c r="E127" s="101"/>
      <c r="F127" s="137">
        <v>300000</v>
      </c>
      <c r="G127" s="137"/>
      <c r="H127" s="137"/>
      <c r="R127"/>
      <c r="S127">
        <v>1800000</v>
      </c>
      <c r="T127">
        <v>900000</v>
      </c>
      <c r="U127"/>
    </row>
    <row r="128" spans="1:22" s="30" customFormat="1">
      <c r="A128" s="115" t="s">
        <v>49</v>
      </c>
      <c r="B128" s="115"/>
      <c r="C128" s="115"/>
      <c r="D128" s="115"/>
      <c r="E128" s="115"/>
      <c r="F128" s="137">
        <f>F117*0.8</f>
        <v>5760</v>
      </c>
      <c r="G128" s="137"/>
      <c r="H128" s="137"/>
      <c r="R128" s="17"/>
      <c r="S128" s="17"/>
      <c r="T128">
        <v>1000000</v>
      </c>
      <c r="U128"/>
      <c r="V128" s="17"/>
    </row>
    <row r="129" spans="1:22" s="31" customFormat="1" ht="15.75" customHeight="1">
      <c r="A129" s="111" t="s">
        <v>71</v>
      </c>
      <c r="B129" s="111"/>
      <c r="C129" s="111"/>
      <c r="D129" s="111"/>
      <c r="E129" s="111"/>
      <c r="F129" s="111"/>
      <c r="G129" s="111"/>
      <c r="H129" s="111"/>
      <c r="R129"/>
      <c r="S129" s="17"/>
      <c r="T129"/>
      <c r="U129"/>
      <c r="V129" s="17"/>
    </row>
    <row r="130" spans="1:22" s="31" customFormat="1" ht="15.75" customHeight="1">
      <c r="A130" s="122" t="s">
        <v>50</v>
      </c>
      <c r="B130" s="122"/>
      <c r="C130" s="161" t="s">
        <v>74</v>
      </c>
      <c r="D130" s="161"/>
      <c r="E130" s="113" t="s">
        <v>51</v>
      </c>
      <c r="F130" s="113"/>
      <c r="G130" s="122" t="s">
        <v>52</v>
      </c>
      <c r="H130" s="122"/>
      <c r="R130"/>
      <c r="S130" s="17"/>
      <c r="T130"/>
      <c r="U130" s="17"/>
      <c r="V130" s="17"/>
    </row>
    <row r="131" spans="1:22" s="31" customFormat="1">
      <c r="A131" s="156" t="s">
        <v>301</v>
      </c>
      <c r="B131" s="156"/>
      <c r="C131" s="119">
        <f>COUNT(D146:D151)</f>
        <v>6</v>
      </c>
      <c r="D131" s="120"/>
      <c r="E131" s="119">
        <f>SUM(F146:F151)</f>
        <v>899.43984</v>
      </c>
      <c r="F131" s="120"/>
      <c r="G131" s="119">
        <f>SUM(H146:H151)</f>
        <v>1394.1317519999998</v>
      </c>
      <c r="H131" s="120"/>
      <c r="R131"/>
      <c r="S131" s="17"/>
      <c r="T131"/>
      <c r="U131" s="17"/>
      <c r="V131" s="17"/>
    </row>
    <row r="132" spans="1:22" s="31" customFormat="1">
      <c r="A132" s="111" t="s">
        <v>142</v>
      </c>
      <c r="B132" s="111"/>
      <c r="C132" s="112">
        <f>SUM(C131)</f>
        <v>6</v>
      </c>
      <c r="D132" s="113"/>
      <c r="E132" s="112">
        <f>SUM(E131)</f>
        <v>899.43984</v>
      </c>
      <c r="F132" s="113"/>
      <c r="G132" s="112">
        <f>SUM(G131)</f>
        <v>1394.1317519999998</v>
      </c>
      <c r="H132" s="113"/>
      <c r="R132"/>
      <c r="S132" s="17"/>
      <c r="T132"/>
      <c r="U132" s="17"/>
      <c r="V132" s="17"/>
    </row>
    <row r="133" spans="1:22" s="31" customFormat="1">
      <c r="A133" s="111" t="s">
        <v>66</v>
      </c>
      <c r="B133" s="111"/>
      <c r="C133" s="111"/>
      <c r="D133" s="111"/>
      <c r="E133" s="111"/>
      <c r="F133" s="111"/>
      <c r="G133" s="111"/>
      <c r="H133" s="111"/>
      <c r="T133"/>
    </row>
    <row r="134" spans="1:22" s="31" customFormat="1" ht="15.75" customHeight="1">
      <c r="A134" s="122" t="s">
        <v>50</v>
      </c>
      <c r="B134" s="122"/>
      <c r="C134" s="161" t="s">
        <v>74</v>
      </c>
      <c r="D134" s="161"/>
      <c r="E134" s="113" t="s">
        <v>51</v>
      </c>
      <c r="F134" s="113"/>
      <c r="G134" s="122" t="s">
        <v>52</v>
      </c>
      <c r="H134" s="122"/>
      <c r="T134"/>
    </row>
    <row r="135" spans="1:22" s="31" customFormat="1" ht="15.75" customHeight="1">
      <c r="A135" s="156" t="s">
        <v>301</v>
      </c>
      <c r="B135" s="156"/>
      <c r="C135" s="119">
        <f>COUNT(D157:D164)+COUNT(D166:D173)*6+COUNT(D175:D182)+COUNT(D184:D191)*12+COUNT(D202:D209)*2</f>
        <v>176</v>
      </c>
      <c r="D135" s="119"/>
      <c r="E135" s="119">
        <f>SUM(F157:F164)+SUM(F166:F173)*6+SUM(F175:F182)+SUM(F184:F191)*12+SUM(F202:F209)*2</f>
        <v>112767.10848</v>
      </c>
      <c r="F135" s="119"/>
      <c r="G135" s="119">
        <f>SUM(H157:H164)+SUM(H166:H173)*6+SUM(H175:H182)+SUM(H184:H191)*12+SUM(H202:H209)*2</f>
        <v>169612.33046500001</v>
      </c>
      <c r="H135" s="119"/>
      <c r="T135"/>
    </row>
    <row r="136" spans="1:22" s="31" customFormat="1" ht="15.75" customHeight="1">
      <c r="A136" s="156" t="s">
        <v>365</v>
      </c>
      <c r="B136" s="156"/>
      <c r="C136" s="119">
        <f>COUNT(F213:F216)+COUNT(F218:F221)*6</f>
        <v>28</v>
      </c>
      <c r="D136" s="119"/>
      <c r="E136" s="119">
        <f>SUM(F213:F216)+SUM(F218:F221)*6</f>
        <v>15597.412739999998</v>
      </c>
      <c r="F136" s="119"/>
      <c r="G136" s="119">
        <f>SUM(H213:H216)+SUM(H218:H221)*6</f>
        <v>23396.119109999996</v>
      </c>
      <c r="H136" s="119"/>
      <c r="T136"/>
    </row>
    <row r="137" spans="1:22" s="31" customFormat="1" ht="15.75" customHeight="1">
      <c r="A137" s="156" t="s">
        <v>366</v>
      </c>
      <c r="B137" s="156"/>
      <c r="C137" s="119">
        <f>COUNT(F225:F229)+COUNT(F231:F235)*6</f>
        <v>35</v>
      </c>
      <c r="D137" s="119"/>
      <c r="E137" s="119">
        <f>SUM(F225:F229)+SUM(F231:F235)*6</f>
        <v>16780.376339999999</v>
      </c>
      <c r="F137" s="119"/>
      <c r="G137" s="119">
        <f>SUM(H225:H229)+SUM(H231:H235)*6</f>
        <v>25170.56451</v>
      </c>
      <c r="H137" s="119"/>
      <c r="T137"/>
    </row>
    <row r="138" spans="1:22" s="31" customFormat="1">
      <c r="A138" s="111" t="s">
        <v>142</v>
      </c>
      <c r="B138" s="111"/>
      <c r="C138" s="112">
        <f>SUM(C135:C137)</f>
        <v>239</v>
      </c>
      <c r="D138" s="113"/>
      <c r="E138" s="112">
        <f>SUM(E135:E137)</f>
        <v>145144.89755999998</v>
      </c>
      <c r="F138" s="113"/>
      <c r="G138" s="112">
        <f>SUM(G135:G137)</f>
        <v>218179.014085</v>
      </c>
      <c r="H138" s="113"/>
      <c r="T138"/>
    </row>
    <row r="139" spans="1:22" s="31" customFormat="1">
      <c r="A139" s="111" t="s">
        <v>157</v>
      </c>
      <c r="B139" s="111"/>
      <c r="C139" s="161">
        <f>C132+C138</f>
        <v>245</v>
      </c>
      <c r="D139" s="161"/>
      <c r="E139" s="112">
        <f>E132+E138</f>
        <v>146044.33739999999</v>
      </c>
      <c r="F139" s="112"/>
      <c r="G139" s="122">
        <f>G132+G138</f>
        <v>219573.14583699999</v>
      </c>
      <c r="H139" s="122"/>
      <c r="T139"/>
    </row>
    <row r="140" spans="1:22" s="30" customFormat="1">
      <c r="A140" s="151" t="s">
        <v>53</v>
      </c>
      <c r="B140" s="151"/>
      <c r="C140" s="151"/>
      <c r="D140" s="151"/>
      <c r="E140" s="151"/>
      <c r="F140" s="151"/>
      <c r="G140" s="151"/>
      <c r="H140" s="151"/>
      <c r="T140" s="31"/>
    </row>
    <row r="141" spans="1:22">
      <c r="A141" s="165" t="s">
        <v>165</v>
      </c>
      <c r="B141" s="165"/>
      <c r="C141" s="165"/>
      <c r="D141" s="165"/>
      <c r="E141" s="165"/>
      <c r="F141" s="165"/>
      <c r="G141" s="165"/>
      <c r="H141" s="165"/>
      <c r="J141" s="61">
        <f>10.764</f>
        <v>10.763999999999999</v>
      </c>
      <c r="T141" s="31"/>
    </row>
    <row r="142" spans="1:22" ht="47.25" customHeight="1">
      <c r="A142" s="118" t="s">
        <v>325</v>
      </c>
      <c r="B142" s="118" t="s">
        <v>167</v>
      </c>
      <c r="C142" s="118" t="s">
        <v>54</v>
      </c>
      <c r="D142" s="118" t="s">
        <v>222</v>
      </c>
      <c r="E142" s="124" t="s">
        <v>314</v>
      </c>
      <c r="F142" s="118" t="s">
        <v>55</v>
      </c>
      <c r="G142" s="124" t="s">
        <v>56</v>
      </c>
      <c r="H142" s="72" t="s">
        <v>141</v>
      </c>
      <c r="T142" s="31"/>
    </row>
    <row r="143" spans="1:22" s="33" customFormat="1">
      <c r="A143" s="118"/>
      <c r="B143" s="118"/>
      <c r="C143" s="118"/>
      <c r="D143" s="118"/>
      <c r="E143" s="124"/>
      <c r="F143" s="118"/>
      <c r="G143" s="124"/>
      <c r="H143" s="73">
        <v>0.55000000000000004</v>
      </c>
      <c r="J143" s="33" t="s">
        <v>318</v>
      </c>
      <c r="T143" s="31"/>
    </row>
    <row r="144" spans="1:22" s="33" customFormat="1">
      <c r="A144" s="136" t="s">
        <v>352</v>
      </c>
      <c r="B144" s="136"/>
      <c r="C144" s="136"/>
      <c r="D144" s="136"/>
      <c r="E144" s="136"/>
      <c r="F144" s="136"/>
      <c r="G144" s="136"/>
      <c r="H144" s="136"/>
      <c r="J144" s="32"/>
      <c r="T144" s="31"/>
    </row>
    <row r="145" spans="1:20" s="33" customFormat="1">
      <c r="A145" s="136" t="s">
        <v>326</v>
      </c>
      <c r="B145" s="136"/>
      <c r="C145" s="136"/>
      <c r="D145" s="136"/>
      <c r="E145" s="136"/>
      <c r="F145" s="136"/>
      <c r="G145" s="136"/>
      <c r="H145" s="136"/>
      <c r="J145" s="32"/>
      <c r="T145" s="31"/>
    </row>
    <row r="146" spans="1:20" s="33" customFormat="1" ht="15.75" customHeight="1">
      <c r="A146" s="116">
        <v>1</v>
      </c>
      <c r="B146" s="116"/>
      <c r="C146" s="82" t="s">
        <v>304</v>
      </c>
      <c r="D146" s="61">
        <f>(12.76)*(10.764)</f>
        <v>137.34863999999999</v>
      </c>
      <c r="E146" s="66">
        <v>0</v>
      </c>
      <c r="F146" s="82">
        <f>D146+(IF(E146&lt;201,E146,IF(E146&lt;301,E146/2,E146/3)))</f>
        <v>137.34863999999999</v>
      </c>
      <c r="G146" s="82">
        <v>0</v>
      </c>
      <c r="H146" s="82">
        <f>(F146+(IF(G146&lt;101,G146,IF(G146&lt;201,G146/2,IF(G146&lt;=301,G146/3,G146/4)))))*(($H$143)+1)</f>
        <v>212.89039199999999</v>
      </c>
      <c r="I146" s="56">
        <f>(2.2*5.65)</f>
        <v>12.430000000000001</v>
      </c>
      <c r="L146" s="135"/>
      <c r="M146" s="135"/>
      <c r="N146" s="32"/>
      <c r="T146" s="31"/>
    </row>
    <row r="147" spans="1:20" s="33" customFormat="1" ht="15.75" customHeight="1">
      <c r="A147" s="116">
        <f>A146+1</f>
        <v>2</v>
      </c>
      <c r="B147" s="116"/>
      <c r="C147" s="82" t="s">
        <v>304</v>
      </c>
      <c r="D147" s="61">
        <f>(11.67)*(10.764)</f>
        <v>125.61587999999999</v>
      </c>
      <c r="E147" s="66">
        <v>0</v>
      </c>
      <c r="F147" s="82">
        <f t="shared" ref="F147:F151" si="0">D147+(IF(E147&lt;201,E147,IF(E147&lt;301,E147/2,E147/3)))</f>
        <v>125.61587999999999</v>
      </c>
      <c r="G147" s="82">
        <v>0</v>
      </c>
      <c r="H147" s="82">
        <f t="shared" ref="H147:H151" si="1">(F147+(IF(G147&lt;101,G147,IF(G147&lt;201,G147/2,IF(G147&lt;=301,G147/3,G147/4)))))*(($H$143)+1)</f>
        <v>194.70461399999999</v>
      </c>
      <c r="I147" s="32">
        <f>2.2*4.7+1.05*0.95</f>
        <v>11.337500000000002</v>
      </c>
      <c r="L147" s="135"/>
      <c r="M147" s="135"/>
      <c r="N147" s="32"/>
      <c r="T147" s="30"/>
    </row>
    <row r="148" spans="1:20" s="33" customFormat="1" ht="15.75" customHeight="1">
      <c r="A148" s="116">
        <f t="shared" ref="A148:A151" si="2">A147+1</f>
        <v>3</v>
      </c>
      <c r="B148" s="116"/>
      <c r="C148" s="82" t="s">
        <v>304</v>
      </c>
      <c r="D148" s="61">
        <f>(12.15)*(10.764)</f>
        <v>130.7826</v>
      </c>
      <c r="E148" s="66">
        <v>0</v>
      </c>
      <c r="F148" s="82">
        <f t="shared" si="0"/>
        <v>130.7826</v>
      </c>
      <c r="G148" s="82">
        <v>0</v>
      </c>
      <c r="H148" s="82">
        <f t="shared" si="1"/>
        <v>202.71303</v>
      </c>
      <c r="I148" s="32"/>
      <c r="L148" s="135"/>
      <c r="M148" s="135"/>
      <c r="N148" s="32"/>
      <c r="T148" s="17"/>
    </row>
    <row r="149" spans="1:20" s="33" customFormat="1" ht="15.75" customHeight="1">
      <c r="A149" s="116">
        <f t="shared" si="2"/>
        <v>4</v>
      </c>
      <c r="B149" s="116"/>
      <c r="C149" s="82" t="s">
        <v>304</v>
      </c>
      <c r="D149" s="61">
        <f>(16.82)*(10.764)</f>
        <v>181.05047999999999</v>
      </c>
      <c r="E149" s="66">
        <v>0</v>
      </c>
      <c r="F149" s="82">
        <f t="shared" si="0"/>
        <v>181.05047999999999</v>
      </c>
      <c r="G149" s="82">
        <v>0</v>
      </c>
      <c r="H149" s="82">
        <f t="shared" si="1"/>
        <v>280.628244</v>
      </c>
      <c r="I149" s="32">
        <f>2.9*5.65</f>
        <v>16.385000000000002</v>
      </c>
      <c r="N149" s="32"/>
      <c r="T149" s="17"/>
    </row>
    <row r="150" spans="1:20" s="33" customFormat="1" ht="15.75" customHeight="1">
      <c r="A150" s="116">
        <f t="shared" si="2"/>
        <v>5</v>
      </c>
      <c r="B150" s="116"/>
      <c r="C150" s="82" t="s">
        <v>304</v>
      </c>
      <c r="D150" s="61">
        <f>(16.82)*(10.764)</f>
        <v>181.05047999999999</v>
      </c>
      <c r="E150" s="66">
        <v>0</v>
      </c>
      <c r="F150" s="82">
        <f t="shared" si="0"/>
        <v>181.05047999999999</v>
      </c>
      <c r="G150" s="82">
        <v>0</v>
      </c>
      <c r="H150" s="82">
        <f t="shared" si="1"/>
        <v>280.628244</v>
      </c>
      <c r="I150" s="32"/>
      <c r="N150" s="32"/>
      <c r="T150" s="17"/>
    </row>
    <row r="151" spans="1:20" s="33" customFormat="1" ht="15.75" customHeight="1">
      <c r="A151" s="116">
        <f t="shared" si="2"/>
        <v>6</v>
      </c>
      <c r="B151" s="116"/>
      <c r="C151" s="82" t="s">
        <v>304</v>
      </c>
      <c r="D151" s="61">
        <f>(13.34)*(10.764)</f>
        <v>143.59175999999999</v>
      </c>
      <c r="E151" s="66">
        <v>0</v>
      </c>
      <c r="F151" s="82">
        <f t="shared" si="0"/>
        <v>143.59175999999999</v>
      </c>
      <c r="G151" s="82">
        <v>0</v>
      </c>
      <c r="H151" s="82">
        <f t="shared" si="1"/>
        <v>222.567228</v>
      </c>
      <c r="I151" s="32"/>
      <c r="L151" s="135"/>
      <c r="M151" s="135"/>
      <c r="N151" s="32"/>
      <c r="T151" s="17"/>
    </row>
    <row r="152" spans="1:20" s="33" customFormat="1">
      <c r="A152" s="116"/>
      <c r="B152" s="116"/>
      <c r="C152" s="116"/>
      <c r="D152" s="116"/>
      <c r="E152" s="116"/>
      <c r="F152" s="116"/>
      <c r="G152" s="116"/>
      <c r="H152" s="116"/>
      <c r="I152" s="32"/>
      <c r="N152" s="32"/>
    </row>
    <row r="153" spans="1:20" ht="47.25" customHeight="1">
      <c r="A153" s="117" t="s">
        <v>327</v>
      </c>
      <c r="B153" s="117" t="s">
        <v>168</v>
      </c>
      <c r="C153" s="117" t="s">
        <v>54</v>
      </c>
      <c r="D153" s="117" t="s">
        <v>312</v>
      </c>
      <c r="E153" s="117" t="s">
        <v>311</v>
      </c>
      <c r="F153" s="117" t="s">
        <v>55</v>
      </c>
      <c r="G153" s="121" t="s">
        <v>56</v>
      </c>
      <c r="H153" s="84" t="s">
        <v>141</v>
      </c>
      <c r="I153" s="32"/>
      <c r="T153" s="33"/>
    </row>
    <row r="154" spans="1:20" s="33" customFormat="1">
      <c r="A154" s="117"/>
      <c r="B154" s="117"/>
      <c r="C154" s="117"/>
      <c r="D154" s="117"/>
      <c r="E154" s="117"/>
      <c r="F154" s="117"/>
      <c r="G154" s="121"/>
      <c r="H154" s="74">
        <v>0.5</v>
      </c>
      <c r="I154" s="32"/>
    </row>
    <row r="155" spans="1:20" s="33" customFormat="1">
      <c r="A155" s="136" t="s">
        <v>352</v>
      </c>
      <c r="B155" s="136"/>
      <c r="C155" s="136"/>
      <c r="D155" s="136"/>
      <c r="E155" s="136"/>
      <c r="F155" s="136"/>
      <c r="G155" s="136"/>
      <c r="H155" s="136"/>
      <c r="I155" s="32"/>
      <c r="L155" s="135"/>
      <c r="M155" s="135"/>
    </row>
    <row r="156" spans="1:20" s="33" customFormat="1">
      <c r="A156" s="136" t="s">
        <v>305</v>
      </c>
      <c r="B156" s="136"/>
      <c r="C156" s="136"/>
      <c r="D156" s="136"/>
      <c r="E156" s="136"/>
      <c r="F156" s="136"/>
      <c r="G156" s="136"/>
      <c r="H156" s="136"/>
      <c r="I156" s="32"/>
      <c r="L156" s="135"/>
      <c r="M156" s="135"/>
    </row>
    <row r="157" spans="1:20" s="33" customFormat="1">
      <c r="A157" s="116">
        <v>1</v>
      </c>
      <c r="B157" s="116"/>
      <c r="C157" s="48" t="s">
        <v>306</v>
      </c>
      <c r="D157" s="61">
        <f>(43.24)*(10.764)</f>
        <v>465.43536</v>
      </c>
      <c r="E157" s="61">
        <f>((2.9*1.55+2.3*1.15+2.9*1.2+1.1*3.2)+0.6*(2.9+3.2))*(10.764)</f>
        <v>191.5992</v>
      </c>
      <c r="F157" s="48">
        <f>D157+E157</f>
        <v>657.03456000000006</v>
      </c>
      <c r="G157" s="61">
        <f>((2.9*2+2.5*0.9))*(10.764)</f>
        <v>86.650199999999998</v>
      </c>
      <c r="H157" s="48">
        <f>F157*(($H$154)+1)+(IF(G157&lt;101,G157,IF(G157&lt;201,G157/2,IF(G157&lt;=301,G157/3,G157/4))))</f>
        <v>1072.2020400000001</v>
      </c>
      <c r="I157" s="32">
        <f>(2.9*3.15+2.3*1.2+2.3*2.35+2.9*2.45+2.3*3.2+1.5*2.15+2.25*1.2+0.9*0.9)</f>
        <v>38.5</v>
      </c>
      <c r="J157" s="59">
        <f>(2.9*1.55+2.3*1.15+2.9*1.2+1.1*3.2)+0.6*(2.9+3.2)</f>
        <v>17.8</v>
      </c>
      <c r="K157" s="32">
        <f>2.9*3.15+2.3*1.2+2.3*2.35+2.9*2.45+2.3*3.2+1.5*2.15+2.25*1.2+0.9*0.9</f>
        <v>38.5</v>
      </c>
      <c r="N157" s="32"/>
    </row>
    <row r="158" spans="1:20" s="33" customFormat="1">
      <c r="A158" s="116">
        <v>2</v>
      </c>
      <c r="B158" s="116"/>
      <c r="C158" s="48" t="s">
        <v>306</v>
      </c>
      <c r="D158" s="61">
        <f>(42.37)*(10.764)</f>
        <v>456.07067999999992</v>
      </c>
      <c r="E158" s="61">
        <f>((2.9*1.55+2.3*1.15+2.75*1.05+2.9*1.1)+0.6*(2.75+2.9))*(10.764)</f>
        <v>178.76312999999996</v>
      </c>
      <c r="F158" s="48">
        <f>D158+E158</f>
        <v>634.83380999999986</v>
      </c>
      <c r="G158" s="61">
        <f>((2.9*2+2.5*0.9))*(10.764)</f>
        <v>86.650199999999998</v>
      </c>
      <c r="H158" s="48">
        <f>F158*(($H$154)+1)+(IF(G158&lt;101,G158,IF(G158&lt;201,G158/2,IF(G158&lt;=301,G158/3,G158/4))))</f>
        <v>1038.9009149999997</v>
      </c>
      <c r="I158" s="32"/>
      <c r="J158" s="59">
        <f>(2.9*1.55+2.3*1.15+2.75*1.05+2.9*1.1)+0.6*(2.75+2.9)</f>
        <v>16.607499999999998</v>
      </c>
      <c r="K158" s="32"/>
      <c r="N158" s="32"/>
    </row>
    <row r="159" spans="1:20" s="33" customFormat="1">
      <c r="A159" s="116">
        <v>3</v>
      </c>
      <c r="B159" s="116"/>
      <c r="C159" s="48" t="s">
        <v>306</v>
      </c>
      <c r="D159" s="61">
        <f>(42.37)*(10.764)</f>
        <v>456.07067999999992</v>
      </c>
      <c r="E159" s="61">
        <f>((1.55*2.9+1.15*2.3+1.05*2.75+1.1*2.9)+0.6*(2.9+2.75)+(2.3*0.75))*(10.764)</f>
        <v>197.33102999999997</v>
      </c>
      <c r="F159" s="48">
        <f t="shared" ref="F159:F164" si="3">D159+E159</f>
        <v>653.40170999999987</v>
      </c>
      <c r="G159" s="61">
        <f>(2.9*0.9)*(10.764)</f>
        <v>28.094039999999996</v>
      </c>
      <c r="H159" s="48">
        <f t="shared" ref="H159:H164" si="4">F159*(($H$154)+1)+(IF(G159&lt;101,G159,IF(G159&lt;201,G159/2,IF(G159&lt;=301,G159/3,G159/4))))</f>
        <v>1008.1966049999997</v>
      </c>
      <c r="I159" s="32"/>
      <c r="J159" s="59">
        <f>(1.55*2.9+1.15*2.3+1.05*2.75+1.1*2.9)+0.6*(2.9+2.75)+(2.3*0.75)</f>
        <v>18.3325</v>
      </c>
      <c r="K159" s="32"/>
      <c r="N159" s="32"/>
    </row>
    <row r="160" spans="1:20" s="33" customFormat="1">
      <c r="A160" s="116">
        <v>4</v>
      </c>
      <c r="B160" s="116"/>
      <c r="C160" s="48" t="s">
        <v>307</v>
      </c>
      <c r="D160" s="61">
        <f>(49.95)*(10.764)</f>
        <v>537.66179999999997</v>
      </c>
      <c r="E160" s="61">
        <f>((2.9*1.55+2.15*1.15+2.9*1.2+1.4*2.75+1.1*2.9)+0.6*(2.9+2.75)+(2.15*0.75))*(10.764)</f>
        <v>242.08235999999999</v>
      </c>
      <c r="F160" s="48">
        <f t="shared" si="3"/>
        <v>779.74415999999997</v>
      </c>
      <c r="G160" s="61">
        <f>(2.9*0.9+2.9*0.9)*(10.764)</f>
        <v>56.188079999999992</v>
      </c>
      <c r="H160" s="48">
        <f t="shared" si="4"/>
        <v>1225.8043199999997</v>
      </c>
      <c r="I160" s="32">
        <f>(2.9*3.15+2.15*2.35+2.9*2.45+1.85*2.75+2.25*2.9+2.15*1.35+1.35*2.15+2.25*1.2+3.4*0.6+0.9*2.25+0.9*1.9)</f>
        <v>47.185000000000009</v>
      </c>
      <c r="J160" s="59">
        <f>(2.9*1.55+2.15*1.15+2.9*1.2+1.4*2.75+1.1*2.9)+0.6*(2.9+2.75)+(2.15*0.75)</f>
        <v>22.490000000000002</v>
      </c>
      <c r="K160" s="32"/>
      <c r="N160" s="32"/>
    </row>
    <row r="161" spans="1:15" s="33" customFormat="1">
      <c r="A161" s="116">
        <v>5</v>
      </c>
      <c r="B161" s="116"/>
      <c r="C161" s="48" t="s">
        <v>308</v>
      </c>
      <c r="D161" s="61">
        <f>(29.25)*(10.764)</f>
        <v>314.84699999999998</v>
      </c>
      <c r="E161" s="61">
        <f>((2.75*1.55+2.15*1.2+2.75*1.2)+(2.75*0.6)+(2.15*0.75))*(10.764)</f>
        <v>144.29141999999996</v>
      </c>
      <c r="F161" s="48">
        <f t="shared" si="3"/>
        <v>459.13841999999994</v>
      </c>
      <c r="G161" s="61">
        <f>(2.75*1.2)*(10.764)</f>
        <v>35.521199999999993</v>
      </c>
      <c r="H161" s="48">
        <f t="shared" si="4"/>
        <v>724.2288299999999</v>
      </c>
      <c r="I161" s="32"/>
      <c r="J161" s="59">
        <f>(2.75*1.55+2.15*1.2+2.75*1.2)+(2.75*0.6)+(2.15*0.75)</f>
        <v>13.404999999999998</v>
      </c>
      <c r="K161" s="32"/>
      <c r="N161" s="32"/>
    </row>
    <row r="162" spans="1:15" s="33" customFormat="1">
      <c r="A162" s="116">
        <v>6</v>
      </c>
      <c r="B162" s="116"/>
      <c r="C162" s="48" t="s">
        <v>308</v>
      </c>
      <c r="D162" s="61">
        <f>(29.25)*(10.764)</f>
        <v>314.84699999999998</v>
      </c>
      <c r="E162" s="61">
        <f>((2.75*1.55+2.15*1.2+2.75*1.2)+(2.75*0.6)+(2.15*0.75))*(10.764)</f>
        <v>144.29141999999996</v>
      </c>
      <c r="F162" s="48">
        <f t="shared" si="3"/>
        <v>459.13841999999994</v>
      </c>
      <c r="G162" s="61">
        <f>(2.75*1.2)*(10.764)</f>
        <v>35.521199999999993</v>
      </c>
      <c r="H162" s="48">
        <f t="shared" si="4"/>
        <v>724.2288299999999</v>
      </c>
      <c r="I162" s="32">
        <f>(2.75*3.15+2.15*2.45+2.75*2.45+1.2*2.15+2.15*1.2+1.4*0.6)</f>
        <v>26.667499999999997</v>
      </c>
      <c r="J162" s="59">
        <f>(2.75*1.55+2.15*1.2+2.75*1.2)+(2.75*0.6)+(2.15*0.75)</f>
        <v>13.404999999999998</v>
      </c>
      <c r="N162" s="32"/>
    </row>
    <row r="163" spans="1:15" s="33" customFormat="1">
      <c r="A163" s="116">
        <v>7</v>
      </c>
      <c r="B163" s="116"/>
      <c r="C163" s="48" t="s">
        <v>306</v>
      </c>
      <c r="D163" s="61">
        <f>(40.68)*(10.764)</f>
        <v>437.87951999999996</v>
      </c>
      <c r="E163" s="61">
        <f>((1.35*2.3+1.55*2.9+1.05*2.75+1.1*2.9)+(0.6*2.75))*(10.764)</f>
        <v>164.98521</v>
      </c>
      <c r="F163" s="48">
        <f t="shared" si="3"/>
        <v>602.86473000000001</v>
      </c>
      <c r="G163" s="61">
        <f>((1.65*2.3+3.05*1.1+0.9*2.9))*(10.764)</f>
        <v>105.05663999999999</v>
      </c>
      <c r="H163" s="48">
        <f t="shared" si="4"/>
        <v>956.82541500000002</v>
      </c>
      <c r="I163" s="32"/>
      <c r="J163" s="59">
        <f>(1.35*2.3+1.55*2.9+1.05*2.75+1.1*2.9)+(0.6*2.75)</f>
        <v>15.327500000000001</v>
      </c>
      <c r="N163" s="32"/>
    </row>
    <row r="164" spans="1:15" s="33" customFormat="1">
      <c r="A164" s="116">
        <v>8</v>
      </c>
      <c r="B164" s="116"/>
      <c r="C164" s="48" t="s">
        <v>306</v>
      </c>
      <c r="D164" s="61">
        <f>(40.68)*(10.764)</f>
        <v>437.87951999999996</v>
      </c>
      <c r="E164" s="61">
        <f>((1.35*2.3+1.55*2.9+1.05*2.75+1.1*2.9)+(0.6*2.75))*(10.764)</f>
        <v>164.98521</v>
      </c>
      <c r="F164" s="48">
        <f t="shared" si="3"/>
        <v>602.86473000000001</v>
      </c>
      <c r="G164" s="61">
        <f>((2.45*2.3+3.05*1.65+0.9*2.9))*(10.764)</f>
        <v>142.91900999999999</v>
      </c>
      <c r="H164" s="48">
        <f t="shared" si="4"/>
        <v>975.75660000000005</v>
      </c>
      <c r="I164" s="32"/>
      <c r="J164" s="59">
        <f>(1.35*2.3+1.55*2.9+1.05*2.75+1.1*2.9)+(0.6*2.75)</f>
        <v>15.327500000000001</v>
      </c>
      <c r="N164" s="32"/>
    </row>
    <row r="165" spans="1:15" s="33" customFormat="1">
      <c r="A165" s="136" t="s">
        <v>309</v>
      </c>
      <c r="B165" s="136"/>
      <c r="C165" s="136"/>
      <c r="D165" s="136"/>
      <c r="E165" s="136"/>
      <c r="F165" s="136"/>
      <c r="G165" s="136"/>
      <c r="H165" s="136"/>
      <c r="I165" s="32"/>
      <c r="L165" s="135"/>
      <c r="M165" s="135"/>
    </row>
    <row r="166" spans="1:15" s="33" customFormat="1">
      <c r="A166" s="116">
        <v>1</v>
      </c>
      <c r="B166" s="116"/>
      <c r="C166" s="48" t="s">
        <v>306</v>
      </c>
      <c r="D166" s="61">
        <f>(47.74)*(10.764)</f>
        <v>513.87335999999993</v>
      </c>
      <c r="E166" s="61">
        <f>((2.9*1)+(2.3*1.15+2.9*1.2+3.2*1.1)+(2.3*0.75)+0.6*(2.9+3.2))*(10.764)</f>
        <v>192.99851999999998</v>
      </c>
      <c r="F166" s="48">
        <f>D166+E166</f>
        <v>706.87187999999992</v>
      </c>
      <c r="G166" s="48">
        <v>0</v>
      </c>
      <c r="H166" s="48">
        <f>F166*(($H$154)+1)+(IF(G166&lt;101,G166,IF(G166&lt;201,G166/2,IF(G166&lt;=301,G166/3,G166/4))))</f>
        <v>1060.30782</v>
      </c>
      <c r="I166" s="32"/>
      <c r="J166" s="58">
        <f>(2.9*1)+(2.3*1.15+2.9*1.2+3.2*1.1)+(2.3*0.75)+0.6*(2.9+3.2)</f>
        <v>17.93</v>
      </c>
      <c r="N166" s="32"/>
    </row>
    <row r="167" spans="1:15" s="33" customFormat="1">
      <c r="A167" s="116">
        <v>2</v>
      </c>
      <c r="B167" s="116"/>
      <c r="C167" s="48" t="s">
        <v>306</v>
      </c>
      <c r="D167" s="61">
        <f>(46.88)*(10.764)</f>
        <v>504.61631999999997</v>
      </c>
      <c r="E167" s="61">
        <f>((2.9*1)+(2.3*1.15+2.75*1.05+2.9*1.1)+(2.3*0.75)+0.6*(2.75+2.9))*(10.764)</f>
        <v>180.16245000000001</v>
      </c>
      <c r="F167" s="48">
        <f>D167+E167</f>
        <v>684.77877000000001</v>
      </c>
      <c r="G167" s="48">
        <v>0</v>
      </c>
      <c r="H167" s="48">
        <f>F167*(($H$154)+1)+(IF(G167&lt;101,G167,IF(G167&lt;201,G167/2,IF(G167&lt;=301,G167/3,G167/4))))</f>
        <v>1027.1681550000001</v>
      </c>
      <c r="I167" s="32">
        <f>(2.9*4.7+2.3*1.1+2.3*2.35+2.75*2.15+2.9*2.25+3.5*0.6+2.15*1.2+1.2*2.15+0.8*0.9+0.9*1.9)</f>
        <v>43.692499999999995</v>
      </c>
      <c r="J167" s="58">
        <f>(2.9*1)+(2.3*1.15+2.75*1.05+2.9*1.1)+(2.3*0.75)+0.6*(2.75+2.9)</f>
        <v>16.737500000000001</v>
      </c>
      <c r="L167" s="33">
        <f>6600000/H167</f>
        <v>6425.4328445375131</v>
      </c>
      <c r="N167" s="32"/>
    </row>
    <row r="168" spans="1:15" s="33" customFormat="1">
      <c r="A168" s="116">
        <v>3</v>
      </c>
      <c r="B168" s="116"/>
      <c r="C168" s="48" t="s">
        <v>306</v>
      </c>
      <c r="D168" s="61">
        <f>(46.88)*(10.764)</f>
        <v>504.61631999999997</v>
      </c>
      <c r="E168" s="61">
        <f>((2.9*1)+(2.3*1.15+2.75*1.05+2.9*1.1)+(2.3*0.75)+0.6*(2.75+2.9))*(10.764)</f>
        <v>180.16245000000001</v>
      </c>
      <c r="F168" s="48">
        <f>D168+E168</f>
        <v>684.77877000000001</v>
      </c>
      <c r="G168" s="48">
        <v>0</v>
      </c>
      <c r="H168" s="48">
        <f>F168*(($H$154)+1)+(IF(G168&lt;101,G168,IF(G168&lt;201,G168/2,IF(G168&lt;=301,G168/3,G168/4))))</f>
        <v>1027.1681550000001</v>
      </c>
      <c r="I168" s="32"/>
      <c r="J168" s="58">
        <f>(2.9*1)+(2.3*1.15+2.75*1.05+2.9*1.1)+(2.3*0.75)+0.6*(2.75+2.9)</f>
        <v>16.737500000000001</v>
      </c>
      <c r="N168" s="32"/>
    </row>
    <row r="169" spans="1:15" s="33" customFormat="1">
      <c r="A169" s="116">
        <v>4</v>
      </c>
      <c r="B169" s="116"/>
      <c r="C169" s="48" t="s">
        <v>307</v>
      </c>
      <c r="D169" s="61">
        <f>(49.95)*(10.764)</f>
        <v>537.66179999999997</v>
      </c>
      <c r="E169" s="61">
        <f>((2.9*1.55+2.15*1.15+2.9*1.2+2.75*1.4+2.9*1.1)+0.6*(2.9+2.9+2.75+2.9)+(2.15*0.75))*(10.764)</f>
        <v>279.54108000000002</v>
      </c>
      <c r="F169" s="48">
        <f t="shared" ref="F169:F172" si="5">D169+E169</f>
        <v>817.20288000000005</v>
      </c>
      <c r="G169" s="48">
        <v>0</v>
      </c>
      <c r="H169" s="48">
        <f t="shared" ref="H169:H173" si="6">F169*(($H$154)+1)+(IF(G169&lt;101,G169,IF(G169&lt;201,G169/2,IF(G169&lt;=301,G169/3,G169/4))))</f>
        <v>1225.8043200000002</v>
      </c>
      <c r="I169" s="32"/>
      <c r="J169" s="58">
        <f>(2.9*1.55+2.15*1.15+2.9*1.2+2.75*1.4+2.9*1.1)+0.6*(2.9+2.9+2.75+2.9)+(2.15*0.75)</f>
        <v>25.970000000000002</v>
      </c>
      <c r="N169" s="32"/>
    </row>
    <row r="170" spans="1:15" s="33" customFormat="1">
      <c r="A170" s="116">
        <v>5</v>
      </c>
      <c r="B170" s="116"/>
      <c r="C170" s="48" t="s">
        <v>308</v>
      </c>
      <c r="D170" s="61">
        <f>(29.25)*(10.764)</f>
        <v>314.84699999999998</v>
      </c>
      <c r="E170" s="61">
        <f>((2.75*1.55+2.15*1.2+2.75*1.2)+0.6*(2.75+2.75)+(0.75*2.15))*(10.764)</f>
        <v>162.05202</v>
      </c>
      <c r="F170" s="48">
        <f t="shared" si="5"/>
        <v>476.89901999999995</v>
      </c>
      <c r="G170" s="48">
        <v>0</v>
      </c>
      <c r="H170" s="48">
        <f t="shared" si="6"/>
        <v>715.34852999999998</v>
      </c>
      <c r="I170" s="32"/>
      <c r="J170" s="58">
        <f>(2.75*1.55+2.15*1.2+2.75*1.2)+0.6*(2.75+2.75)+(0.75*2.15)</f>
        <v>15.055</v>
      </c>
      <c r="L170" s="33">
        <f>4200000/H170</f>
        <v>5871.2638998503289</v>
      </c>
      <c r="M170" s="33">
        <f>4600000/H170</f>
        <v>6430.4318903122648</v>
      </c>
      <c r="N170" s="32"/>
    </row>
    <row r="171" spans="1:15" s="33" customFormat="1">
      <c r="A171" s="116">
        <v>6</v>
      </c>
      <c r="B171" s="116"/>
      <c r="C171" s="48" t="s">
        <v>308</v>
      </c>
      <c r="D171" s="61">
        <f>(29.25)*(10.764)</f>
        <v>314.84699999999998</v>
      </c>
      <c r="E171" s="61">
        <f>((2.75*1.55+2.15*1.2+2.75*1.2)+0.6*(2.75+2.75)+(0.75*2.15))*(10.764)</f>
        <v>162.05202</v>
      </c>
      <c r="F171" s="48">
        <f t="shared" si="5"/>
        <v>476.89901999999995</v>
      </c>
      <c r="G171" s="48">
        <v>0</v>
      </c>
      <c r="H171" s="48">
        <f t="shared" si="6"/>
        <v>715.34852999999998</v>
      </c>
      <c r="I171" s="32">
        <f>(2.75*3.15+2.15*2.45+2.75*2.45+1.4*0.6+2.15*1.2+1.2*2.15)</f>
        <v>26.667499999999997</v>
      </c>
      <c r="J171" s="58">
        <f>(2.75*1.55+2.15*1.2+2.75*1.2)+0.6*(2.75+2.75)+(0.75*2.15)</f>
        <v>15.055</v>
      </c>
      <c r="M171" s="33">
        <f>4600000/H171</f>
        <v>6430.4318903122648</v>
      </c>
      <c r="N171" s="32"/>
    </row>
    <row r="172" spans="1:15" s="33" customFormat="1">
      <c r="A172" s="116">
        <v>7</v>
      </c>
      <c r="B172" s="116"/>
      <c r="C172" s="48" t="s">
        <v>306</v>
      </c>
      <c r="D172" s="61">
        <f>(45.3)*(10.764)</f>
        <v>487.60919999999993</v>
      </c>
      <c r="E172" s="61">
        <f>((1*2.9)+(1.35*2.3+1.05*2.75+1.1*2.9)+0.6*(2.75+2.9)+(2.3*0.75))*(10.764)</f>
        <v>185.11389</v>
      </c>
      <c r="F172" s="48">
        <f t="shared" si="5"/>
        <v>672.72308999999996</v>
      </c>
      <c r="G172" s="48">
        <v>0</v>
      </c>
      <c r="H172" s="48">
        <f t="shared" si="6"/>
        <v>1009.0846349999999</v>
      </c>
      <c r="I172" s="32">
        <f>(4.7*2.9+2.75*2.3+2.15*2.75+2.25*2.9+2.15*0.6+2.15*1.2+1.2*2.15+2.75*0.9)</f>
        <v>41.317499999999995</v>
      </c>
      <c r="J172" s="58">
        <f>(1*2.9)+(1.35*2.3+1.05*2.75+1.1*2.9)+0.6*(2.75+2.9)+(2.3*0.75)</f>
        <v>17.197500000000002</v>
      </c>
      <c r="L172" s="33">
        <f>500000*0.8</f>
        <v>400000</v>
      </c>
      <c r="M172" s="33">
        <f>5000000-L172</f>
        <v>4600000</v>
      </c>
      <c r="N172" s="32"/>
    </row>
    <row r="173" spans="1:15" s="33" customFormat="1">
      <c r="A173" s="116">
        <v>8</v>
      </c>
      <c r="B173" s="116"/>
      <c r="C173" s="48" t="s">
        <v>306</v>
      </c>
      <c r="D173" s="61">
        <f>(45.3)*(10.764)</f>
        <v>487.60919999999993</v>
      </c>
      <c r="E173" s="61">
        <f>((1*2.9)+(1.35*2.3+1.05*2.75+1.1*2.9)+0.6*(2.75+2.9)+(2.3*0.75))*(10.764)</f>
        <v>185.11389</v>
      </c>
      <c r="F173" s="48">
        <f>D173+E173</f>
        <v>672.72308999999996</v>
      </c>
      <c r="G173" s="48">
        <v>0</v>
      </c>
      <c r="H173" s="48">
        <f t="shared" si="6"/>
        <v>1009.0846349999999</v>
      </c>
      <c r="I173" s="32"/>
      <c r="J173" s="58">
        <f>(1*2.9)+(1.35*2.3+1.05*2.75+1.1*2.9)+0.6*(2.75+2.9)+(2.3*0.75)</f>
        <v>17.197500000000002</v>
      </c>
      <c r="N173" s="32"/>
    </row>
    <row r="174" spans="1:15" s="33" customFormat="1">
      <c r="A174" s="136" t="s">
        <v>310</v>
      </c>
      <c r="B174" s="136"/>
      <c r="C174" s="136"/>
      <c r="D174" s="136"/>
      <c r="E174" s="136"/>
      <c r="F174" s="136"/>
      <c r="G174" s="136"/>
      <c r="H174" s="136"/>
      <c r="I174" s="32"/>
      <c r="L174" s="135"/>
      <c r="M174" s="135"/>
      <c r="N174" s="33">
        <f>7500000*0.12</f>
        <v>900000</v>
      </c>
      <c r="O174" s="33">
        <f>7500000-N174</f>
        <v>6600000</v>
      </c>
    </row>
    <row r="175" spans="1:15" s="33" customFormat="1">
      <c r="A175" s="116">
        <v>1</v>
      </c>
      <c r="B175" s="116"/>
      <c r="C175" s="48" t="s">
        <v>306</v>
      </c>
      <c r="D175" s="61">
        <f>(47.74)*(10.764)</f>
        <v>513.87335999999993</v>
      </c>
      <c r="E175" s="61">
        <f>((2.9*1)+(2.3*1.15+2.9*1.2+1.1*3.2)+(2.3*0.75)+0.6*(2.9+3.2))*(10.764)</f>
        <v>192.99851999999998</v>
      </c>
      <c r="F175" s="48">
        <f>D175+E175</f>
        <v>706.87187999999992</v>
      </c>
      <c r="G175" s="48">
        <f>2.9*2.25+2.3*1.1</f>
        <v>9.0549999999999997</v>
      </c>
      <c r="H175" s="48">
        <f>F175*(($H$154)+1)+(IF(G175&lt;101,G175,IF(G175&lt;201,G175/2,IF(G175&lt;=301,G175/3,G175/4))))</f>
        <v>1069.3628200000001</v>
      </c>
      <c r="I175" s="32">
        <f>(2.9*4.7+2.3*1.2+2.3*2.35+2.9*2.45+2.3*3.2+2.25*1.2+1.5*2.15+0.9*0.9)</f>
        <v>42.995000000000012</v>
      </c>
      <c r="J175" s="60">
        <f>(2.9*1)+(2.3*1.15+2.9*1.2+1.1*3.2)+(2.3*0.75)+0.6*(2.9+3.2)</f>
        <v>17.93</v>
      </c>
      <c r="L175" s="32">
        <f>6600000/H175</f>
        <v>6171.899636458279</v>
      </c>
      <c r="N175" s="32"/>
    </row>
    <row r="176" spans="1:15" s="33" customFormat="1">
      <c r="A176" s="116">
        <v>2</v>
      </c>
      <c r="B176" s="116"/>
      <c r="C176" s="48" t="s">
        <v>308</v>
      </c>
      <c r="D176" s="61">
        <f>(29.98)*(10.764)</f>
        <v>322.70472000000001</v>
      </c>
      <c r="E176" s="61">
        <f>((2.9*1.55+2.3*1.15+2.75*1.4)+(2.3*0.75)+0.6*(2.75+2.9))*(10.764)</f>
        <v>173.35421999999997</v>
      </c>
      <c r="F176" s="48">
        <f>D176+E176</f>
        <v>496.05894000000001</v>
      </c>
      <c r="G176" s="48">
        <v>0</v>
      </c>
      <c r="H176" s="48">
        <f>F176*(($H$154)+1)+(IF(G176&lt;101,G176,IF(G176&lt;201,G176/2,IF(G176&lt;=301,G176/3,G176/4))))</f>
        <v>744.08841000000007</v>
      </c>
      <c r="I176" s="32">
        <f>(2.9*3.15+2.3*1.1+2.3*2.35+2.15*1.8+0.6*1.8+1.2*2.15+2.15*1.2+0.8*0.9)</f>
        <v>27.9</v>
      </c>
      <c r="J176" s="60">
        <f>(2.9*1.55+2.3*1.15+2.75*1.4)+(2.3*0.75)+0.6*(2.75+2.9)</f>
        <v>16.104999999999997</v>
      </c>
      <c r="L176" s="33">
        <f>4600000/H176</f>
        <v>6182.0610806180939</v>
      </c>
      <c r="N176" s="32"/>
    </row>
    <row r="177" spans="1:14" s="33" customFormat="1">
      <c r="A177" s="116">
        <v>3</v>
      </c>
      <c r="B177" s="116"/>
      <c r="C177" s="48" t="s">
        <v>308</v>
      </c>
      <c r="D177" s="61">
        <f>(29.98)*(10.764)</f>
        <v>322.70472000000001</v>
      </c>
      <c r="E177" s="61">
        <f>((2.9*1.55+2.3*1.15+2.75*1.4)+(2.3*0.75)+0.6*(2.75+2.9))*(10.764)</f>
        <v>173.35421999999997</v>
      </c>
      <c r="F177" s="48">
        <f t="shared" ref="F177:F182" si="7">D177+E177</f>
        <v>496.05894000000001</v>
      </c>
      <c r="G177" s="48">
        <v>0</v>
      </c>
      <c r="H177" s="48">
        <f t="shared" ref="H177:H182" si="8">F177*(($H$154)+1)+(IF(G177&lt;101,G177,IF(G177&lt;201,G177/2,IF(G177&lt;=301,G177/3,G177/4))))</f>
        <v>744.08841000000007</v>
      </c>
      <c r="I177" s="32"/>
      <c r="J177" s="60">
        <f>(2.9*1.55+2.3*1.15+2.75*1.4)+(2.3*0.75)+0.6*(2.75+2.9)</f>
        <v>16.104999999999997</v>
      </c>
      <c r="L177" s="33">
        <f>4600000/H177</f>
        <v>6182.0610806180939</v>
      </c>
      <c r="N177" s="32"/>
    </row>
    <row r="178" spans="1:14" s="33" customFormat="1">
      <c r="A178" s="116">
        <v>4</v>
      </c>
      <c r="B178" s="116"/>
      <c r="C178" s="48" t="s">
        <v>307</v>
      </c>
      <c r="D178" s="61">
        <f>(49.95)*(10.764)</f>
        <v>537.66179999999997</v>
      </c>
      <c r="E178" s="61">
        <f>((2.9*1.55+2.15*1.15+2.9*1.2+1.4*2.75+2.9*1.1)+(2.15*0.75)+0.6*(2.9+2.9+2.75+2.9))*(10.764)</f>
        <v>279.54108000000002</v>
      </c>
      <c r="F178" s="48">
        <f t="shared" si="7"/>
        <v>817.20288000000005</v>
      </c>
      <c r="G178" s="48">
        <v>0</v>
      </c>
      <c r="H178" s="48">
        <f t="shared" si="8"/>
        <v>1225.8043200000002</v>
      </c>
      <c r="I178" s="32"/>
      <c r="J178" s="60">
        <f>(2.9*1.55+2.15*1.15+2.9*1.2+1.4*2.75+2.9*1.1)+(2.15*0.75)+0.6*(2.9+2.9+2.75+2.9)</f>
        <v>25.970000000000002</v>
      </c>
      <c r="L178" s="33">
        <f>9000000/H178</f>
        <v>7342.1180307147215</v>
      </c>
      <c r="N178" s="32"/>
    </row>
    <row r="179" spans="1:14" s="33" customFormat="1">
      <c r="A179" s="116">
        <v>5</v>
      </c>
      <c r="B179" s="116"/>
      <c r="C179" s="48" t="s">
        <v>308</v>
      </c>
      <c r="D179" s="61">
        <f>(29.25)*(10.764)</f>
        <v>314.84699999999998</v>
      </c>
      <c r="E179" s="61">
        <f>((2.75*1.55+2.15*1.2+2.75*1.2)+(0.75*2.15)+0.6*(2.75+2.75))*(10.764)</f>
        <v>162.05202</v>
      </c>
      <c r="F179" s="48">
        <f t="shared" si="7"/>
        <v>476.89901999999995</v>
      </c>
      <c r="G179" s="48">
        <v>0</v>
      </c>
      <c r="H179" s="48">
        <f t="shared" si="8"/>
        <v>715.34852999999998</v>
      </c>
      <c r="I179" s="32"/>
      <c r="J179" s="60">
        <f>(2.75*1.55+2.15*1.2+2.75*1.2)+(0.75*2.15)+0.6*(2.75+2.75)</f>
        <v>15.055</v>
      </c>
      <c r="L179" s="33">
        <f>4600000/H179</f>
        <v>6430.4318903122648</v>
      </c>
      <c r="N179" s="32"/>
    </row>
    <row r="180" spans="1:14" s="33" customFormat="1">
      <c r="A180" s="116">
        <v>6</v>
      </c>
      <c r="B180" s="116"/>
      <c r="C180" s="48" t="s">
        <v>308</v>
      </c>
      <c r="D180" s="61">
        <f>(29.25)*(10.764)</f>
        <v>314.84699999999998</v>
      </c>
      <c r="E180" s="61">
        <f>((2.75*1.55+2.15*1.2+2.75*1.2)+(0.75*2.15)+0.6*(2.75+2.75))*(10.764)</f>
        <v>162.05202</v>
      </c>
      <c r="F180" s="48">
        <f t="shared" si="7"/>
        <v>476.89901999999995</v>
      </c>
      <c r="G180" s="48">
        <v>0</v>
      </c>
      <c r="H180" s="48">
        <f t="shared" si="8"/>
        <v>715.34852999999998</v>
      </c>
      <c r="I180" s="32"/>
      <c r="J180" s="60">
        <f>(2.75*1.55+2.15*1.2+2.75*1.2)+(0.75*2.15)+0.6*(2.75+2.75)</f>
        <v>15.055</v>
      </c>
      <c r="L180" s="33">
        <f>4600000/H180</f>
        <v>6430.4318903122648</v>
      </c>
      <c r="N180" s="32"/>
    </row>
    <row r="181" spans="1:14" s="33" customFormat="1">
      <c r="A181" s="116">
        <v>7</v>
      </c>
      <c r="B181" s="116"/>
      <c r="C181" s="48" t="s">
        <v>306</v>
      </c>
      <c r="D181" s="61">
        <f>(45.3)*(10.764)</f>
        <v>487.60919999999993</v>
      </c>
      <c r="E181" s="61">
        <f>((2.9*1)+(2.3*1.35+2.75*1.05+2.9*1.1)+(0.75*2.3)+0.6*(2.75+2.9))*(10.764)</f>
        <v>185.11388999999997</v>
      </c>
      <c r="F181" s="48">
        <f t="shared" si="7"/>
        <v>672.72308999999996</v>
      </c>
      <c r="G181" s="48">
        <v>0</v>
      </c>
      <c r="H181" s="48">
        <f t="shared" si="8"/>
        <v>1009.0846349999999</v>
      </c>
      <c r="I181" s="32"/>
      <c r="J181" s="60">
        <f>(2.9*1)+(2.3*1.35+2.75*1.05+2.9*1.1)+(0.75*2.3)+0.6*(2.75+2.9)</f>
        <v>17.197499999999998</v>
      </c>
      <c r="N181" s="32"/>
    </row>
    <row r="182" spans="1:14" s="33" customFormat="1">
      <c r="A182" s="116">
        <v>8</v>
      </c>
      <c r="B182" s="116"/>
      <c r="C182" s="48" t="s">
        <v>306</v>
      </c>
      <c r="D182" s="61">
        <f>(45.3)*(10.764)</f>
        <v>487.60919999999993</v>
      </c>
      <c r="E182" s="61">
        <f>((2.9*1)+(2.3*1.35+2.75*1.05+2.9*1.1)+(0.75*2.3)+0.6*(2.75+2.9))*(10.764)</f>
        <v>185.11388999999997</v>
      </c>
      <c r="F182" s="48">
        <f t="shared" si="7"/>
        <v>672.72308999999996</v>
      </c>
      <c r="G182" s="48">
        <v>0</v>
      </c>
      <c r="H182" s="48">
        <f t="shared" si="8"/>
        <v>1009.0846349999999</v>
      </c>
      <c r="I182" s="32"/>
      <c r="J182" s="60">
        <f>(2.9*1)+(2.3*1.35+2.75*1.05+2.9*1.1)+(0.75*2.3)+0.6*(2.75+2.9)</f>
        <v>17.197499999999998</v>
      </c>
      <c r="N182" s="32"/>
    </row>
    <row r="183" spans="1:14" s="33" customFormat="1" ht="15.75" customHeight="1">
      <c r="A183" s="136" t="s">
        <v>339</v>
      </c>
      <c r="B183" s="136"/>
      <c r="C183" s="136"/>
      <c r="D183" s="136"/>
      <c r="E183" s="136"/>
      <c r="F183" s="136"/>
      <c r="G183" s="136"/>
      <c r="H183" s="136"/>
      <c r="I183" s="32"/>
      <c r="L183" s="33">
        <v>6500</v>
      </c>
    </row>
    <row r="184" spans="1:14" s="33" customFormat="1" ht="15.75" customHeight="1">
      <c r="A184" s="116">
        <v>1</v>
      </c>
      <c r="B184" s="116"/>
      <c r="C184" s="82" t="s">
        <v>306</v>
      </c>
      <c r="D184" s="61">
        <f>(47.74)*(10.764)</f>
        <v>513.87335999999993</v>
      </c>
      <c r="E184" s="61">
        <f>((2.9*1)+(2.3*1.15+2.9*1.2+1.1*3.2)+(2.3*0.75)+0.6*(2.9+3.2))*(10.764)</f>
        <v>192.99851999999998</v>
      </c>
      <c r="F184" s="82">
        <f>D184+E184</f>
        <v>706.87187999999992</v>
      </c>
      <c r="G184" s="82">
        <v>0</v>
      </c>
      <c r="H184" s="82">
        <f>F184*(($H$154)+1)+(IF(G184&lt;101,G184,IF(G184&lt;201,G184/2,IF(G184&lt;=301,G184/3,G184/4))))</f>
        <v>1060.30782</v>
      </c>
      <c r="I184" s="32"/>
      <c r="J184" s="58">
        <f>(2.9*1)+(2.3*1.15+2.9*1.2+1.1*3.2)+(2.3*0.75)+0.6*(2.9+3.2)</f>
        <v>17.93</v>
      </c>
      <c r="L184" s="33">
        <f>L$183*H184</f>
        <v>6892000.8300000001</v>
      </c>
    </row>
    <row r="185" spans="1:14" s="33" customFormat="1" ht="15.75" customHeight="1">
      <c r="A185" s="116">
        <v>2</v>
      </c>
      <c r="B185" s="116"/>
      <c r="C185" s="82" t="s">
        <v>306</v>
      </c>
      <c r="D185" s="61">
        <f>(46.88)*(10.764)</f>
        <v>504.61631999999997</v>
      </c>
      <c r="E185" s="61">
        <f>((2.9*1)+(2.3*1.15+2.75*1.05+2.9*1.1)+(2.3*0.75)+0.6*(2.75+2.9))*(10.764)</f>
        <v>180.16245000000001</v>
      </c>
      <c r="F185" s="82">
        <f>D185+E185</f>
        <v>684.77877000000001</v>
      </c>
      <c r="G185" s="82">
        <v>0</v>
      </c>
      <c r="H185" s="82">
        <f>F185*(($H$154)+1)+(IF(G185&lt;101,G185,IF(G185&lt;201,G185/2,IF(G185&lt;=301,G185/3,G185/4))))</f>
        <v>1027.1681550000001</v>
      </c>
      <c r="I185" s="32"/>
      <c r="J185" s="58">
        <f>(2.9*1)+(2.3*1.15+2.75*1.05+2.9*1.1)+(2.3*0.75)+0.6*(2.75+2.9)</f>
        <v>16.737500000000001</v>
      </c>
      <c r="L185" s="33">
        <f t="shared" ref="L185:L191" si="9">L$183*H185</f>
        <v>6676593.0075000003</v>
      </c>
    </row>
    <row r="186" spans="1:14" s="33" customFormat="1" ht="15.75" customHeight="1">
      <c r="A186" s="116">
        <v>3</v>
      </c>
      <c r="B186" s="116"/>
      <c r="C186" s="82" t="s">
        <v>306</v>
      </c>
      <c r="D186" s="61">
        <f>(46.88)*(10.764)</f>
        <v>504.61631999999997</v>
      </c>
      <c r="E186" s="61">
        <f>((2.9*1)+(2.3*1.15+2.75*1.05+2.9*1.1)+(2.3*0.75)+0.6*(2.75+2.9))*(10.764)</f>
        <v>180.16245000000001</v>
      </c>
      <c r="F186" s="82">
        <f t="shared" ref="F186:F190" si="10">D186+E186</f>
        <v>684.77877000000001</v>
      </c>
      <c r="G186" s="82">
        <v>0</v>
      </c>
      <c r="H186" s="82">
        <f t="shared" ref="H186:H190" si="11">F186*(($H$154)+1)+(IF(G186&lt;101,G186,IF(G186&lt;201,G186/2,IF(G186&lt;=301,G186/3,G186/4))))</f>
        <v>1027.1681550000001</v>
      </c>
      <c r="I186" s="32"/>
      <c r="J186" s="58">
        <f>(2.9*1)+(2.3*1.15+2.75*1.05+2.9*1.1)+(2.3*0.75)+0.6*(2.75+2.9)</f>
        <v>16.737500000000001</v>
      </c>
      <c r="L186" s="33">
        <f t="shared" si="9"/>
        <v>6676593.0075000003</v>
      </c>
    </row>
    <row r="187" spans="1:14" s="33" customFormat="1" ht="15.75" customHeight="1">
      <c r="A187" s="116">
        <v>4</v>
      </c>
      <c r="B187" s="116"/>
      <c r="C187" s="82" t="s">
        <v>307</v>
      </c>
      <c r="D187" s="61">
        <f>(49.95)*(10.764)</f>
        <v>537.66179999999997</v>
      </c>
      <c r="E187" s="61">
        <f>((2.9*1.55+2.15*1.15+2.9*1.2+2.75*1.4+2.9*1.1)+0.6*(2.9+2.9+2.75+2.9)+(2.15*0.75))*(10.764)</f>
        <v>279.54108000000002</v>
      </c>
      <c r="F187" s="82">
        <f t="shared" si="10"/>
        <v>817.20288000000005</v>
      </c>
      <c r="G187" s="82">
        <v>0</v>
      </c>
      <c r="H187" s="82">
        <f t="shared" si="11"/>
        <v>1225.8043200000002</v>
      </c>
      <c r="I187" s="32">
        <f>(2.9*3.15+2.15*2.35+2.9*2.45+1.85*2.75+2.25*2.9+2.15*1.35+1.35*2.15+2.25*1.2+0.9*2.4+3.4*0.6+0.6*0.9)</f>
        <v>46.150000000000006</v>
      </c>
      <c r="J187" s="58">
        <f>(2.9*1.55+2.15*1.15+2.9*1.2+2.75*1.4+2.9*1.1)+0.6*(2.9+2.9+2.75+2.9)+(2.15*0.75)</f>
        <v>25.970000000000002</v>
      </c>
      <c r="L187" s="33">
        <f t="shared" si="9"/>
        <v>7967728.080000001</v>
      </c>
    </row>
    <row r="188" spans="1:14" s="33" customFormat="1" ht="15.75" customHeight="1">
      <c r="A188" s="116">
        <v>5</v>
      </c>
      <c r="B188" s="116"/>
      <c r="C188" s="82" t="s">
        <v>308</v>
      </c>
      <c r="D188" s="61">
        <f>(29.25)*(10.764)</f>
        <v>314.84699999999998</v>
      </c>
      <c r="E188" s="61">
        <f>((2.75*1.55+2.15*1.2+2.75*1.2)+0.6*(2.75+2.75)+(0.75*2.15))*(10.764)</f>
        <v>162.05202</v>
      </c>
      <c r="F188" s="82">
        <f t="shared" si="10"/>
        <v>476.89901999999995</v>
      </c>
      <c r="G188" s="82">
        <v>0</v>
      </c>
      <c r="H188" s="82">
        <f t="shared" si="11"/>
        <v>715.34852999999998</v>
      </c>
      <c r="I188" s="32"/>
      <c r="J188" s="58">
        <f>(2.75*1.55+2.15*1.2+2.75*1.2)+0.6*(2.75+2.75)+(0.75*2.15)</f>
        <v>15.055</v>
      </c>
      <c r="L188" s="33">
        <f t="shared" si="9"/>
        <v>4649765.4450000003</v>
      </c>
    </row>
    <row r="189" spans="1:14" s="33" customFormat="1" ht="15.75" customHeight="1">
      <c r="A189" s="116">
        <v>6</v>
      </c>
      <c r="B189" s="116"/>
      <c r="C189" s="82" t="s">
        <v>308</v>
      </c>
      <c r="D189" s="61">
        <f>(29.25)*(10.764)</f>
        <v>314.84699999999998</v>
      </c>
      <c r="E189" s="61">
        <f>((2.75*1.55+2.15*1.2+2.75*1.2)+0.6*(2.75+2.75)+(0.75*2.15))*(10.764)</f>
        <v>162.05202</v>
      </c>
      <c r="F189" s="82">
        <f t="shared" si="10"/>
        <v>476.89901999999995</v>
      </c>
      <c r="G189" s="82">
        <v>0</v>
      </c>
      <c r="H189" s="82">
        <f t="shared" si="11"/>
        <v>715.34852999999998</v>
      </c>
      <c r="I189" s="32"/>
      <c r="J189" s="58">
        <f>(2.75*1.55+2.15*1.2+2.75*1.2)+0.6*(2.75+2.75)+(0.75*2.15)</f>
        <v>15.055</v>
      </c>
      <c r="L189" s="33">
        <f t="shared" si="9"/>
        <v>4649765.4450000003</v>
      </c>
      <c r="M189" s="33">
        <f>320*1.5</f>
        <v>480</v>
      </c>
      <c r="N189" s="33">
        <f>2500000/M189</f>
        <v>5208.333333333333</v>
      </c>
    </row>
    <row r="190" spans="1:14" s="33" customFormat="1" ht="15.75" customHeight="1">
      <c r="A190" s="116">
        <v>7</v>
      </c>
      <c r="B190" s="116"/>
      <c r="C190" s="82" t="s">
        <v>306</v>
      </c>
      <c r="D190" s="61">
        <f>(45.3)*(10.764)</f>
        <v>487.60919999999993</v>
      </c>
      <c r="E190" s="61">
        <f>((2.9*1)+(1.35*2.3+1.05*2.75+1.1*2.9)+0.6*(2.75+2.9)+(2.3*0.75))*(10.764)</f>
        <v>185.11389</v>
      </c>
      <c r="F190" s="82">
        <f t="shared" si="10"/>
        <v>672.72308999999996</v>
      </c>
      <c r="G190" s="82">
        <v>0</v>
      </c>
      <c r="H190" s="82">
        <f t="shared" si="11"/>
        <v>1009.0846349999999</v>
      </c>
      <c r="I190" s="32"/>
      <c r="J190" s="58">
        <f>(2.9*1)+(1.35*2.3+1.05*2.75+1.1*2.9)+0.6*(2.75+2.9)+(2.3*0.75)</f>
        <v>17.197500000000002</v>
      </c>
      <c r="L190" s="33">
        <f t="shared" si="9"/>
        <v>6559050.1274999995</v>
      </c>
    </row>
    <row r="191" spans="1:14" s="33" customFormat="1" ht="15.75" customHeight="1">
      <c r="A191" s="116">
        <v>8</v>
      </c>
      <c r="B191" s="116"/>
      <c r="C191" s="82" t="s">
        <v>306</v>
      </c>
      <c r="D191" s="61">
        <f>(45.3)*(10.764)</f>
        <v>487.60919999999993</v>
      </c>
      <c r="E191" s="61">
        <f>((2.9*1)+(1.35*2.3+1.05*2.75+1.1*2.9)+0.6*(2.75+2.9)+(2.3*0.75))*(10.764)</f>
        <v>185.11389</v>
      </c>
      <c r="F191" s="82">
        <f>D191+E191</f>
        <v>672.72308999999996</v>
      </c>
      <c r="G191" s="82">
        <v>0</v>
      </c>
      <c r="H191" s="82">
        <f>F191*(($H$154)+1)+(IF(G191&lt;101,G191,IF(G191&lt;201,G191/2,IF(G191&lt;=301,G191/3,G191/4))))</f>
        <v>1009.0846349999999</v>
      </c>
      <c r="I191" s="32">
        <f>(2.75*2.3+4.7*2.9+2.15*2.75+2.25*2.9+2.15*0.6+1.2*2.15+2.15*1.2+0.9*2.75)</f>
        <v>41.317499999999995</v>
      </c>
      <c r="J191" s="58">
        <f>(2.9*1)+(1.35*2.3+1.05*2.75+1.1*2.9)+0.6*(2.75+2.9)+(2.3*0.75)</f>
        <v>17.197500000000002</v>
      </c>
      <c r="L191" s="33">
        <f t="shared" si="9"/>
        <v>6559050.1274999995</v>
      </c>
    </row>
    <row r="192" spans="1:14" s="77" customFormat="1" ht="15.75" customHeight="1">
      <c r="A192" s="136" t="s">
        <v>340</v>
      </c>
      <c r="B192" s="136"/>
      <c r="C192" s="136"/>
      <c r="D192" s="136"/>
      <c r="E192" s="136"/>
      <c r="F192" s="136"/>
      <c r="G192" s="136"/>
      <c r="H192" s="136"/>
      <c r="I192" s="32"/>
    </row>
    <row r="193" spans="1:20" s="77" customFormat="1" ht="15.75" customHeight="1">
      <c r="A193" s="116">
        <v>1</v>
      </c>
      <c r="B193" s="116"/>
      <c r="C193" s="82" t="s">
        <v>306</v>
      </c>
      <c r="D193" s="61">
        <f>(47.74)*(10.764)</f>
        <v>513.87335999999993</v>
      </c>
      <c r="E193" s="61">
        <f>((2.9*1)+(2.3*1.15+2.9*1.2+1.1*3.2)+(2.3*0.75)+0.6*(2.9+3.2))*(10.764)</f>
        <v>192.99851999999998</v>
      </c>
      <c r="F193" s="82">
        <f>D193+E193</f>
        <v>706.87187999999992</v>
      </c>
      <c r="G193" s="82">
        <v>0</v>
      </c>
      <c r="H193" s="82">
        <f>F193*(($H$154)+1)+(IF(G193&lt;101,G193,IF(G193&lt;201,G193/2,IF(G193&lt;=301,G193/3,G193/4))))</f>
        <v>1060.30782</v>
      </c>
      <c r="I193" s="32"/>
      <c r="J193" s="58">
        <f>(2.9*1)+(2.3*1.15+2.9*1.2+1.1*3.2)+(2.3*0.75)+0.6*(2.9+3.2)</f>
        <v>17.93</v>
      </c>
    </row>
    <row r="194" spans="1:20" s="77" customFormat="1" ht="15.75" customHeight="1">
      <c r="A194" s="116">
        <v>2</v>
      </c>
      <c r="B194" s="116"/>
      <c r="C194" s="82" t="s">
        <v>306</v>
      </c>
      <c r="D194" s="61">
        <f>(46.88)*(10.764)</f>
        <v>504.61631999999997</v>
      </c>
      <c r="E194" s="61">
        <f>((2.9*1)+(2.3*1.15+2.75*1.05+2.9*1.1)+(2.3*0.75)+0.6*(2.75+2.9))*(10.764)</f>
        <v>180.16245000000001</v>
      </c>
      <c r="F194" s="82">
        <f>D194+E194</f>
        <v>684.77877000000001</v>
      </c>
      <c r="G194" s="82">
        <v>0</v>
      </c>
      <c r="H194" s="81">
        <v>1069</v>
      </c>
      <c r="I194" s="78">
        <f>7200*H194</f>
        <v>7696800</v>
      </c>
      <c r="J194" s="79">
        <f>(2.9*1)+(2.3*1.15+2.75*1.05+2.9*1.1)+(2.3*0.75)+0.6*(2.75+2.9)</f>
        <v>16.737500000000001</v>
      </c>
      <c r="K194" s="78"/>
      <c r="L194" s="80">
        <f>1027*7200+300000</f>
        <v>7694400</v>
      </c>
      <c r="M194" s="80" t="s">
        <v>342</v>
      </c>
      <c r="N194" s="80"/>
      <c r="O194" s="80"/>
    </row>
    <row r="195" spans="1:20" s="77" customFormat="1" ht="15.75" customHeight="1">
      <c r="A195" s="116">
        <v>3</v>
      </c>
      <c r="B195" s="116"/>
      <c r="C195" s="82" t="s">
        <v>306</v>
      </c>
      <c r="D195" s="61">
        <f>(46.88)*(10.764)</f>
        <v>504.61631999999997</v>
      </c>
      <c r="E195" s="61">
        <f>((2.9*1)+(2.3*1.15+2.75*1.05+2.9*1.1)+(2.3*0.75)+0.6*(2.75+2.9))*(10.764)</f>
        <v>180.16245000000001</v>
      </c>
      <c r="F195" s="82">
        <f t="shared" ref="F195:F199" si="12">D195+E195</f>
        <v>684.77877000000001</v>
      </c>
      <c r="G195" s="82">
        <v>0</v>
      </c>
      <c r="H195" s="82">
        <f t="shared" ref="H195:H199" si="13">F195*(($H$154)+1)+(IF(G195&lt;101,G195,IF(G195&lt;201,G195/2,IF(G195&lt;=301,G195/3,G195/4))))</f>
        <v>1027.1681550000001</v>
      </c>
      <c r="I195" s="32"/>
      <c r="J195" s="58">
        <f>(2.9*1)+(2.3*1.15+2.75*1.05+2.9*1.1)+(2.3*0.75)+0.6*(2.75+2.9)</f>
        <v>16.737500000000001</v>
      </c>
    </row>
    <row r="196" spans="1:20" s="77" customFormat="1" ht="15.75" customHeight="1">
      <c r="A196" s="116">
        <v>4</v>
      </c>
      <c r="B196" s="116"/>
      <c r="C196" s="82" t="s">
        <v>307</v>
      </c>
      <c r="D196" s="61">
        <f>(49.95)*(10.764)</f>
        <v>537.66179999999997</v>
      </c>
      <c r="E196" s="61">
        <f>((2.9*1.55+2.15*1.15+2.9*1.2+2.75*1.4+2.9*1.1)+0.6*(2.9+2.9+2.75+2.9)+(2.15*0.75))*(10.764)</f>
        <v>279.54108000000002</v>
      </c>
      <c r="F196" s="82">
        <f t="shared" si="12"/>
        <v>817.20288000000005</v>
      </c>
      <c r="G196" s="82">
        <v>0</v>
      </c>
      <c r="H196" s="82">
        <f t="shared" si="13"/>
        <v>1225.8043200000002</v>
      </c>
      <c r="I196" s="32">
        <f>(2.9*3.15+2.15*2.35+2.9*2.45+1.85*2.75+2.25*2.9+2.15*1.35+1.35*2.15+2.25*1.2+0.9*2.4+3.4*0.6+0.6*0.9)</f>
        <v>46.150000000000006</v>
      </c>
      <c r="J196" s="58">
        <f>(2.9*1.55+2.15*1.15+2.9*1.2+2.75*1.4+2.9*1.1)+0.6*(2.9+2.9+2.75+2.9)+(2.15*0.75)</f>
        <v>25.970000000000002</v>
      </c>
    </row>
    <row r="197" spans="1:20" s="77" customFormat="1" ht="15.75" customHeight="1">
      <c r="A197" s="116">
        <v>5</v>
      </c>
      <c r="B197" s="116"/>
      <c r="C197" s="76" t="s">
        <v>308</v>
      </c>
      <c r="D197" s="61">
        <f>(29.25)*(10.764)</f>
        <v>314.84699999999998</v>
      </c>
      <c r="E197" s="61">
        <f>((2.75*1.55+2.15*1.2+2.75*1.2)+0.6*(2.75+2.75)+(0.75*2.15))*(10.764)</f>
        <v>162.05202</v>
      </c>
      <c r="F197" s="76">
        <f t="shared" si="12"/>
        <v>476.89901999999995</v>
      </c>
      <c r="G197" s="76">
        <v>0</v>
      </c>
      <c r="H197" s="76">
        <f t="shared" si="13"/>
        <v>715.34852999999998</v>
      </c>
      <c r="I197" s="32"/>
      <c r="J197" s="58">
        <f>(2.75*1.55+2.15*1.2+2.75*1.2)+0.6*(2.75+2.75)+(0.75*2.15)</f>
        <v>15.055</v>
      </c>
    </row>
    <row r="198" spans="1:20" s="77" customFormat="1" ht="15.75" customHeight="1">
      <c r="A198" s="116">
        <v>6</v>
      </c>
      <c r="B198" s="116"/>
      <c r="C198" s="76" t="s">
        <v>308</v>
      </c>
      <c r="D198" s="61">
        <f>(29.25)*(10.764)</f>
        <v>314.84699999999998</v>
      </c>
      <c r="E198" s="61">
        <f>((2.75*1.55+2.15*1.2+2.75*1.2)+0.6*(2.75+2.75)+(0.75*2.15))*(10.764)</f>
        <v>162.05202</v>
      </c>
      <c r="F198" s="76">
        <f t="shared" si="12"/>
        <v>476.89901999999995</v>
      </c>
      <c r="G198" s="76">
        <v>0</v>
      </c>
      <c r="H198" s="76">
        <f t="shared" si="13"/>
        <v>715.34852999999998</v>
      </c>
      <c r="I198" s="32"/>
      <c r="J198" s="58">
        <f>(2.75*1.55+2.15*1.2+2.75*1.2)+0.6*(2.75+2.75)+(0.75*2.15)</f>
        <v>15.055</v>
      </c>
      <c r="M198" s="77">
        <f>320*1.5</f>
        <v>480</v>
      </c>
      <c r="N198" s="77">
        <f>2500000/M198</f>
        <v>5208.333333333333</v>
      </c>
    </row>
    <row r="199" spans="1:20" s="77" customFormat="1" ht="15.75" customHeight="1">
      <c r="A199" s="116">
        <v>7</v>
      </c>
      <c r="B199" s="116"/>
      <c r="C199" s="76" t="s">
        <v>306</v>
      </c>
      <c r="D199" s="61">
        <f>(45.3)*(10.764)</f>
        <v>487.60919999999993</v>
      </c>
      <c r="E199" s="61">
        <f>((2.9*1)+(1.35*2.3+1.05*2.75+1.1*2.9)+0.6*(2.75+2.9)+(2.3*0.75))*(10.764)</f>
        <v>185.11389</v>
      </c>
      <c r="F199" s="76">
        <f t="shared" si="12"/>
        <v>672.72308999999996</v>
      </c>
      <c r="G199" s="76">
        <v>0</v>
      </c>
      <c r="H199" s="76">
        <f t="shared" si="13"/>
        <v>1009.0846349999999</v>
      </c>
      <c r="I199" s="32"/>
      <c r="J199" s="58">
        <f>(2.9*1)+(1.35*2.3+1.05*2.75+1.1*2.9)+0.6*(2.75+2.9)+(2.3*0.75)</f>
        <v>17.197500000000002</v>
      </c>
    </row>
    <row r="200" spans="1:20" s="77" customFormat="1" ht="15.75" customHeight="1">
      <c r="A200" s="116">
        <v>8</v>
      </c>
      <c r="B200" s="116"/>
      <c r="C200" s="76" t="s">
        <v>306</v>
      </c>
      <c r="D200" s="61">
        <f>(45.3)*(10.764)</f>
        <v>487.60919999999993</v>
      </c>
      <c r="E200" s="61">
        <f>((2.9*1)+(1.35*2.3+1.05*2.75+1.1*2.9)+0.6*(2.75+2.9)+(2.3*0.75))*(10.764)</f>
        <v>185.11389</v>
      </c>
      <c r="F200" s="76">
        <f>D200+E200</f>
        <v>672.72308999999996</v>
      </c>
      <c r="G200" s="76">
        <v>0</v>
      </c>
      <c r="H200" s="76">
        <f>F200*(($H$154)+1)+(IF(G200&lt;101,G200,IF(G200&lt;201,G200/2,IF(G200&lt;=301,G200/3,G200/4))))</f>
        <v>1009.0846349999999</v>
      </c>
      <c r="I200" s="32">
        <f>(2.75*2.3+4.7*2.9+2.15*2.75+2.25*2.9+2.15*0.6+1.2*2.15+2.15*1.2+0.9*2.75)</f>
        <v>41.317499999999995</v>
      </c>
      <c r="J200" s="58">
        <f>(2.9*1)+(1.35*2.3+1.05*2.75+1.1*2.9)+0.6*(2.75+2.9)+(2.3*0.75)</f>
        <v>17.197500000000002</v>
      </c>
    </row>
    <row r="201" spans="1:20" s="33" customFormat="1" ht="15.75" customHeight="1">
      <c r="A201" s="136" t="s">
        <v>313</v>
      </c>
      <c r="B201" s="136"/>
      <c r="C201" s="136"/>
      <c r="D201" s="136"/>
      <c r="E201" s="136"/>
      <c r="F201" s="136"/>
      <c r="G201" s="136"/>
      <c r="H201" s="136"/>
      <c r="I201" s="32"/>
    </row>
    <row r="202" spans="1:20" s="33" customFormat="1" ht="15.75" customHeight="1">
      <c r="A202" s="116">
        <v>1</v>
      </c>
      <c r="B202" s="116"/>
      <c r="C202" s="48" t="s">
        <v>306</v>
      </c>
      <c r="D202" s="61">
        <f>(47.74)*(10.764)</f>
        <v>513.87335999999993</v>
      </c>
      <c r="E202" s="61">
        <f>((2.9*1)+(2.3*1.15+2.9*1.2+1.1*3.2)+(2.3*0.75)+0.6*(2.9+3.2))*(10.764)</f>
        <v>192.99851999999998</v>
      </c>
      <c r="F202" s="48">
        <f>D202+E202</f>
        <v>706.87187999999992</v>
      </c>
      <c r="G202" s="48">
        <v>0</v>
      </c>
      <c r="H202" s="48">
        <f>F202*(($H$154)+1)+(IF(G202&lt;101,G202,IF(G202&lt;201,G202/2,IF(G202&lt;=301,G202/3,G202/4))))</f>
        <v>1060.30782</v>
      </c>
      <c r="I202" s="32">
        <f>(2.9*4.7+2.3*1.2+2.3*2.35+2.9*2.45+2.3*3.2+1.5*2.15+2.25*1.2+0.9*0.9)</f>
        <v>42.995000000000012</v>
      </c>
      <c r="J202" s="60">
        <f>(2.9*1)+(2.3*1.15+2.9*1.2+1.1*3.2)+(2.3*0.75)+0.6*(2.9+3.2)</f>
        <v>17.93</v>
      </c>
    </row>
    <row r="203" spans="1:20" s="33" customFormat="1" ht="15.75" customHeight="1">
      <c r="A203" s="116">
        <v>2</v>
      </c>
      <c r="B203" s="116"/>
      <c r="C203" s="48" t="s">
        <v>308</v>
      </c>
      <c r="D203" s="61">
        <f>(29.98)*(10.764)</f>
        <v>322.70472000000001</v>
      </c>
      <c r="E203" s="61">
        <f>((2.9*1.55+2.3*1.15+2.75*1.4)+(2.3*0.75)+0.6*(2.75+2.9))*(10.764)</f>
        <v>173.35421999999997</v>
      </c>
      <c r="F203" s="48">
        <f>D203+E203</f>
        <v>496.05894000000001</v>
      </c>
      <c r="G203" s="48">
        <v>0</v>
      </c>
      <c r="H203" s="48">
        <f>F203*(($H$154)+1)+(IF(G203&lt;101,G203,IF(G203&lt;201,G203/2,IF(G203&lt;=301,G203/3,G203/4))))</f>
        <v>744.08841000000007</v>
      </c>
      <c r="I203" s="32"/>
      <c r="J203" s="60">
        <f>(2.9*1.55+2.3*1.15+2.75*1.4)+(2.3*0.75)+0.6*(2.75+2.9)</f>
        <v>16.104999999999997</v>
      </c>
    </row>
    <row r="204" spans="1:20" s="31" customFormat="1">
      <c r="A204" s="116">
        <v>3</v>
      </c>
      <c r="B204" s="116"/>
      <c r="C204" s="48" t="s">
        <v>308</v>
      </c>
      <c r="D204" s="61">
        <f>(29.98)*(10.764)</f>
        <v>322.70472000000001</v>
      </c>
      <c r="E204" s="61">
        <f>((2.9*1.55+2.3*1.15+2.75*1.4)+(2.3*0.75)+0.6*(2.75+2.9))*(10.764)</f>
        <v>173.35421999999997</v>
      </c>
      <c r="F204" s="48">
        <f t="shared" ref="F204:F209" si="14">D204+E204</f>
        <v>496.05894000000001</v>
      </c>
      <c r="G204" s="48">
        <v>0</v>
      </c>
      <c r="H204" s="48">
        <f t="shared" ref="H204:H209" si="15">F204*(($H$154)+1)+(IF(G204&lt;101,G204,IF(G204&lt;201,G204/2,IF(G204&lt;=301,G204/3,G204/4))))</f>
        <v>744.08841000000007</v>
      </c>
      <c r="J204" s="60">
        <f>(2.9*1.55+2.3*1.15+2.75*1.4)+(2.3*0.75)+0.6*(2.75+2.9)</f>
        <v>16.104999999999997</v>
      </c>
      <c r="T204" s="33"/>
    </row>
    <row r="205" spans="1:20" s="31" customFormat="1">
      <c r="A205" s="116">
        <v>4</v>
      </c>
      <c r="B205" s="116"/>
      <c r="C205" s="48" t="s">
        <v>307</v>
      </c>
      <c r="D205" s="61">
        <f>(49.95)*(10.764)</f>
        <v>537.66179999999997</v>
      </c>
      <c r="E205" s="61">
        <f>((2.9*1.55+2.15*1.15+2.9*1.2+1.4*2.75+2.9*1.1)+(2.15*0.75)+0.6*(2.9+2.9+2.75+2.9))*(10.764)</f>
        <v>279.54108000000002</v>
      </c>
      <c r="F205" s="48">
        <f t="shared" si="14"/>
        <v>817.20288000000005</v>
      </c>
      <c r="G205" s="48">
        <v>0</v>
      </c>
      <c r="H205" s="48">
        <f t="shared" si="15"/>
        <v>1225.8043200000002</v>
      </c>
      <c r="J205" s="60">
        <f>(2.9*1.55+2.15*1.15+2.9*1.2+1.4*2.75+2.9*1.1)+(2.15*0.75)+0.6*(2.9+2.9+2.75+2.9)</f>
        <v>25.970000000000002</v>
      </c>
      <c r="T205" s="33"/>
    </row>
    <row r="206" spans="1:20" s="31" customFormat="1">
      <c r="A206" s="116">
        <v>5</v>
      </c>
      <c r="B206" s="116"/>
      <c r="C206" s="48" t="s">
        <v>308</v>
      </c>
      <c r="D206" s="61">
        <f>(29.25)*(10.764)</f>
        <v>314.84699999999998</v>
      </c>
      <c r="E206" s="61">
        <f>((2.75*1.55+2.15*1.2+2.75*1.2)+(0.75*2.15)+0.6*(2.75+2.75))*(10.764)</f>
        <v>162.05202</v>
      </c>
      <c r="F206" s="48">
        <f t="shared" si="14"/>
        <v>476.89901999999995</v>
      </c>
      <c r="G206" s="48">
        <v>0</v>
      </c>
      <c r="H206" s="48">
        <f t="shared" si="15"/>
        <v>715.34852999999998</v>
      </c>
      <c r="J206" s="60">
        <f>(2.75*1.55+2.15*1.2+2.75*1.2)+(0.75*2.15)+0.6*(2.75+2.75)</f>
        <v>15.055</v>
      </c>
      <c r="T206" s="33"/>
    </row>
    <row r="207" spans="1:20" s="31" customFormat="1">
      <c r="A207" s="116">
        <v>6</v>
      </c>
      <c r="B207" s="116"/>
      <c r="C207" s="48" t="s">
        <v>308</v>
      </c>
      <c r="D207" s="61">
        <f>(29.25)*(10.764)</f>
        <v>314.84699999999998</v>
      </c>
      <c r="E207" s="61">
        <f>((2.75*1.55+2.15*1.2+2.75*1.2)+(0.75*2.15)+0.6*(2.75+2.75))*(10.764)</f>
        <v>162.05202</v>
      </c>
      <c r="F207" s="48">
        <f t="shared" si="14"/>
        <v>476.89901999999995</v>
      </c>
      <c r="G207" s="48">
        <v>0</v>
      </c>
      <c r="H207" s="48">
        <f t="shared" si="15"/>
        <v>715.34852999999998</v>
      </c>
      <c r="I207" s="57">
        <f>(2.75*3.15+2.15*2.45+2.75*2.45+1.4*0.6+2.15*1.2+1.2*2.15+0.9*0.4)</f>
        <v>27.027499999999996</v>
      </c>
      <c r="J207" s="60">
        <f>(2.75*1.55+2.15*1.2+2.75*1.2)+(0.75*2.15)+0.6*(2.75+2.75)</f>
        <v>15.055</v>
      </c>
      <c r="T207" s="33"/>
    </row>
    <row r="208" spans="1:20" s="31" customFormat="1" ht="15" customHeight="1">
      <c r="A208" s="116">
        <v>7</v>
      </c>
      <c r="B208" s="116"/>
      <c r="C208" s="48" t="s">
        <v>306</v>
      </c>
      <c r="D208" s="61">
        <f>(45.3)*(10.764)</f>
        <v>487.60919999999993</v>
      </c>
      <c r="E208" s="61">
        <f>((2.9*1)+(2.3*1.35+2.75*1.05+2.9*1.1)+(0.75*2.3)+0.6*(2.75+2.9))*(10.764)</f>
        <v>185.11388999999997</v>
      </c>
      <c r="F208" s="48">
        <f t="shared" si="14"/>
        <v>672.72308999999996</v>
      </c>
      <c r="G208" s="48">
        <v>0</v>
      </c>
      <c r="H208" s="48">
        <f t="shared" si="15"/>
        <v>1009.0846349999999</v>
      </c>
      <c r="J208" s="60">
        <f>(2.9*1)+(2.3*1.35+2.75*1.05+2.9*1.1)+(0.75*2.3)+0.6*(2.75+2.9)</f>
        <v>17.197499999999998</v>
      </c>
      <c r="T208" s="33"/>
    </row>
    <row r="209" spans="1:20" s="31" customFormat="1">
      <c r="A209" s="116">
        <v>8</v>
      </c>
      <c r="B209" s="116"/>
      <c r="C209" s="48" t="s">
        <v>306</v>
      </c>
      <c r="D209" s="61">
        <f>(45.3)*(10.764)</f>
        <v>487.60919999999993</v>
      </c>
      <c r="E209" s="61">
        <f>((2.9*1)+(2.3*1.35+2.75*1.05+2.9*1.1)+(0.75*2.3)+0.6*(2.75+2.9))*(10.764)</f>
        <v>185.11388999999997</v>
      </c>
      <c r="F209" s="48">
        <f t="shared" si="14"/>
        <v>672.72308999999996</v>
      </c>
      <c r="G209" s="48">
        <v>0</v>
      </c>
      <c r="H209" s="48">
        <f t="shared" si="15"/>
        <v>1009.0846349999999</v>
      </c>
      <c r="J209" s="60">
        <f>(2.9*1)+(2.3*1.35+2.75*1.05+2.9*1.1)+(0.75*2.3)+0.6*(2.75+2.9)</f>
        <v>17.197499999999998</v>
      </c>
      <c r="T209" s="33"/>
    </row>
    <row r="210" spans="1:20" s="86" customFormat="1">
      <c r="A210" s="136" t="s">
        <v>353</v>
      </c>
      <c r="B210" s="136"/>
      <c r="C210" s="136"/>
      <c r="D210" s="136"/>
      <c r="E210" s="136"/>
      <c r="F210" s="136"/>
      <c r="G210" s="136"/>
      <c r="H210" s="136"/>
      <c r="I210" s="32"/>
      <c r="L210" s="135"/>
      <c r="M210" s="135"/>
    </row>
    <row r="211" spans="1:20" s="86" customFormat="1">
      <c r="A211" s="136" t="s">
        <v>354</v>
      </c>
      <c r="B211" s="136"/>
      <c r="C211" s="136"/>
      <c r="D211" s="136"/>
      <c r="E211" s="136"/>
      <c r="F211" s="136"/>
      <c r="G211" s="136"/>
      <c r="H211" s="136"/>
      <c r="I211" s="32"/>
      <c r="L211" s="135"/>
      <c r="M211" s="135"/>
    </row>
    <row r="212" spans="1:20" s="86" customFormat="1">
      <c r="A212" s="136" t="s">
        <v>305</v>
      </c>
      <c r="B212" s="136"/>
      <c r="C212" s="136"/>
      <c r="D212" s="136"/>
      <c r="E212" s="136"/>
      <c r="F212" s="136"/>
      <c r="G212" s="136"/>
      <c r="H212" s="136"/>
      <c r="I212" s="32"/>
      <c r="L212" s="135"/>
      <c r="M212" s="135"/>
    </row>
    <row r="213" spans="1:20" s="86" customFormat="1">
      <c r="A213" s="116">
        <v>1</v>
      </c>
      <c r="B213" s="116"/>
      <c r="C213" s="87" t="s">
        <v>306</v>
      </c>
      <c r="D213" s="60">
        <f>(38.44)*10.764</f>
        <v>413.76815999999997</v>
      </c>
      <c r="E213" s="61">
        <f>((2.9*1.55+2.3*1.2+2.9*1.2+1.05*2.9)+0.6*(2.9+3.2+2.9+2.9))*(10.764)</f>
        <v>225.18287999999995</v>
      </c>
      <c r="F213" s="87">
        <f>D213+E213</f>
        <v>638.95103999999992</v>
      </c>
      <c r="G213" s="61">
        <v>0</v>
      </c>
      <c r="H213" s="87">
        <f>F213*(($H$154)+1)+(IF(G213&lt;101,G213,IF(G213&lt;201,G213/2,IF(G213&lt;=301,G213/3,G213/4))))</f>
        <v>958.42655999999988</v>
      </c>
      <c r="I213" s="89">
        <f>3.15*2.9+2.45*2.3+2.45*2.9+2.9*2.15+1.2*2.15+2.15*1.2+0.9*1.2</f>
        <v>34.349999999999994</v>
      </c>
      <c r="J213" s="60">
        <v>10.763999999999999</v>
      </c>
      <c r="K213" s="32"/>
      <c r="N213" s="32"/>
    </row>
    <row r="214" spans="1:20" s="86" customFormat="1">
      <c r="A214" s="116">
        <v>2</v>
      </c>
      <c r="B214" s="116"/>
      <c r="C214" s="87" t="s">
        <v>308</v>
      </c>
      <c r="D214" s="60">
        <f>(29.14)*10.764</f>
        <v>313.66296</v>
      </c>
      <c r="E214" s="61">
        <f>((2.75*1.55+1.2*2.15+1.2*2.9)+0.6*(2.75+2.15+2.9))*(10.764)</f>
        <v>161.48690999999999</v>
      </c>
      <c r="F214" s="87">
        <f>D214+E214</f>
        <v>475.14986999999996</v>
      </c>
      <c r="G214" s="61">
        <v>0</v>
      </c>
      <c r="H214" s="87">
        <f>F214*(($H$154)+1)+(IF(G214&lt;101,G214,IF(G214&lt;201,G214/2,IF(G214&lt;=301,G214/3,G214/4))))</f>
        <v>712.72480499999995</v>
      </c>
      <c r="I214" s="89">
        <f>3.15*2.75+2.45*2.15+2.45*2.9+1.2*2.15+1.2*2.15</f>
        <v>26.194999999999997</v>
      </c>
      <c r="K214" s="32"/>
      <c r="N214" s="32"/>
    </row>
    <row r="215" spans="1:20" s="86" customFormat="1">
      <c r="A215" s="116">
        <v>3</v>
      </c>
      <c r="B215" s="116"/>
      <c r="C215" s="87" t="s">
        <v>308</v>
      </c>
      <c r="D215" s="60">
        <f>(29.14)*10.764</f>
        <v>313.66296</v>
      </c>
      <c r="E215" s="61">
        <f>((2.75*1.55+1.2*2.15+1.2*2.9)+0.6*(2.75+2.15+2.9))*(10.764)</f>
        <v>161.48690999999999</v>
      </c>
      <c r="F215" s="87">
        <f t="shared" ref="F215:F216" si="16">D215+E215</f>
        <v>475.14986999999996</v>
      </c>
      <c r="G215" s="61">
        <v>0</v>
      </c>
      <c r="H215" s="87">
        <f>F215*(($H$154)+1)+(IF(G215&lt;101,G215,IF(G215&lt;201,G215/2,IF(G215&lt;=301,G215/3,G215/4))))</f>
        <v>712.72480499999995</v>
      </c>
      <c r="I215" s="32"/>
      <c r="K215" s="32"/>
      <c r="N215" s="32"/>
    </row>
    <row r="216" spans="1:20" s="86" customFormat="1">
      <c r="A216" s="116">
        <v>4</v>
      </c>
      <c r="B216" s="116"/>
      <c r="C216" s="87" t="s">
        <v>306</v>
      </c>
      <c r="D216" s="60">
        <f>(38.44)*10.764</f>
        <v>413.76815999999997</v>
      </c>
      <c r="E216" s="61">
        <f>((2.9*1.55+2.3*1.2+2.9*1.2+1.05*2.9)+0.6*(2.9+3.2+2.9+2.9))*(10.764)</f>
        <v>225.18287999999995</v>
      </c>
      <c r="F216" s="87">
        <f t="shared" si="16"/>
        <v>638.95103999999992</v>
      </c>
      <c r="G216" s="61">
        <v>0</v>
      </c>
      <c r="H216" s="87">
        <f>F216*(($H$154)+1)+(IF(G216&lt;101,G216,IF(G216&lt;201,G216/2,IF(G216&lt;=301,G216/3,G216/4))))</f>
        <v>958.42655999999988</v>
      </c>
      <c r="I216" s="32"/>
      <c r="K216" s="32"/>
      <c r="N216" s="32"/>
    </row>
    <row r="217" spans="1:20" s="86" customFormat="1">
      <c r="A217" s="136" t="s">
        <v>356</v>
      </c>
      <c r="B217" s="136"/>
      <c r="C217" s="136"/>
      <c r="D217" s="136"/>
      <c r="E217" s="136"/>
      <c r="F217" s="136"/>
      <c r="G217" s="136"/>
      <c r="H217" s="136"/>
      <c r="I217" s="32"/>
      <c r="L217" s="135"/>
      <c r="M217" s="135"/>
    </row>
    <row r="218" spans="1:20" s="86" customFormat="1">
      <c r="A218" s="116">
        <v>1</v>
      </c>
      <c r="B218" s="116"/>
      <c r="C218" s="87" t="s">
        <v>306</v>
      </c>
      <c r="D218" s="60">
        <f>(38.44)*10.764</f>
        <v>413.76815999999997</v>
      </c>
      <c r="E218" s="61">
        <f>((2.9*1.55+2.3*1.2+2.9*1.2+1.05*2.9)+0.6*(2.9+3.2+2.9+2.9))*(10.764)</f>
        <v>225.18287999999995</v>
      </c>
      <c r="F218" s="87">
        <f>D218+E218</f>
        <v>638.95103999999992</v>
      </c>
      <c r="G218" s="61">
        <v>0</v>
      </c>
      <c r="H218" s="87">
        <f>F218*(($H$154)+1)+(IF(G218&lt;101,G218,IF(G218&lt;201,G218/2,IF(G218&lt;=301,G218/3,G218/4))))</f>
        <v>958.42655999999988</v>
      </c>
      <c r="I218" s="89">
        <f>3.15*2.9+2.45*2.3+2.45*2.9+2.9*2.15+1.2*2.15+2.15*1.2+0.9*1.2</f>
        <v>34.349999999999994</v>
      </c>
      <c r="J218" s="60">
        <v>10.763999999999999</v>
      </c>
      <c r="K218" s="32"/>
      <c r="N218" s="32"/>
    </row>
    <row r="219" spans="1:20" s="86" customFormat="1">
      <c r="A219" s="116">
        <v>2</v>
      </c>
      <c r="B219" s="116"/>
      <c r="C219" s="87" t="s">
        <v>308</v>
      </c>
      <c r="D219" s="60">
        <f>(29.14)*10.764</f>
        <v>313.66296</v>
      </c>
      <c r="E219" s="61">
        <f>((2.75*1.55+1.2*2.15+1.2*2.9)+0.6*(2.75+2.15+2.9))*(10.764)</f>
        <v>161.48690999999999</v>
      </c>
      <c r="F219" s="87">
        <f>D219+E219</f>
        <v>475.14986999999996</v>
      </c>
      <c r="G219" s="61">
        <v>0</v>
      </c>
      <c r="H219" s="87">
        <f>F219*(($H$154)+1)+(IF(G219&lt;101,G219,IF(G219&lt;201,G219/2,IF(G219&lt;=301,G219/3,G219/4))))</f>
        <v>712.72480499999995</v>
      </c>
      <c r="I219" s="89">
        <f>3.15*2.75+2.45*2.15+2.45*2.9+1.2*2.15+1.2*2.15</f>
        <v>26.194999999999997</v>
      </c>
      <c r="K219" s="32"/>
      <c r="N219" s="32"/>
    </row>
    <row r="220" spans="1:20" s="86" customFormat="1">
      <c r="A220" s="116">
        <v>3</v>
      </c>
      <c r="B220" s="116"/>
      <c r="C220" s="87" t="s">
        <v>308</v>
      </c>
      <c r="D220" s="60">
        <f>(29.14)*10.764</f>
        <v>313.66296</v>
      </c>
      <c r="E220" s="61">
        <f>((2.75*1.55+1.2*2.15+1.2*2.9)+0.6*(2.75+2.15+2.9))*(10.764)</f>
        <v>161.48690999999999</v>
      </c>
      <c r="F220" s="87">
        <f t="shared" ref="F220:F221" si="17">D220+E220</f>
        <v>475.14986999999996</v>
      </c>
      <c r="G220" s="61">
        <v>0</v>
      </c>
      <c r="H220" s="87">
        <f t="shared" ref="H220:H221" si="18">F220*(($H$154)+1)+(IF(G220&lt;101,G220,IF(G220&lt;201,G220/2,IF(G220&lt;=301,G220/3,G220/4))))</f>
        <v>712.72480499999995</v>
      </c>
      <c r="I220" s="32"/>
      <c r="K220" s="32"/>
      <c r="N220" s="32"/>
    </row>
    <row r="221" spans="1:20" s="86" customFormat="1">
      <c r="A221" s="116">
        <v>4</v>
      </c>
      <c r="B221" s="116"/>
      <c r="C221" s="87" t="s">
        <v>306</v>
      </c>
      <c r="D221" s="60">
        <f>(38.44)*10.764</f>
        <v>413.76815999999997</v>
      </c>
      <c r="E221" s="61">
        <f>((2.9*1.55+2.3*1.2+2.9*1.2+1.05*2.9)+0.6*(2.9+3.2+2.9+2.9))*(10.764)</f>
        <v>225.18287999999995</v>
      </c>
      <c r="F221" s="87">
        <f t="shared" si="17"/>
        <v>638.95103999999992</v>
      </c>
      <c r="G221" s="61">
        <v>0</v>
      </c>
      <c r="H221" s="87">
        <f t="shared" si="18"/>
        <v>958.42655999999988</v>
      </c>
      <c r="I221" s="32"/>
      <c r="K221" s="32"/>
      <c r="N221" s="32"/>
    </row>
    <row r="222" spans="1:20" s="86" customFormat="1">
      <c r="A222" s="136" t="s">
        <v>355</v>
      </c>
      <c r="B222" s="136"/>
      <c r="C222" s="136"/>
      <c r="D222" s="136"/>
      <c r="E222" s="136"/>
      <c r="F222" s="136"/>
      <c r="G222" s="136"/>
      <c r="H222" s="136"/>
      <c r="I222" s="32"/>
      <c r="L222" s="135"/>
      <c r="M222" s="135"/>
    </row>
    <row r="223" spans="1:20" s="86" customFormat="1">
      <c r="A223" s="136" t="s">
        <v>354</v>
      </c>
      <c r="B223" s="136"/>
      <c r="C223" s="136"/>
      <c r="D223" s="136"/>
      <c r="E223" s="136"/>
      <c r="F223" s="136"/>
      <c r="G223" s="136"/>
      <c r="H223" s="136"/>
      <c r="I223" s="32"/>
      <c r="L223" s="135"/>
      <c r="M223" s="135"/>
    </row>
    <row r="224" spans="1:20" s="86" customFormat="1">
      <c r="A224" s="136" t="s">
        <v>305</v>
      </c>
      <c r="B224" s="136"/>
      <c r="C224" s="136"/>
      <c r="D224" s="136"/>
      <c r="E224" s="136"/>
      <c r="F224" s="136"/>
      <c r="G224" s="136"/>
      <c r="H224" s="136"/>
      <c r="I224" s="32"/>
      <c r="L224" s="135"/>
      <c r="M224" s="135"/>
    </row>
    <row r="225" spans="1:20" s="86" customFormat="1">
      <c r="A225" s="116">
        <v>1</v>
      </c>
      <c r="B225" s="116"/>
      <c r="C225" s="87" t="s">
        <v>308</v>
      </c>
      <c r="D225" s="60">
        <f>(29.43)*10.764</f>
        <v>316.78451999999999</v>
      </c>
      <c r="E225" s="61">
        <f>((2.75*1.55+2.15*1.2+2.9*1.2)+0.6*(2.9+2.75)+0.75*2.15)*(10.764)</f>
        <v>164.95829999999998</v>
      </c>
      <c r="F225" s="87">
        <f>D225+E225</f>
        <v>481.74281999999994</v>
      </c>
      <c r="G225" s="61">
        <v>0</v>
      </c>
      <c r="H225" s="87">
        <f>F225*(($H$154)+1)+(IF(G225&lt;101,G225,IF(G225&lt;201,G225/2,IF(G225&lt;=301,G225/3,G225/4))))</f>
        <v>722.61422999999991</v>
      </c>
      <c r="I225" s="89">
        <f>3.15*2.9+2.45*2.3+2.45*2.9+2.9*2.15+1.2*2.15+2.15*1.2+0.9*1.2</f>
        <v>34.349999999999994</v>
      </c>
      <c r="J225" s="60">
        <v>10.763999999999999</v>
      </c>
      <c r="K225" s="32"/>
      <c r="N225" s="32"/>
    </row>
    <row r="226" spans="1:20" s="86" customFormat="1">
      <c r="A226" s="116">
        <v>2</v>
      </c>
      <c r="B226" s="116"/>
      <c r="C226" s="87" t="s">
        <v>308</v>
      </c>
      <c r="D226" s="60">
        <f>(29.23)*10.764</f>
        <v>314.63171999999997</v>
      </c>
      <c r="E226" s="61">
        <f>((2.75*1.55+2.15*1.2+2.9*1.2)+0.6*(2.9+2.75)+0.75*2.15)*(10.764)</f>
        <v>164.95829999999998</v>
      </c>
      <c r="F226" s="87">
        <f>D226+E226</f>
        <v>479.59001999999998</v>
      </c>
      <c r="G226" s="61">
        <v>0</v>
      </c>
      <c r="H226" s="87">
        <f>F226*(($H$154)+1)+(IF(G226&lt;101,G226,IF(G226&lt;201,G226/2,IF(G226&lt;=301,G226/3,G226/4))))</f>
        <v>719.38502999999992</v>
      </c>
      <c r="I226" s="89">
        <f>3.15*2.75+2.45*2.15+2.45*2.9+1.2*2.15+1.2*2.15</f>
        <v>26.194999999999997</v>
      </c>
      <c r="K226" s="32"/>
      <c r="N226" s="32"/>
    </row>
    <row r="227" spans="1:20" s="86" customFormat="1">
      <c r="A227" s="116">
        <v>3</v>
      </c>
      <c r="B227" s="116"/>
      <c r="C227" s="87" t="s">
        <v>308</v>
      </c>
      <c r="D227" s="60">
        <f>(29.14)*10.764</f>
        <v>313.66296</v>
      </c>
      <c r="E227" s="61">
        <f t="shared" ref="E227:E229" si="19">((2.75*1.55+2.15*1.2+2.9*1.2)+0.6*(2.9+2.75)+0.75*2.15)*(10.764)</f>
        <v>164.95829999999998</v>
      </c>
      <c r="F227" s="87">
        <f t="shared" ref="F227:F228" si="20">D227+E227</f>
        <v>478.62126000000001</v>
      </c>
      <c r="G227" s="61">
        <v>0</v>
      </c>
      <c r="H227" s="87">
        <f t="shared" ref="H227:H228" si="21">F227*(($H$154)+1)+(IF(G227&lt;101,G227,IF(G227&lt;201,G227/2,IF(G227&lt;=301,G227/3,G227/4))))</f>
        <v>717.93189000000007</v>
      </c>
      <c r="I227" s="32"/>
      <c r="K227" s="32"/>
      <c r="N227" s="32"/>
    </row>
    <row r="228" spans="1:20" s="86" customFormat="1">
      <c r="A228" s="116">
        <v>4</v>
      </c>
      <c r="B228" s="116"/>
      <c r="C228" s="87" t="s">
        <v>308</v>
      </c>
      <c r="D228" s="60">
        <f>(29.14)*10.764</f>
        <v>313.66296</v>
      </c>
      <c r="E228" s="61">
        <f t="shared" si="19"/>
        <v>164.95829999999998</v>
      </c>
      <c r="F228" s="87">
        <f t="shared" si="20"/>
        <v>478.62126000000001</v>
      </c>
      <c r="G228" s="61">
        <v>0</v>
      </c>
      <c r="H228" s="87">
        <f t="shared" si="21"/>
        <v>717.93189000000007</v>
      </c>
      <c r="I228" s="32"/>
      <c r="K228" s="32"/>
      <c r="N228" s="32"/>
    </row>
    <row r="229" spans="1:20" s="86" customFormat="1">
      <c r="A229" s="116">
        <v>5</v>
      </c>
      <c r="B229" s="116"/>
      <c r="C229" s="87" t="s">
        <v>308</v>
      </c>
      <c r="D229" s="60">
        <f>(29.14)*10.764</f>
        <v>313.66296</v>
      </c>
      <c r="E229" s="61">
        <f t="shared" si="19"/>
        <v>164.95829999999998</v>
      </c>
      <c r="F229" s="87">
        <f t="shared" ref="F229" si="22">D229+E229</f>
        <v>478.62126000000001</v>
      </c>
      <c r="G229" s="61">
        <v>0</v>
      </c>
      <c r="H229" s="87">
        <f t="shared" ref="H229" si="23">F229*(($H$154)+1)+(IF(G229&lt;101,G229,IF(G229&lt;201,G229/2,IF(G229&lt;=301,G229/3,G229/4))))</f>
        <v>717.93189000000007</v>
      </c>
      <c r="I229" s="32"/>
      <c r="K229" s="32"/>
      <c r="N229" s="32"/>
    </row>
    <row r="230" spans="1:20" s="86" customFormat="1">
      <c r="A230" s="136" t="s">
        <v>356</v>
      </c>
      <c r="B230" s="136"/>
      <c r="C230" s="136"/>
      <c r="D230" s="136"/>
      <c r="E230" s="136"/>
      <c r="F230" s="136"/>
      <c r="G230" s="136"/>
      <c r="H230" s="136"/>
      <c r="I230" s="32"/>
      <c r="L230" s="135"/>
      <c r="M230" s="135"/>
    </row>
    <row r="231" spans="1:20" s="86" customFormat="1">
      <c r="A231" s="116">
        <v>1</v>
      </c>
      <c r="B231" s="116"/>
      <c r="C231" s="87" t="s">
        <v>308</v>
      </c>
      <c r="D231" s="60">
        <f>(29.43)*10.764</f>
        <v>316.78451999999999</v>
      </c>
      <c r="E231" s="61">
        <f>((2.75*1.55+2.15*1.2+2.9*1.2)+0.6*(2.9+2.75)+0.75*2.15)*(10.764)</f>
        <v>164.95829999999998</v>
      </c>
      <c r="F231" s="87">
        <f>D231+E231</f>
        <v>481.74281999999994</v>
      </c>
      <c r="G231" s="61">
        <v>0</v>
      </c>
      <c r="H231" s="87">
        <f>F231*(($H$154)+1)+(IF(G231&lt;101,G231,IF(G231&lt;201,G231/2,IF(G231&lt;=301,G231/3,G231/4))))</f>
        <v>722.61422999999991</v>
      </c>
      <c r="I231" s="89">
        <f>3.15*2.9+2.45*2.3+2.45*2.9+2.9*2.15+1.2*2.15+2.15*1.2+0.9*1.2</f>
        <v>34.349999999999994</v>
      </c>
      <c r="J231" s="60">
        <v>10.763999999999999</v>
      </c>
      <c r="K231" s="32"/>
      <c r="N231" s="32"/>
    </row>
    <row r="232" spans="1:20" s="86" customFormat="1">
      <c r="A232" s="116">
        <v>2</v>
      </c>
      <c r="B232" s="116"/>
      <c r="C232" s="87" t="s">
        <v>308</v>
      </c>
      <c r="D232" s="60">
        <f>(29.23)*10.764</f>
        <v>314.63171999999997</v>
      </c>
      <c r="E232" s="61">
        <f>((2.75*1.55+2.15*1.2+2.9*1.2)+0.6*(2.9+2.75)+0.75*2.15)*(10.764)</f>
        <v>164.95829999999998</v>
      </c>
      <c r="F232" s="87">
        <f>D232+E232</f>
        <v>479.59001999999998</v>
      </c>
      <c r="G232" s="61">
        <v>0</v>
      </c>
      <c r="H232" s="87">
        <f>F232*(($H$154)+1)+(IF(G232&lt;101,G232,IF(G232&lt;201,G232/2,IF(G232&lt;=301,G232/3,G232/4))))</f>
        <v>719.38502999999992</v>
      </c>
      <c r="I232" s="89">
        <f>3.15*2.75+2.45*2.15+2.45*2.9+1.2*2.15+1.2*2.15</f>
        <v>26.194999999999997</v>
      </c>
      <c r="K232" s="32"/>
      <c r="N232" s="32"/>
    </row>
    <row r="233" spans="1:20" s="86" customFormat="1">
      <c r="A233" s="116">
        <v>3</v>
      </c>
      <c r="B233" s="116"/>
      <c r="C233" s="87" t="s">
        <v>308</v>
      </c>
      <c r="D233" s="60">
        <f>(29.14)*10.764</f>
        <v>313.66296</v>
      </c>
      <c r="E233" s="61">
        <f t="shared" ref="E233:E235" si="24">((2.75*1.55+2.15*1.2+2.9*1.2)+0.6*(2.9+2.75)+0.75*2.15)*(10.764)</f>
        <v>164.95829999999998</v>
      </c>
      <c r="F233" s="87">
        <f t="shared" ref="F233:F235" si="25">D233+E233</f>
        <v>478.62126000000001</v>
      </c>
      <c r="G233" s="61">
        <v>0</v>
      </c>
      <c r="H233" s="87">
        <f>F233*(($H$154)+1)+(IF(G233&lt;101,G233,IF(G233&lt;201,G233/2,IF(G233&lt;=301,G233/3,G233/4))))</f>
        <v>717.93189000000007</v>
      </c>
      <c r="I233" s="32"/>
      <c r="K233" s="32"/>
      <c r="N233" s="32"/>
    </row>
    <row r="234" spans="1:20" s="86" customFormat="1">
      <c r="A234" s="116">
        <v>4</v>
      </c>
      <c r="B234" s="116"/>
      <c r="C234" s="87" t="s">
        <v>308</v>
      </c>
      <c r="D234" s="60">
        <f>(29.14)*10.764</f>
        <v>313.66296</v>
      </c>
      <c r="E234" s="61">
        <f t="shared" si="24"/>
        <v>164.95829999999998</v>
      </c>
      <c r="F234" s="87">
        <f t="shared" si="25"/>
        <v>478.62126000000001</v>
      </c>
      <c r="G234" s="61">
        <v>0</v>
      </c>
      <c r="H234" s="87">
        <f t="shared" ref="H234:H235" si="26">F234*(($H$154)+1)+(IF(G234&lt;101,G234,IF(G234&lt;201,G234/2,IF(G234&lt;=301,G234/3,G234/4))))</f>
        <v>717.93189000000007</v>
      </c>
      <c r="I234" s="32"/>
      <c r="K234" s="32"/>
      <c r="N234" s="32"/>
    </row>
    <row r="235" spans="1:20" s="86" customFormat="1">
      <c r="A235" s="116">
        <v>5</v>
      </c>
      <c r="B235" s="116"/>
      <c r="C235" s="87" t="s">
        <v>308</v>
      </c>
      <c r="D235" s="60">
        <f>(29.14)*10.764</f>
        <v>313.66296</v>
      </c>
      <c r="E235" s="61">
        <f t="shared" si="24"/>
        <v>164.95829999999998</v>
      </c>
      <c r="F235" s="87">
        <f t="shared" si="25"/>
        <v>478.62126000000001</v>
      </c>
      <c r="G235" s="61">
        <v>0</v>
      </c>
      <c r="H235" s="87">
        <f t="shared" si="26"/>
        <v>717.93189000000007</v>
      </c>
      <c r="I235" s="32"/>
      <c r="K235" s="32"/>
      <c r="N235" s="32"/>
    </row>
    <row r="236" spans="1:20" s="31" customFormat="1">
      <c r="A236" s="159" t="s">
        <v>64</v>
      </c>
      <c r="B236" s="159"/>
      <c r="C236" s="159"/>
      <c r="D236" s="159"/>
      <c r="E236" s="159"/>
      <c r="F236" s="159"/>
      <c r="G236" s="159"/>
      <c r="H236" s="159"/>
      <c r="T236" s="33"/>
    </row>
    <row r="237" spans="1:20" s="31" customFormat="1" ht="15.75" customHeight="1">
      <c r="A237" s="65" t="s">
        <v>145</v>
      </c>
      <c r="B237" s="94" t="s">
        <v>363</v>
      </c>
      <c r="C237" s="94"/>
      <c r="D237" s="94"/>
      <c r="E237" s="94"/>
      <c r="F237" s="94"/>
      <c r="G237" s="94"/>
      <c r="H237" s="94"/>
      <c r="T237" s="33"/>
    </row>
    <row r="238" spans="1:20" s="31" customFormat="1" ht="18" customHeight="1">
      <c r="A238" s="65" t="s">
        <v>145</v>
      </c>
      <c r="B238" s="94" t="str">
        <f>(IF(H153="Saleable area Loading :","We have considered Saleable area of Flats as per our Calculation.","We considered Saleable area of Flat as per Builder area Sheet."))</f>
        <v>We have considered Saleable area of Flats as per our Calculation.</v>
      </c>
      <c r="C238" s="94"/>
      <c r="D238" s="94"/>
      <c r="E238" s="94"/>
      <c r="F238" s="94"/>
      <c r="G238" s="94"/>
      <c r="H238" s="94"/>
      <c r="T238" s="33"/>
    </row>
    <row r="239" spans="1:20" s="31" customFormat="1">
      <c r="A239" s="65" t="s">
        <v>145</v>
      </c>
      <c r="B239" s="94" t="str">
        <f>(IF(H142="Saleable area Loading :","We have considered Saleable area of Commercial as per our Calculation.","We considered Saleable area of Commercial as per Builder area Sheet."))</f>
        <v>We have considered Saleable area of Commercial as per our Calculation.</v>
      </c>
      <c r="C239" s="94"/>
      <c r="D239" s="94"/>
      <c r="E239" s="94"/>
      <c r="F239" s="94"/>
      <c r="G239" s="94"/>
      <c r="H239" s="94"/>
    </row>
    <row r="240" spans="1:20" s="31" customFormat="1">
      <c r="A240" s="65" t="s">
        <v>145</v>
      </c>
      <c r="B240" s="114" t="s">
        <v>115</v>
      </c>
      <c r="C240" s="114"/>
      <c r="D240" s="114"/>
      <c r="E240" s="114"/>
      <c r="F240" s="114"/>
      <c r="G240" s="114"/>
      <c r="H240" s="114"/>
    </row>
    <row r="241" spans="1:20" s="31" customFormat="1" ht="18" customHeight="1">
      <c r="A241" s="65" t="s">
        <v>145</v>
      </c>
      <c r="B241" s="114" t="s">
        <v>315</v>
      </c>
      <c r="C241" s="114"/>
      <c r="D241" s="114"/>
      <c r="E241" s="114"/>
      <c r="F241" s="114"/>
      <c r="G241" s="114"/>
      <c r="H241" s="114"/>
    </row>
    <row r="242" spans="1:20" s="31" customFormat="1">
      <c r="A242" s="65" t="s">
        <v>145</v>
      </c>
      <c r="B242" s="114" t="s">
        <v>144</v>
      </c>
      <c r="C242" s="114"/>
      <c r="D242" s="114"/>
      <c r="E242" s="114"/>
      <c r="F242" s="114"/>
      <c r="G242" s="114"/>
      <c r="H242" s="114"/>
    </row>
    <row r="243" spans="1:20" s="31" customFormat="1">
      <c r="A243" s="65" t="s">
        <v>145</v>
      </c>
      <c r="B243" s="114" t="s">
        <v>116</v>
      </c>
      <c r="C243" s="114"/>
      <c r="D243" s="114"/>
      <c r="E243" s="114"/>
      <c r="F243" s="114"/>
      <c r="G243" s="114"/>
      <c r="H243" s="114"/>
    </row>
    <row r="244" spans="1:20" s="31" customFormat="1" ht="32.25" customHeight="1">
      <c r="A244" s="65" t="s">
        <v>145</v>
      </c>
      <c r="B244" s="114" t="s">
        <v>146</v>
      </c>
      <c r="C244" s="114"/>
      <c r="D244" s="114"/>
      <c r="E244" s="114"/>
      <c r="F244" s="114"/>
      <c r="G244" s="114"/>
      <c r="H244" s="114"/>
    </row>
    <row r="245" spans="1:20">
      <c r="A245" s="65" t="s">
        <v>145</v>
      </c>
      <c r="B245" s="114" t="s">
        <v>117</v>
      </c>
      <c r="C245" s="114"/>
      <c r="D245" s="114"/>
      <c r="E245" s="114"/>
      <c r="F245" s="114"/>
      <c r="G245" s="114"/>
      <c r="H245" s="114"/>
      <c r="T245" s="31"/>
    </row>
    <row r="246" spans="1:20" s="19" customFormat="1" ht="15.75" customHeight="1">
      <c r="A246" s="67" t="s">
        <v>145</v>
      </c>
      <c r="B246" s="94" t="s">
        <v>367</v>
      </c>
      <c r="C246" s="94"/>
      <c r="D246" s="94"/>
      <c r="E246" s="94"/>
      <c r="F246" s="94"/>
      <c r="G246" s="94"/>
      <c r="H246" s="94"/>
      <c r="T246" s="68"/>
    </row>
    <row r="247" spans="1:20" s="19" customFormat="1" ht="15.75" customHeight="1">
      <c r="A247" s="67" t="s">
        <v>145</v>
      </c>
      <c r="B247" s="94" t="s">
        <v>330</v>
      </c>
      <c r="C247" s="94"/>
      <c r="D247" s="94"/>
      <c r="E247" s="94"/>
      <c r="F247" s="94"/>
      <c r="G247" s="94"/>
      <c r="H247" s="94"/>
      <c r="T247" s="68"/>
    </row>
    <row r="248" spans="1:20" s="19" customFormat="1" ht="15.75" customHeight="1">
      <c r="A248" s="67" t="s">
        <v>145</v>
      </c>
      <c r="B248" s="94" t="s">
        <v>336</v>
      </c>
      <c r="C248" s="94"/>
      <c r="D248" s="94"/>
      <c r="E248" s="94"/>
      <c r="F248" s="94"/>
      <c r="G248" s="94"/>
      <c r="H248" s="94"/>
      <c r="T248" s="68"/>
    </row>
    <row r="249" spans="1:20" s="19" customFormat="1" ht="15.75" customHeight="1">
      <c r="A249" s="67" t="s">
        <v>145</v>
      </c>
      <c r="B249" s="94" t="s">
        <v>358</v>
      </c>
      <c r="C249" s="94"/>
      <c r="D249" s="94"/>
      <c r="E249" s="94"/>
      <c r="F249" s="94"/>
      <c r="G249" s="94"/>
      <c r="H249" s="94"/>
      <c r="T249" s="68"/>
    </row>
    <row r="250" spans="1:20" s="19" customFormat="1" ht="15.75" customHeight="1">
      <c r="A250" s="67" t="s">
        <v>145</v>
      </c>
      <c r="B250" s="94" t="s">
        <v>362</v>
      </c>
      <c r="C250" s="94"/>
      <c r="D250" s="94"/>
      <c r="E250" s="94"/>
      <c r="F250" s="94"/>
      <c r="G250" s="94"/>
      <c r="H250" s="94"/>
      <c r="T250" s="68"/>
    </row>
    <row r="251" spans="1:20" s="19" customFormat="1" ht="15.75" customHeight="1">
      <c r="A251" s="67" t="s">
        <v>145</v>
      </c>
      <c r="B251" s="94" t="s">
        <v>376</v>
      </c>
      <c r="C251" s="94"/>
      <c r="D251" s="94"/>
      <c r="E251" s="94"/>
      <c r="F251" s="94"/>
      <c r="G251" s="94"/>
      <c r="H251" s="94"/>
      <c r="T251" s="68"/>
    </row>
    <row r="252" spans="1:20">
      <c r="A252" s="157" t="s">
        <v>57</v>
      </c>
      <c r="B252" s="157"/>
      <c r="C252" s="157"/>
      <c r="D252" s="157"/>
      <c r="E252" s="157"/>
      <c r="F252" s="157"/>
      <c r="G252" s="157"/>
      <c r="H252" s="157"/>
      <c r="T252" s="31"/>
    </row>
    <row r="253" spans="1:20">
      <c r="A253" s="101" t="s">
        <v>58</v>
      </c>
      <c r="B253" s="101"/>
      <c r="C253" s="101"/>
      <c r="D253" s="101"/>
      <c r="E253" s="101"/>
      <c r="F253" s="101"/>
      <c r="G253" s="101"/>
      <c r="H253" s="101"/>
      <c r="T253" s="31"/>
    </row>
    <row r="254" spans="1:20">
      <c r="A254" s="160" t="s">
        <v>59</v>
      </c>
      <c r="B254" s="160"/>
      <c r="C254" s="160"/>
      <c r="D254" s="160"/>
      <c r="E254" s="160"/>
      <c r="F254" s="160"/>
      <c r="G254" s="160"/>
      <c r="H254" s="160"/>
      <c r="T254" s="31"/>
    </row>
    <row r="255" spans="1:20">
      <c r="A255" s="101" t="s">
        <v>60</v>
      </c>
      <c r="B255" s="101"/>
      <c r="C255" s="101"/>
      <c r="D255" s="101"/>
      <c r="E255" s="101"/>
      <c r="F255" s="101"/>
      <c r="G255" s="101"/>
      <c r="H255" s="101"/>
    </row>
    <row r="256" spans="1:20">
      <c r="A256" s="101" t="s">
        <v>61</v>
      </c>
      <c r="B256" s="101"/>
      <c r="C256" s="101"/>
      <c r="D256" s="101"/>
      <c r="E256" s="101"/>
      <c r="F256" s="101"/>
      <c r="G256" s="101"/>
      <c r="H256" s="101"/>
      <c r="J256" s="62"/>
    </row>
    <row r="257" spans="1:8">
      <c r="A257" s="101" t="s">
        <v>118</v>
      </c>
      <c r="B257" s="101"/>
      <c r="C257" s="101"/>
      <c r="D257" s="101"/>
      <c r="E257" s="101"/>
      <c r="F257" s="101"/>
      <c r="G257" s="101"/>
      <c r="H257" s="101"/>
    </row>
    <row r="258" spans="1:8">
      <c r="A258" s="102" t="s">
        <v>119</v>
      </c>
      <c r="B258" s="102"/>
      <c r="C258" s="102"/>
      <c r="D258" s="102"/>
      <c r="E258" s="102"/>
      <c r="F258" s="102"/>
      <c r="G258" s="102"/>
      <c r="H258" s="102"/>
    </row>
    <row r="259" spans="1:8">
      <c r="A259" s="155" t="s">
        <v>73</v>
      </c>
      <c r="B259" s="155"/>
      <c r="C259" s="155" t="s">
        <v>316</v>
      </c>
      <c r="D259" s="155"/>
      <c r="E259" s="155" t="s">
        <v>101</v>
      </c>
      <c r="F259" s="155"/>
      <c r="G259" s="155" t="s">
        <v>359</v>
      </c>
      <c r="H259" s="155"/>
    </row>
    <row r="260" spans="1:8">
      <c r="A260" s="154" t="s">
        <v>75</v>
      </c>
      <c r="B260" s="154"/>
      <c r="C260" s="154"/>
      <c r="D260" s="154"/>
      <c r="E260" s="154"/>
      <c r="F260" s="154"/>
      <c r="G260" s="154"/>
      <c r="H260" s="154"/>
    </row>
    <row r="261" spans="1:8">
      <c r="A261" s="154"/>
      <c r="B261" s="154"/>
      <c r="C261" s="154"/>
      <c r="D261" s="154"/>
      <c r="E261" s="154"/>
      <c r="F261" s="154"/>
      <c r="G261" s="154"/>
      <c r="H261" s="154"/>
    </row>
    <row r="262" spans="1:8">
      <c r="A262" s="154"/>
      <c r="B262" s="154"/>
      <c r="C262" s="154"/>
      <c r="D262" s="154"/>
      <c r="E262" s="154"/>
      <c r="F262" s="154"/>
      <c r="G262" s="154"/>
      <c r="H262" s="154"/>
    </row>
    <row r="263" spans="1:8">
      <c r="A263" s="154"/>
      <c r="B263" s="154"/>
      <c r="C263" s="154"/>
      <c r="D263" s="154"/>
      <c r="E263" s="154"/>
      <c r="F263" s="154"/>
      <c r="G263" s="154"/>
      <c r="H263" s="154"/>
    </row>
    <row r="264" spans="1:8" ht="15" customHeight="1">
      <c r="A264" s="34" t="s">
        <v>62</v>
      </c>
      <c r="B264" s="35"/>
      <c r="C264" s="35"/>
      <c r="D264" s="34" t="str">
        <f>E9</f>
        <v>Sethi Sky A Wing</v>
      </c>
      <c r="F264" s="35"/>
      <c r="G264" s="35"/>
      <c r="H264" s="35"/>
    </row>
    <row r="265" spans="1:8">
      <c r="A265" s="35"/>
      <c r="B265" s="35"/>
      <c r="C265" s="35"/>
      <c r="D265" s="35"/>
      <c r="E265" s="35"/>
      <c r="F265" s="35"/>
      <c r="G265" s="35"/>
      <c r="H265" s="35"/>
    </row>
    <row r="266" spans="1:8">
      <c r="A266" s="35"/>
      <c r="B266" s="35"/>
      <c r="C266" s="35"/>
      <c r="D266" s="35"/>
      <c r="E266" s="35"/>
      <c r="F266" s="35"/>
      <c r="G266" s="35"/>
      <c r="H266" s="35"/>
    </row>
    <row r="305" spans="1:1">
      <c r="A305" s="37" t="s">
        <v>154</v>
      </c>
    </row>
    <row r="331" spans="1:1">
      <c r="A331" s="37" t="s">
        <v>63</v>
      </c>
    </row>
  </sheetData>
  <mergeCells count="443">
    <mergeCell ref="D65:H65"/>
    <mergeCell ref="B250:H250"/>
    <mergeCell ref="B251:H251"/>
    <mergeCell ref="A231:B231"/>
    <mergeCell ref="A232:B232"/>
    <mergeCell ref="A233:B233"/>
    <mergeCell ref="A234:B234"/>
    <mergeCell ref="A235:B235"/>
    <mergeCell ref="A136:B136"/>
    <mergeCell ref="C136:D136"/>
    <mergeCell ref="E136:F136"/>
    <mergeCell ref="G136:H136"/>
    <mergeCell ref="A137:B137"/>
    <mergeCell ref="C137:D137"/>
    <mergeCell ref="E137:F137"/>
    <mergeCell ref="G137:H137"/>
    <mergeCell ref="A226:B226"/>
    <mergeCell ref="A227:B227"/>
    <mergeCell ref="A228:B228"/>
    <mergeCell ref="A229:B229"/>
    <mergeCell ref="A217:H217"/>
    <mergeCell ref="A210:H210"/>
    <mergeCell ref="A174:H174"/>
    <mergeCell ref="A209:B209"/>
    <mergeCell ref="A160:B160"/>
    <mergeCell ref="A144:H144"/>
    <mergeCell ref="L217:M217"/>
    <mergeCell ref="A220:B220"/>
    <mergeCell ref="A221:B221"/>
    <mergeCell ref="A230:H230"/>
    <mergeCell ref="L230:M230"/>
    <mergeCell ref="A218:B218"/>
    <mergeCell ref="A219:B219"/>
    <mergeCell ref="A225:B225"/>
    <mergeCell ref="A211:H211"/>
    <mergeCell ref="L211:M211"/>
    <mergeCell ref="A222:H222"/>
    <mergeCell ref="L222:M222"/>
    <mergeCell ref="A223:H223"/>
    <mergeCell ref="L223:M223"/>
    <mergeCell ref="A224:H224"/>
    <mergeCell ref="L224:M224"/>
    <mergeCell ref="L210:M210"/>
    <mergeCell ref="A212:H212"/>
    <mergeCell ref="L212:M212"/>
    <mergeCell ref="A213:B213"/>
    <mergeCell ref="A214:B214"/>
    <mergeCell ref="A215:B215"/>
    <mergeCell ref="A216:B216"/>
    <mergeCell ref="I12:L12"/>
    <mergeCell ref="L155:M155"/>
    <mergeCell ref="A185:B185"/>
    <mergeCell ref="A183:H183"/>
    <mergeCell ref="L174:M174"/>
    <mergeCell ref="A175:B175"/>
    <mergeCell ref="A176:B176"/>
    <mergeCell ref="A177:B177"/>
    <mergeCell ref="A178:B178"/>
    <mergeCell ref="A179:B179"/>
    <mergeCell ref="A180:B180"/>
    <mergeCell ref="A181:B181"/>
    <mergeCell ref="A182:B182"/>
    <mergeCell ref="L165:M165"/>
    <mergeCell ref="A166:B166"/>
    <mergeCell ref="A167:B167"/>
    <mergeCell ref="A168:B168"/>
    <mergeCell ref="I16:P16"/>
    <mergeCell ref="F126:H126"/>
    <mergeCell ref="F124:H124"/>
    <mergeCell ref="A141:H141"/>
    <mergeCell ref="G130:H130"/>
    <mergeCell ref="A147:B147"/>
    <mergeCell ref="A59:B59"/>
    <mergeCell ref="C59:E59"/>
    <mergeCell ref="D61:H61"/>
    <mergeCell ref="F125:H125"/>
    <mergeCell ref="E130:F130"/>
    <mergeCell ref="A130:B130"/>
    <mergeCell ref="C134:D134"/>
    <mergeCell ref="D71:H71"/>
    <mergeCell ref="A72:C72"/>
    <mergeCell ref="D64:H64"/>
    <mergeCell ref="G77:H77"/>
    <mergeCell ref="A78:B78"/>
    <mergeCell ref="E91:F91"/>
    <mergeCell ref="G91:H91"/>
    <mergeCell ref="A122:E122"/>
    <mergeCell ref="F122:H122"/>
    <mergeCell ref="A124:E124"/>
    <mergeCell ref="A102:B102"/>
    <mergeCell ref="G55:H55"/>
    <mergeCell ref="A57:B58"/>
    <mergeCell ref="C57:E57"/>
    <mergeCell ref="G57:H57"/>
    <mergeCell ref="C54:H54"/>
    <mergeCell ref="G52:H52"/>
    <mergeCell ref="A53:B54"/>
    <mergeCell ref="C53:E53"/>
    <mergeCell ref="L156:M156"/>
    <mergeCell ref="C102:H102"/>
    <mergeCell ref="A104:B104"/>
    <mergeCell ref="C104:H104"/>
    <mergeCell ref="A105:B105"/>
    <mergeCell ref="E105:F105"/>
    <mergeCell ref="G105:H105"/>
    <mergeCell ref="A106:B106"/>
    <mergeCell ref="E106:F115"/>
    <mergeCell ref="G106:H115"/>
    <mergeCell ref="A107:B107"/>
    <mergeCell ref="A108:B108"/>
    <mergeCell ref="A109:B109"/>
    <mergeCell ref="A110:B110"/>
    <mergeCell ref="A111:B111"/>
    <mergeCell ref="A112:B112"/>
    <mergeCell ref="C139:D139"/>
    <mergeCell ref="E139:F139"/>
    <mergeCell ref="B245:H245"/>
    <mergeCell ref="B243:H243"/>
    <mergeCell ref="F119:H119"/>
    <mergeCell ref="A123:E123"/>
    <mergeCell ref="A88:B88"/>
    <mergeCell ref="C88:H88"/>
    <mergeCell ref="A83:B83"/>
    <mergeCell ref="A113:B113"/>
    <mergeCell ref="A114:B114"/>
    <mergeCell ref="A115:B115"/>
    <mergeCell ref="A204:B204"/>
    <mergeCell ref="A201:H201"/>
    <mergeCell ref="A202:B202"/>
    <mergeCell ref="A203:B203"/>
    <mergeCell ref="A73:C73"/>
    <mergeCell ref="D73:H73"/>
    <mergeCell ref="A71:C71"/>
    <mergeCell ref="A257:H257"/>
    <mergeCell ref="A254:H254"/>
    <mergeCell ref="A157:B157"/>
    <mergeCell ref="A134:B134"/>
    <mergeCell ref="D153:D154"/>
    <mergeCell ref="E153:E154"/>
    <mergeCell ref="A96:B96"/>
    <mergeCell ref="A97:B97"/>
    <mergeCell ref="A98:B98"/>
    <mergeCell ref="F117:H117"/>
    <mergeCell ref="G131:H131"/>
    <mergeCell ref="F123:H123"/>
    <mergeCell ref="C130:D130"/>
    <mergeCell ref="A190:B190"/>
    <mergeCell ref="A184:B184"/>
    <mergeCell ref="A149:B149"/>
    <mergeCell ref="A139:B139"/>
    <mergeCell ref="G92:H101"/>
    <mergeCell ref="A93:B93"/>
    <mergeCell ref="A94:B94"/>
    <mergeCell ref="F116:H116"/>
    <mergeCell ref="A155:H155"/>
    <mergeCell ref="F153:F154"/>
    <mergeCell ref="A150:B150"/>
    <mergeCell ref="A187:B187"/>
    <mergeCell ref="A188:B188"/>
    <mergeCell ref="A158:B158"/>
    <mergeCell ref="A159:B159"/>
    <mergeCell ref="A125:E125"/>
    <mergeCell ref="F121:H121"/>
    <mergeCell ref="A151:B151"/>
    <mergeCell ref="A148:B148"/>
    <mergeCell ref="E134:F134"/>
    <mergeCell ref="A140:H140"/>
    <mergeCell ref="D142:D143"/>
    <mergeCell ref="A146:B146"/>
    <mergeCell ref="A169:B169"/>
    <mergeCell ref="A173:B173"/>
    <mergeCell ref="A161:B161"/>
    <mergeCell ref="A162:B162"/>
    <mergeCell ref="A170:B170"/>
    <mergeCell ref="A260:H263"/>
    <mergeCell ref="A259:B259"/>
    <mergeCell ref="E259:F259"/>
    <mergeCell ref="C259:D259"/>
    <mergeCell ref="G259:H259"/>
    <mergeCell ref="A129:H129"/>
    <mergeCell ref="A127:E127"/>
    <mergeCell ref="F127:H127"/>
    <mergeCell ref="A128:E128"/>
    <mergeCell ref="F128:H128"/>
    <mergeCell ref="A156:H156"/>
    <mergeCell ref="A135:B135"/>
    <mergeCell ref="A186:B186"/>
    <mergeCell ref="A131:B131"/>
    <mergeCell ref="A255:H255"/>
    <mergeCell ref="A133:H133"/>
    <mergeCell ref="A258:H258"/>
    <mergeCell ref="A256:H256"/>
    <mergeCell ref="A252:H252"/>
    <mergeCell ref="G134:H134"/>
    <mergeCell ref="A191:B191"/>
    <mergeCell ref="C142:C143"/>
    <mergeCell ref="B153:B154"/>
    <mergeCell ref="A253:H253"/>
    <mergeCell ref="A1:H1"/>
    <mergeCell ref="A2:H2"/>
    <mergeCell ref="A3:D3"/>
    <mergeCell ref="E3:H3"/>
    <mergeCell ref="A5:D5"/>
    <mergeCell ref="A9:D9"/>
    <mergeCell ref="E9:H9"/>
    <mergeCell ref="A11:D11"/>
    <mergeCell ref="E11:H11"/>
    <mergeCell ref="E5:H5"/>
    <mergeCell ref="A6:D6"/>
    <mergeCell ref="E6:H6"/>
    <mergeCell ref="A7:D7"/>
    <mergeCell ref="E7:H7"/>
    <mergeCell ref="A8:D8"/>
    <mergeCell ref="E8:H8"/>
    <mergeCell ref="A4:D4"/>
    <mergeCell ref="E4:H4"/>
    <mergeCell ref="A10:D10"/>
    <mergeCell ref="E10:H10"/>
    <mergeCell ref="E15:H15"/>
    <mergeCell ref="A16:D16"/>
    <mergeCell ref="A12:D12"/>
    <mergeCell ref="E12:H12"/>
    <mergeCell ref="A24:D25"/>
    <mergeCell ref="E24:H25"/>
    <mergeCell ref="E16:H16"/>
    <mergeCell ref="A17:B17"/>
    <mergeCell ref="C17:H17"/>
    <mergeCell ref="C18:H18"/>
    <mergeCell ref="A19:B19"/>
    <mergeCell ref="C19:H19"/>
    <mergeCell ref="A14:D14"/>
    <mergeCell ref="E14:H14"/>
    <mergeCell ref="A13:D13"/>
    <mergeCell ref="E13:H13"/>
    <mergeCell ref="A18:B18"/>
    <mergeCell ref="A15:D15"/>
    <mergeCell ref="A20:B20"/>
    <mergeCell ref="C20:D20"/>
    <mergeCell ref="E20:F20"/>
    <mergeCell ref="G20:H20"/>
    <mergeCell ref="A21:B21"/>
    <mergeCell ref="C21:D21"/>
    <mergeCell ref="E21:F21"/>
    <mergeCell ref="G21:H21"/>
    <mergeCell ref="A22:B22"/>
    <mergeCell ref="C22:D22"/>
    <mergeCell ref="E22:F22"/>
    <mergeCell ref="G22:H22"/>
    <mergeCell ref="A23:B23"/>
    <mergeCell ref="C23:D23"/>
    <mergeCell ref="E23:F23"/>
    <mergeCell ref="G23:H23"/>
    <mergeCell ref="E28:H28"/>
    <mergeCell ref="A30:D30"/>
    <mergeCell ref="E30:H30"/>
    <mergeCell ref="A27:D27"/>
    <mergeCell ref="E27:H27"/>
    <mergeCell ref="A26:D26"/>
    <mergeCell ref="E26:H26"/>
    <mergeCell ref="A31:D31"/>
    <mergeCell ref="E31:H31"/>
    <mergeCell ref="A28:D28"/>
    <mergeCell ref="A37:B37"/>
    <mergeCell ref="C37:E37"/>
    <mergeCell ref="A32:D32"/>
    <mergeCell ref="E32:H32"/>
    <mergeCell ref="A33:D33"/>
    <mergeCell ref="E33:H33"/>
    <mergeCell ref="A29:D29"/>
    <mergeCell ref="E29:H29"/>
    <mergeCell ref="C34:E34"/>
    <mergeCell ref="F37:H37"/>
    <mergeCell ref="F34:H34"/>
    <mergeCell ref="A35:B35"/>
    <mergeCell ref="A34:B34"/>
    <mergeCell ref="C35:E35"/>
    <mergeCell ref="A36:B36"/>
    <mergeCell ref="C36:E36"/>
    <mergeCell ref="F35:H35"/>
    <mergeCell ref="F36:H36"/>
    <mergeCell ref="A39:H39"/>
    <mergeCell ref="A38:B38"/>
    <mergeCell ref="C38:E38"/>
    <mergeCell ref="A43:D43"/>
    <mergeCell ref="E43:H43"/>
    <mergeCell ref="A42:H42"/>
    <mergeCell ref="A67:C67"/>
    <mergeCell ref="A68:C68"/>
    <mergeCell ref="D67:H67"/>
    <mergeCell ref="A41:B41"/>
    <mergeCell ref="C41:H41"/>
    <mergeCell ref="E44:H44"/>
    <mergeCell ref="A44:D44"/>
    <mergeCell ref="A51:B51"/>
    <mergeCell ref="C51:E51"/>
    <mergeCell ref="G51:H51"/>
    <mergeCell ref="A52:B52"/>
    <mergeCell ref="A60:H60"/>
    <mergeCell ref="A61:C61"/>
    <mergeCell ref="A62:C62"/>
    <mergeCell ref="D62:H62"/>
    <mergeCell ref="G59:H59"/>
    <mergeCell ref="A55:B56"/>
    <mergeCell ref="C55:E55"/>
    <mergeCell ref="A45:D45"/>
    <mergeCell ref="E45:H45"/>
    <mergeCell ref="E46:H46"/>
    <mergeCell ref="E47:H47"/>
    <mergeCell ref="A50:B50"/>
    <mergeCell ref="C50:H50"/>
    <mergeCell ref="A46:D46"/>
    <mergeCell ref="C52:E52"/>
    <mergeCell ref="G53:H53"/>
    <mergeCell ref="E48:H48"/>
    <mergeCell ref="C58:H58"/>
    <mergeCell ref="A90:B90"/>
    <mergeCell ref="F38:H38"/>
    <mergeCell ref="A40:B40"/>
    <mergeCell ref="C40:H40"/>
    <mergeCell ref="A47:D47"/>
    <mergeCell ref="L151:M151"/>
    <mergeCell ref="L148:M148"/>
    <mergeCell ref="L147:M147"/>
    <mergeCell ref="L146:M146"/>
    <mergeCell ref="A85:B85"/>
    <mergeCell ref="C135:D135"/>
    <mergeCell ref="E135:F135"/>
    <mergeCell ref="G135:H135"/>
    <mergeCell ref="A117:E117"/>
    <mergeCell ref="A145:H145"/>
    <mergeCell ref="E142:E143"/>
    <mergeCell ref="A92:B92"/>
    <mergeCell ref="A48:D48"/>
    <mergeCell ref="A49:H49"/>
    <mergeCell ref="D63:H63"/>
    <mergeCell ref="F120:H120"/>
    <mergeCell ref="E78:F87"/>
    <mergeCell ref="C56:H56"/>
    <mergeCell ref="A77:B77"/>
    <mergeCell ref="G142:G143"/>
    <mergeCell ref="A80:B80"/>
    <mergeCell ref="A63:C63"/>
    <mergeCell ref="A84:B84"/>
    <mergeCell ref="C90:H90"/>
    <mergeCell ref="A76:B76"/>
    <mergeCell ref="A74:B74"/>
    <mergeCell ref="C74:H74"/>
    <mergeCell ref="D72:H72"/>
    <mergeCell ref="D66:H66"/>
    <mergeCell ref="A64:C66"/>
    <mergeCell ref="A91:B91"/>
    <mergeCell ref="G78:H87"/>
    <mergeCell ref="A86:B86"/>
    <mergeCell ref="A87:B87"/>
    <mergeCell ref="D68:H68"/>
    <mergeCell ref="E92:F101"/>
    <mergeCell ref="A99:B99"/>
    <mergeCell ref="A100:B100"/>
    <mergeCell ref="A95:B95"/>
    <mergeCell ref="F118:H118"/>
    <mergeCell ref="A118:E118"/>
    <mergeCell ref="A120:E120"/>
    <mergeCell ref="A119:E119"/>
    <mergeCell ref="A116:E116"/>
    <mergeCell ref="A152:H152"/>
    <mergeCell ref="A153:A154"/>
    <mergeCell ref="A197:B197"/>
    <mergeCell ref="A198:B198"/>
    <mergeCell ref="A199:B199"/>
    <mergeCell ref="A200:B200"/>
    <mergeCell ref="F142:F143"/>
    <mergeCell ref="C131:D131"/>
    <mergeCell ref="E131:F131"/>
    <mergeCell ref="B142:B143"/>
    <mergeCell ref="A142:A143"/>
    <mergeCell ref="C153:C154"/>
    <mergeCell ref="G153:G154"/>
    <mergeCell ref="G139:H139"/>
    <mergeCell ref="A189:B189"/>
    <mergeCell ref="A192:H192"/>
    <mergeCell ref="A193:B193"/>
    <mergeCell ref="A194:B194"/>
    <mergeCell ref="A195:B195"/>
    <mergeCell ref="A196:B196"/>
    <mergeCell ref="A171:B171"/>
    <mergeCell ref="E138:F138"/>
    <mergeCell ref="A126:E126"/>
    <mergeCell ref="G138:H138"/>
    <mergeCell ref="C132:D132"/>
    <mergeCell ref="G132:H132"/>
    <mergeCell ref="A132:B132"/>
    <mergeCell ref="E132:F132"/>
    <mergeCell ref="C138:D138"/>
    <mergeCell ref="B244:H244"/>
    <mergeCell ref="B240:H240"/>
    <mergeCell ref="B241:H241"/>
    <mergeCell ref="A236:H236"/>
    <mergeCell ref="A205:B205"/>
    <mergeCell ref="A206:B206"/>
    <mergeCell ref="A207:B207"/>
    <mergeCell ref="A208:B208"/>
    <mergeCell ref="B237:H237"/>
    <mergeCell ref="B238:H238"/>
    <mergeCell ref="B242:H242"/>
    <mergeCell ref="A172:B172"/>
    <mergeCell ref="A163:B163"/>
    <mergeCell ref="A165:H165"/>
    <mergeCell ref="A164:B164"/>
    <mergeCell ref="B239:H239"/>
    <mergeCell ref="I43:L43"/>
    <mergeCell ref="M43:P43"/>
    <mergeCell ref="I44:L44"/>
    <mergeCell ref="M44:P44"/>
    <mergeCell ref="I45:L45"/>
    <mergeCell ref="M45:P45"/>
    <mergeCell ref="I46:L46"/>
    <mergeCell ref="M46:P46"/>
    <mergeCell ref="I47:L47"/>
    <mergeCell ref="M47:P47"/>
    <mergeCell ref="B249:H249"/>
    <mergeCell ref="B248:H248"/>
    <mergeCell ref="B246:H246"/>
    <mergeCell ref="I48:L48"/>
    <mergeCell ref="M48:P48"/>
    <mergeCell ref="I50:L50"/>
    <mergeCell ref="I51:L51"/>
    <mergeCell ref="I52:L52"/>
    <mergeCell ref="I53:L53"/>
    <mergeCell ref="I54:L54"/>
    <mergeCell ref="I55:L55"/>
    <mergeCell ref="A82:B82"/>
    <mergeCell ref="A69:C69"/>
    <mergeCell ref="D69:H69"/>
    <mergeCell ref="C76:H76"/>
    <mergeCell ref="A79:B79"/>
    <mergeCell ref="A81:B81"/>
    <mergeCell ref="E77:F77"/>
    <mergeCell ref="A70:C70"/>
    <mergeCell ref="D70:H70"/>
    <mergeCell ref="B247:H247"/>
    <mergeCell ref="A121:E121"/>
    <mergeCell ref="A101:B101"/>
    <mergeCell ref="A138:B138"/>
  </mergeCells>
  <dataValidations count="19">
    <dataValidation type="list" allowBlank="1" showInputMessage="1" showErrorMessage="1" sqref="E5:H5">
      <formula1>OFFSET($L$3,1,MATCH($E4,$L$3:$P$3,0)-1,10,1)</formula1>
    </dataValidation>
    <dataValidation type="list" allowBlank="1" showInputMessage="1" showErrorMessage="1" sqref="A18:B18">
      <formula1>"CTS No,Survey No,Plot No,Gut No,FP No,"</formula1>
    </dataValidation>
    <dataValidation type="list" allowBlank="1" showInputMessage="1" showErrorMessage="1" sqref="G21:H21">
      <formula1>$S$14:$W$14</formula1>
    </dataValidation>
    <dataValidation type="list" allowBlank="1" showInputMessage="1" showErrorMessage="1" sqref="E142:E143">
      <formula1>"Attached Loft area,Attached Otla area,Attached Mezzanine area"</formula1>
    </dataValidation>
    <dataValidation type="list" allowBlank="1" showInputMessage="1" showErrorMessage="1" sqref="G259:H259">
      <formula1>"Kunal Kadam,Pranita Mhatre,Shruti Fule,Pooja Kawale,Neha Dhokale,Shruti Tathare, Hitakshi Mhatre, Sachin Sawant"</formula1>
    </dataValidation>
    <dataValidation type="list" allowBlank="1" showInputMessage="1" showErrorMessage="1" sqref="F116:H116">
      <formula1>"On Saleable Area,On Builtup Area,On Carpet Area,On Plot Area"</formula1>
    </dataValidation>
    <dataValidation type="list" allowBlank="1" showInputMessage="1" showErrorMessage="1" sqref="F127:H127">
      <formula1>OFFSET($S$116,1,MATCH($G21,$S$116:$W$116,0)-1,15,1)</formula1>
    </dataValidation>
    <dataValidation type="list" allowBlank="1" showInputMessage="1" showErrorMessage="1" sqref="B142:B143">
      <formula1>"Shop No. (Sale Plan),Sale / Rehab,Sale / Mhada"</formula1>
    </dataValidation>
    <dataValidation type="list" allowBlank="1" showInputMessage="1" showErrorMessage="1" sqref="B153:B154">
      <formula1>"Flat No. (Sale Plan),Sale / Rehab,Sale / Mhada"</formula1>
    </dataValidation>
    <dataValidation type="list" allowBlank="1" showInputMessage="1" showErrorMessage="1" sqref="C22:D22">
      <formula1>OFFSET($S$14,1,MATCH($G21,$S$14:$W$14,0)-1,15,1)</formula1>
    </dataValidation>
    <dataValidation type="list" allowBlank="1" showInputMessage="1" showErrorMessage="1" sqref="Y14">
      <formula1>$D$5:$H$5</formula1>
    </dataValidation>
    <dataValidation type="list" allowBlank="1" showInputMessage="1" showErrorMessage="1" sqref="E153:E154">
      <formula1>"Fungible area,Enclose Balcony+ A.P+Open Balcony Area,Chajja Area,Cornice Area,AP Area,WS Area"</formula1>
    </dataValidation>
    <dataValidation type="list" allowBlank="1" showInputMessage="1" showErrorMessage="1" sqref="H143 H154">
      <formula1>".45,.50,.55,.60"</formula1>
    </dataValidation>
    <dataValidation type="list" allowBlank="1" showInputMessage="1" showErrorMessage="1" sqref="E4:H4">
      <formula1>$L$3:$P$3</formula1>
    </dataValidation>
    <dataValidation type="list" allowBlank="1" showInputMessage="1" showErrorMessage="1" sqref="C50:H50">
      <formula1>OFFSET($S$50,1,MATCH($G21,$S$50:$W$50,0)-1,15,1)</formula1>
    </dataValidation>
    <dataValidation type="whole" allowBlank="1" showInputMessage="1" showErrorMessage="1" sqref="C83">
      <formula1>0</formula1>
      <formula2>H75</formula2>
    </dataValidation>
    <dataValidation type="list" allowBlank="1" showInputMessage="1" showErrorMessage="1" sqref="H142 H153">
      <formula1>"Saleable area Loading :,Builder Saleable Area"</formula1>
    </dataValidation>
    <dataValidation type="list" allowBlank="1" showInputMessage="1" showErrorMessage="1" sqref="D142:D143">
      <formula1>"Carpet area,RERA Carpet area"</formula1>
    </dataValidation>
    <dataValidation type="list" allowBlank="1" showInputMessage="1" showErrorMessage="1" sqref="D153:D154">
      <formula1>"Carpet area ,RERA Carpet area"</formula1>
    </dataValidation>
  </dataValidations>
  <hyperlinks>
    <hyperlink ref="C41" r:id="rId1"/>
  </hyperlinks>
  <printOptions horizontalCentered="1"/>
  <pageMargins left="0.39370078740157483" right="0.39370078740157483" top="0.82677165354330717" bottom="0.78740157480314965" header="0.15748031496062992" footer="0.19685039370078741"/>
  <pageSetup paperSize="2" scale="96" fitToHeight="0" orientation="portrait" r:id="rId2"/>
  <headerFooter>
    <oddHeader>&amp;C&amp;G</oddHeader>
    <oddFooter>&amp;L&amp;"Times New Roman,Bold"&amp;12Ref No: &amp;F&amp;C&amp;G&amp;R&amp;"Times New Roman,Bold"&amp;12&amp;P</oddFooter>
  </headerFooter>
  <rowBreaks count="3" manualBreakCount="3">
    <brk id="263" max="7" man="1"/>
    <brk id="304" max="7" man="1"/>
    <brk id="330"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row r="2" spans="1:9" ht="15" customHeight="1">
      <c r="A2" s="2"/>
      <c r="B2" s="2"/>
      <c r="C2" s="2"/>
      <c r="D2" s="2"/>
      <c r="E2" s="2"/>
      <c r="F2" s="2"/>
      <c r="G2" s="2"/>
      <c r="H2" s="2"/>
    </row>
    <row r="3" spans="1:9" ht="15.75" customHeight="1">
      <c r="A3" s="2"/>
      <c r="B3" s="166" t="s">
        <v>102</v>
      </c>
      <c r="C3" s="166"/>
      <c r="D3" s="166"/>
      <c r="E3" s="166"/>
      <c r="F3" s="166"/>
      <c r="G3" s="166"/>
      <c r="H3" s="166"/>
    </row>
    <row r="4" spans="1:9">
      <c r="A4" s="2"/>
      <c r="B4" s="3" t="s">
        <v>103</v>
      </c>
      <c r="C4" s="3" t="s">
        <v>104</v>
      </c>
      <c r="D4" s="3" t="s">
        <v>65</v>
      </c>
      <c r="E4" s="3" t="s">
        <v>105</v>
      </c>
      <c r="F4" s="3" t="s">
        <v>111</v>
      </c>
      <c r="G4" s="3" t="s">
        <v>112</v>
      </c>
      <c r="H4" s="3" t="s">
        <v>106</v>
      </c>
    </row>
    <row r="5" spans="1:9" ht="15" customHeight="1">
      <c r="A5" s="2"/>
      <c r="B5" s="5" t="s">
        <v>107</v>
      </c>
      <c r="C5" s="6"/>
      <c r="D5" s="5"/>
      <c r="E5" s="5"/>
      <c r="F5" s="7">
        <f>E5*1.6</f>
        <v>0</v>
      </c>
      <c r="G5" s="7" t="e">
        <f>H5/F5</f>
        <v>#DIV/0!</v>
      </c>
      <c r="H5" s="8"/>
    </row>
    <row r="6" spans="1:9">
      <c r="A6" s="2"/>
      <c r="B6" s="5" t="s">
        <v>107</v>
      </c>
      <c r="C6" s="9"/>
      <c r="D6" s="5"/>
      <c r="E6" s="5"/>
      <c r="F6" s="7">
        <f t="shared" ref="F6:F11" si="0">E6*1.6</f>
        <v>0</v>
      </c>
      <c r="G6" s="7" t="e">
        <f t="shared" ref="G6:G11" si="1">H6/F6</f>
        <v>#DIV/0!</v>
      </c>
      <c r="H6" s="8"/>
    </row>
    <row r="7" spans="1:9" ht="15" customHeight="1">
      <c r="A7" s="2"/>
      <c r="B7" s="5" t="s">
        <v>107</v>
      </c>
      <c r="C7" s="6"/>
      <c r="D7" s="5"/>
      <c r="E7" s="5"/>
      <c r="F7" s="7">
        <f t="shared" si="0"/>
        <v>0</v>
      </c>
      <c r="G7" s="7" t="e">
        <f t="shared" si="1"/>
        <v>#DIV/0!</v>
      </c>
      <c r="H7" s="8"/>
    </row>
    <row r="8" spans="1:9">
      <c r="A8" s="2"/>
      <c r="B8" s="5" t="s">
        <v>107</v>
      </c>
      <c r="C8" s="9"/>
      <c r="D8" s="5"/>
      <c r="E8" s="5"/>
      <c r="F8" s="7">
        <f t="shared" si="0"/>
        <v>0</v>
      </c>
      <c r="G8" s="7" t="e">
        <f t="shared" si="1"/>
        <v>#DIV/0!</v>
      </c>
      <c r="H8" s="8"/>
    </row>
    <row r="9" spans="1:9" ht="15" customHeight="1">
      <c r="A9" s="2"/>
      <c r="B9" s="5" t="s">
        <v>107</v>
      </c>
      <c r="C9" s="9"/>
      <c r="D9" s="5"/>
      <c r="E9" s="5"/>
      <c r="F9" s="7">
        <f t="shared" si="0"/>
        <v>0</v>
      </c>
      <c r="G9" s="7" t="e">
        <f t="shared" si="1"/>
        <v>#DIV/0!</v>
      </c>
      <c r="H9" s="8"/>
    </row>
    <row r="10" spans="1:9" ht="15" customHeight="1">
      <c r="A10" s="2"/>
      <c r="B10" s="5" t="s">
        <v>108</v>
      </c>
      <c r="C10" s="6"/>
      <c r="D10" s="5"/>
      <c r="E10" s="5"/>
      <c r="F10" s="7">
        <f t="shared" si="0"/>
        <v>0</v>
      </c>
      <c r="G10" s="7" t="e">
        <f t="shared" si="1"/>
        <v>#DIV/0!</v>
      </c>
      <c r="H10" s="8"/>
    </row>
    <row r="11" spans="1:9" ht="15" customHeight="1">
      <c r="A11" s="2"/>
      <c r="B11" s="5" t="s">
        <v>108</v>
      </c>
      <c r="C11" s="6"/>
      <c r="D11" s="5"/>
      <c r="E11" s="5"/>
      <c r="F11" s="7">
        <f t="shared" si="0"/>
        <v>0</v>
      </c>
      <c r="G11" s="7" t="e">
        <f t="shared" si="1"/>
        <v>#DIV/0!</v>
      </c>
      <c r="H11" s="8"/>
    </row>
    <row r="12" spans="1:9" ht="15" customHeight="1">
      <c r="A12" s="2"/>
      <c r="B12" s="10" t="s">
        <v>109</v>
      </c>
      <c r="C12" s="5"/>
      <c r="D12" s="5"/>
      <c r="E12" s="5"/>
      <c r="F12" s="5"/>
      <c r="G12" s="11" t="e">
        <f>AVERAGE(G5:G11)</f>
        <v>#DIV/0!</v>
      </c>
      <c r="H12" s="5"/>
    </row>
    <row r="13" spans="1:9" ht="15" customHeight="1">
      <c r="B13" s="10" t="s">
        <v>110</v>
      </c>
      <c r="C13" s="5"/>
      <c r="D13" s="5"/>
      <c r="E13" s="5"/>
      <c r="F13" s="12"/>
      <c r="G13" s="10"/>
      <c r="H13" s="10"/>
      <c r="I13" s="4"/>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c r="J3">
        <v>1</v>
      </c>
      <c r="K3">
        <v>2</v>
      </c>
    </row>
    <row r="4" spans="2:11">
      <c r="B4" s="42"/>
      <c r="C4" s="42" t="s">
        <v>10</v>
      </c>
      <c r="D4" s="43" t="s">
        <v>169</v>
      </c>
      <c r="E4" s="43" t="s">
        <v>179</v>
      </c>
      <c r="F4" s="43" t="s">
        <v>163</v>
      </c>
      <c r="G4" s="43" t="s">
        <v>184</v>
      </c>
      <c r="H4" s="43" t="s">
        <v>202</v>
      </c>
      <c r="J4" t="s">
        <v>184</v>
      </c>
      <c r="K4" t="s">
        <v>200</v>
      </c>
    </row>
    <row r="5" spans="2:11">
      <c r="B5" s="42"/>
      <c r="C5" s="42"/>
      <c r="D5" s="43" t="s">
        <v>170</v>
      </c>
      <c r="E5" s="43" t="s">
        <v>177</v>
      </c>
      <c r="F5" s="43" t="s">
        <v>199</v>
      </c>
      <c r="G5" s="43" t="s">
        <v>185</v>
      </c>
      <c r="H5" s="43" t="s">
        <v>203</v>
      </c>
    </row>
    <row r="6" spans="2:11">
      <c r="B6" s="42"/>
      <c r="C6" s="42"/>
      <c r="D6" s="43" t="s">
        <v>171</v>
      </c>
      <c r="E6" s="43" t="s">
        <v>178</v>
      </c>
      <c r="F6" s="43" t="s">
        <v>200</v>
      </c>
      <c r="G6" s="43" t="s">
        <v>186</v>
      </c>
      <c r="H6" s="43" t="s">
        <v>216</v>
      </c>
    </row>
    <row r="7" spans="2:11">
      <c r="B7" s="42"/>
      <c r="C7" s="42"/>
      <c r="D7" s="43" t="s">
        <v>172</v>
      </c>
      <c r="E7" s="43" t="s">
        <v>180</v>
      </c>
      <c r="F7" s="43" t="s">
        <v>201</v>
      </c>
      <c r="G7" s="43" t="s">
        <v>187</v>
      </c>
      <c r="H7" s="43" t="s">
        <v>204</v>
      </c>
    </row>
    <row r="8" spans="2:11">
      <c r="B8" s="42"/>
      <c r="C8" s="42"/>
      <c r="D8" s="43" t="s">
        <v>173</v>
      </c>
      <c r="E8" s="43" t="s">
        <v>181</v>
      </c>
      <c r="F8" s="43"/>
      <c r="G8" s="43" t="s">
        <v>188</v>
      </c>
      <c r="H8" s="43" t="s">
        <v>205</v>
      </c>
    </row>
    <row r="9" spans="2:11">
      <c r="B9" s="42"/>
      <c r="C9" s="42"/>
      <c r="D9" s="43" t="s">
        <v>174</v>
      </c>
      <c r="E9" s="43" t="s">
        <v>179</v>
      </c>
      <c r="F9" s="43"/>
      <c r="G9" s="43" t="s">
        <v>189</v>
      </c>
      <c r="H9" s="43" t="s">
        <v>206</v>
      </c>
    </row>
    <row r="10" spans="2:11">
      <c r="B10" s="42"/>
      <c r="C10" s="42"/>
      <c r="D10" s="43" t="s">
        <v>175</v>
      </c>
      <c r="E10" s="43" t="s">
        <v>182</v>
      </c>
      <c r="F10" s="43"/>
      <c r="G10" s="43" t="s">
        <v>190</v>
      </c>
      <c r="H10" s="43" t="s">
        <v>207</v>
      </c>
    </row>
    <row r="11" spans="2:11">
      <c r="B11" s="42"/>
      <c r="C11" s="42"/>
      <c r="D11" s="43" t="s">
        <v>176</v>
      </c>
      <c r="E11" s="43" t="s">
        <v>183</v>
      </c>
      <c r="F11" s="43"/>
      <c r="G11" s="43" t="s">
        <v>191</v>
      </c>
      <c r="H11" s="43" t="s">
        <v>208</v>
      </c>
    </row>
    <row r="12" spans="2:11">
      <c r="B12" s="42"/>
      <c r="C12" s="42"/>
      <c r="D12" s="43"/>
      <c r="E12" s="43"/>
      <c r="F12" s="43"/>
      <c r="G12" s="43" t="s">
        <v>192</v>
      </c>
      <c r="H12" s="43" t="s">
        <v>209</v>
      </c>
    </row>
    <row r="13" spans="2:11">
      <c r="B13" s="42"/>
      <c r="C13" s="42"/>
      <c r="D13" s="43"/>
      <c r="E13" s="43"/>
      <c r="F13" s="43"/>
      <c r="G13" s="43" t="s">
        <v>193</v>
      </c>
      <c r="H13" s="43" t="s">
        <v>210</v>
      </c>
    </row>
    <row r="14" spans="2:11">
      <c r="B14" s="42"/>
      <c r="C14" s="42"/>
      <c r="D14" s="43"/>
      <c r="E14" s="43"/>
      <c r="F14" s="43"/>
      <c r="G14" s="43" t="s">
        <v>194</v>
      </c>
      <c r="H14" s="43" t="s">
        <v>211</v>
      </c>
    </row>
    <row r="15" spans="2:11">
      <c r="B15" s="42"/>
      <c r="C15" s="42"/>
      <c r="D15" s="43"/>
      <c r="E15" s="43"/>
      <c r="F15" s="43"/>
      <c r="G15" s="43" t="s">
        <v>195</v>
      </c>
      <c r="H15" s="43" t="s">
        <v>212</v>
      </c>
    </row>
    <row r="16" spans="2:11">
      <c r="B16" s="42"/>
      <c r="C16" s="42"/>
      <c r="D16" s="43"/>
      <c r="E16" s="43"/>
      <c r="F16" s="43"/>
      <c r="G16" s="43" t="s">
        <v>196</v>
      </c>
      <c r="H16" s="43" t="s">
        <v>213</v>
      </c>
    </row>
    <row r="17" spans="2:8">
      <c r="B17" s="42"/>
      <c r="C17" s="42"/>
      <c r="D17" s="43"/>
      <c r="E17" s="43"/>
      <c r="F17" s="43"/>
      <c r="G17" s="43" t="s">
        <v>197</v>
      </c>
      <c r="H17" s="43" t="s">
        <v>214</v>
      </c>
    </row>
    <row r="18" spans="2:8">
      <c r="B18" s="42"/>
      <c r="C18" s="42"/>
      <c r="D18" s="43"/>
      <c r="E18" s="43"/>
      <c r="F18" s="43"/>
      <c r="G18" s="43" t="s">
        <v>198</v>
      </c>
      <c r="H18" s="43" t="s">
        <v>215</v>
      </c>
    </row>
    <row r="24" spans="2:8">
      <c r="C24" t="s">
        <v>160</v>
      </c>
    </row>
    <row r="25" spans="2:8">
      <c r="C25" t="s">
        <v>217</v>
      </c>
    </row>
    <row r="26" spans="2:8">
      <c r="C26" t="s">
        <v>218</v>
      </c>
    </row>
    <row r="27" spans="2:8">
      <c r="C27" t="s">
        <v>219</v>
      </c>
    </row>
    <row r="28" spans="2:8">
      <c r="C28" t="s">
        <v>220</v>
      </c>
    </row>
    <row r="29" spans="2:8">
      <c r="C29" t="s">
        <v>221</v>
      </c>
    </row>
    <row r="30" spans="2:8">
      <c r="C30" t="s">
        <v>160</v>
      </c>
    </row>
    <row r="33" spans="3:11">
      <c r="J33">
        <v>1</v>
      </c>
      <c r="K33">
        <v>2</v>
      </c>
    </row>
    <row r="34" spans="3:11">
      <c r="C34" s="44" t="s">
        <v>226</v>
      </c>
      <c r="D34" s="43" t="s">
        <v>224</v>
      </c>
      <c r="E34" s="43" t="s">
        <v>229</v>
      </c>
      <c r="F34" s="43" t="s">
        <v>227</v>
      </c>
      <c r="G34" s="43" t="s">
        <v>228</v>
      </c>
      <c r="H34" s="43" t="s">
        <v>230</v>
      </c>
      <c r="J34" t="s">
        <v>184</v>
      </c>
      <c r="K34" t="s">
        <v>200</v>
      </c>
    </row>
    <row r="35" spans="3:11">
      <c r="C35" s="42" t="s">
        <v>225</v>
      </c>
      <c r="D35" s="43" t="s">
        <v>161</v>
      </c>
      <c r="E35" s="43" t="s">
        <v>234</v>
      </c>
      <c r="F35" s="43" t="s">
        <v>236</v>
      </c>
      <c r="G35" s="43" t="s">
        <v>238</v>
      </c>
      <c r="H35" s="43"/>
    </row>
    <row r="36" spans="3:11">
      <c r="C36" s="42"/>
      <c r="D36" s="43" t="s">
        <v>231</v>
      </c>
      <c r="E36" s="43" t="s">
        <v>235</v>
      </c>
      <c r="F36" s="43" t="s">
        <v>237</v>
      </c>
      <c r="G36" s="43" t="s">
        <v>239</v>
      </c>
      <c r="H36" s="43"/>
    </row>
    <row r="37" spans="3:11">
      <c r="C37" s="42"/>
      <c r="D37" s="43" t="s">
        <v>232</v>
      </c>
      <c r="E37" s="43"/>
      <c r="F37" s="43"/>
      <c r="G37" s="43" t="s">
        <v>240</v>
      </c>
      <c r="H37" s="43"/>
    </row>
    <row r="38" spans="3:11">
      <c r="C38" s="42"/>
      <c r="D38" s="43" t="s">
        <v>233</v>
      </c>
      <c r="E38" s="43"/>
      <c r="F38" s="43"/>
      <c r="G38" s="43" t="s">
        <v>240</v>
      </c>
      <c r="H38" s="43"/>
    </row>
    <row r="39" spans="3:11">
      <c r="C39" s="42"/>
      <c r="D39" s="43"/>
      <c r="E39" s="43"/>
      <c r="F39" s="43"/>
      <c r="G39" s="43" t="s">
        <v>241</v>
      </c>
      <c r="H39" s="43"/>
    </row>
    <row r="40" spans="3:11">
      <c r="C40" s="42"/>
      <c r="D40" s="43"/>
      <c r="E40" s="43"/>
      <c r="F40" s="43"/>
      <c r="G40" s="43" t="s">
        <v>242</v>
      </c>
      <c r="H40" s="43"/>
    </row>
    <row r="41" spans="3:11">
      <c r="C41" s="42"/>
      <c r="D41" s="43"/>
      <c r="E41" s="43"/>
      <c r="F41" s="43"/>
      <c r="G41" s="43"/>
      <c r="H41" s="43"/>
    </row>
    <row r="43" spans="3:11">
      <c r="C43" t="s">
        <v>243</v>
      </c>
    </row>
    <row r="44" spans="3:11">
      <c r="C44" t="s">
        <v>163</v>
      </c>
      <c r="D44" t="s">
        <v>244</v>
      </c>
    </row>
    <row r="45" spans="3:11">
      <c r="D45" t="s">
        <v>245</v>
      </c>
    </row>
    <row r="46" spans="3:11">
      <c r="D46" t="s">
        <v>246</v>
      </c>
    </row>
    <row r="47" spans="3:11">
      <c r="D47" t="s">
        <v>247</v>
      </c>
    </row>
    <row r="48" spans="3:11">
      <c r="D48" t="s">
        <v>248</v>
      </c>
    </row>
    <row r="49" spans="3:4">
      <c r="C49" t="s">
        <v>169</v>
      </c>
      <c r="D49" t="s">
        <v>249</v>
      </c>
    </row>
    <row r="50" spans="3:4">
      <c r="D50" t="s">
        <v>250</v>
      </c>
    </row>
    <row r="51" spans="3:4">
      <c r="D51" t="s">
        <v>251</v>
      </c>
    </row>
    <row r="52" spans="3:4">
      <c r="D52" t="s">
        <v>254</v>
      </c>
    </row>
    <row r="53" spans="3:4">
      <c r="D53" t="s">
        <v>252</v>
      </c>
    </row>
    <row r="54" spans="3:4">
      <c r="D54" t="s">
        <v>253</v>
      </c>
    </row>
    <row r="55" spans="3:4">
      <c r="D55" t="s">
        <v>255</v>
      </c>
    </row>
    <row r="56" spans="3:4">
      <c r="D56" t="s">
        <v>256</v>
      </c>
    </row>
    <row r="57" spans="3:4">
      <c r="D57" t="s">
        <v>257</v>
      </c>
    </row>
    <row r="58" spans="3:4">
      <c r="D58" t="s">
        <v>259</v>
      </c>
    </row>
    <row r="59" spans="3:4">
      <c r="D59" t="s">
        <v>268</v>
      </c>
    </row>
    <row r="60" spans="3:4">
      <c r="C60" t="s">
        <v>184</v>
      </c>
      <c r="D60" t="s">
        <v>260</v>
      </c>
    </row>
    <row r="61" spans="3:4">
      <c r="D61" t="s">
        <v>258</v>
      </c>
    </row>
    <row r="62" spans="3:4">
      <c r="D62" t="s">
        <v>248</v>
      </c>
    </row>
    <row r="63" spans="3:4">
      <c r="D63" t="s">
        <v>261</v>
      </c>
    </row>
    <row r="64" spans="3:4">
      <c r="D64" t="s">
        <v>262</v>
      </c>
    </row>
    <row r="65" spans="3:4">
      <c r="D65" t="s">
        <v>263</v>
      </c>
    </row>
    <row r="66" spans="3:4">
      <c r="D66" t="s">
        <v>264</v>
      </c>
    </row>
    <row r="67" spans="3:4">
      <c r="C67" t="s">
        <v>179</v>
      </c>
      <c r="D67" t="s">
        <v>265</v>
      </c>
    </row>
    <row r="68" spans="3:4">
      <c r="D68" t="s">
        <v>266</v>
      </c>
    </row>
    <row r="69" spans="3:4">
      <c r="D69" t="s">
        <v>267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5"/>
  <cols>
    <col min="2" max="2" width="3" bestFit="1" customWidth="1"/>
    <col min="3" max="3" width="130" customWidth="1"/>
  </cols>
  <sheetData>
    <row r="2" spans="2:3" ht="15" customHeight="1">
      <c r="B2" s="45">
        <v>1</v>
      </c>
      <c r="C2" s="47" t="s">
        <v>271</v>
      </c>
    </row>
    <row r="3" spans="2:3">
      <c r="B3" s="45">
        <v>2</v>
      </c>
      <c r="C3" s="46" t="s">
        <v>272</v>
      </c>
    </row>
    <row r="4" spans="2:3">
      <c r="B4" s="45">
        <v>3</v>
      </c>
      <c r="C4" s="45" t="s">
        <v>273</v>
      </c>
    </row>
    <row r="5" spans="2:3" ht="30">
      <c r="B5" s="45">
        <v>4</v>
      </c>
      <c r="C5" s="46" t="s">
        <v>274</v>
      </c>
    </row>
    <row r="6" spans="2:3">
      <c r="B6" s="45">
        <v>5</v>
      </c>
      <c r="C6" s="45" t="s">
        <v>275</v>
      </c>
    </row>
    <row r="7" spans="2:3" ht="30">
      <c r="B7" s="45">
        <v>6</v>
      </c>
      <c r="C7" s="46" t="s">
        <v>276</v>
      </c>
    </row>
    <row r="8" spans="2:3" ht="90">
      <c r="B8" s="45">
        <v>7</v>
      </c>
      <c r="C8" s="46" t="s">
        <v>277</v>
      </c>
    </row>
    <row r="9" spans="2:3">
      <c r="B9" s="45">
        <v>8</v>
      </c>
      <c r="C9" s="45" t="s">
        <v>278</v>
      </c>
    </row>
    <row r="10" spans="2:3">
      <c r="B10" s="45">
        <v>9</v>
      </c>
      <c r="C10" s="45" t="s">
        <v>279</v>
      </c>
    </row>
    <row r="11" spans="2:3">
      <c r="B11" s="45">
        <v>10</v>
      </c>
      <c r="C11" s="45" t="s">
        <v>280</v>
      </c>
    </row>
    <row r="12" spans="2:3">
      <c r="B12" s="45">
        <v>11</v>
      </c>
      <c r="C12" s="45" t="s">
        <v>281</v>
      </c>
    </row>
    <row r="13" spans="2:3">
      <c r="B13" s="45">
        <v>12</v>
      </c>
      <c r="C13" s="45" t="s">
        <v>282</v>
      </c>
    </row>
    <row r="14" spans="2:3">
      <c r="B14" s="45">
        <v>13</v>
      </c>
      <c r="C14" s="45" t="s">
        <v>283</v>
      </c>
    </row>
    <row r="15" spans="2:3">
      <c r="B15" s="45">
        <v>14</v>
      </c>
      <c r="C15" s="45" t="s">
        <v>273</v>
      </c>
    </row>
    <row r="16" spans="2:3">
      <c r="B16" s="45">
        <v>15</v>
      </c>
      <c r="C16" s="45" t="s">
        <v>285</v>
      </c>
    </row>
    <row r="17" spans="2:3" ht="31.5" customHeight="1">
      <c r="B17" s="49">
        <v>16</v>
      </c>
      <c r="C17" s="51" t="s">
        <v>286</v>
      </c>
    </row>
    <row r="18" spans="2:3">
      <c r="B18" s="50">
        <v>17</v>
      </c>
      <c r="C18" s="51" t="s">
        <v>287</v>
      </c>
    </row>
    <row r="19" spans="2:3">
      <c r="B19" s="49">
        <v>18</v>
      </c>
      <c r="C19" s="45" t="s">
        <v>288</v>
      </c>
    </row>
    <row r="20" spans="2:3">
      <c r="B20" s="50">
        <v>19</v>
      </c>
      <c r="C20" s="45"/>
    </row>
    <row r="21" spans="2:3">
      <c r="B21" s="45">
        <v>20</v>
      </c>
      <c r="C21" s="45"/>
    </row>
    <row r="22" spans="2:3">
      <c r="B22" s="45"/>
      <c r="C22" s="45"/>
    </row>
    <row r="23" spans="2:3">
      <c r="B23" s="45"/>
      <c r="C23" s="45"/>
    </row>
    <row r="24" spans="2:3">
      <c r="B24" s="45"/>
      <c r="C24" s="45"/>
    </row>
    <row r="25" spans="2:3">
      <c r="B25" s="45"/>
      <c r="C25" s="45"/>
    </row>
    <row r="26" spans="2:3">
      <c r="B26" s="45"/>
      <c r="C26" s="45"/>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2025-09-26T08:54:19Z</cp:lastPrinted>
  <dcterms:created xsi:type="dcterms:W3CDTF">2019-07-16T09:29:46Z</dcterms:created>
  <dcterms:modified xsi:type="dcterms:W3CDTF">2025-09-26T08:54:34Z</dcterms:modified>
</cp:coreProperties>
</file>