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H133" i="1"/>
  <c r="H132" i="1"/>
  <c r="H131" i="1"/>
  <c r="H130" i="1"/>
  <c r="H129" i="1"/>
  <c r="H127" i="1"/>
  <c r="H126" i="1"/>
  <c r="H125" i="1"/>
  <c r="H124" i="1"/>
  <c r="H123" i="1"/>
  <c r="H121" i="1"/>
  <c r="H120" i="1"/>
  <c r="H119" i="1"/>
  <c r="H118" i="1"/>
  <c r="H117" i="1"/>
  <c r="H115" i="1"/>
  <c r="J115" i="1" s="1"/>
  <c r="H114" i="1"/>
  <c r="H113" i="1"/>
  <c r="H112" i="1"/>
  <c r="H111" i="1"/>
  <c r="H109" i="1"/>
  <c r="H106" i="1"/>
  <c r="H107" i="1"/>
  <c r="H108" i="1"/>
  <c r="H105" i="1"/>
  <c r="J112" i="1"/>
  <c r="J113" i="1"/>
  <c r="J114" i="1"/>
  <c r="J116" i="1"/>
  <c r="J117" i="1"/>
  <c r="J118" i="1"/>
  <c r="J119" i="1"/>
  <c r="J120" i="1"/>
  <c r="J111" i="1"/>
  <c r="I111" i="1"/>
  <c r="I123" i="1"/>
  <c r="I54" i="1"/>
  <c r="C97" i="1"/>
  <c r="E97" i="1"/>
  <c r="E131" i="1"/>
  <c r="F131" i="1" s="1"/>
  <c r="D131" i="1"/>
  <c r="E133" i="1"/>
  <c r="D133" i="1"/>
  <c r="F133" i="1" s="1"/>
  <c r="F132" i="1"/>
  <c r="E132" i="1"/>
  <c r="D132" i="1"/>
  <c r="A131" i="1"/>
  <c r="A132" i="1" s="1"/>
  <c r="A133" i="1" s="1"/>
  <c r="F130" i="1"/>
  <c r="E130" i="1"/>
  <c r="D130" i="1"/>
  <c r="A130" i="1"/>
  <c r="E129" i="1"/>
  <c r="F129" i="1" s="1"/>
  <c r="D129" i="1"/>
  <c r="B136" i="1"/>
  <c r="F127" i="1"/>
  <c r="E127" i="1"/>
  <c r="D127" i="1"/>
  <c r="F126" i="1"/>
  <c r="E126" i="1"/>
  <c r="D126" i="1"/>
  <c r="E125" i="1"/>
  <c r="D125" i="1"/>
  <c r="F125" i="1" s="1"/>
  <c r="E124" i="1"/>
  <c r="F124" i="1" s="1"/>
  <c r="D124" i="1"/>
  <c r="E123" i="1"/>
  <c r="F123" i="1" s="1"/>
  <c r="D123" i="1"/>
  <c r="A124" i="1"/>
  <c r="A125" i="1" s="1"/>
  <c r="A126" i="1" s="1"/>
  <c r="A127" i="1" s="1"/>
  <c r="F121" i="1"/>
  <c r="E121" i="1"/>
  <c r="D121" i="1"/>
  <c r="F120" i="1"/>
  <c r="E120" i="1"/>
  <c r="D120" i="1"/>
  <c r="F119" i="1"/>
  <c r="E119" i="1"/>
  <c r="D119" i="1"/>
  <c r="E118" i="1"/>
  <c r="F118" i="1" s="1"/>
  <c r="D118" i="1"/>
  <c r="E117" i="1"/>
  <c r="F117" i="1" s="1"/>
  <c r="D117" i="1"/>
  <c r="A118" i="1"/>
  <c r="A119" i="1" s="1"/>
  <c r="A120" i="1" s="1"/>
  <c r="A121" i="1" s="1"/>
  <c r="E113" i="1"/>
  <c r="E107" i="1"/>
  <c r="F107" i="1" s="1"/>
  <c r="E115" i="1"/>
  <c r="E114" i="1"/>
  <c r="E109" i="1"/>
  <c r="E108" i="1"/>
  <c r="E112" i="1"/>
  <c r="E111" i="1"/>
  <c r="E106" i="1"/>
  <c r="E105" i="1"/>
  <c r="D115" i="1"/>
  <c r="F114" i="1"/>
  <c r="D114" i="1"/>
  <c r="F113" i="1"/>
  <c r="D113" i="1"/>
  <c r="D112" i="1"/>
  <c r="D111" i="1"/>
  <c r="F111" i="1" s="1"/>
  <c r="A112" i="1"/>
  <c r="A113" i="1" s="1"/>
  <c r="A114" i="1" s="1"/>
  <c r="A115" i="1" s="1"/>
  <c r="F109" i="1"/>
  <c r="D109" i="1"/>
  <c r="D108" i="1"/>
  <c r="D107" i="1"/>
  <c r="D106" i="1"/>
  <c r="D105" i="1"/>
  <c r="G109" i="1"/>
  <c r="G108" i="1"/>
  <c r="G106" i="1"/>
  <c r="G105" i="1"/>
  <c r="F108" i="1"/>
  <c r="J107" i="1"/>
  <c r="I107" i="1"/>
  <c r="J105" i="1"/>
  <c r="I105" i="1"/>
  <c r="A106" i="1"/>
  <c r="A107" i="1" s="1"/>
  <c r="A108" i="1" s="1"/>
  <c r="A109" i="1" s="1"/>
  <c r="G97" i="1" l="1"/>
  <c r="F112" i="1"/>
  <c r="F115" i="1"/>
  <c r="F106" i="1"/>
  <c r="F105" i="1"/>
  <c r="E42" i="1" l="1"/>
  <c r="E43" i="1" s="1"/>
  <c r="C14" i="1" l="1"/>
  <c r="E29" i="1" l="1"/>
  <c r="F94" i="1" l="1"/>
  <c r="B13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1" i="1"/>
  <c r="J78" i="1"/>
  <c r="J77" i="1"/>
  <c r="J76" i="1"/>
  <c r="J75" i="1"/>
  <c r="C67" i="1"/>
  <c r="G49" i="1"/>
  <c r="C49" i="1"/>
  <c r="E26" i="1"/>
  <c r="E24" i="1"/>
  <c r="E7" i="1"/>
  <c r="E3" i="1"/>
  <c r="H68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l="1"/>
  <c r="C72" i="1" s="1"/>
  <c r="E71" i="1" s="1"/>
  <c r="D73" i="1"/>
  <c r="J69" i="1"/>
  <c r="D71" i="1"/>
  <c r="G71" i="1" l="1"/>
  <c r="D65" i="1" s="1"/>
  <c r="D66" i="1" s="1"/>
  <c r="D72" i="1"/>
  <c r="I68" i="1" s="1"/>
  <c r="J68" i="1"/>
  <c r="F66" i="1" l="1"/>
  <c r="I69" i="1"/>
  <c r="I67" i="1" s="1"/>
  <c r="C69" i="1" s="1"/>
</calcChain>
</file>

<file path=xl/comments1.xml><?xml version="1.0" encoding="utf-8"?>
<comments xmlns="http://schemas.openxmlformats.org/spreadsheetml/2006/main">
  <authors>
    <author>SACHIN</author>
  </authors>
  <commentList>
    <comment ref="H10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<sst xmlns="http://schemas.openxmlformats.org/spreadsheetml/2006/main" count="289" uniqueCount="229">
  <si>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</si>
  <si>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</si>
  <si>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</si>
  <si>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</si>
  <si>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</si>
  <si>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</si>
  <si>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</si>
  <si>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</si>
  <si>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</si>
  <si>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</si>
  <si>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</si>
  <si>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</si>
  <si>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</si>
  <si>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</si>
  <si>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</si>
  <si>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</si>
  <si>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</si>
  <si>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</si>
  <si>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</si>
  <si>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</si>
  <si>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</si>
  <si>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</si>
  <si>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</si>
  <si>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</si>
  <si>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</si>
  <si>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</si>
  <si>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</si>
  <si>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</si>
  <si>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</si>
  <si>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</si>
  <si>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</si>
  <si>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</si>
  <si>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</si>
  <si>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</si>
  <si>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</si>
  <si>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</si>
  <si>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</si>
  <si>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</si>
  <si>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</si>
  <si>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</si>
  <si>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</si>
  <si>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</si>
  <si>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</si>
  <si>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</si>
  <si>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</si>
  <si>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</si>
  <si>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</si>
  <si>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</si>
  <si>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</si>
  <si>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</si>
  <si>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</si>
  <si>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</si>
  <si>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</si>
  <si>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</si>
  <si>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</si>
  <si>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</si>
  <si>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</si>
  <si>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</si>
  <si>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</si>
  <si>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</si>
  <si>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</si>
  <si>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</si>
  <si>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</si>
  <si>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</si>
  <si>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</si>
  <si>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</si>
  <si>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</si>
  <si>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</si>
  <si>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</si>
  <si>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</si>
  <si>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</si>
  <si>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</si>
  <si>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</si>
  <si>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</si>
  <si>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</si>
  <si>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</si>
  <si>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</si>
  <si>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</si>
  <si>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</si>
  <si>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</si>
  <si>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</si>
  <si>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</si>
  <si>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</si>
  <si>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</si>
  <si>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</si>
  <si>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</si>
  <si>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</si>
  <si>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</si>
  <si>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</si>
  <si>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</si>
  <si>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</si>
  <si>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</si>
  <si>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</si>
  <si>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</si>
  <si>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</si>
  <si>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</si>
  <si>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</si>
  <si>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</si>
  <si>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</si>
  <si>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</si>
  <si>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</si>
  <si>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</si>
  <si>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</si>
  <si>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</si>
  <si>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</si>
  <si>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</si>
  <si>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</si>
  <si>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</si>
  <si>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</si>
  <si>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</si>
  <si>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</si>
  <si>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</si>
  <si>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</si>
  <si>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</si>
  <si>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</si>
  <si>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</si>
  <si>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</si>
  <si>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</si>
  <si>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</si>
  <si>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</si>
  <si>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</si>
  <si>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</si>
  <si>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</si>
  <si>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</si>
  <si>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</si>
  <si>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</si>
  <si>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</si>
  <si>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</si>
  <si>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</si>
  <si>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</si>
  <si>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</si>
  <si>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</si>
  <si>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</si>
  <si>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</si>
  <si>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</si>
  <si>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</si>
  <si>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</si>
  <si>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</si>
  <si>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</si>
  <si>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</si>
  <si>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</si>
  <si>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</si>
  <si>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</si>
  <si>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</si>
  <si>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</si>
  <si>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</si>
  <si>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</si>
  <si>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</si>
  <si>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</si>
  <si>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</si>
  <si>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</si>
  <si>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</si>
  <si>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</si>
  <si>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</si>
  <si>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</si>
  <si>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</si>
  <si>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</si>
  <si>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</si>
  <si>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</si>
  <si>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</si>
  <si>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</si>
  <si>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</si>
  <si>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</si>
  <si>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</si>
  <si>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</si>
  <si>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</si>
  <si>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</si>
  <si>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</si>
  <si>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</si>
  <si>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 xml:space="preserve">Axis Badlapur </t>
  </si>
  <si>
    <t>Sangle Enterprises Private Limited</t>
  </si>
  <si>
    <t>Sangles Trinity</t>
  </si>
  <si>
    <t>Wing D</t>
  </si>
  <si>
    <t>Approved Plans, CC,Cost Sheet</t>
  </si>
  <si>
    <t>P51700047810</t>
  </si>
  <si>
    <t>Survey No</t>
  </si>
  <si>
    <t>27, Hissa No.11, Survey No. 52, Hissa No.9/2</t>
  </si>
  <si>
    <t>Gauripada</t>
  </si>
  <si>
    <t>Kalyan</t>
  </si>
  <si>
    <t>Internal Road</t>
  </si>
  <si>
    <t>Bajaj Prakriti Angan</t>
  </si>
  <si>
    <t>Open Plot</t>
  </si>
  <si>
    <t>Praneiti Aangan</t>
  </si>
  <si>
    <t>Shahad</t>
  </si>
  <si>
    <t>2.4 KM from Shahad Railway Station</t>
  </si>
  <si>
    <t>Kalyan-Dombivli Municipal Corporation</t>
  </si>
  <si>
    <t>As per RERA - 01/07/2028</t>
  </si>
  <si>
    <t>3rd Floor</t>
  </si>
  <si>
    <t>1BHK</t>
  </si>
  <si>
    <t>2BHK</t>
  </si>
  <si>
    <t xml:space="preserve">We considered Gross carpet area = Net carpet + Enclose balcony </t>
  </si>
  <si>
    <t>Thane (Ward B)</t>
  </si>
  <si>
    <t>Office No. 1031, Wing J, Akshar Business Park, Plot No. 03 Sector 25, Near APMC Market, Vashi, Navi Mumbai, Maharashtra 400703 TEL: 022-46090378/79/80
Email : vsjcapf@gmail.com. Web site : www.vsjadon.com</t>
  </si>
  <si>
    <t>Viraj</t>
  </si>
  <si>
    <t>5500 to 6400 &amp; OC</t>
  </si>
  <si>
    <t>Advance Maintenance Charges (For 2 Years)</t>
  </si>
  <si>
    <t>6400 to 7000</t>
  </si>
  <si>
    <t>Rushikesh &amp; Trupti</t>
  </si>
  <si>
    <t>Parking raise by Rushikesh on 28/06/2024</t>
  </si>
  <si>
    <t>Recommended Rates/Other Charges of the Property have been revised on 14/02/2024, 30/05/2024 &amp; 28/06/2024.</t>
  </si>
  <si>
    <t>Latitude,Longitude</t>
  </si>
  <si>
    <t>19.25274,73.152292</t>
  </si>
  <si>
    <t>Mr. Sagar Sangle : 9833303233</t>
  </si>
  <si>
    <t>Brickwork stage is given more</t>
  </si>
  <si>
    <t>Construction stage is reduced due to revision in proposed structure of project.</t>
  </si>
  <si>
    <t>KDMC/TPD/BP/KD/2012-13/07/07</t>
  </si>
  <si>
    <t>Wing D = Gr + 1st to 21st Floor</t>
  </si>
  <si>
    <t>Ground Floor for Entrance Lobby, Fitness Center, Meter Room &amp; Parking</t>
  </si>
  <si>
    <t>Flat No. (Sale Plan)</t>
  </si>
  <si>
    <t>Carpet Area</t>
  </si>
  <si>
    <t>1st Floor For Residential</t>
  </si>
  <si>
    <t>Balcony Area+ Chajja Area</t>
  </si>
  <si>
    <t>4th to 7th, 9th to 11th, 13th to 16th &amp; 18th to 21st Floor</t>
  </si>
  <si>
    <t>8th, 12th &amp; 17th Floor (Part Refuge Area)</t>
  </si>
  <si>
    <t>Flats - 105</t>
  </si>
  <si>
    <t xml:space="preserve">KDMC/TPD/BP/KD/2012-13/07/192 </t>
  </si>
  <si>
    <t>Wing D = Gr+ 1st to 9th Floor</t>
  </si>
  <si>
    <t>We have updated revised approved Plans on 15/09/2025.</t>
  </si>
  <si>
    <t>Construction work goes beyond CC permission, Please provide revised approved CC.</t>
  </si>
  <si>
    <t>Shruti</t>
  </si>
  <si>
    <t>Krishna</t>
  </si>
  <si>
    <t>Construction % has been reduced due to the approved number of floors has been revised (e.g., GR + 1st to 21st Floor).</t>
  </si>
  <si>
    <t>https://maps.app.goo.gl/a7vL7iQ5jRQgNSDj8</t>
  </si>
  <si>
    <t>Approved area of building (Sq.Mt)
Wing D</t>
  </si>
  <si>
    <t>As per Layout</t>
  </si>
  <si>
    <t>Other Plot</t>
  </si>
  <si>
    <t>Wing C</t>
  </si>
  <si>
    <t>7.50M Internal Road/ Wing A &amp; B</t>
  </si>
  <si>
    <t>Construction work is in process at the time of visit. Internal visit was not allowed.(Slow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</si>
</sst>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9" xfId="0" applyFont="1" applyBorder="1" applyProtection="1"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2" fillId="0" borderId="0" xfId="1" applyFont="1"/>
    <xf numFmtId="0" fontId="6" fillId="0" borderId="8" xfId="1" applyFont="1" applyBorder="1"/>
    <xf numFmtId="0" fontId="16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3" fillId="2" borderId="25" xfId="0" applyFont="1" applyFill="1" applyBorder="1"/>
    <xf numFmtId="0" fontId="24" fillId="0" borderId="26" xfId="0" applyFont="1" applyBorder="1"/>
    <xf numFmtId="0" fontId="24" fillId="0" borderId="1" xfId="0" applyFont="1" applyBorder="1"/>
    <xf numFmtId="0" fontId="24" fillId="0" borderId="5" xfId="0" applyFont="1" applyBorder="1"/>
    <xf numFmtId="0" fontId="11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0" xfId="1" applyFont="1" applyFill="1"/>
    <xf numFmtId="14" fontId="6" fillId="2" borderId="0" xfId="1" applyNumberFormat="1" applyFont="1" applyFill="1"/>
    <xf numFmtId="0" fontId="6" fillId="3" borderId="0" xfId="1" applyFont="1" applyFill="1"/>
    <xf numFmtId="14" fontId="6" fillId="3" borderId="0" xfId="1" applyNumberFormat="1" applyFont="1" applyFill="1"/>
    <xf numFmtId="14" fontId="15" fillId="3" borderId="0" xfId="1" applyNumberFormat="1" applyFont="1" applyFill="1"/>
    <xf numFmtId="1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 applyProtection="1">
      <alignment vertical="top" wrapText="1"/>
      <protection locked="0"/>
    </xf>
    <xf numFmtId="1" fontId="7" fillId="0" borderId="19" xfId="0" applyNumberFormat="1" applyFont="1" applyBorder="1" applyAlignment="1" applyProtection="1">
      <alignment vertical="top" wrapText="1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64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left" vertical="top" wrapText="1"/>
      <protection locked="0"/>
    </xf>
    <xf numFmtId="0" fontId="11" fillId="0" borderId="7" xfId="1" applyFont="1" applyBorder="1" applyAlignment="1" applyProtection="1">
      <alignment horizontal="left" vertical="top" wrapText="1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0" fontId="11" fillId="0" borderId="22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4" fillId="0" borderId="23" xfId="1" applyFont="1" applyBorder="1" applyAlignment="1" applyProtection="1">
      <alignment horizontal="left" vertical="top"/>
      <protection locked="0"/>
    </xf>
    <xf numFmtId="0" fontId="14" fillId="0" borderId="0" xfId="1" applyFont="1" applyAlignment="1" applyProtection="1">
      <alignment horizontal="left" vertical="top"/>
      <protection locked="0"/>
    </xf>
    <xf numFmtId="0" fontId="14" fillId="0" borderId="24" xfId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14" fillId="0" borderId="17" xfId="1" applyFont="1" applyBorder="1" applyAlignment="1" applyProtection="1">
      <alignment horizontal="left" vertical="top"/>
      <protection locked="0"/>
    </xf>
    <xf numFmtId="0" fontId="14" fillId="0" borderId="2" xfId="1" applyFont="1" applyBorder="1" applyAlignment="1" applyProtection="1">
      <alignment horizontal="left" vertical="top"/>
      <protection locked="0"/>
    </xf>
    <xf numFmtId="0" fontId="14" fillId="0" borderId="18" xfId="1" applyFont="1" applyBorder="1" applyAlignment="1" applyProtection="1">
      <alignment horizontal="left" vertical="top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5" fillId="0" borderId="6" xfId="1" applyNumberFormat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7" fillId="4" borderId="6" xfId="0" applyNumberFormat="1" applyFont="1" applyFill="1" applyBorder="1" applyAlignment="1" applyProtection="1">
      <alignment vertical="top" wrapText="1"/>
      <protection locked="0"/>
    </xf>
    <xf numFmtId="1" fontId="7" fillId="4" borderId="19" xfId="0" applyNumberFormat="1" applyFont="1" applyFill="1" applyBorder="1" applyAlignment="1" applyProtection="1">
      <alignment vertical="top" wrapText="1"/>
      <protection locked="0"/>
    </xf>
    <xf numFmtId="1" fontId="7" fillId="4" borderId="7" xfId="0" applyNumberFormat="1" applyFont="1" applyFill="1" applyBorder="1" applyAlignment="1" applyProtection="1">
      <alignment vertical="top" wrapText="1"/>
      <protection locked="0"/>
    </xf>
    <xf numFmtId="1" fontId="12" fillId="0" borderId="6" xfId="0" applyNumberFormat="1" applyFont="1" applyBorder="1" applyAlignment="1" applyProtection="1">
      <alignment vertical="top" wrapText="1"/>
      <protection locked="0"/>
    </xf>
    <xf numFmtId="1" fontId="12" fillId="0" borderId="19" xfId="0" applyNumberFormat="1" applyFont="1" applyBorder="1" applyAlignment="1" applyProtection="1">
      <alignment vertical="top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/>
      <protection locked="0"/>
    </xf>
    <xf numFmtId="2" fontId="11" fillId="0" borderId="1" xfId="1" applyNumberFormat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5" fillId="0" borderId="14" xfId="1" applyFont="1" applyBorder="1" applyAlignment="1" applyProtection="1">
      <alignment horizontal="left" vertical="top" wrapText="1"/>
      <protection locked="0"/>
    </xf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8" fillId="0" borderId="1" xfId="5" applyFont="1" applyBorder="1" applyAlignment="1">
      <alignment horizontal="left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28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4" xfId="1" applyNumberFormat="1" applyFont="1" applyBorder="1" applyAlignment="1" applyProtection="1">
      <alignment horizontal="center" vertical="top" wrapText="1"/>
      <protection locked="0"/>
    </xf>
    <xf numFmtId="1" fontId="28" fillId="0" borderId="14" xfId="1" applyNumberFormat="1" applyFont="1" applyBorder="1" applyAlignment="1" applyProtection="1">
      <alignment horizontal="center" vertical="top" wrapText="1"/>
      <protection locked="0"/>
    </xf>
    <xf numFmtId="9" fontId="9" fillId="0" borderId="14" xfId="8" applyFont="1" applyFill="1" applyBorder="1" applyAlignment="1" applyProtection="1">
      <alignment horizontal="center" vertical="top" wrapText="1"/>
      <protection locked="0"/>
    </xf>
    <xf numFmtId="164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" fontId="6" fillId="0" borderId="0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248</xdr:row>
      <xdr:rowOff>0</xdr:rowOff>
    </xdr:from>
    <xdr:to>
      <xdr:col>7</xdr:col>
      <xdr:colOff>144320</xdr:colOff>
      <xdr:row>266</xdr:row>
      <xdr:rowOff>416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61912500"/>
          <a:ext cx="57545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550714</xdr:colOff>
      <xdr:row>267</xdr:row>
      <xdr:rowOff>134491</xdr:rowOff>
    </xdr:from>
    <xdr:to>
      <xdr:col>13</xdr:col>
      <xdr:colOff>812805</xdr:colOff>
      <xdr:row>288</xdr:row>
      <xdr:rowOff>93009</xdr:rowOff>
    </xdr:to>
    <xdr:grpSp>
      <xdr:nvGrpSpPr>
        <xdr:cNvPr id="11" name="Group 10"/>
        <xdr:cNvGrpSpPr/>
      </xdr:nvGrpSpPr>
      <xdr:grpSpPr>
        <a:xfrm>
          <a:off x="7075339" y="54884191"/>
          <a:ext cx="4986491" cy="4159043"/>
          <a:chOff x="807889" y="54741316"/>
          <a:chExt cx="4986491" cy="4159043"/>
        </a:xfrm>
      </xdr:grpSpPr>
      <xdr:pic>
        <xdr:nvPicPr>
          <xdr:cNvPr id="3" name="Picture 2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07889" y="54741316"/>
            <a:ext cx="4986491" cy="415904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Rectangle 3"/>
          <xdr:cNvSpPr/>
        </xdr:nvSpPr>
        <xdr:spPr>
          <a:xfrm>
            <a:off x="2418484" y="55836416"/>
            <a:ext cx="1029566" cy="913534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1925782" y="57158659"/>
            <a:ext cx="1176771" cy="834736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2531054" y="55575777"/>
            <a:ext cx="1211406" cy="2260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N" sz="1100" b="1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Sangles Trinity</a:t>
            </a:r>
            <a:endParaRPr lang="en-IN" b="1">
              <a:solidFill>
                <a:srgbClr val="FFFF00"/>
              </a:solidFill>
              <a:effectLst/>
            </a:endParaRPr>
          </a:p>
          <a:p>
            <a:endParaRPr lang="en-IN" sz="1100"/>
          </a:p>
        </xdr:txBody>
      </xdr:sp>
      <xdr:sp macro="" textlink="">
        <xdr:nvSpPr>
          <xdr:cNvPr id="7" name="TextBox 6"/>
          <xdr:cNvSpPr txBox="1"/>
        </xdr:nvSpPr>
        <xdr:spPr>
          <a:xfrm>
            <a:off x="1988123" y="56903492"/>
            <a:ext cx="1339565" cy="2369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N" sz="1100" b="1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Bajaj Prakriti Angan</a:t>
            </a:r>
            <a:endParaRPr lang="en-IN" sz="1100"/>
          </a:p>
        </xdr:txBody>
      </xdr:sp>
    </xdr:grpSp>
    <xdr:clientData/>
  </xdr:twoCellAnchor>
  <xdr:twoCellAnchor editAs="oneCell">
    <xdr:from>
      <xdr:col>1</xdr:col>
      <xdr:colOff>432954</xdr:colOff>
      <xdr:row>203</xdr:row>
      <xdr:rowOff>69273</xdr:rowOff>
    </xdr:from>
    <xdr:to>
      <xdr:col>6</xdr:col>
      <xdr:colOff>318247</xdr:colOff>
      <xdr:row>224</xdr:row>
      <xdr:rowOff>26932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4954" y="41416432"/>
          <a:ext cx="4032998" cy="41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562841</xdr:colOff>
      <xdr:row>224</xdr:row>
      <xdr:rowOff>139217</xdr:rowOff>
    </xdr:from>
    <xdr:to>
      <xdr:col>5</xdr:col>
      <xdr:colOff>765846</xdr:colOff>
      <xdr:row>244</xdr:row>
      <xdr:rowOff>76200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2941" y="43801817"/>
          <a:ext cx="3739955" cy="38739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752475</xdr:colOff>
      <xdr:row>161</xdr:row>
      <xdr:rowOff>28574</xdr:rowOff>
    </xdr:from>
    <xdr:to>
      <xdr:col>15</xdr:col>
      <xdr:colOff>275437</xdr:colOff>
      <xdr:row>202</xdr:row>
      <xdr:rowOff>35925</xdr:rowOff>
    </xdr:to>
    <xdr:grpSp>
      <xdr:nvGrpSpPr>
        <xdr:cNvPr id="8" name="Group 7"/>
        <xdr:cNvGrpSpPr/>
      </xdr:nvGrpSpPr>
      <xdr:grpSpPr>
        <a:xfrm>
          <a:off x="7277100" y="33585149"/>
          <a:ext cx="5742787" cy="8198851"/>
          <a:chOff x="333375" y="32375474"/>
          <a:chExt cx="5742787" cy="8198851"/>
        </a:xfrm>
      </xdr:grpSpPr>
      <xdr:pic>
        <xdr:nvPicPr>
          <xdr:cNvPr id="16" name="Picture 15" descr="https://vsjcllp.vsjadon.com/upload/insp-243343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00575" y="38595300"/>
            <a:ext cx="1475587" cy="19695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43343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8150" y="35918774"/>
            <a:ext cx="1949403" cy="26019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43343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76500" y="35926711"/>
            <a:ext cx="3466464" cy="26019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43343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00400" y="32375474"/>
            <a:ext cx="2600325" cy="34707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3343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48000" y="38604825"/>
            <a:ext cx="1475587" cy="19695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3343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375" y="38593712"/>
            <a:ext cx="2623916" cy="19695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343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14350" y="32384999"/>
            <a:ext cx="2600325" cy="34707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133350</xdr:colOff>
      <xdr:row>161</xdr:row>
      <xdr:rowOff>85725</xdr:rowOff>
    </xdr:from>
    <xdr:to>
      <xdr:col>7</xdr:col>
      <xdr:colOff>686733</xdr:colOff>
      <xdr:row>202</xdr:row>
      <xdr:rowOff>7326</xdr:rowOff>
    </xdr:to>
    <xdr:grpSp>
      <xdr:nvGrpSpPr>
        <xdr:cNvPr id="10" name="Group 9"/>
        <xdr:cNvGrpSpPr/>
      </xdr:nvGrpSpPr>
      <xdr:grpSpPr>
        <a:xfrm>
          <a:off x="133350" y="33642300"/>
          <a:ext cx="6249333" cy="8113101"/>
          <a:chOff x="133350" y="32632650"/>
          <a:chExt cx="6249333" cy="8113101"/>
        </a:xfrm>
      </xdr:grpSpPr>
      <xdr:pic>
        <xdr:nvPicPr>
          <xdr:cNvPr id="27" name="Picture 26" descr="insp-247796-15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64371" y="38585751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insp-247796-843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57094" y="3263265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insp-247796-845.jpg (1079×81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6948" y="36320574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insp-247796-847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6045" y="3263265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insp-247796-849.jpg (1079×81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8432" y="36320574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insp-247796-862.jpg (1079×81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15614" y="38585751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insp-247796-931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350" y="38585751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38100</xdr:colOff>
      <xdr:row>266</xdr:row>
      <xdr:rowOff>114300</xdr:rowOff>
    </xdr:from>
    <xdr:to>
      <xdr:col>6</xdr:col>
      <xdr:colOff>735411</xdr:colOff>
      <xdr:row>284</xdr:row>
      <xdr:rowOff>113850</xdr:rowOff>
    </xdr:to>
    <xdr:pic>
      <xdr:nvPicPr>
        <xdr:cNvPr id="34" name="Picture 33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0100" y="54663975"/>
          <a:ext cx="485021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703114</xdr:colOff>
      <xdr:row>268</xdr:row>
      <xdr:rowOff>86866</xdr:rowOff>
    </xdr:from>
    <xdr:to>
      <xdr:col>14</xdr:col>
      <xdr:colOff>127005</xdr:colOff>
      <xdr:row>289</xdr:row>
      <xdr:rowOff>45384</xdr:rowOff>
    </xdr:to>
    <xdr:pic>
      <xdr:nvPicPr>
        <xdr:cNvPr id="35" name="Picture 34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27739" y="55036591"/>
          <a:ext cx="4986491" cy="41590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637309</xdr:colOff>
      <xdr:row>273</xdr:row>
      <xdr:rowOff>181841</xdr:rowOff>
    </xdr:from>
    <xdr:to>
      <xdr:col>11</xdr:col>
      <xdr:colOff>114300</xdr:colOff>
      <xdr:row>278</xdr:row>
      <xdr:rowOff>95250</xdr:rowOff>
    </xdr:to>
    <xdr:sp macro="" textlink="">
      <xdr:nvSpPr>
        <xdr:cNvPr id="36" name="Rectangle 35"/>
        <xdr:cNvSpPr/>
      </xdr:nvSpPr>
      <xdr:spPr>
        <a:xfrm>
          <a:off x="8838334" y="56131691"/>
          <a:ext cx="1029566" cy="91353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9</xdr:col>
      <xdr:colOff>144607</xdr:colOff>
      <xdr:row>280</xdr:row>
      <xdr:rowOff>103909</xdr:rowOff>
    </xdr:from>
    <xdr:to>
      <xdr:col>10</xdr:col>
      <xdr:colOff>559378</xdr:colOff>
      <xdr:row>284</xdr:row>
      <xdr:rowOff>138545</xdr:rowOff>
    </xdr:to>
    <xdr:sp macro="" textlink="">
      <xdr:nvSpPr>
        <xdr:cNvPr id="37" name="Rectangle 36"/>
        <xdr:cNvSpPr/>
      </xdr:nvSpPr>
      <xdr:spPr>
        <a:xfrm>
          <a:off x="8345632" y="57453934"/>
          <a:ext cx="1176771" cy="83473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9</xdr:col>
      <xdr:colOff>749879</xdr:colOff>
      <xdr:row>272</xdr:row>
      <xdr:rowOff>121227</xdr:rowOff>
    </xdr:from>
    <xdr:to>
      <xdr:col>11</xdr:col>
      <xdr:colOff>408710</xdr:colOff>
      <xdr:row>273</xdr:row>
      <xdr:rowOff>147204</xdr:rowOff>
    </xdr:to>
    <xdr:sp macro="" textlink="">
      <xdr:nvSpPr>
        <xdr:cNvPr id="38" name="TextBox 37"/>
        <xdr:cNvSpPr txBox="1"/>
      </xdr:nvSpPr>
      <xdr:spPr>
        <a:xfrm>
          <a:off x="8950904" y="55871052"/>
          <a:ext cx="1211406" cy="226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1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Sangles Trinity</a:t>
          </a:r>
          <a:endParaRPr lang="en-IN" b="1">
            <a:solidFill>
              <a:srgbClr val="FFFF00"/>
            </a:solidFill>
            <a:effectLst/>
          </a:endParaRPr>
        </a:p>
        <a:p>
          <a:endParaRPr lang="en-IN" sz="1100"/>
        </a:p>
      </xdr:txBody>
    </xdr:sp>
    <xdr:clientData/>
  </xdr:twoCellAnchor>
  <xdr:twoCellAnchor>
    <xdr:from>
      <xdr:col>9</xdr:col>
      <xdr:colOff>206948</xdr:colOff>
      <xdr:row>279</xdr:row>
      <xdr:rowOff>48767</xdr:rowOff>
    </xdr:from>
    <xdr:to>
      <xdr:col>10</xdr:col>
      <xdr:colOff>784513</xdr:colOff>
      <xdr:row>280</xdr:row>
      <xdr:rowOff>85725</xdr:rowOff>
    </xdr:to>
    <xdr:sp macro="" textlink="">
      <xdr:nvSpPr>
        <xdr:cNvPr id="39" name="TextBox 38"/>
        <xdr:cNvSpPr txBox="1"/>
      </xdr:nvSpPr>
      <xdr:spPr>
        <a:xfrm>
          <a:off x="8407973" y="57198767"/>
          <a:ext cx="1339565" cy="236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1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Bajaj Prakriti Angan</a:t>
          </a:r>
          <a:endParaRPr lang="en-IN" sz="1100"/>
        </a:p>
      </xdr:txBody>
    </xdr:sp>
    <xdr:clientData/>
  </xdr:twoCellAnchor>
  <xdr:twoCellAnchor>
    <xdr:from>
      <xdr:col>4</xdr:col>
      <xdr:colOff>27841</xdr:colOff>
      <xdr:row>267</xdr:row>
      <xdr:rowOff>124136</xdr:rowOff>
    </xdr:from>
    <xdr:to>
      <xdr:col>5</xdr:col>
      <xdr:colOff>762132</xdr:colOff>
      <xdr:row>272</xdr:row>
      <xdr:rowOff>197427</xdr:rowOff>
    </xdr:to>
    <xdr:sp macro="" textlink="">
      <xdr:nvSpPr>
        <xdr:cNvPr id="40" name="Rectangle 39"/>
        <xdr:cNvSpPr/>
      </xdr:nvSpPr>
      <xdr:spPr>
        <a:xfrm rot="404848">
          <a:off x="3380641" y="54873836"/>
          <a:ext cx="1515341" cy="1073416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492704</xdr:colOff>
      <xdr:row>266</xdr:row>
      <xdr:rowOff>92652</xdr:rowOff>
    </xdr:from>
    <xdr:to>
      <xdr:col>6</xdr:col>
      <xdr:colOff>142010</xdr:colOff>
      <xdr:row>267</xdr:row>
      <xdr:rowOff>118629</xdr:rowOff>
    </xdr:to>
    <xdr:sp macro="" textlink="">
      <xdr:nvSpPr>
        <xdr:cNvPr id="42" name="TextBox 41"/>
        <xdr:cNvSpPr txBox="1"/>
      </xdr:nvSpPr>
      <xdr:spPr>
        <a:xfrm rot="410522">
          <a:off x="3845504" y="54642327"/>
          <a:ext cx="1211406" cy="226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1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Sangles Trinity</a:t>
          </a:r>
          <a:endParaRPr lang="en-IN" b="1">
            <a:solidFill>
              <a:srgbClr val="FFFF00"/>
            </a:solidFill>
            <a:effectLst/>
          </a:endParaRPr>
        </a:p>
        <a:p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a7vL7iQ5jRQgNSDj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247"/>
  <sheetViews>
    <sheetView tabSelected="1" view="pageBreakPreview" topLeftCell="A132" zoomScaleNormal="100" zoomScaleSheetLayoutView="100" workbookViewId="0">
      <selection activeCell="K142" sqref="K142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7" width="11.7109375" style="36" customWidth="1"/>
    <col min="8" max="8" width="12.42578125" style="36" customWidth="1"/>
    <col min="9" max="9" width="25.140625" style="17" customWidth="1"/>
    <col min="10" max="10" width="11.42578125" style="17" customWidth="1"/>
    <col min="11" max="11" width="11.85546875" style="17" bestFit="1" customWidth="1"/>
    <col min="12" max="12" width="10.5703125" style="17" customWidth="1"/>
    <col min="13" max="13" width="11.85546875" style="17" customWidth="1"/>
    <col min="14" max="14" width="12.5703125" style="17" customWidth="1"/>
    <col min="15" max="15" width="9.85546875" style="17" customWidth="1"/>
    <col min="16" max="16" width="11.7109375" style="17" customWidth="1"/>
    <col min="17" max="247" width="9.140625" style="17"/>
    <col min="248" max="248" width="8.7109375" style="17" customWidth="1"/>
    <col min="249" max="249" width="9.855468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85546875" style="17" customWidth="1"/>
    <col min="256" max="256" width="11.140625" style="17" customWidth="1"/>
    <col min="257" max="257" width="2.85546875" style="17" customWidth="1"/>
    <col min="258" max="258" width="3.5703125" style="17" customWidth="1"/>
    <col min="259" max="503" width="9.140625" style="17"/>
    <col min="504" max="504" width="8.7109375" style="17" customWidth="1"/>
    <col min="505" max="505" width="9.855468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85546875" style="17" customWidth="1"/>
    <col min="512" max="512" width="11.140625" style="17" customWidth="1"/>
    <col min="513" max="513" width="2.85546875" style="17" customWidth="1"/>
    <col min="514" max="514" width="3.5703125" style="17" customWidth="1"/>
    <col min="515" max="759" width="9.140625" style="17"/>
    <col min="760" max="760" width="8.7109375" style="17" customWidth="1"/>
    <col min="761" max="761" width="9.855468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85546875" style="17" customWidth="1"/>
    <col min="768" max="768" width="11.140625" style="17" customWidth="1"/>
    <col min="769" max="769" width="2.85546875" style="17" customWidth="1"/>
    <col min="770" max="770" width="3.5703125" style="17" customWidth="1"/>
    <col min="771" max="1015" width="9.140625" style="17"/>
    <col min="1016" max="1016" width="8.7109375" style="17" customWidth="1"/>
    <col min="1017" max="1017" width="9.855468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85546875" style="17" customWidth="1"/>
    <col min="1024" max="1024" width="11.140625" style="17" customWidth="1"/>
    <col min="1025" max="1025" width="2.85546875" style="17" customWidth="1"/>
    <col min="1026" max="1026" width="3.5703125" style="17" customWidth="1"/>
    <col min="1027" max="1271" width="9.140625" style="17"/>
    <col min="1272" max="1272" width="8.7109375" style="17" customWidth="1"/>
    <col min="1273" max="1273" width="9.855468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85546875" style="17" customWidth="1"/>
    <col min="1280" max="1280" width="11.140625" style="17" customWidth="1"/>
    <col min="1281" max="1281" width="2.85546875" style="17" customWidth="1"/>
    <col min="1282" max="1282" width="3.5703125" style="17" customWidth="1"/>
    <col min="1283" max="1527" width="9.140625" style="17"/>
    <col min="1528" max="1528" width="8.7109375" style="17" customWidth="1"/>
    <col min="1529" max="1529" width="9.855468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85546875" style="17" customWidth="1"/>
    <col min="1536" max="1536" width="11.140625" style="17" customWidth="1"/>
    <col min="1537" max="1537" width="2.85546875" style="17" customWidth="1"/>
    <col min="1538" max="1538" width="3.5703125" style="17" customWidth="1"/>
    <col min="1539" max="1783" width="9.140625" style="17"/>
    <col min="1784" max="1784" width="8.7109375" style="17" customWidth="1"/>
    <col min="1785" max="1785" width="9.855468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85546875" style="17" customWidth="1"/>
    <col min="1792" max="1792" width="11.140625" style="17" customWidth="1"/>
    <col min="1793" max="1793" width="2.85546875" style="17" customWidth="1"/>
    <col min="1794" max="1794" width="3.5703125" style="17" customWidth="1"/>
    <col min="1795" max="2039" width="9.140625" style="17"/>
    <col min="2040" max="2040" width="8.7109375" style="17" customWidth="1"/>
    <col min="2041" max="2041" width="9.855468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85546875" style="17" customWidth="1"/>
    <col min="2048" max="2048" width="11.140625" style="17" customWidth="1"/>
    <col min="2049" max="2049" width="2.85546875" style="17" customWidth="1"/>
    <col min="2050" max="2050" width="3.5703125" style="17" customWidth="1"/>
    <col min="2051" max="2295" width="9.140625" style="17"/>
    <col min="2296" max="2296" width="8.7109375" style="17" customWidth="1"/>
    <col min="2297" max="2297" width="9.855468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85546875" style="17" customWidth="1"/>
    <col min="2304" max="2304" width="11.140625" style="17" customWidth="1"/>
    <col min="2305" max="2305" width="2.85546875" style="17" customWidth="1"/>
    <col min="2306" max="2306" width="3.5703125" style="17" customWidth="1"/>
    <col min="2307" max="2551" width="9.140625" style="17"/>
    <col min="2552" max="2552" width="8.7109375" style="17" customWidth="1"/>
    <col min="2553" max="2553" width="9.855468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85546875" style="17" customWidth="1"/>
    <col min="2560" max="2560" width="11.140625" style="17" customWidth="1"/>
    <col min="2561" max="2561" width="2.85546875" style="17" customWidth="1"/>
    <col min="2562" max="2562" width="3.5703125" style="17" customWidth="1"/>
    <col min="2563" max="2807" width="9.140625" style="17"/>
    <col min="2808" max="2808" width="8.7109375" style="17" customWidth="1"/>
    <col min="2809" max="2809" width="9.855468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85546875" style="17" customWidth="1"/>
    <col min="2816" max="2816" width="11.140625" style="17" customWidth="1"/>
    <col min="2817" max="2817" width="2.85546875" style="17" customWidth="1"/>
    <col min="2818" max="2818" width="3.5703125" style="17" customWidth="1"/>
    <col min="2819" max="3063" width="9.140625" style="17"/>
    <col min="3064" max="3064" width="8.7109375" style="17" customWidth="1"/>
    <col min="3065" max="3065" width="9.855468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85546875" style="17" customWidth="1"/>
    <col min="3072" max="3072" width="11.140625" style="17" customWidth="1"/>
    <col min="3073" max="3073" width="2.85546875" style="17" customWidth="1"/>
    <col min="3074" max="3074" width="3.5703125" style="17" customWidth="1"/>
    <col min="3075" max="3319" width="9.140625" style="17"/>
    <col min="3320" max="3320" width="8.7109375" style="17" customWidth="1"/>
    <col min="3321" max="3321" width="9.855468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85546875" style="17" customWidth="1"/>
    <col min="3328" max="3328" width="11.140625" style="17" customWidth="1"/>
    <col min="3329" max="3329" width="2.85546875" style="17" customWidth="1"/>
    <col min="3330" max="3330" width="3.5703125" style="17" customWidth="1"/>
    <col min="3331" max="3575" width="9.140625" style="17"/>
    <col min="3576" max="3576" width="8.7109375" style="17" customWidth="1"/>
    <col min="3577" max="3577" width="9.855468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85546875" style="17" customWidth="1"/>
    <col min="3584" max="3584" width="11.140625" style="17" customWidth="1"/>
    <col min="3585" max="3585" width="2.85546875" style="17" customWidth="1"/>
    <col min="3586" max="3586" width="3.5703125" style="17" customWidth="1"/>
    <col min="3587" max="3831" width="9.140625" style="17"/>
    <col min="3832" max="3832" width="8.7109375" style="17" customWidth="1"/>
    <col min="3833" max="3833" width="9.855468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85546875" style="17" customWidth="1"/>
    <col min="3840" max="3840" width="11.140625" style="17" customWidth="1"/>
    <col min="3841" max="3841" width="2.85546875" style="17" customWidth="1"/>
    <col min="3842" max="3842" width="3.5703125" style="17" customWidth="1"/>
    <col min="3843" max="4087" width="9.140625" style="17"/>
    <col min="4088" max="4088" width="8.7109375" style="17" customWidth="1"/>
    <col min="4089" max="4089" width="9.855468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85546875" style="17" customWidth="1"/>
    <col min="4096" max="4096" width="11.140625" style="17" customWidth="1"/>
    <col min="4097" max="4097" width="2.85546875" style="17" customWidth="1"/>
    <col min="4098" max="4098" width="3.5703125" style="17" customWidth="1"/>
    <col min="4099" max="4343" width="9.140625" style="17"/>
    <col min="4344" max="4344" width="8.7109375" style="17" customWidth="1"/>
    <col min="4345" max="4345" width="9.855468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85546875" style="17" customWidth="1"/>
    <col min="4352" max="4352" width="11.140625" style="17" customWidth="1"/>
    <col min="4353" max="4353" width="2.85546875" style="17" customWidth="1"/>
    <col min="4354" max="4354" width="3.5703125" style="17" customWidth="1"/>
    <col min="4355" max="4599" width="9.140625" style="17"/>
    <col min="4600" max="4600" width="8.7109375" style="17" customWidth="1"/>
    <col min="4601" max="4601" width="9.855468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85546875" style="17" customWidth="1"/>
    <col min="4608" max="4608" width="11.140625" style="17" customWidth="1"/>
    <col min="4609" max="4609" width="2.85546875" style="17" customWidth="1"/>
    <col min="4610" max="4610" width="3.5703125" style="17" customWidth="1"/>
    <col min="4611" max="4855" width="9.140625" style="17"/>
    <col min="4856" max="4856" width="8.7109375" style="17" customWidth="1"/>
    <col min="4857" max="4857" width="9.855468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85546875" style="17" customWidth="1"/>
    <col min="4864" max="4864" width="11.140625" style="17" customWidth="1"/>
    <col min="4865" max="4865" width="2.85546875" style="17" customWidth="1"/>
    <col min="4866" max="4866" width="3.5703125" style="17" customWidth="1"/>
    <col min="4867" max="5111" width="9.140625" style="17"/>
    <col min="5112" max="5112" width="8.7109375" style="17" customWidth="1"/>
    <col min="5113" max="5113" width="9.855468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85546875" style="17" customWidth="1"/>
    <col min="5120" max="5120" width="11.140625" style="17" customWidth="1"/>
    <col min="5121" max="5121" width="2.85546875" style="17" customWidth="1"/>
    <col min="5122" max="5122" width="3.5703125" style="17" customWidth="1"/>
    <col min="5123" max="5367" width="9.140625" style="17"/>
    <col min="5368" max="5368" width="8.7109375" style="17" customWidth="1"/>
    <col min="5369" max="5369" width="9.855468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85546875" style="17" customWidth="1"/>
    <col min="5376" max="5376" width="11.140625" style="17" customWidth="1"/>
    <col min="5377" max="5377" width="2.85546875" style="17" customWidth="1"/>
    <col min="5378" max="5378" width="3.5703125" style="17" customWidth="1"/>
    <col min="5379" max="5623" width="9.140625" style="17"/>
    <col min="5624" max="5624" width="8.7109375" style="17" customWidth="1"/>
    <col min="5625" max="5625" width="9.855468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85546875" style="17" customWidth="1"/>
    <col min="5632" max="5632" width="11.140625" style="17" customWidth="1"/>
    <col min="5633" max="5633" width="2.85546875" style="17" customWidth="1"/>
    <col min="5634" max="5634" width="3.5703125" style="17" customWidth="1"/>
    <col min="5635" max="5879" width="9.140625" style="17"/>
    <col min="5880" max="5880" width="8.7109375" style="17" customWidth="1"/>
    <col min="5881" max="5881" width="9.855468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85546875" style="17" customWidth="1"/>
    <col min="5888" max="5888" width="11.140625" style="17" customWidth="1"/>
    <col min="5889" max="5889" width="2.85546875" style="17" customWidth="1"/>
    <col min="5890" max="5890" width="3.5703125" style="17" customWidth="1"/>
    <col min="5891" max="6135" width="9.140625" style="17"/>
    <col min="6136" max="6136" width="8.7109375" style="17" customWidth="1"/>
    <col min="6137" max="6137" width="9.855468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85546875" style="17" customWidth="1"/>
    <col min="6144" max="6144" width="11.140625" style="17" customWidth="1"/>
    <col min="6145" max="6145" width="2.85546875" style="17" customWidth="1"/>
    <col min="6146" max="6146" width="3.5703125" style="17" customWidth="1"/>
    <col min="6147" max="6391" width="9.140625" style="17"/>
    <col min="6392" max="6392" width="8.7109375" style="17" customWidth="1"/>
    <col min="6393" max="6393" width="9.855468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85546875" style="17" customWidth="1"/>
    <col min="6400" max="6400" width="11.140625" style="17" customWidth="1"/>
    <col min="6401" max="6401" width="2.85546875" style="17" customWidth="1"/>
    <col min="6402" max="6402" width="3.5703125" style="17" customWidth="1"/>
    <col min="6403" max="6647" width="9.140625" style="17"/>
    <col min="6648" max="6648" width="8.7109375" style="17" customWidth="1"/>
    <col min="6649" max="6649" width="9.855468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85546875" style="17" customWidth="1"/>
    <col min="6656" max="6656" width="11.140625" style="17" customWidth="1"/>
    <col min="6657" max="6657" width="2.85546875" style="17" customWidth="1"/>
    <col min="6658" max="6658" width="3.5703125" style="17" customWidth="1"/>
    <col min="6659" max="6903" width="9.140625" style="17"/>
    <col min="6904" max="6904" width="8.7109375" style="17" customWidth="1"/>
    <col min="6905" max="6905" width="9.855468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85546875" style="17" customWidth="1"/>
    <col min="6912" max="6912" width="11.140625" style="17" customWidth="1"/>
    <col min="6913" max="6913" width="2.85546875" style="17" customWidth="1"/>
    <col min="6914" max="6914" width="3.5703125" style="17" customWidth="1"/>
    <col min="6915" max="7159" width="9.140625" style="17"/>
    <col min="7160" max="7160" width="8.7109375" style="17" customWidth="1"/>
    <col min="7161" max="7161" width="9.855468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85546875" style="17" customWidth="1"/>
    <col min="7168" max="7168" width="11.140625" style="17" customWidth="1"/>
    <col min="7169" max="7169" width="2.85546875" style="17" customWidth="1"/>
    <col min="7170" max="7170" width="3.5703125" style="17" customWidth="1"/>
    <col min="7171" max="7415" width="9.140625" style="17"/>
    <col min="7416" max="7416" width="8.7109375" style="17" customWidth="1"/>
    <col min="7417" max="7417" width="9.855468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85546875" style="17" customWidth="1"/>
    <col min="7424" max="7424" width="11.140625" style="17" customWidth="1"/>
    <col min="7425" max="7425" width="2.85546875" style="17" customWidth="1"/>
    <col min="7426" max="7426" width="3.5703125" style="17" customWidth="1"/>
    <col min="7427" max="7671" width="9.140625" style="17"/>
    <col min="7672" max="7672" width="8.7109375" style="17" customWidth="1"/>
    <col min="7673" max="7673" width="9.855468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85546875" style="17" customWidth="1"/>
    <col min="7680" max="7680" width="11.140625" style="17" customWidth="1"/>
    <col min="7681" max="7681" width="2.85546875" style="17" customWidth="1"/>
    <col min="7682" max="7682" width="3.5703125" style="17" customWidth="1"/>
    <col min="7683" max="7927" width="9.140625" style="17"/>
    <col min="7928" max="7928" width="8.7109375" style="17" customWidth="1"/>
    <col min="7929" max="7929" width="9.855468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85546875" style="17" customWidth="1"/>
    <col min="7936" max="7936" width="11.140625" style="17" customWidth="1"/>
    <col min="7937" max="7937" width="2.85546875" style="17" customWidth="1"/>
    <col min="7938" max="7938" width="3.5703125" style="17" customWidth="1"/>
    <col min="7939" max="8183" width="9.140625" style="17"/>
    <col min="8184" max="8184" width="8.7109375" style="17" customWidth="1"/>
    <col min="8185" max="8185" width="9.855468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85546875" style="17" customWidth="1"/>
    <col min="8192" max="8192" width="11.140625" style="17" customWidth="1"/>
    <col min="8193" max="8193" width="2.85546875" style="17" customWidth="1"/>
    <col min="8194" max="8194" width="3.5703125" style="17" customWidth="1"/>
    <col min="8195" max="8439" width="9.140625" style="17"/>
    <col min="8440" max="8440" width="8.7109375" style="17" customWidth="1"/>
    <col min="8441" max="8441" width="9.855468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85546875" style="17" customWidth="1"/>
    <col min="8448" max="8448" width="11.140625" style="17" customWidth="1"/>
    <col min="8449" max="8449" width="2.85546875" style="17" customWidth="1"/>
    <col min="8450" max="8450" width="3.5703125" style="17" customWidth="1"/>
    <col min="8451" max="8695" width="9.140625" style="17"/>
    <col min="8696" max="8696" width="8.7109375" style="17" customWidth="1"/>
    <col min="8697" max="8697" width="9.855468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85546875" style="17" customWidth="1"/>
    <col min="8704" max="8704" width="11.140625" style="17" customWidth="1"/>
    <col min="8705" max="8705" width="2.85546875" style="17" customWidth="1"/>
    <col min="8706" max="8706" width="3.5703125" style="17" customWidth="1"/>
    <col min="8707" max="8951" width="9.140625" style="17"/>
    <col min="8952" max="8952" width="8.7109375" style="17" customWidth="1"/>
    <col min="8953" max="8953" width="9.855468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85546875" style="17" customWidth="1"/>
    <col min="8960" max="8960" width="11.140625" style="17" customWidth="1"/>
    <col min="8961" max="8961" width="2.85546875" style="17" customWidth="1"/>
    <col min="8962" max="8962" width="3.5703125" style="17" customWidth="1"/>
    <col min="8963" max="9207" width="9.140625" style="17"/>
    <col min="9208" max="9208" width="8.7109375" style="17" customWidth="1"/>
    <col min="9209" max="9209" width="9.855468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85546875" style="17" customWidth="1"/>
    <col min="9216" max="9216" width="11.140625" style="17" customWidth="1"/>
    <col min="9217" max="9217" width="2.85546875" style="17" customWidth="1"/>
    <col min="9218" max="9218" width="3.5703125" style="17" customWidth="1"/>
    <col min="9219" max="9463" width="9.140625" style="17"/>
    <col min="9464" max="9464" width="8.7109375" style="17" customWidth="1"/>
    <col min="9465" max="9465" width="9.855468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85546875" style="17" customWidth="1"/>
    <col min="9472" max="9472" width="11.140625" style="17" customWidth="1"/>
    <col min="9473" max="9473" width="2.85546875" style="17" customWidth="1"/>
    <col min="9474" max="9474" width="3.5703125" style="17" customWidth="1"/>
    <col min="9475" max="9719" width="9.140625" style="17"/>
    <col min="9720" max="9720" width="8.7109375" style="17" customWidth="1"/>
    <col min="9721" max="9721" width="9.855468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85546875" style="17" customWidth="1"/>
    <col min="9728" max="9728" width="11.140625" style="17" customWidth="1"/>
    <col min="9729" max="9729" width="2.85546875" style="17" customWidth="1"/>
    <col min="9730" max="9730" width="3.5703125" style="17" customWidth="1"/>
    <col min="9731" max="9975" width="9.140625" style="17"/>
    <col min="9976" max="9976" width="8.7109375" style="17" customWidth="1"/>
    <col min="9977" max="9977" width="9.855468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85546875" style="17" customWidth="1"/>
    <col min="9984" max="9984" width="11.140625" style="17" customWidth="1"/>
    <col min="9985" max="9985" width="2.85546875" style="17" customWidth="1"/>
    <col min="9986" max="9986" width="3.5703125" style="17" customWidth="1"/>
    <col min="9987" max="10231" width="9.140625" style="17"/>
    <col min="10232" max="10232" width="8.7109375" style="17" customWidth="1"/>
    <col min="10233" max="10233" width="9.855468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85546875" style="17" customWidth="1"/>
    <col min="10240" max="10240" width="11.140625" style="17" customWidth="1"/>
    <col min="10241" max="10241" width="2.85546875" style="17" customWidth="1"/>
    <col min="10242" max="10242" width="3.5703125" style="17" customWidth="1"/>
    <col min="10243" max="10487" width="9.140625" style="17"/>
    <col min="10488" max="10488" width="8.7109375" style="17" customWidth="1"/>
    <col min="10489" max="10489" width="9.855468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85546875" style="17" customWidth="1"/>
    <col min="10496" max="10496" width="11.140625" style="17" customWidth="1"/>
    <col min="10497" max="10497" width="2.85546875" style="17" customWidth="1"/>
    <col min="10498" max="10498" width="3.5703125" style="17" customWidth="1"/>
    <col min="10499" max="10743" width="9.140625" style="17"/>
    <col min="10744" max="10744" width="8.7109375" style="17" customWidth="1"/>
    <col min="10745" max="10745" width="9.855468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85546875" style="17" customWidth="1"/>
    <col min="10752" max="10752" width="11.140625" style="17" customWidth="1"/>
    <col min="10753" max="10753" width="2.85546875" style="17" customWidth="1"/>
    <col min="10754" max="10754" width="3.5703125" style="17" customWidth="1"/>
    <col min="10755" max="10999" width="9.140625" style="17"/>
    <col min="11000" max="11000" width="8.7109375" style="17" customWidth="1"/>
    <col min="11001" max="11001" width="9.855468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85546875" style="17" customWidth="1"/>
    <col min="11008" max="11008" width="11.140625" style="17" customWidth="1"/>
    <col min="11009" max="11009" width="2.85546875" style="17" customWidth="1"/>
    <col min="11010" max="11010" width="3.5703125" style="17" customWidth="1"/>
    <col min="11011" max="11255" width="9.140625" style="17"/>
    <col min="11256" max="11256" width="8.7109375" style="17" customWidth="1"/>
    <col min="11257" max="11257" width="9.855468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85546875" style="17" customWidth="1"/>
    <col min="11264" max="11264" width="11.140625" style="17" customWidth="1"/>
    <col min="11265" max="11265" width="2.85546875" style="17" customWidth="1"/>
    <col min="11266" max="11266" width="3.5703125" style="17" customWidth="1"/>
    <col min="11267" max="11511" width="9.140625" style="17"/>
    <col min="11512" max="11512" width="8.7109375" style="17" customWidth="1"/>
    <col min="11513" max="11513" width="9.855468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85546875" style="17" customWidth="1"/>
    <col min="11520" max="11520" width="11.140625" style="17" customWidth="1"/>
    <col min="11521" max="11521" width="2.85546875" style="17" customWidth="1"/>
    <col min="11522" max="11522" width="3.5703125" style="17" customWidth="1"/>
    <col min="11523" max="11767" width="9.140625" style="17"/>
    <col min="11768" max="11768" width="8.7109375" style="17" customWidth="1"/>
    <col min="11769" max="11769" width="9.855468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85546875" style="17" customWidth="1"/>
    <col min="11776" max="11776" width="11.140625" style="17" customWidth="1"/>
    <col min="11777" max="11777" width="2.85546875" style="17" customWidth="1"/>
    <col min="11778" max="11778" width="3.5703125" style="17" customWidth="1"/>
    <col min="11779" max="12023" width="9.140625" style="17"/>
    <col min="12024" max="12024" width="8.7109375" style="17" customWidth="1"/>
    <col min="12025" max="12025" width="9.855468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85546875" style="17" customWidth="1"/>
    <col min="12032" max="12032" width="11.140625" style="17" customWidth="1"/>
    <col min="12033" max="12033" width="2.85546875" style="17" customWidth="1"/>
    <col min="12034" max="12034" width="3.5703125" style="17" customWidth="1"/>
    <col min="12035" max="12279" width="9.140625" style="17"/>
    <col min="12280" max="12280" width="8.7109375" style="17" customWidth="1"/>
    <col min="12281" max="12281" width="9.855468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85546875" style="17" customWidth="1"/>
    <col min="12288" max="12288" width="11.140625" style="17" customWidth="1"/>
    <col min="12289" max="12289" width="2.85546875" style="17" customWidth="1"/>
    <col min="12290" max="12290" width="3.5703125" style="17" customWidth="1"/>
    <col min="12291" max="12535" width="9.140625" style="17"/>
    <col min="12536" max="12536" width="8.7109375" style="17" customWidth="1"/>
    <col min="12537" max="12537" width="9.855468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85546875" style="17" customWidth="1"/>
    <col min="12544" max="12544" width="11.140625" style="17" customWidth="1"/>
    <col min="12545" max="12545" width="2.85546875" style="17" customWidth="1"/>
    <col min="12546" max="12546" width="3.5703125" style="17" customWidth="1"/>
    <col min="12547" max="12791" width="9.140625" style="17"/>
    <col min="12792" max="12792" width="8.7109375" style="17" customWidth="1"/>
    <col min="12793" max="12793" width="9.855468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85546875" style="17" customWidth="1"/>
    <col min="12800" max="12800" width="11.140625" style="17" customWidth="1"/>
    <col min="12801" max="12801" width="2.85546875" style="17" customWidth="1"/>
    <col min="12802" max="12802" width="3.5703125" style="17" customWidth="1"/>
    <col min="12803" max="13047" width="9.140625" style="17"/>
    <col min="13048" max="13048" width="8.7109375" style="17" customWidth="1"/>
    <col min="13049" max="13049" width="9.855468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85546875" style="17" customWidth="1"/>
    <col min="13056" max="13056" width="11.140625" style="17" customWidth="1"/>
    <col min="13057" max="13057" width="2.85546875" style="17" customWidth="1"/>
    <col min="13058" max="13058" width="3.5703125" style="17" customWidth="1"/>
    <col min="13059" max="13303" width="9.140625" style="17"/>
    <col min="13304" max="13304" width="8.7109375" style="17" customWidth="1"/>
    <col min="13305" max="13305" width="9.855468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85546875" style="17" customWidth="1"/>
    <col min="13312" max="13312" width="11.140625" style="17" customWidth="1"/>
    <col min="13313" max="13313" width="2.85546875" style="17" customWidth="1"/>
    <col min="13314" max="13314" width="3.5703125" style="17" customWidth="1"/>
    <col min="13315" max="13559" width="9.140625" style="17"/>
    <col min="13560" max="13560" width="8.7109375" style="17" customWidth="1"/>
    <col min="13561" max="13561" width="9.855468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85546875" style="17" customWidth="1"/>
    <col min="13568" max="13568" width="11.140625" style="17" customWidth="1"/>
    <col min="13569" max="13569" width="2.85546875" style="17" customWidth="1"/>
    <col min="13570" max="13570" width="3.5703125" style="17" customWidth="1"/>
    <col min="13571" max="13815" width="9.140625" style="17"/>
    <col min="13816" max="13816" width="8.7109375" style="17" customWidth="1"/>
    <col min="13817" max="13817" width="9.855468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85546875" style="17" customWidth="1"/>
    <col min="13824" max="13824" width="11.140625" style="17" customWidth="1"/>
    <col min="13825" max="13825" width="2.85546875" style="17" customWidth="1"/>
    <col min="13826" max="13826" width="3.5703125" style="17" customWidth="1"/>
    <col min="13827" max="14071" width="9.140625" style="17"/>
    <col min="14072" max="14072" width="8.7109375" style="17" customWidth="1"/>
    <col min="14073" max="14073" width="9.855468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85546875" style="17" customWidth="1"/>
    <col min="14080" max="14080" width="11.140625" style="17" customWidth="1"/>
    <col min="14081" max="14081" width="2.85546875" style="17" customWidth="1"/>
    <col min="14082" max="14082" width="3.5703125" style="17" customWidth="1"/>
    <col min="14083" max="14327" width="9.140625" style="17"/>
    <col min="14328" max="14328" width="8.7109375" style="17" customWidth="1"/>
    <col min="14329" max="14329" width="9.855468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85546875" style="17" customWidth="1"/>
    <col min="14336" max="14336" width="11.140625" style="17" customWidth="1"/>
    <col min="14337" max="14337" width="2.85546875" style="17" customWidth="1"/>
    <col min="14338" max="14338" width="3.5703125" style="17" customWidth="1"/>
    <col min="14339" max="14583" width="9.140625" style="17"/>
    <col min="14584" max="14584" width="8.7109375" style="17" customWidth="1"/>
    <col min="14585" max="14585" width="9.855468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85546875" style="17" customWidth="1"/>
    <col min="14592" max="14592" width="11.140625" style="17" customWidth="1"/>
    <col min="14593" max="14593" width="2.85546875" style="17" customWidth="1"/>
    <col min="14594" max="14594" width="3.5703125" style="17" customWidth="1"/>
    <col min="14595" max="14839" width="9.140625" style="17"/>
    <col min="14840" max="14840" width="8.7109375" style="17" customWidth="1"/>
    <col min="14841" max="14841" width="9.855468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85546875" style="17" customWidth="1"/>
    <col min="14848" max="14848" width="11.140625" style="17" customWidth="1"/>
    <col min="14849" max="14849" width="2.85546875" style="17" customWidth="1"/>
    <col min="14850" max="14850" width="3.5703125" style="17" customWidth="1"/>
    <col min="14851" max="15095" width="9.140625" style="17"/>
    <col min="15096" max="15096" width="8.7109375" style="17" customWidth="1"/>
    <col min="15097" max="15097" width="9.855468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85546875" style="17" customWidth="1"/>
    <col min="15104" max="15104" width="11.140625" style="17" customWidth="1"/>
    <col min="15105" max="15105" width="2.85546875" style="17" customWidth="1"/>
    <col min="15106" max="15106" width="3.5703125" style="17" customWidth="1"/>
    <col min="15107" max="15351" width="9.140625" style="17"/>
    <col min="15352" max="15352" width="8.7109375" style="17" customWidth="1"/>
    <col min="15353" max="15353" width="9.855468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85546875" style="17" customWidth="1"/>
    <col min="15360" max="15360" width="11.140625" style="17" customWidth="1"/>
    <col min="15361" max="15361" width="2.85546875" style="17" customWidth="1"/>
    <col min="15362" max="15362" width="3.5703125" style="17" customWidth="1"/>
    <col min="15363" max="15607" width="9.140625" style="17"/>
    <col min="15608" max="15608" width="8.7109375" style="17" customWidth="1"/>
    <col min="15609" max="15609" width="9.855468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85546875" style="17" customWidth="1"/>
    <col min="15616" max="15616" width="11.140625" style="17" customWidth="1"/>
    <col min="15617" max="15617" width="2.85546875" style="17" customWidth="1"/>
    <col min="15618" max="15618" width="3.5703125" style="17" customWidth="1"/>
    <col min="15619" max="15863" width="9.140625" style="17"/>
    <col min="15864" max="15864" width="8.7109375" style="17" customWidth="1"/>
    <col min="15865" max="15865" width="9.855468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85546875" style="17" customWidth="1"/>
    <col min="15872" max="15872" width="11.140625" style="17" customWidth="1"/>
    <col min="15873" max="15873" width="2.85546875" style="17" customWidth="1"/>
    <col min="15874" max="15874" width="3.5703125" style="17" customWidth="1"/>
    <col min="15875" max="16119" width="9.140625" style="17"/>
    <col min="16120" max="16120" width="8.7109375" style="17" customWidth="1"/>
    <col min="16121" max="16121" width="9.855468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85546875" style="17" customWidth="1"/>
    <col min="16128" max="16128" width="11.140625" style="17" customWidth="1"/>
    <col min="16129" max="16129" width="2.85546875" style="17" customWidth="1"/>
    <col min="16130" max="16130" width="3.5703125" style="17" customWidth="1"/>
    <col min="16131" max="16384" width="9.140625" style="17"/>
  </cols>
  <sheetData>
    <row r="1" spans="1:8" ht="46.5" customHeight="1" x14ac:dyDescent="0.25">
      <c r="A1" s="123" t="s">
        <v>192</v>
      </c>
      <c r="B1" s="123"/>
      <c r="C1" s="123"/>
      <c r="D1" s="123"/>
      <c r="E1" s="123"/>
      <c r="F1" s="123"/>
      <c r="G1" s="123"/>
      <c r="H1" s="123"/>
    </row>
    <row r="2" spans="1:8" ht="16.5" customHeight="1" x14ac:dyDescent="0.25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25">
      <c r="A3" s="67" t="s">
        <v>1</v>
      </c>
      <c r="B3" s="67"/>
      <c r="C3" s="67"/>
      <c r="D3" s="67"/>
      <c r="E3" s="67" t="str">
        <f ca="1">TEXT(TODAY(),"DD/MM/YYYY")</f>
        <v>15/09/2025</v>
      </c>
      <c r="F3" s="67"/>
      <c r="G3" s="67"/>
      <c r="H3" s="67"/>
    </row>
    <row r="4" spans="1:8" ht="15" customHeight="1" x14ac:dyDescent="0.25">
      <c r="A4" s="67" t="s">
        <v>2</v>
      </c>
      <c r="B4" s="67"/>
      <c r="C4" s="67"/>
      <c r="D4" s="67"/>
      <c r="E4" s="67" t="s">
        <v>169</v>
      </c>
      <c r="F4" s="67"/>
      <c r="G4" s="67"/>
      <c r="H4" s="67"/>
    </row>
    <row r="5" spans="1:8" x14ac:dyDescent="0.25">
      <c r="A5" s="67" t="s">
        <v>3</v>
      </c>
      <c r="B5" s="67"/>
      <c r="C5" s="67"/>
      <c r="D5" s="67"/>
      <c r="E5" s="125">
        <v>45913</v>
      </c>
      <c r="F5" s="67"/>
      <c r="G5" s="67"/>
      <c r="H5" s="67"/>
    </row>
    <row r="6" spans="1:8" ht="16.5" customHeight="1" x14ac:dyDescent="0.25">
      <c r="A6" s="67" t="s">
        <v>4</v>
      </c>
      <c r="B6" s="67"/>
      <c r="C6" s="67"/>
      <c r="D6" s="67"/>
      <c r="E6" s="67" t="s">
        <v>170</v>
      </c>
      <c r="F6" s="67"/>
      <c r="G6" s="67"/>
      <c r="H6" s="67"/>
    </row>
    <row r="7" spans="1:8" ht="15" customHeight="1" x14ac:dyDescent="0.25">
      <c r="A7" s="67" t="s">
        <v>5</v>
      </c>
      <c r="B7" s="67"/>
      <c r="C7" s="67"/>
      <c r="D7" s="67"/>
      <c r="E7" s="67" t="str">
        <f>E6</f>
        <v>Sangle Enterprises Private Limited</v>
      </c>
      <c r="F7" s="67"/>
      <c r="G7" s="67"/>
      <c r="H7" s="67"/>
    </row>
    <row r="8" spans="1:8" x14ac:dyDescent="0.25">
      <c r="A8" s="67" t="s">
        <v>6</v>
      </c>
      <c r="B8" s="67"/>
      <c r="C8" s="67"/>
      <c r="D8" s="67"/>
      <c r="E8" s="124" t="s">
        <v>171</v>
      </c>
      <c r="F8" s="124"/>
      <c r="G8" s="124"/>
      <c r="H8" s="124"/>
    </row>
    <row r="9" spans="1:8" x14ac:dyDescent="0.25">
      <c r="A9" s="67" t="s">
        <v>165</v>
      </c>
      <c r="B9" s="67"/>
      <c r="C9" s="67"/>
      <c r="D9" s="67"/>
      <c r="E9" s="67" t="s">
        <v>202</v>
      </c>
      <c r="F9" s="67"/>
      <c r="G9" s="67"/>
      <c r="H9" s="67"/>
    </row>
    <row r="10" spans="1:8" x14ac:dyDescent="0.25">
      <c r="A10" s="67" t="s">
        <v>166</v>
      </c>
      <c r="B10" s="67"/>
      <c r="C10" s="67"/>
      <c r="D10" s="67"/>
      <c r="E10" s="174" t="s">
        <v>202</v>
      </c>
      <c r="F10" s="174"/>
      <c r="G10" s="174"/>
      <c r="H10" s="174"/>
    </row>
    <row r="11" spans="1:8" x14ac:dyDescent="0.25">
      <c r="A11" s="67" t="s">
        <v>7</v>
      </c>
      <c r="B11" s="67"/>
      <c r="C11" s="67"/>
      <c r="D11" s="67"/>
      <c r="E11" s="67" t="s">
        <v>172</v>
      </c>
      <c r="F11" s="67"/>
      <c r="G11" s="67"/>
      <c r="H11" s="67"/>
    </row>
    <row r="12" spans="1:8" x14ac:dyDescent="0.25">
      <c r="A12" s="68" t="s">
        <v>8</v>
      </c>
      <c r="B12" s="68"/>
      <c r="C12" s="68"/>
      <c r="D12" s="68"/>
      <c r="E12" s="65" t="s">
        <v>173</v>
      </c>
      <c r="F12" s="65"/>
      <c r="G12" s="65"/>
      <c r="H12" s="65"/>
    </row>
    <row r="13" spans="1:8" x14ac:dyDescent="0.25">
      <c r="A13" s="68" t="s">
        <v>9</v>
      </c>
      <c r="B13" s="68"/>
      <c r="C13" s="68"/>
      <c r="D13" s="68"/>
      <c r="E13" s="65" t="s">
        <v>174</v>
      </c>
      <c r="F13" s="67"/>
      <c r="G13" s="67"/>
      <c r="H13" s="67"/>
    </row>
    <row r="14" spans="1:8" ht="48.75" customHeight="1" x14ac:dyDescent="0.25">
      <c r="A14" s="65" t="s">
        <v>10</v>
      </c>
      <c r="B14" s="65"/>
      <c r="C14" s="6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Sangles Trinity, Survey No.27, Hissa No.11, Survey No. 52, Hissa No.9/2, near Bajaj Prakriti Angan, Internal Road, Gauripada, Gauripada, Shahad, Kalyan, Thane (Ward B) - 421301.</v>
      </c>
      <c r="D14" s="65"/>
      <c r="E14" s="65"/>
      <c r="F14" s="65"/>
      <c r="G14" s="65"/>
      <c r="H14" s="65"/>
    </row>
    <row r="15" spans="1:8" x14ac:dyDescent="0.25">
      <c r="A15" s="65" t="s">
        <v>175</v>
      </c>
      <c r="B15" s="65"/>
      <c r="C15" s="65" t="s">
        <v>176</v>
      </c>
      <c r="D15" s="65"/>
      <c r="E15" s="65"/>
      <c r="F15" s="65"/>
      <c r="G15" s="65"/>
      <c r="H15" s="65"/>
    </row>
    <row r="16" spans="1:8" ht="15.75" customHeight="1" x14ac:dyDescent="0.25">
      <c r="A16" s="65" t="s">
        <v>164</v>
      </c>
      <c r="B16" s="65"/>
      <c r="C16" s="65" t="s">
        <v>177</v>
      </c>
      <c r="D16" s="65"/>
      <c r="E16" s="65"/>
      <c r="F16" s="65"/>
      <c r="G16" s="65"/>
      <c r="H16" s="65"/>
    </row>
    <row r="17" spans="1:8" ht="15.75" customHeight="1" x14ac:dyDescent="0.25">
      <c r="A17" s="65" t="s">
        <v>11</v>
      </c>
      <c r="B17" s="65"/>
      <c r="C17" s="67" t="s">
        <v>179</v>
      </c>
      <c r="D17" s="67"/>
      <c r="E17" s="65" t="s">
        <v>73</v>
      </c>
      <c r="F17" s="65"/>
      <c r="G17" s="65" t="s">
        <v>177</v>
      </c>
      <c r="H17" s="65"/>
    </row>
    <row r="18" spans="1:8" x14ac:dyDescent="0.25">
      <c r="A18" s="67" t="s">
        <v>13</v>
      </c>
      <c r="B18" s="67"/>
      <c r="C18" s="65" t="s">
        <v>183</v>
      </c>
      <c r="D18" s="65"/>
      <c r="E18" s="65" t="s">
        <v>12</v>
      </c>
      <c r="F18" s="65"/>
      <c r="G18" s="126" t="s">
        <v>191</v>
      </c>
      <c r="H18" s="126"/>
    </row>
    <row r="19" spans="1:8" x14ac:dyDescent="0.25">
      <c r="A19" s="67" t="s">
        <v>74</v>
      </c>
      <c r="B19" s="67"/>
      <c r="C19" s="65" t="s">
        <v>178</v>
      </c>
      <c r="D19" s="65"/>
      <c r="E19" s="65" t="s">
        <v>14</v>
      </c>
      <c r="F19" s="65"/>
      <c r="G19" s="65">
        <v>421301</v>
      </c>
      <c r="H19" s="65"/>
    </row>
    <row r="20" spans="1:8" ht="32.25" customHeight="1" x14ac:dyDescent="0.25">
      <c r="A20" s="67" t="s">
        <v>121</v>
      </c>
      <c r="B20" s="67"/>
      <c r="C20" s="65" t="s">
        <v>180</v>
      </c>
      <c r="D20" s="65"/>
      <c r="E20" s="65" t="s">
        <v>15</v>
      </c>
      <c r="F20" s="65"/>
      <c r="G20" s="65" t="s">
        <v>184</v>
      </c>
      <c r="H20" s="65"/>
    </row>
    <row r="21" spans="1:8" ht="15" customHeight="1" x14ac:dyDescent="0.25">
      <c r="A21" s="93" t="s">
        <v>76</v>
      </c>
      <c r="B21" s="93"/>
      <c r="C21" s="93"/>
      <c r="D21" s="93"/>
      <c r="E21" s="67" t="s">
        <v>16</v>
      </c>
      <c r="F21" s="67"/>
      <c r="G21" s="67"/>
      <c r="H21" s="67"/>
    </row>
    <row r="22" spans="1:8" ht="18.75" customHeight="1" x14ac:dyDescent="0.25">
      <c r="A22" s="93"/>
      <c r="B22" s="93"/>
      <c r="C22" s="93"/>
      <c r="D22" s="93"/>
      <c r="E22" s="67"/>
      <c r="F22" s="67"/>
      <c r="G22" s="67"/>
      <c r="H22" s="67"/>
    </row>
    <row r="23" spans="1:8" ht="15" customHeight="1" x14ac:dyDescent="0.25">
      <c r="A23" s="93" t="s">
        <v>17</v>
      </c>
      <c r="B23" s="93"/>
      <c r="C23" s="93"/>
      <c r="D23" s="93"/>
      <c r="E23" s="65" t="s">
        <v>18</v>
      </c>
      <c r="F23" s="65"/>
      <c r="G23" s="65"/>
      <c r="H23" s="65"/>
    </row>
    <row r="24" spans="1:8" ht="15" customHeight="1" x14ac:dyDescent="0.25">
      <c r="A24" s="68" t="s">
        <v>19</v>
      </c>
      <c r="B24" s="68"/>
      <c r="C24" s="68"/>
      <c r="D24" s="68"/>
      <c r="E24" s="65" t="str">
        <f>IF(AND(G18="Mumbai"),"Upper Class","Middle Class")</f>
        <v>Middle Class</v>
      </c>
      <c r="F24" s="65"/>
      <c r="G24" s="65"/>
      <c r="H24" s="65"/>
    </row>
    <row r="25" spans="1:8" x14ac:dyDescent="0.25">
      <c r="A25" s="68" t="s">
        <v>20</v>
      </c>
      <c r="B25" s="68"/>
      <c r="C25" s="68"/>
      <c r="D25" s="68"/>
      <c r="E25" s="65" t="s">
        <v>21</v>
      </c>
      <c r="F25" s="65"/>
      <c r="G25" s="65"/>
      <c r="H25" s="65"/>
    </row>
    <row r="26" spans="1:8" ht="15.75" customHeight="1" x14ac:dyDescent="0.25">
      <c r="A26" s="68" t="s">
        <v>22</v>
      </c>
      <c r="B26" s="68"/>
      <c r="C26" s="68"/>
      <c r="D26" s="68"/>
      <c r="E26" s="65" t="str">
        <f>IF(AND(G18="Mumbai"),"Developed","Developing")</f>
        <v>Developing</v>
      </c>
      <c r="F26" s="65"/>
      <c r="G26" s="65"/>
      <c r="H26" s="65"/>
    </row>
    <row r="27" spans="1:8" x14ac:dyDescent="0.25">
      <c r="A27" s="68" t="s">
        <v>23</v>
      </c>
      <c r="B27" s="68"/>
      <c r="C27" s="68"/>
      <c r="D27" s="68"/>
      <c r="E27" s="65" t="s">
        <v>24</v>
      </c>
      <c r="F27" s="65"/>
      <c r="G27" s="65"/>
      <c r="H27" s="65"/>
    </row>
    <row r="28" spans="1:8" ht="15.75" customHeight="1" x14ac:dyDescent="0.25">
      <c r="A28" s="68" t="s">
        <v>81</v>
      </c>
      <c r="B28" s="68"/>
      <c r="C28" s="68"/>
      <c r="D28" s="68"/>
      <c r="E28" s="65" t="s">
        <v>82</v>
      </c>
      <c r="F28" s="65"/>
      <c r="G28" s="65"/>
      <c r="H28" s="65"/>
    </row>
    <row r="29" spans="1:8" ht="15" customHeight="1" x14ac:dyDescent="0.25">
      <c r="A29" s="68" t="s">
        <v>32</v>
      </c>
      <c r="B29" s="68"/>
      <c r="C29" s="68"/>
      <c r="D29" s="68"/>
      <c r="E29" s="65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65"/>
      <c r="G29" s="65"/>
      <c r="H29" s="65"/>
    </row>
    <row r="30" spans="1:8" ht="15.75" customHeight="1" x14ac:dyDescent="0.25">
      <c r="A30" s="68" t="s">
        <v>92</v>
      </c>
      <c r="B30" s="68"/>
      <c r="C30" s="68"/>
      <c r="D30" s="68"/>
      <c r="E30" s="65" t="s">
        <v>33</v>
      </c>
      <c r="F30" s="65"/>
      <c r="G30" s="65"/>
      <c r="H30" s="65"/>
    </row>
    <row r="31" spans="1:8" s="18" customFormat="1" x14ac:dyDescent="0.25">
      <c r="A31" s="130" t="s">
        <v>93</v>
      </c>
      <c r="B31" s="130"/>
      <c r="C31" s="129" t="s">
        <v>224</v>
      </c>
      <c r="D31" s="129"/>
      <c r="E31" s="129"/>
      <c r="F31" s="129" t="s">
        <v>30</v>
      </c>
      <c r="G31" s="129"/>
      <c r="H31" s="129"/>
    </row>
    <row r="32" spans="1:8" s="18" customFormat="1" x14ac:dyDescent="0.25">
      <c r="A32" s="127" t="s">
        <v>25</v>
      </c>
      <c r="B32" s="127" t="s">
        <v>29</v>
      </c>
      <c r="C32" s="128" t="s">
        <v>225</v>
      </c>
      <c r="D32" s="128"/>
      <c r="E32" s="128"/>
      <c r="F32" s="128" t="s">
        <v>179</v>
      </c>
      <c r="G32" s="128"/>
      <c r="H32" s="128"/>
    </row>
    <row r="33" spans="1:8" x14ac:dyDescent="0.25">
      <c r="A33" s="127" t="s">
        <v>26</v>
      </c>
      <c r="B33" s="127" t="s">
        <v>29</v>
      </c>
      <c r="C33" s="128" t="s">
        <v>226</v>
      </c>
      <c r="D33" s="128"/>
      <c r="E33" s="128"/>
      <c r="F33" s="128" t="s">
        <v>182</v>
      </c>
      <c r="G33" s="128"/>
      <c r="H33" s="128"/>
    </row>
    <row r="34" spans="1:8" s="18" customFormat="1" x14ac:dyDescent="0.25">
      <c r="A34" s="127" t="s">
        <v>28</v>
      </c>
      <c r="B34" s="127" t="s">
        <v>29</v>
      </c>
      <c r="C34" s="128" t="s">
        <v>225</v>
      </c>
      <c r="D34" s="128"/>
      <c r="E34" s="128"/>
      <c r="F34" s="128" t="s">
        <v>181</v>
      </c>
      <c r="G34" s="128"/>
      <c r="H34" s="128"/>
    </row>
    <row r="35" spans="1:8" x14ac:dyDescent="0.25">
      <c r="A35" s="127" t="s">
        <v>27</v>
      </c>
      <c r="B35" s="127" t="s">
        <v>29</v>
      </c>
      <c r="C35" s="128" t="s">
        <v>227</v>
      </c>
      <c r="D35" s="128"/>
      <c r="E35" s="128"/>
      <c r="F35" s="128" t="s">
        <v>180</v>
      </c>
      <c r="G35" s="128"/>
      <c r="H35" s="128"/>
    </row>
    <row r="36" spans="1:8" x14ac:dyDescent="0.25">
      <c r="A36" s="68" t="s">
        <v>31</v>
      </c>
      <c r="B36" s="68"/>
      <c r="C36" s="68"/>
      <c r="D36" s="68"/>
      <c r="E36" s="68"/>
      <c r="F36" s="68"/>
      <c r="G36" s="68"/>
      <c r="H36" s="68"/>
    </row>
    <row r="37" spans="1:8" ht="15.75" customHeight="1" x14ac:dyDescent="0.25">
      <c r="A37" s="68" t="s">
        <v>200</v>
      </c>
      <c r="B37" s="68"/>
      <c r="C37" s="131" t="s">
        <v>201</v>
      </c>
      <c r="D37" s="131"/>
      <c r="E37" s="131"/>
      <c r="F37" s="131"/>
      <c r="G37" s="131"/>
      <c r="H37" s="131"/>
    </row>
    <row r="38" spans="1:8" x14ac:dyDescent="0.25">
      <c r="A38" s="68" t="s">
        <v>163</v>
      </c>
      <c r="B38" s="68"/>
      <c r="C38" s="153" t="s">
        <v>222</v>
      </c>
      <c r="D38" s="65"/>
      <c r="E38" s="65"/>
      <c r="F38" s="65"/>
      <c r="G38" s="65"/>
      <c r="H38" s="65"/>
    </row>
    <row r="39" spans="1:8" x14ac:dyDescent="0.25">
      <c r="A39" s="120" t="s">
        <v>34</v>
      </c>
      <c r="B39" s="120"/>
      <c r="C39" s="120"/>
      <c r="D39" s="120"/>
      <c r="E39" s="120"/>
      <c r="F39" s="120"/>
      <c r="G39" s="120"/>
      <c r="H39" s="120"/>
    </row>
    <row r="40" spans="1:8" x14ac:dyDescent="0.25">
      <c r="A40" s="67" t="s">
        <v>35</v>
      </c>
      <c r="B40" s="67"/>
      <c r="C40" s="67"/>
      <c r="D40" s="67"/>
      <c r="E40" s="132">
        <v>2445</v>
      </c>
      <c r="F40" s="132"/>
      <c r="G40" s="132"/>
      <c r="H40" s="132"/>
    </row>
    <row r="41" spans="1:8" x14ac:dyDescent="0.25">
      <c r="A41" s="67" t="s">
        <v>36</v>
      </c>
      <c r="B41" s="67"/>
      <c r="C41" s="67"/>
      <c r="D41" s="67"/>
      <c r="E41" s="66">
        <f>2689.5/E40</f>
        <v>1.1000000000000001</v>
      </c>
      <c r="F41" s="66"/>
      <c r="G41" s="66"/>
      <c r="H41" s="66"/>
    </row>
    <row r="42" spans="1:8" x14ac:dyDescent="0.25">
      <c r="A42" s="67" t="s">
        <v>37</v>
      </c>
      <c r="B42" s="67"/>
      <c r="C42" s="67"/>
      <c r="D42" s="67"/>
      <c r="E42" s="66">
        <f>E44/E40-E41</f>
        <v>2.2970470347648262</v>
      </c>
      <c r="F42" s="66"/>
      <c r="G42" s="66"/>
      <c r="H42" s="66"/>
    </row>
    <row r="43" spans="1:8" x14ac:dyDescent="0.25">
      <c r="A43" s="67" t="s">
        <v>38</v>
      </c>
      <c r="B43" s="67"/>
      <c r="C43" s="67"/>
      <c r="D43" s="67"/>
      <c r="E43" s="66">
        <f>E41+E42</f>
        <v>3.3970470347648263</v>
      </c>
      <c r="F43" s="66"/>
      <c r="G43" s="66"/>
      <c r="H43" s="66"/>
    </row>
    <row r="44" spans="1:8" x14ac:dyDescent="0.25">
      <c r="A44" s="67" t="s">
        <v>91</v>
      </c>
      <c r="B44" s="67"/>
      <c r="C44" s="67"/>
      <c r="D44" s="67"/>
      <c r="E44" s="133">
        <v>8305.7800000000007</v>
      </c>
      <c r="F44" s="133"/>
      <c r="G44" s="133"/>
      <c r="H44" s="133"/>
    </row>
    <row r="45" spans="1:8" x14ac:dyDescent="0.25">
      <c r="A45" s="67" t="s">
        <v>39</v>
      </c>
      <c r="B45" s="67"/>
      <c r="C45" s="67"/>
      <c r="D45" s="67"/>
      <c r="E45" s="67" t="s">
        <v>120</v>
      </c>
      <c r="F45" s="67"/>
      <c r="G45" s="67"/>
      <c r="H45" s="67"/>
    </row>
    <row r="46" spans="1:8" x14ac:dyDescent="0.25">
      <c r="A46" s="120" t="s">
        <v>40</v>
      </c>
      <c r="B46" s="120"/>
      <c r="C46" s="120"/>
      <c r="D46" s="120"/>
      <c r="E46" s="120"/>
      <c r="F46" s="120"/>
      <c r="G46" s="120"/>
      <c r="H46" s="120"/>
    </row>
    <row r="47" spans="1:8" ht="31.5" customHeight="1" x14ac:dyDescent="0.25">
      <c r="A47" s="77" t="s">
        <v>151</v>
      </c>
      <c r="B47" s="78"/>
      <c r="C47" s="154" t="s">
        <v>185</v>
      </c>
      <c r="D47" s="155"/>
      <c r="E47" s="155"/>
      <c r="F47" s="155"/>
      <c r="G47" s="155"/>
      <c r="H47" s="156"/>
    </row>
    <row r="48" spans="1:8" ht="15.75" customHeight="1" x14ac:dyDescent="0.25">
      <c r="A48" s="77" t="s">
        <v>41</v>
      </c>
      <c r="B48" s="78"/>
      <c r="C48" s="158" t="s">
        <v>205</v>
      </c>
      <c r="D48" s="159"/>
      <c r="E48" s="160"/>
      <c r="F48" s="161" t="s">
        <v>42</v>
      </c>
      <c r="G48" s="162">
        <v>45810</v>
      </c>
      <c r="H48" s="160"/>
    </row>
    <row r="49" spans="1:14" x14ac:dyDescent="0.25">
      <c r="A49" s="77" t="s">
        <v>43</v>
      </c>
      <c r="B49" s="78"/>
      <c r="C49" s="158" t="str">
        <f>C48</f>
        <v>KDMC/TPD/BP/KD/2012-13/07/07</v>
      </c>
      <c r="D49" s="159"/>
      <c r="E49" s="160"/>
      <c r="F49" s="161" t="s">
        <v>42</v>
      </c>
      <c r="G49" s="162">
        <f>G48</f>
        <v>45810</v>
      </c>
      <c r="H49" s="160"/>
    </row>
    <row r="50" spans="1:14" s="19" customFormat="1" ht="15.75" customHeight="1" x14ac:dyDescent="0.25">
      <c r="A50" s="80" t="s">
        <v>155</v>
      </c>
      <c r="B50" s="135"/>
      <c r="C50" s="158" t="s">
        <v>215</v>
      </c>
      <c r="D50" s="159"/>
      <c r="E50" s="160"/>
      <c r="F50" s="161" t="s">
        <v>42</v>
      </c>
      <c r="G50" s="162">
        <v>44742</v>
      </c>
      <c r="H50" s="160"/>
    </row>
    <row r="51" spans="1:14" s="19" customFormat="1" x14ac:dyDescent="0.25">
      <c r="A51" s="84"/>
      <c r="B51" s="136"/>
      <c r="C51" s="77" t="s">
        <v>216</v>
      </c>
      <c r="D51" s="79"/>
      <c r="E51" s="79"/>
      <c r="F51" s="79"/>
      <c r="G51" s="79"/>
      <c r="H51" s="78"/>
    </row>
    <row r="52" spans="1:14" x14ac:dyDescent="0.25">
      <c r="A52" s="89" t="s">
        <v>44</v>
      </c>
      <c r="B52" s="90"/>
      <c r="C52" s="89" t="s">
        <v>104</v>
      </c>
      <c r="D52" s="91"/>
      <c r="E52" s="90"/>
      <c r="F52" s="38" t="s">
        <v>42</v>
      </c>
      <c r="G52" s="94" t="s">
        <v>29</v>
      </c>
      <c r="H52" s="95"/>
    </row>
    <row r="53" spans="1:14" x14ac:dyDescent="0.25">
      <c r="A53" s="92" t="s">
        <v>46</v>
      </c>
      <c r="B53" s="92"/>
      <c r="C53" s="92"/>
      <c r="D53" s="92"/>
      <c r="E53" s="92"/>
      <c r="F53" s="92"/>
      <c r="G53" s="92"/>
      <c r="H53" s="92"/>
    </row>
    <row r="54" spans="1:14" ht="33" customHeight="1" x14ac:dyDescent="0.25">
      <c r="A54" s="93" t="s">
        <v>223</v>
      </c>
      <c r="B54" s="93"/>
      <c r="C54" s="93"/>
      <c r="D54" s="68">
        <v>6406.47</v>
      </c>
      <c r="E54" s="68"/>
      <c r="F54" s="68"/>
      <c r="G54" s="68"/>
      <c r="H54" s="68"/>
      <c r="I54" s="17">
        <f>9+34+60</f>
        <v>103</v>
      </c>
    </row>
    <row r="55" spans="1:14" x14ac:dyDescent="0.25">
      <c r="A55" s="65" t="s">
        <v>47</v>
      </c>
      <c r="B55" s="67"/>
      <c r="C55" s="67"/>
      <c r="D55" s="173" t="s">
        <v>214</v>
      </c>
      <c r="E55" s="173"/>
      <c r="F55" s="173"/>
      <c r="G55" s="173"/>
      <c r="H55" s="173"/>
      <c r="I55" s="20"/>
    </row>
    <row r="56" spans="1:14" x14ac:dyDescent="0.25">
      <c r="A56" s="80" t="s">
        <v>48</v>
      </c>
      <c r="B56" s="81"/>
      <c r="C56" s="135"/>
      <c r="D56" s="107" t="s">
        <v>206</v>
      </c>
      <c r="E56" s="134"/>
      <c r="F56" s="134"/>
      <c r="G56" s="134"/>
      <c r="H56" s="134"/>
    </row>
    <row r="57" spans="1:14" ht="15.75" customHeight="1" x14ac:dyDescent="0.25">
      <c r="A57" s="80" t="s">
        <v>89</v>
      </c>
      <c r="B57" s="81"/>
      <c r="C57" s="81"/>
      <c r="D57" s="65" t="s">
        <v>206</v>
      </c>
      <c r="E57" s="67"/>
      <c r="F57" s="67"/>
      <c r="G57" s="67"/>
      <c r="H57" s="67"/>
    </row>
    <row r="58" spans="1:14" ht="15.75" hidden="1" customHeight="1" x14ac:dyDescent="0.25">
      <c r="A58" s="82"/>
      <c r="B58" s="83"/>
      <c r="C58" s="83"/>
      <c r="D58" s="86" t="s">
        <v>147</v>
      </c>
      <c r="E58" s="87"/>
      <c r="F58" s="87"/>
      <c r="G58" s="87"/>
      <c r="H58" s="88"/>
    </row>
    <row r="59" spans="1:14" ht="15.75" hidden="1" customHeight="1" x14ac:dyDescent="0.25">
      <c r="A59" s="84"/>
      <c r="B59" s="85"/>
      <c r="C59" s="85"/>
      <c r="D59" s="96" t="s">
        <v>148</v>
      </c>
      <c r="E59" s="97"/>
      <c r="F59" s="97"/>
      <c r="G59" s="97"/>
      <c r="H59" s="98"/>
    </row>
    <row r="60" spans="1:14" ht="15.75" customHeight="1" x14ac:dyDescent="0.25">
      <c r="A60" s="68" t="s">
        <v>45</v>
      </c>
      <c r="B60" s="68"/>
      <c r="C60" s="68"/>
      <c r="D60" s="146" t="s">
        <v>186</v>
      </c>
      <c r="E60" s="146"/>
      <c r="F60" s="146"/>
      <c r="G60" s="146"/>
      <c r="H60" s="146"/>
      <c r="J60" s="21"/>
      <c r="K60" s="20"/>
      <c r="N60" s="20"/>
    </row>
    <row r="61" spans="1:14" ht="15.75" customHeight="1" x14ac:dyDescent="0.25">
      <c r="A61" s="68" t="s">
        <v>87</v>
      </c>
      <c r="B61" s="68"/>
      <c r="C61" s="68"/>
      <c r="D61" s="148" t="str">
        <f>(IF(G52="NA","60 Years After Completion",IF(G52&lt;&gt;"NA",""&amp;60-ROUNDDOWN((E3-G52)/360,0)&amp;" Years"," ")))</f>
        <v>60 Years After Completion</v>
      </c>
      <c r="E61" s="148"/>
      <c r="F61" s="148"/>
      <c r="G61" s="148"/>
      <c r="H61" s="148"/>
      <c r="N61" s="20"/>
    </row>
    <row r="62" spans="1:14" ht="15.75" customHeight="1" x14ac:dyDescent="0.25">
      <c r="A62" s="68" t="s">
        <v>88</v>
      </c>
      <c r="B62" s="68"/>
      <c r="C62" s="68"/>
      <c r="D62" s="93" t="s">
        <v>24</v>
      </c>
      <c r="E62" s="93"/>
      <c r="F62" s="93"/>
      <c r="G62" s="93"/>
      <c r="H62" s="93"/>
      <c r="J62" s="22"/>
      <c r="K62" s="22"/>
    </row>
    <row r="63" spans="1:14" ht="30" customHeight="1" x14ac:dyDescent="0.25">
      <c r="A63" s="68" t="s">
        <v>75</v>
      </c>
      <c r="B63" s="68"/>
      <c r="C63" s="68"/>
      <c r="D63" s="65" t="s">
        <v>168</v>
      </c>
      <c r="E63" s="93"/>
      <c r="F63" s="93"/>
      <c r="G63" s="93"/>
      <c r="H63" s="93"/>
    </row>
    <row r="64" spans="1:14" x14ac:dyDescent="0.25">
      <c r="A64" s="93" t="s">
        <v>149</v>
      </c>
      <c r="B64" s="93"/>
      <c r="C64" s="93"/>
      <c r="D64" s="93" t="s">
        <v>29</v>
      </c>
      <c r="E64" s="93"/>
      <c r="F64" s="93"/>
      <c r="G64" s="93"/>
      <c r="H64" s="93"/>
      <c r="I64" s="23"/>
      <c r="J64" s="23"/>
      <c r="K64" s="23"/>
      <c r="L64" s="23"/>
      <c r="M64" s="23"/>
      <c r="N64" s="23"/>
    </row>
    <row r="65" spans="1:11" ht="15.75" customHeight="1" x14ac:dyDescent="0.25">
      <c r="A65" s="106" t="s">
        <v>86</v>
      </c>
      <c r="B65" s="106"/>
      <c r="C65" s="106"/>
      <c r="D65" s="107" t="str">
        <f ca="1">(IF(G71&gt;95%,"Nothing",IF(G71&gt;0%,"Cement, Aggregate, Steel, etc",IF(G71=0%,"Work not yet Started"))))</f>
        <v>Cement, Aggregate, Steel, etc</v>
      </c>
      <c r="E65" s="107"/>
      <c r="F65" s="107"/>
      <c r="G65" s="107"/>
      <c r="H65" s="107"/>
      <c r="J65" s="22"/>
    </row>
    <row r="66" spans="1:11" ht="33.75" customHeight="1" thickBot="1" x14ac:dyDescent="0.3">
      <c r="A66" s="149" t="s">
        <v>117</v>
      </c>
      <c r="B66" s="149"/>
      <c r="C66" s="149"/>
      <c r="D66" s="107" t="str">
        <f ca="1">(IF(D65="Nothing","Yes",IF(D65="Cement, Aggregate, Steel, etc","Under Construction",IF(D65="Work not yet Started","Work not yet Started"))))</f>
        <v>Under Construction</v>
      </c>
      <c r="E66" s="107"/>
      <c r="F66" s="107" t="str">
        <f ca="1">(IF(D65="Nothing","Yes",IF(D65="Cement, Aggregate, Steel, etc","Under Construction",IF(D65="Work not yet Started","Work not yet Started"))))</f>
        <v>Under Construction</v>
      </c>
      <c r="G66" s="107"/>
      <c r="H66" s="107"/>
    </row>
    <row r="67" spans="1:11" ht="15.75" customHeight="1" x14ac:dyDescent="0.25">
      <c r="A67" s="139" t="s">
        <v>139</v>
      </c>
      <c r="B67" s="140"/>
      <c r="C67" s="141" t="str">
        <f>D57</f>
        <v>Wing D = Gr + 1st to 21st Floor</v>
      </c>
      <c r="D67" s="142"/>
      <c r="E67" s="142"/>
      <c r="F67" s="142"/>
      <c r="G67" s="142"/>
      <c r="H67" s="143"/>
      <c r="I67" s="40" t="str">
        <f ca="1">IF(D80=100%,"All work Completed. Possession granted to the Building.",IF(D79=100%,"All work Completed, Waiting for OC",I68&amp;""&amp;I69&amp;""&amp;J68&amp;""&amp;J67&amp;" "&amp;J69))</f>
        <v>Excavation, Plinth Completed, RCC upto 14 Slab, Brickwork upto 9 Floor, Internal Plaster upto 1 Floor, External Plaster upto 1 Floor, Flooring upto 1 Floor Completed</v>
      </c>
      <c r="J67" s="4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14 Slab, Brickwork upto 9 Floor, Internal Plaster upto 1 Floor, External Plaster upto 1 Floor, Flooring upto 1 Floor</v>
      </c>
    </row>
    <row r="68" spans="1:11" x14ac:dyDescent="0.25">
      <c r="A68" s="15" t="s">
        <v>141</v>
      </c>
      <c r="B68" s="44">
        <v>0</v>
      </c>
      <c r="C68" s="44" t="s">
        <v>72</v>
      </c>
      <c r="D68" s="44">
        <v>1</v>
      </c>
      <c r="E68" s="44" t="s">
        <v>71</v>
      </c>
      <c r="F68" s="44">
        <v>0</v>
      </c>
      <c r="G68" s="44" t="s">
        <v>80</v>
      </c>
      <c r="H68" s="16">
        <f ca="1">--TRIM(RIGHT(SUBSTITUTE(LEFT(C67,_xlfn.AGGREGATE(16,6,FIND({0,1,2,3,4,5,6,7,8,9},C67,ROW(INDIRECT("1:"&amp;LEN(C67)))),1))," ",REPT(" ",LEN(C67))),LEN(C67)))</f>
        <v>21</v>
      </c>
      <c r="I68" s="4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4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1" ht="48.75" customHeight="1" x14ac:dyDescent="0.25">
      <c r="A69" s="138" t="s">
        <v>90</v>
      </c>
      <c r="B69" s="124"/>
      <c r="C69" s="144" t="str">
        <f ca="1">I67</f>
        <v>Excavation, Plinth Completed, RCC upto 14 Slab, Brickwork upto 9 Floor, Internal Plaster upto 1 Floor, External Plaster upto 1 Floor, Flooring upto 1 Floor Completed</v>
      </c>
      <c r="D69" s="144"/>
      <c r="E69" s="144"/>
      <c r="F69" s="144"/>
      <c r="G69" s="144"/>
      <c r="H69" s="145"/>
      <c r="I69" s="42" t="str">
        <f ca="1">IF(I68&lt;&gt;""," Completed","")</f>
        <v xml:space="preserve"> Completed</v>
      </c>
      <c r="J69" s="43" t="str">
        <f ca="1">IF(J67&lt;&gt;"","Completed","")</f>
        <v>Completed</v>
      </c>
    </row>
    <row r="70" spans="1:11" ht="15.75" customHeight="1" x14ac:dyDescent="0.25">
      <c r="A70" s="137" t="s">
        <v>49</v>
      </c>
      <c r="B70" s="74"/>
      <c r="C70" s="45" t="s">
        <v>138</v>
      </c>
      <c r="D70" s="45" t="s">
        <v>83</v>
      </c>
      <c r="E70" s="74" t="s">
        <v>85</v>
      </c>
      <c r="F70" s="74"/>
      <c r="G70" s="74" t="s">
        <v>84</v>
      </c>
      <c r="H70" s="108"/>
      <c r="I70" s="13" t="s">
        <v>140</v>
      </c>
      <c r="J70" s="24">
        <f ca="1">H68*25%</f>
        <v>5.25</v>
      </c>
    </row>
    <row r="71" spans="1:11" x14ac:dyDescent="0.25">
      <c r="A71" s="74" t="s">
        <v>127</v>
      </c>
      <c r="B71" s="74"/>
      <c r="C71" s="57">
        <f ca="1">J72</f>
        <v>21</v>
      </c>
      <c r="D71" s="46">
        <f ca="1">((100/H68)*C71)/100</f>
        <v>1</v>
      </c>
      <c r="E71" s="147">
        <f ca="1">(((C72/H68*10)+(40/(D68+F68+H68)*C73)+(7.5/(H68)*C74)+(7.5/(H68)*C75)+(10/H68*C76)+(10/H68*C77)+(5/H68*C78)+(5/H68*C79)+(5/H68*C80))/100)</f>
        <v>0.39978354978354974</v>
      </c>
      <c r="F71" s="147"/>
      <c r="G71" s="147">
        <f ca="1">((((C71/H68)*20)+((C72/H68)*25)+(30/(H68+F68+D68)*C73)+(5/H68*C74)+(5/H68*C75)+(5/H68*C76)+(5/H68*C77)+(0/H68*C78)+(0/H68*C79)+(5/H68*C80))/100)</f>
        <v>0.66948051948051956</v>
      </c>
      <c r="H71" s="147"/>
      <c r="I71" s="13" t="s">
        <v>99</v>
      </c>
      <c r="J71" s="25">
        <f ca="1">H68*50%</f>
        <v>10.5</v>
      </c>
    </row>
    <row r="72" spans="1:11" x14ac:dyDescent="0.25">
      <c r="A72" s="74" t="s">
        <v>50</v>
      </c>
      <c r="B72" s="74"/>
      <c r="C72" s="48">
        <f ca="1">J80</f>
        <v>21</v>
      </c>
      <c r="D72" s="46">
        <f ca="1">((100/H68)*C72)/100</f>
        <v>1</v>
      </c>
      <c r="E72" s="147"/>
      <c r="F72" s="147"/>
      <c r="G72" s="147"/>
      <c r="H72" s="147"/>
      <c r="I72" s="13" t="s">
        <v>100</v>
      </c>
      <c r="J72" s="25">
        <f ca="1">H68</f>
        <v>21</v>
      </c>
    </row>
    <row r="73" spans="1:11" ht="15.75" customHeight="1" x14ac:dyDescent="0.25">
      <c r="A73" s="74" t="s">
        <v>128</v>
      </c>
      <c r="B73" s="74"/>
      <c r="C73" s="57">
        <v>14</v>
      </c>
      <c r="D73" s="46">
        <f ca="1">((100/(D68+F68+H68))*C73)/100</f>
        <v>0.63636363636363635</v>
      </c>
      <c r="E73" s="147"/>
      <c r="F73" s="147"/>
      <c r="G73" s="147"/>
      <c r="H73" s="147"/>
      <c r="I73" s="13" t="s">
        <v>101</v>
      </c>
      <c r="J73" s="26">
        <f ca="1">(IF(B68&gt;1,(H68/(B68+2)),H68/4))</f>
        <v>5.25</v>
      </c>
    </row>
    <row r="74" spans="1:11" ht="15.75" customHeight="1" x14ac:dyDescent="0.25">
      <c r="A74" s="74" t="s">
        <v>135</v>
      </c>
      <c r="B74" s="74" t="s">
        <v>129</v>
      </c>
      <c r="C74" s="57">
        <v>9</v>
      </c>
      <c r="D74" s="46">
        <f ca="1">((100/H68)*C74)/100</f>
        <v>0.42857142857142855</v>
      </c>
      <c r="E74" s="147"/>
      <c r="F74" s="147"/>
      <c r="G74" s="147"/>
      <c r="H74" s="147"/>
      <c r="I74" s="13" t="s">
        <v>102</v>
      </c>
      <c r="J74" s="26">
        <f ca="1">(IF(B68&gt;1,(H68/(B68+2)+J73),H68/4+J73))</f>
        <v>10.5</v>
      </c>
      <c r="K74" s="17" t="s">
        <v>203</v>
      </c>
    </row>
    <row r="75" spans="1:11" ht="15.75" customHeight="1" x14ac:dyDescent="0.25">
      <c r="A75" s="74" t="s">
        <v>136</v>
      </c>
      <c r="B75" s="74" t="s">
        <v>129</v>
      </c>
      <c r="C75" s="57">
        <v>1</v>
      </c>
      <c r="D75" s="46">
        <f ca="1">((100/H68)*C75)/100</f>
        <v>4.7619047619047616E-2</v>
      </c>
      <c r="E75" s="147"/>
      <c r="F75" s="147"/>
      <c r="G75" s="147"/>
      <c r="H75" s="147"/>
      <c r="I75" s="13" t="s">
        <v>145</v>
      </c>
      <c r="J75" s="26">
        <f>(IF(B68&gt;1,(H68/(B68+2)+J74),0))</f>
        <v>0</v>
      </c>
    </row>
    <row r="76" spans="1:11" ht="15" customHeight="1" x14ac:dyDescent="0.25">
      <c r="A76" s="74" t="s">
        <v>134</v>
      </c>
      <c r="B76" s="74" t="s">
        <v>131</v>
      </c>
      <c r="C76" s="57">
        <v>1</v>
      </c>
      <c r="D76" s="46">
        <f ca="1">((100/(H68))*C76)/100</f>
        <v>4.7619047619047616E-2</v>
      </c>
      <c r="E76" s="147"/>
      <c r="F76" s="147"/>
      <c r="G76" s="147"/>
      <c r="H76" s="147"/>
      <c r="I76" s="13" t="s">
        <v>142</v>
      </c>
      <c r="J76" s="26">
        <f>(IF(B68&gt;2,(H68/(B68+2)+J75),0))</f>
        <v>0</v>
      </c>
    </row>
    <row r="77" spans="1:11" ht="15.75" customHeight="1" x14ac:dyDescent="0.25">
      <c r="A77" s="74" t="s">
        <v>130</v>
      </c>
      <c r="B77" s="74" t="s">
        <v>130</v>
      </c>
      <c r="C77" s="57">
        <v>1</v>
      </c>
      <c r="D77" s="46">
        <f ca="1">((100/H68)*C77)/100</f>
        <v>4.7619047619047616E-2</v>
      </c>
      <c r="E77" s="147"/>
      <c r="F77" s="147"/>
      <c r="G77" s="147"/>
      <c r="H77" s="147"/>
      <c r="I77" s="13" t="s">
        <v>143</v>
      </c>
      <c r="J77" s="27">
        <f>(IF(B68&gt;3,(H68/(B68+2)+J76),0))</f>
        <v>0</v>
      </c>
    </row>
    <row r="78" spans="1:11" ht="15.75" customHeight="1" x14ac:dyDescent="0.25">
      <c r="A78" s="74" t="s">
        <v>137</v>
      </c>
      <c r="B78" s="74"/>
      <c r="C78" s="57">
        <v>0</v>
      </c>
      <c r="D78" s="46">
        <f ca="1">((100/H68)*C78)/100</f>
        <v>0</v>
      </c>
      <c r="E78" s="147"/>
      <c r="F78" s="147"/>
      <c r="G78" s="147"/>
      <c r="H78" s="147"/>
      <c r="I78" s="13" t="s">
        <v>144</v>
      </c>
      <c r="J78" s="26">
        <f>(IF(B68&gt;4,(H68/(B68+2)+J77),0))</f>
        <v>0</v>
      </c>
    </row>
    <row r="79" spans="1:11" ht="15.75" customHeight="1" x14ac:dyDescent="0.25">
      <c r="A79" s="74" t="s">
        <v>132</v>
      </c>
      <c r="B79" s="74" t="s">
        <v>132</v>
      </c>
      <c r="C79" s="57">
        <v>0</v>
      </c>
      <c r="D79" s="46">
        <f ca="1">((100/(H68))*C79)/100</f>
        <v>0</v>
      </c>
      <c r="E79" s="147"/>
      <c r="F79" s="147"/>
      <c r="G79" s="147"/>
      <c r="H79" s="147"/>
      <c r="I79" s="13" t="s">
        <v>146</v>
      </c>
      <c r="J79" s="26">
        <f ca="1">(IF(B68=1,(H68/(B68+3)+J74),IF(B68=0,(H68/4+J74),IF(B68&gt;1,0))))</f>
        <v>15.75</v>
      </c>
    </row>
    <row r="80" spans="1:11" ht="16.5" thickBot="1" x14ac:dyDescent="0.3">
      <c r="A80" s="74" t="s">
        <v>133</v>
      </c>
      <c r="B80" s="74"/>
      <c r="C80" s="57">
        <v>0</v>
      </c>
      <c r="D80" s="46">
        <f ca="1">((100/(H68))*C80)/100</f>
        <v>0</v>
      </c>
      <c r="E80" s="147"/>
      <c r="F80" s="147"/>
      <c r="G80" s="147"/>
      <c r="H80" s="147"/>
      <c r="I80" s="14" t="s">
        <v>103</v>
      </c>
      <c r="J80" s="28">
        <f ca="1">(IF(B68&gt;1.5,(H68/(B68+2)+J74+MAX(0,J75-J74)+MAX(0,J76-J75)+MAX(0,J77-J76)+MAX(0,J78-J77)+MAX(0,J79-J78)),IF(B68=1,(H68/(B68+3)+J79),IF(B68=0,H68/4+J79))))</f>
        <v>21</v>
      </c>
    </row>
    <row r="81" spans="1:12" x14ac:dyDescent="0.25">
      <c r="A81" s="120" t="s">
        <v>156</v>
      </c>
      <c r="B81" s="120"/>
      <c r="C81" s="120"/>
      <c r="D81" s="120"/>
      <c r="E81" s="120"/>
      <c r="F81" s="100" t="s">
        <v>161</v>
      </c>
      <c r="G81" s="100"/>
      <c r="H81" s="100"/>
    </row>
    <row r="82" spans="1:12" x14ac:dyDescent="0.25">
      <c r="A82" s="68" t="s">
        <v>159</v>
      </c>
      <c r="B82" s="68"/>
      <c r="C82" s="68"/>
      <c r="D82" s="68"/>
      <c r="E82" s="68"/>
      <c r="F82" s="75">
        <v>7000</v>
      </c>
      <c r="G82" s="75"/>
      <c r="H82" s="75"/>
      <c r="I82" s="50" t="s">
        <v>194</v>
      </c>
      <c r="J82" s="50" t="s">
        <v>193</v>
      </c>
      <c r="K82" s="51">
        <v>45336</v>
      </c>
    </row>
    <row r="83" spans="1:12" hidden="1" x14ac:dyDescent="0.25">
      <c r="A83" s="68" t="s">
        <v>158</v>
      </c>
      <c r="B83" s="68"/>
      <c r="C83" s="68"/>
      <c r="D83" s="68"/>
      <c r="E83" s="68"/>
      <c r="F83" s="99"/>
      <c r="G83" s="99"/>
      <c r="H83" s="99"/>
    </row>
    <row r="84" spans="1:12" hidden="1" x14ac:dyDescent="0.25">
      <c r="A84" s="68" t="s">
        <v>160</v>
      </c>
      <c r="B84" s="68"/>
      <c r="C84" s="68"/>
      <c r="D84" s="68"/>
      <c r="E84" s="68"/>
      <c r="F84" s="99"/>
      <c r="G84" s="99"/>
      <c r="H84" s="99"/>
    </row>
    <row r="85" spans="1:12" s="29" customFormat="1" hidden="1" x14ac:dyDescent="0.25">
      <c r="A85" s="68" t="s">
        <v>157</v>
      </c>
      <c r="B85" s="68"/>
      <c r="C85" s="68"/>
      <c r="D85" s="68"/>
      <c r="E85" s="68"/>
      <c r="F85" s="99"/>
      <c r="G85" s="99"/>
      <c r="H85" s="99"/>
    </row>
    <row r="86" spans="1:12" s="29" customFormat="1" x14ac:dyDescent="0.25">
      <c r="A86" s="68" t="s">
        <v>94</v>
      </c>
      <c r="B86" s="68"/>
      <c r="C86" s="68"/>
      <c r="D86" s="68"/>
      <c r="E86" s="68"/>
      <c r="F86" s="99">
        <v>225000</v>
      </c>
      <c r="G86" s="99"/>
      <c r="H86" s="99"/>
      <c r="I86" s="52" t="s">
        <v>196</v>
      </c>
      <c r="J86" s="52" t="s">
        <v>197</v>
      </c>
      <c r="K86" s="53"/>
      <c r="L86" s="54">
        <v>45442</v>
      </c>
    </row>
    <row r="87" spans="1:12" s="29" customFormat="1" hidden="1" x14ac:dyDescent="0.25">
      <c r="A87" s="68" t="s">
        <v>95</v>
      </c>
      <c r="B87" s="68"/>
      <c r="C87" s="68"/>
      <c r="D87" s="68"/>
      <c r="E87" s="68"/>
      <c r="F87" s="99"/>
      <c r="G87" s="99"/>
      <c r="H87" s="99"/>
    </row>
    <row r="88" spans="1:12" s="29" customFormat="1" hidden="1" x14ac:dyDescent="0.25">
      <c r="A88" s="68" t="s">
        <v>162</v>
      </c>
      <c r="B88" s="68"/>
      <c r="C88" s="68"/>
      <c r="D88" s="68"/>
      <c r="E88" s="68"/>
      <c r="F88" s="99"/>
      <c r="G88" s="99"/>
      <c r="H88" s="99"/>
    </row>
    <row r="89" spans="1:12" s="29" customFormat="1" hidden="1" x14ac:dyDescent="0.25">
      <c r="A89" s="68" t="s">
        <v>96</v>
      </c>
      <c r="B89" s="68"/>
      <c r="C89" s="68"/>
      <c r="D89" s="68"/>
      <c r="E89" s="68"/>
      <c r="F89" s="99"/>
      <c r="G89" s="99"/>
      <c r="H89" s="99"/>
    </row>
    <row r="90" spans="1:12" s="29" customFormat="1" hidden="1" x14ac:dyDescent="0.25">
      <c r="A90" s="68" t="s">
        <v>97</v>
      </c>
      <c r="B90" s="68"/>
      <c r="C90" s="68"/>
      <c r="D90" s="68"/>
      <c r="E90" s="68"/>
      <c r="F90" s="99"/>
      <c r="G90" s="99"/>
      <c r="H90" s="99"/>
    </row>
    <row r="91" spans="1:12" s="29" customFormat="1" hidden="1" x14ac:dyDescent="0.25">
      <c r="A91" s="68" t="s">
        <v>98</v>
      </c>
      <c r="B91" s="68"/>
      <c r="C91" s="68"/>
      <c r="D91" s="68"/>
      <c r="E91" s="68"/>
      <c r="F91" s="99"/>
      <c r="G91" s="99"/>
      <c r="H91" s="99"/>
    </row>
    <row r="92" spans="1:12" s="29" customFormat="1" x14ac:dyDescent="0.25">
      <c r="A92" s="68" t="s">
        <v>195</v>
      </c>
      <c r="B92" s="68"/>
      <c r="C92" s="68"/>
      <c r="D92" s="68"/>
      <c r="E92" s="68"/>
      <c r="F92" s="99">
        <v>75000</v>
      </c>
      <c r="G92" s="99"/>
      <c r="H92" s="99"/>
    </row>
    <row r="93" spans="1:12" x14ac:dyDescent="0.25">
      <c r="A93" s="68" t="s">
        <v>51</v>
      </c>
      <c r="B93" s="68"/>
      <c r="C93" s="68"/>
      <c r="D93" s="68"/>
      <c r="E93" s="68"/>
      <c r="F93" s="99">
        <v>400000</v>
      </c>
      <c r="G93" s="99"/>
      <c r="H93" s="99"/>
      <c r="I93" s="50" t="s">
        <v>198</v>
      </c>
      <c r="J93" s="50"/>
    </row>
    <row r="94" spans="1:12" s="30" customFormat="1" x14ac:dyDescent="0.25">
      <c r="A94" s="120" t="s">
        <v>52</v>
      </c>
      <c r="B94" s="120"/>
      <c r="C94" s="120"/>
      <c r="D94" s="120"/>
      <c r="E94" s="120"/>
      <c r="F94" s="99">
        <f>F82*0.8</f>
        <v>5600</v>
      </c>
      <c r="G94" s="99"/>
      <c r="H94" s="99"/>
    </row>
    <row r="95" spans="1:12" s="31" customFormat="1" x14ac:dyDescent="0.25">
      <c r="A95" s="122" t="s">
        <v>70</v>
      </c>
      <c r="B95" s="122"/>
      <c r="C95" s="122"/>
      <c r="D95" s="122"/>
      <c r="E95" s="122"/>
      <c r="F95" s="122"/>
      <c r="G95" s="122"/>
      <c r="H95" s="122"/>
    </row>
    <row r="96" spans="1:12" s="31" customFormat="1" ht="15.75" customHeight="1" x14ac:dyDescent="0.25">
      <c r="A96" s="71" t="s">
        <v>53</v>
      </c>
      <c r="B96" s="71"/>
      <c r="C96" s="151" t="s">
        <v>78</v>
      </c>
      <c r="D96" s="151"/>
      <c r="E96" s="109" t="s">
        <v>54</v>
      </c>
      <c r="F96" s="109"/>
      <c r="G96" s="71" t="s">
        <v>55</v>
      </c>
      <c r="H96" s="71"/>
    </row>
    <row r="97" spans="1:20" s="31" customFormat="1" x14ac:dyDescent="0.25">
      <c r="A97" s="121" t="s">
        <v>172</v>
      </c>
      <c r="B97" s="121"/>
      <c r="C97" s="172">
        <f>COUNT(F105:F109)+COUNT(F111:F115)+COUNT(F117:F121)+COUNT(F123:F127)*15+COUNT(F129:F133)*3</f>
        <v>105</v>
      </c>
      <c r="D97" s="172"/>
      <c r="E97" s="76">
        <f>SUM(F105:F109)+SUM(F111:F115)+SUM(F117:F121)+SUM(F123:F127)*15+SUM(F129:F133)*3</f>
        <v>46672.596359999996</v>
      </c>
      <c r="F97" s="76"/>
      <c r="G97" s="76">
        <f>SUM(H105:H109)+SUM(H111:H115)+SUM(H117:H121)+SUM(H123:H127)*15+SUM(H129:H133)*3</f>
        <v>70281.869579999999</v>
      </c>
      <c r="H97" s="76"/>
    </row>
    <row r="98" spans="1:20" s="30" customFormat="1" x14ac:dyDescent="0.25">
      <c r="A98" s="100" t="s">
        <v>56</v>
      </c>
      <c r="B98" s="100"/>
      <c r="C98" s="100"/>
      <c r="D98" s="100"/>
      <c r="E98" s="100"/>
      <c r="F98" s="100"/>
      <c r="G98" s="100"/>
      <c r="H98" s="100"/>
    </row>
    <row r="99" spans="1:20" x14ac:dyDescent="0.25">
      <c r="A99" s="100" t="s">
        <v>57</v>
      </c>
      <c r="B99" s="100"/>
      <c r="C99" s="100"/>
      <c r="D99" s="100"/>
      <c r="E99" s="100"/>
      <c r="F99" s="100"/>
      <c r="G99" s="100"/>
      <c r="H99" s="100"/>
    </row>
    <row r="100" spans="1:20" s="33" customFormat="1" x14ac:dyDescent="0.25">
      <c r="A100" s="104"/>
      <c r="B100" s="150"/>
      <c r="C100" s="150"/>
      <c r="D100" s="150"/>
      <c r="E100" s="150"/>
      <c r="F100" s="150"/>
      <c r="G100" s="150"/>
      <c r="H100" s="105"/>
      <c r="I100" s="32"/>
      <c r="N100" s="32"/>
    </row>
    <row r="101" spans="1:20" ht="47.25" customHeight="1" x14ac:dyDescent="0.25">
      <c r="A101" s="72" t="s">
        <v>119</v>
      </c>
      <c r="B101" s="163" t="s">
        <v>208</v>
      </c>
      <c r="C101" s="163" t="s">
        <v>58</v>
      </c>
      <c r="D101" s="163" t="s">
        <v>209</v>
      </c>
      <c r="E101" s="163" t="s">
        <v>211</v>
      </c>
      <c r="F101" s="163" t="s">
        <v>59</v>
      </c>
      <c r="G101" s="164" t="s">
        <v>60</v>
      </c>
      <c r="H101" s="165" t="s">
        <v>150</v>
      </c>
      <c r="I101" s="32"/>
      <c r="T101" s="60"/>
    </row>
    <row r="102" spans="1:20" s="60" customFormat="1" x14ac:dyDescent="0.25">
      <c r="A102" s="73"/>
      <c r="B102" s="166"/>
      <c r="C102" s="166"/>
      <c r="D102" s="166"/>
      <c r="E102" s="166"/>
      <c r="F102" s="166"/>
      <c r="G102" s="167"/>
      <c r="H102" s="168">
        <v>0.5</v>
      </c>
      <c r="I102" s="32"/>
    </row>
    <row r="103" spans="1:20" s="60" customFormat="1" x14ac:dyDescent="0.25">
      <c r="A103" s="101" t="s">
        <v>207</v>
      </c>
      <c r="B103" s="102"/>
      <c r="C103" s="102"/>
      <c r="D103" s="102"/>
      <c r="E103" s="102"/>
      <c r="F103" s="102"/>
      <c r="G103" s="102"/>
      <c r="H103" s="103"/>
      <c r="J103" s="32"/>
    </row>
    <row r="104" spans="1:20" s="60" customFormat="1" x14ac:dyDescent="0.25">
      <c r="A104" s="116" t="s">
        <v>210</v>
      </c>
      <c r="B104" s="116"/>
      <c r="C104" s="116"/>
      <c r="D104" s="116"/>
      <c r="E104" s="116"/>
      <c r="F104" s="116"/>
      <c r="G104" s="116"/>
      <c r="H104" s="116"/>
      <c r="I104" s="169"/>
      <c r="J104" s="47">
        <v>10.763999999999999</v>
      </c>
      <c r="L104" s="152"/>
      <c r="M104" s="152"/>
    </row>
    <row r="105" spans="1:20" s="60" customFormat="1" x14ac:dyDescent="0.25">
      <c r="A105" s="70">
        <v>1</v>
      </c>
      <c r="B105" s="70"/>
      <c r="C105" s="59" t="s">
        <v>188</v>
      </c>
      <c r="D105" s="47">
        <f>(28.24)*10.764</f>
        <v>303.97535999999997</v>
      </c>
      <c r="E105" s="47">
        <f>(2.9+2+2.9+0.65*2.9)*10.764</f>
        <v>104.24934</v>
      </c>
      <c r="F105" s="59">
        <f>D105+E105</f>
        <v>408.22469999999998</v>
      </c>
      <c r="G105" s="47">
        <f>(2.2*2.5+1.2*0.7)*10.764</f>
        <v>68.243759999999995</v>
      </c>
      <c r="H105" s="59">
        <f>F105*(($H$102)+1)+(IF(G105&lt;101,G105,IF(G105&lt;201,G105/2,IF(G105&lt;=301,G105/3,G105/4))))</f>
        <v>680.58080999999993</v>
      </c>
      <c r="I105" s="32">
        <f>2.9*3.35+2*1.75+2.9*2.05+1.1*0.8+2.5*0.9+1.2*1.75+1.2*1.93</f>
        <v>26.706</v>
      </c>
      <c r="J105" s="60">
        <f>2.9+2+2.9</f>
        <v>7.8000000000000007</v>
      </c>
      <c r="N105" s="32"/>
    </row>
    <row r="106" spans="1:20" s="60" customFormat="1" x14ac:dyDescent="0.25">
      <c r="A106" s="70">
        <f>A105+1</f>
        <v>2</v>
      </c>
      <c r="B106" s="70"/>
      <c r="C106" s="59" t="s">
        <v>188</v>
      </c>
      <c r="D106" s="47">
        <f>(28.64)*10.764</f>
        <v>308.28095999999999</v>
      </c>
      <c r="E106" s="47">
        <f>(2.9+2+2.9+0.65*2.9)*10.764</f>
        <v>104.24934</v>
      </c>
      <c r="F106" s="59">
        <f>D106+E106</f>
        <v>412.53030000000001</v>
      </c>
      <c r="G106" s="47">
        <f>(2.2*2.5+1.2*0.7)*10.764</f>
        <v>68.243759999999995</v>
      </c>
      <c r="H106" s="59">
        <f t="shared" ref="H106:H109" si="0">F106*(($H$102)+1)+(IF(G106&lt;101,G106,IF(G106&lt;201,G106/2,IF(G106&lt;=301,G106/3,G106/4))))</f>
        <v>687.03921000000003</v>
      </c>
      <c r="I106" s="32"/>
      <c r="N106" s="32"/>
    </row>
    <row r="107" spans="1:20" s="60" customFormat="1" x14ac:dyDescent="0.25">
      <c r="A107" s="70">
        <f>A106+1</f>
        <v>3</v>
      </c>
      <c r="B107" s="70"/>
      <c r="C107" s="59" t="s">
        <v>189</v>
      </c>
      <c r="D107" s="47">
        <f>(39.18)*10.764</f>
        <v>421.73352</v>
      </c>
      <c r="E107" s="47">
        <f>(1.45*2.9+2+2.75+2.9*1.45+0.65*(2.9+2.9))*10.764</f>
        <v>182.23451999999997</v>
      </c>
      <c r="F107" s="59">
        <f>D107+E107</f>
        <v>603.96803999999997</v>
      </c>
      <c r="G107" s="47">
        <v>0</v>
      </c>
      <c r="H107" s="59">
        <f t="shared" si="0"/>
        <v>905.95205999999996</v>
      </c>
      <c r="I107" s="170">
        <f>2.9*2.9+2*1.95+2.75*1.75+2.9*2.9+2.65*1.2+2.2*1.2+5*0.9</f>
        <v>35.852500000000006</v>
      </c>
      <c r="J107" s="60">
        <f>1.45*2.9+2+2.75+1.45*2.9</f>
        <v>13.16</v>
      </c>
      <c r="N107" s="32"/>
    </row>
    <row r="108" spans="1:20" s="60" customFormat="1" x14ac:dyDescent="0.25">
      <c r="A108" s="70">
        <f>A107+1</f>
        <v>4</v>
      </c>
      <c r="B108" s="70"/>
      <c r="C108" s="59" t="s">
        <v>188</v>
      </c>
      <c r="D108" s="47">
        <f>(28.64)*10.764</f>
        <v>308.28095999999999</v>
      </c>
      <c r="E108" s="47">
        <f t="shared" ref="E108:E109" si="1">(2.9+2+2.9+0.65*2.9)*10.764</f>
        <v>104.24934</v>
      </c>
      <c r="F108" s="59">
        <f>D108+E108</f>
        <v>412.53030000000001</v>
      </c>
      <c r="G108" s="47">
        <f>(2.2*2.5+1.2*0.7)*10.764</f>
        <v>68.243759999999995</v>
      </c>
      <c r="H108" s="59">
        <f t="shared" si="0"/>
        <v>687.03921000000003</v>
      </c>
      <c r="I108" s="32"/>
      <c r="N108" s="32"/>
    </row>
    <row r="109" spans="1:20" s="60" customFormat="1" x14ac:dyDescent="0.25">
      <c r="A109" s="70">
        <f>A108+1</f>
        <v>5</v>
      </c>
      <c r="B109" s="70"/>
      <c r="C109" s="59" t="s">
        <v>188</v>
      </c>
      <c r="D109" s="47">
        <f>(28.24)*10.764</f>
        <v>303.97535999999997</v>
      </c>
      <c r="E109" s="47">
        <f t="shared" si="1"/>
        <v>104.24934</v>
      </c>
      <c r="F109" s="59">
        <f>D109+E109</f>
        <v>408.22469999999998</v>
      </c>
      <c r="G109" s="47">
        <f>(2.2*2.5+1.2*0.7)*10.764</f>
        <v>68.243759999999995</v>
      </c>
      <c r="H109" s="59">
        <f t="shared" si="0"/>
        <v>680.58080999999993</v>
      </c>
      <c r="I109" s="32"/>
      <c r="N109" s="32"/>
    </row>
    <row r="110" spans="1:20" s="60" customFormat="1" x14ac:dyDescent="0.25">
      <c r="A110" s="116" t="s">
        <v>118</v>
      </c>
      <c r="B110" s="116"/>
      <c r="C110" s="116"/>
      <c r="D110" s="116"/>
      <c r="E110" s="116"/>
      <c r="F110" s="116"/>
      <c r="G110" s="116"/>
      <c r="H110" s="116"/>
      <c r="I110" s="169"/>
      <c r="J110" s="171">
        <v>7000</v>
      </c>
      <c r="L110" s="152"/>
      <c r="M110" s="152"/>
    </row>
    <row r="111" spans="1:20" s="60" customFormat="1" x14ac:dyDescent="0.25">
      <c r="A111" s="70">
        <v>1</v>
      </c>
      <c r="B111" s="70"/>
      <c r="C111" s="59" t="s">
        <v>188</v>
      </c>
      <c r="D111" s="47">
        <f>(28.24)*10.764</f>
        <v>303.97535999999997</v>
      </c>
      <c r="E111" s="47">
        <f t="shared" ref="E111:E112" si="2">(2.9+2+2.9+0.65*2.9)*10.764</f>
        <v>104.24934</v>
      </c>
      <c r="F111" s="59">
        <f>D111+E111</f>
        <v>408.22469999999998</v>
      </c>
      <c r="G111" s="47">
        <v>0</v>
      </c>
      <c r="H111" s="59">
        <f t="shared" ref="H111:H115" si="3">F111*(($H$102)+1)+(IF(G111&lt;101,G111,IF(G111&lt;201,G111/2,IF(G111&lt;=301,G111/3,G111/4))))</f>
        <v>612.33704999999998</v>
      </c>
      <c r="I111" s="32">
        <f>4000000/H111</f>
        <v>6532.3501166555252</v>
      </c>
      <c r="J111" s="32">
        <f>J$110*H111</f>
        <v>4286359.3499999996</v>
      </c>
      <c r="N111" s="32"/>
    </row>
    <row r="112" spans="1:20" s="60" customFormat="1" x14ac:dyDescent="0.25">
      <c r="A112" s="70">
        <f>A111+1</f>
        <v>2</v>
      </c>
      <c r="B112" s="70"/>
      <c r="C112" s="59" t="s">
        <v>188</v>
      </c>
      <c r="D112" s="47">
        <f>(28.64)*10.764</f>
        <v>308.28095999999999</v>
      </c>
      <c r="E112" s="47">
        <f t="shared" si="2"/>
        <v>104.24934</v>
      </c>
      <c r="F112" s="59">
        <f>D112+E112</f>
        <v>412.53030000000001</v>
      </c>
      <c r="G112" s="47">
        <v>0</v>
      </c>
      <c r="H112" s="59">
        <f t="shared" si="3"/>
        <v>618.79545000000007</v>
      </c>
      <c r="I112" s="32"/>
      <c r="J112" s="32">
        <f>J$110*H112</f>
        <v>4331568.1500000004</v>
      </c>
      <c r="N112" s="32"/>
    </row>
    <row r="113" spans="1:14" s="60" customFormat="1" x14ac:dyDescent="0.25">
      <c r="A113" s="70">
        <f>A112+1</f>
        <v>3</v>
      </c>
      <c r="B113" s="70"/>
      <c r="C113" s="59" t="s">
        <v>189</v>
      </c>
      <c r="D113" s="47">
        <f>(39.18)*10.764</f>
        <v>421.73352</v>
      </c>
      <c r="E113" s="47">
        <f>(1.45*2.9+2+2.75+2.9*1.45+0.65*(2.9+2.9))*10.764</f>
        <v>182.23451999999997</v>
      </c>
      <c r="F113" s="59">
        <f>D113+E113</f>
        <v>603.96803999999997</v>
      </c>
      <c r="G113" s="47">
        <v>0</v>
      </c>
      <c r="H113" s="59">
        <f t="shared" si="3"/>
        <v>905.95205999999996</v>
      </c>
      <c r="I113" s="170"/>
      <c r="J113" s="32">
        <f t="shared" ref="J112:J120" si="4">J$110*H113</f>
        <v>6341664.4199999999</v>
      </c>
      <c r="N113" s="32"/>
    </row>
    <row r="114" spans="1:14" s="60" customFormat="1" x14ac:dyDescent="0.25">
      <c r="A114" s="70">
        <f>A113+1</f>
        <v>4</v>
      </c>
      <c r="B114" s="70"/>
      <c r="C114" s="59" t="s">
        <v>188</v>
      </c>
      <c r="D114" s="47">
        <f>(28.64)*10.764</f>
        <v>308.28095999999999</v>
      </c>
      <c r="E114" s="47">
        <f t="shared" ref="E114:E115" si="5">(2.9+2+2.9+0.65*2.9)*10.764</f>
        <v>104.24934</v>
      </c>
      <c r="F114" s="59">
        <f>D114+E114</f>
        <v>412.53030000000001</v>
      </c>
      <c r="G114" s="47">
        <v>0</v>
      </c>
      <c r="H114" s="59">
        <f t="shared" si="3"/>
        <v>618.79545000000007</v>
      </c>
      <c r="I114" s="32"/>
      <c r="J114" s="32">
        <f t="shared" si="4"/>
        <v>4331568.1500000004</v>
      </c>
      <c r="N114" s="32"/>
    </row>
    <row r="115" spans="1:14" s="60" customFormat="1" x14ac:dyDescent="0.25">
      <c r="A115" s="70">
        <f>A114+1</f>
        <v>5</v>
      </c>
      <c r="B115" s="70"/>
      <c r="C115" s="59" t="s">
        <v>188</v>
      </c>
      <c r="D115" s="47">
        <f>(28.24)*10.764</f>
        <v>303.97535999999997</v>
      </c>
      <c r="E115" s="47">
        <f t="shared" si="5"/>
        <v>104.24934</v>
      </c>
      <c r="F115" s="59">
        <f>D115+E115</f>
        <v>408.22469999999998</v>
      </c>
      <c r="G115" s="47">
        <v>0</v>
      </c>
      <c r="H115" s="59">
        <f t="shared" si="3"/>
        <v>612.33704999999998</v>
      </c>
      <c r="I115" s="32"/>
      <c r="J115" s="32">
        <f t="shared" si="4"/>
        <v>4286359.3499999996</v>
      </c>
      <c r="N115" s="32"/>
    </row>
    <row r="116" spans="1:14" s="60" customFormat="1" x14ac:dyDescent="0.25">
      <c r="A116" s="116" t="s">
        <v>187</v>
      </c>
      <c r="B116" s="116"/>
      <c r="C116" s="116"/>
      <c r="D116" s="116"/>
      <c r="E116" s="116"/>
      <c r="F116" s="116"/>
      <c r="G116" s="116"/>
      <c r="H116" s="116"/>
      <c r="I116" s="169"/>
      <c r="J116" s="32">
        <f t="shared" si="4"/>
        <v>0</v>
      </c>
      <c r="L116" s="152"/>
      <c r="M116" s="152"/>
    </row>
    <row r="117" spans="1:14" s="60" customFormat="1" x14ac:dyDescent="0.25">
      <c r="A117" s="70">
        <v>1</v>
      </c>
      <c r="B117" s="70"/>
      <c r="C117" s="59" t="s">
        <v>188</v>
      </c>
      <c r="D117" s="47">
        <f>(28.24)*10.764</f>
        <v>303.97535999999997</v>
      </c>
      <c r="E117" s="47">
        <f t="shared" ref="E117:E118" si="6">(2.9+2+2.9+0.65*2.9)*10.764</f>
        <v>104.24934</v>
      </c>
      <c r="F117" s="59">
        <f>D117+E117</f>
        <v>408.22469999999998</v>
      </c>
      <c r="G117" s="47">
        <v>0</v>
      </c>
      <c r="H117" s="59">
        <f t="shared" ref="H117:H121" si="7">F117*(($H$102)+1)+(IF(G117&lt;101,G117,IF(G117&lt;201,G117/2,IF(G117&lt;=301,G117/3,G117/4))))</f>
        <v>612.33704999999998</v>
      </c>
      <c r="I117" s="32"/>
      <c r="J117" s="32">
        <f t="shared" si="4"/>
        <v>4286359.3499999996</v>
      </c>
      <c r="N117" s="32"/>
    </row>
    <row r="118" spans="1:14" s="60" customFormat="1" x14ac:dyDescent="0.25">
      <c r="A118" s="70">
        <f>A117+1</f>
        <v>2</v>
      </c>
      <c r="B118" s="70"/>
      <c r="C118" s="59" t="s">
        <v>188</v>
      </c>
      <c r="D118" s="47">
        <f>(28.64)*10.764</f>
        <v>308.28095999999999</v>
      </c>
      <c r="E118" s="47">
        <f t="shared" si="6"/>
        <v>104.24934</v>
      </c>
      <c r="F118" s="59">
        <f>D118+E118</f>
        <v>412.53030000000001</v>
      </c>
      <c r="G118" s="47">
        <v>0</v>
      </c>
      <c r="H118" s="59">
        <f t="shared" si="7"/>
        <v>618.79545000000007</v>
      </c>
      <c r="I118" s="32"/>
      <c r="J118" s="32">
        <f t="shared" si="4"/>
        <v>4331568.1500000004</v>
      </c>
      <c r="N118" s="32"/>
    </row>
    <row r="119" spans="1:14" s="60" customFormat="1" x14ac:dyDescent="0.25">
      <c r="A119" s="70">
        <f>A118+1</f>
        <v>3</v>
      </c>
      <c r="B119" s="70"/>
      <c r="C119" s="59" t="s">
        <v>189</v>
      </c>
      <c r="D119" s="47">
        <f>(39.18)*10.764</f>
        <v>421.73352</v>
      </c>
      <c r="E119" s="47">
        <f>(1.45*2.9+2+2.75+2.9*1.45+0.65*(2.9+2.9))*10.764</f>
        <v>182.23451999999997</v>
      </c>
      <c r="F119" s="59">
        <f>D119+E119</f>
        <v>603.96803999999997</v>
      </c>
      <c r="G119" s="47">
        <v>0</v>
      </c>
      <c r="H119" s="59">
        <f t="shared" si="7"/>
        <v>905.95205999999996</v>
      </c>
      <c r="I119" s="170"/>
      <c r="J119" s="32">
        <f t="shared" si="4"/>
        <v>6341664.4199999999</v>
      </c>
      <c r="N119" s="32"/>
    </row>
    <row r="120" spans="1:14" s="60" customFormat="1" x14ac:dyDescent="0.25">
      <c r="A120" s="70">
        <f>A119+1</f>
        <v>4</v>
      </c>
      <c r="B120" s="70"/>
      <c r="C120" s="59" t="s">
        <v>188</v>
      </c>
      <c r="D120" s="47">
        <f>(28.64)*10.764</f>
        <v>308.28095999999999</v>
      </c>
      <c r="E120" s="47">
        <f t="shared" ref="E120:E121" si="8">(2.9+2+2.9+0.65*2.9)*10.764</f>
        <v>104.24934</v>
      </c>
      <c r="F120" s="59">
        <f>D120+E120</f>
        <v>412.53030000000001</v>
      </c>
      <c r="G120" s="47">
        <v>0</v>
      </c>
      <c r="H120" s="59">
        <f t="shared" si="7"/>
        <v>618.79545000000007</v>
      </c>
      <c r="I120" s="32"/>
      <c r="J120" s="32">
        <f t="shared" si="4"/>
        <v>4331568.1500000004</v>
      </c>
      <c r="N120" s="32"/>
    </row>
    <row r="121" spans="1:14" s="60" customFormat="1" x14ac:dyDescent="0.25">
      <c r="A121" s="70">
        <f>A120+1</f>
        <v>5</v>
      </c>
      <c r="B121" s="70"/>
      <c r="C121" s="59" t="s">
        <v>188</v>
      </c>
      <c r="D121" s="47">
        <f>(28.24)*10.764</f>
        <v>303.97535999999997</v>
      </c>
      <c r="E121" s="47">
        <f t="shared" si="8"/>
        <v>104.24934</v>
      </c>
      <c r="F121" s="59">
        <f>D121+E121</f>
        <v>408.22469999999998</v>
      </c>
      <c r="G121" s="47">
        <v>0</v>
      </c>
      <c r="H121" s="59">
        <f t="shared" si="7"/>
        <v>612.33704999999998</v>
      </c>
      <c r="I121" s="32"/>
      <c r="N121" s="32"/>
    </row>
    <row r="122" spans="1:14" s="60" customFormat="1" x14ac:dyDescent="0.25">
      <c r="A122" s="116" t="s">
        <v>212</v>
      </c>
      <c r="B122" s="116"/>
      <c r="C122" s="116"/>
      <c r="D122" s="116"/>
      <c r="E122" s="116"/>
      <c r="F122" s="116"/>
      <c r="G122" s="116"/>
      <c r="H122" s="116"/>
      <c r="I122" s="169"/>
      <c r="J122" s="171"/>
      <c r="L122" s="152"/>
      <c r="M122" s="152"/>
    </row>
    <row r="123" spans="1:14" s="60" customFormat="1" x14ac:dyDescent="0.25">
      <c r="A123" s="70">
        <v>1</v>
      </c>
      <c r="B123" s="70"/>
      <c r="C123" s="59" t="s">
        <v>188</v>
      </c>
      <c r="D123" s="47">
        <f>(28.24)*10.764</f>
        <v>303.97535999999997</v>
      </c>
      <c r="E123" s="47">
        <f t="shared" ref="E123:E124" si="9">(2.9+2+2.9+0.65*2.9)*10.764</f>
        <v>104.24934</v>
      </c>
      <c r="F123" s="59">
        <f>D123+E123</f>
        <v>408.22469999999998</v>
      </c>
      <c r="G123" s="47">
        <v>0</v>
      </c>
      <c r="H123" s="59">
        <f t="shared" ref="H123:H127" si="10">F123*(($H$102)+1)+(IF(G123&lt;101,G123,IF(G123&lt;201,G123/2,IF(G123&lt;=301,G123/3,G123/4))))</f>
        <v>612.33704999999998</v>
      </c>
      <c r="I123" s="32">
        <f>5*21</f>
        <v>105</v>
      </c>
      <c r="N123" s="32"/>
    </row>
    <row r="124" spans="1:14" s="60" customFormat="1" x14ac:dyDescent="0.25">
      <c r="A124" s="70">
        <f>A123+1</f>
        <v>2</v>
      </c>
      <c r="B124" s="70"/>
      <c r="C124" s="59" t="s">
        <v>188</v>
      </c>
      <c r="D124" s="47">
        <f>(28.64)*10.764</f>
        <v>308.28095999999999</v>
      </c>
      <c r="E124" s="47">
        <f t="shared" si="9"/>
        <v>104.24934</v>
      </c>
      <c r="F124" s="59">
        <f>D124+E124</f>
        <v>412.53030000000001</v>
      </c>
      <c r="G124" s="47">
        <v>0</v>
      </c>
      <c r="H124" s="59">
        <f t="shared" si="10"/>
        <v>618.79545000000007</v>
      </c>
      <c r="I124" s="32"/>
      <c r="N124" s="32"/>
    </row>
    <row r="125" spans="1:14" s="60" customFormat="1" x14ac:dyDescent="0.25">
      <c r="A125" s="70">
        <f>A124+1</f>
        <v>3</v>
      </c>
      <c r="B125" s="70"/>
      <c r="C125" s="59" t="s">
        <v>189</v>
      </c>
      <c r="D125" s="47">
        <f>(39.18)*10.764</f>
        <v>421.73352</v>
      </c>
      <c r="E125" s="47">
        <f>(1.45*2.9+2+2.75+2.9*1.45+0.65*(2.9+2.9))*10.764</f>
        <v>182.23451999999997</v>
      </c>
      <c r="F125" s="59">
        <f>D125+E125</f>
        <v>603.96803999999997</v>
      </c>
      <c r="G125" s="47">
        <v>0</v>
      </c>
      <c r="H125" s="59">
        <f t="shared" si="10"/>
        <v>905.95205999999996</v>
      </c>
      <c r="I125" s="170"/>
      <c r="N125" s="32"/>
    </row>
    <row r="126" spans="1:14" s="60" customFormat="1" x14ac:dyDescent="0.25">
      <c r="A126" s="70">
        <f>A125+1</f>
        <v>4</v>
      </c>
      <c r="B126" s="70"/>
      <c r="C126" s="59" t="s">
        <v>188</v>
      </c>
      <c r="D126" s="47">
        <f>(28.64)*10.764</f>
        <v>308.28095999999999</v>
      </c>
      <c r="E126" s="47">
        <f t="shared" ref="E126:E127" si="11">(2.9+2+2.9+0.65*2.9)*10.764</f>
        <v>104.24934</v>
      </c>
      <c r="F126" s="59">
        <f>D126+E126</f>
        <v>412.53030000000001</v>
      </c>
      <c r="G126" s="47">
        <v>0</v>
      </c>
      <c r="H126" s="59">
        <f t="shared" si="10"/>
        <v>618.79545000000007</v>
      </c>
      <c r="I126" s="32"/>
      <c r="N126" s="32"/>
    </row>
    <row r="127" spans="1:14" s="60" customFormat="1" x14ac:dyDescent="0.25">
      <c r="A127" s="70">
        <f>A126+1</f>
        <v>5</v>
      </c>
      <c r="B127" s="70"/>
      <c r="C127" s="59" t="s">
        <v>188</v>
      </c>
      <c r="D127" s="47">
        <f>(28.24)*10.764</f>
        <v>303.97535999999997</v>
      </c>
      <c r="E127" s="47">
        <f t="shared" si="11"/>
        <v>104.24934</v>
      </c>
      <c r="F127" s="59">
        <f>D127+E127</f>
        <v>408.22469999999998</v>
      </c>
      <c r="G127" s="47">
        <v>0</v>
      </c>
      <c r="H127" s="59">
        <f t="shared" si="10"/>
        <v>612.33704999999998</v>
      </c>
      <c r="I127" s="32"/>
      <c r="N127" s="32"/>
    </row>
    <row r="128" spans="1:14" s="60" customFormat="1" x14ac:dyDescent="0.25">
      <c r="A128" s="116" t="s">
        <v>213</v>
      </c>
      <c r="B128" s="116"/>
      <c r="C128" s="116"/>
      <c r="D128" s="116"/>
      <c r="E128" s="116"/>
      <c r="F128" s="116"/>
      <c r="G128" s="116"/>
      <c r="H128" s="116"/>
      <c r="I128" s="169"/>
      <c r="J128" s="171"/>
      <c r="L128" s="152"/>
      <c r="M128" s="152"/>
    </row>
    <row r="129" spans="1:14" s="60" customFormat="1" x14ac:dyDescent="0.25">
      <c r="A129" s="70">
        <v>1</v>
      </c>
      <c r="B129" s="70"/>
      <c r="C129" s="59" t="s">
        <v>188</v>
      </c>
      <c r="D129" s="47">
        <f>(28.24)*10.764</f>
        <v>303.97535999999997</v>
      </c>
      <c r="E129" s="47">
        <f t="shared" ref="E129:E130" si="12">(2.9+2+2.9+0.65*2.9)*10.764</f>
        <v>104.24934</v>
      </c>
      <c r="F129" s="59">
        <f>D129+E129</f>
        <v>408.22469999999998</v>
      </c>
      <c r="G129" s="47">
        <v>0</v>
      </c>
      <c r="H129" s="59">
        <f t="shared" ref="H129:H133" si="13">F129*(($H$102)+1)+(IF(G129&lt;101,G129,IF(G129&lt;201,G129/2,IF(G129&lt;=301,G129/3,G129/4))))</f>
        <v>612.33704999999998</v>
      </c>
      <c r="I129" s="32"/>
      <c r="N129" s="32"/>
    </row>
    <row r="130" spans="1:14" s="60" customFormat="1" x14ac:dyDescent="0.25">
      <c r="A130" s="70">
        <f>A129+1</f>
        <v>2</v>
      </c>
      <c r="B130" s="70"/>
      <c r="C130" s="59" t="s">
        <v>188</v>
      </c>
      <c r="D130" s="47">
        <f>(28.64)*10.764</f>
        <v>308.28095999999999</v>
      </c>
      <c r="E130" s="47">
        <f t="shared" si="12"/>
        <v>104.24934</v>
      </c>
      <c r="F130" s="59">
        <f>D130+E130</f>
        <v>412.53030000000001</v>
      </c>
      <c r="G130" s="47">
        <v>0</v>
      </c>
      <c r="H130" s="59">
        <f t="shared" si="13"/>
        <v>618.79545000000007</v>
      </c>
      <c r="I130" s="32"/>
      <c r="N130" s="32"/>
    </row>
    <row r="131" spans="1:14" s="60" customFormat="1" x14ac:dyDescent="0.25">
      <c r="A131" s="70">
        <f>A130+1</f>
        <v>3</v>
      </c>
      <c r="B131" s="70"/>
      <c r="C131" s="59" t="s">
        <v>188</v>
      </c>
      <c r="D131" s="47">
        <f>(30.33)*10.764</f>
        <v>326.47211999999996</v>
      </c>
      <c r="E131" s="47">
        <f>(1.45*2.9+2+2.75+0.65*(2.9))*10.764</f>
        <v>116.68176</v>
      </c>
      <c r="F131" s="59">
        <f>D131+E131</f>
        <v>443.15387999999996</v>
      </c>
      <c r="G131" s="47">
        <v>0</v>
      </c>
      <c r="H131" s="59">
        <f t="shared" si="13"/>
        <v>664.73081999999999</v>
      </c>
      <c r="I131" s="170"/>
      <c r="N131" s="32"/>
    </row>
    <row r="132" spans="1:14" s="60" customFormat="1" x14ac:dyDescent="0.25">
      <c r="A132" s="70">
        <f>A131+1</f>
        <v>4</v>
      </c>
      <c r="B132" s="70"/>
      <c r="C132" s="59" t="s">
        <v>188</v>
      </c>
      <c r="D132" s="47">
        <f>(28.64)*10.764</f>
        <v>308.28095999999999</v>
      </c>
      <c r="E132" s="47">
        <f t="shared" ref="E132:E133" si="14">(2.9+2+2.9+0.65*2.9)*10.764</f>
        <v>104.24934</v>
      </c>
      <c r="F132" s="59">
        <f>D132+E132</f>
        <v>412.53030000000001</v>
      </c>
      <c r="G132" s="47">
        <v>0</v>
      </c>
      <c r="H132" s="59">
        <f t="shared" si="13"/>
        <v>618.79545000000007</v>
      </c>
      <c r="I132" s="32"/>
      <c r="N132" s="32"/>
    </row>
    <row r="133" spans="1:14" s="60" customFormat="1" x14ac:dyDescent="0.25">
      <c r="A133" s="70">
        <f>A132+1</f>
        <v>5</v>
      </c>
      <c r="B133" s="70"/>
      <c r="C133" s="59" t="s">
        <v>188</v>
      </c>
      <c r="D133" s="47">
        <f>(28.24)*10.764</f>
        <v>303.97535999999997</v>
      </c>
      <c r="E133" s="47">
        <f t="shared" si="14"/>
        <v>104.24934</v>
      </c>
      <c r="F133" s="59">
        <f>D133+E133</f>
        <v>408.22469999999998</v>
      </c>
      <c r="G133" s="47">
        <v>0</v>
      </c>
      <c r="H133" s="59">
        <f t="shared" si="13"/>
        <v>612.33704999999998</v>
      </c>
      <c r="I133" s="32"/>
      <c r="N133" s="32"/>
    </row>
    <row r="134" spans="1:14" s="31" customFormat="1" x14ac:dyDescent="0.25">
      <c r="A134" s="117" t="s">
        <v>68</v>
      </c>
      <c r="B134" s="117"/>
      <c r="C134" s="117"/>
      <c r="D134" s="117"/>
      <c r="E134" s="117"/>
      <c r="F134" s="117"/>
      <c r="G134" s="117"/>
      <c r="H134" s="117"/>
    </row>
    <row r="135" spans="1:14" s="31" customFormat="1" ht="32.25" customHeight="1" x14ac:dyDescent="0.25">
      <c r="A135" s="39" t="s">
        <v>153</v>
      </c>
      <c r="B135" s="113" t="s">
        <v>228</v>
      </c>
      <c r="C135" s="114"/>
      <c r="D135" s="114"/>
      <c r="E135" s="114"/>
      <c r="F135" s="114"/>
      <c r="G135" s="114"/>
      <c r="H135" s="115"/>
    </row>
    <row r="136" spans="1:14" s="31" customFormat="1" x14ac:dyDescent="0.25">
      <c r="A136" s="39" t="s">
        <v>153</v>
      </c>
      <c r="B136" s="113" t="str">
        <f>(IF(H101="Saleable area Loading :","We have considered Saleable area of Flats as per our Calculation.","We considered Saleable area of Flat as per Builder area Sheet."))</f>
        <v>We have considered Saleable area of Flats as per our Calculation.</v>
      </c>
      <c r="C136" s="114"/>
      <c r="D136" s="114"/>
      <c r="E136" s="114"/>
      <c r="F136" s="114"/>
      <c r="G136" s="114"/>
      <c r="H136" s="115"/>
    </row>
    <row r="137" spans="1:14" s="31" customFormat="1" hidden="1" x14ac:dyDescent="0.25">
      <c r="A137" s="39" t="s">
        <v>153</v>
      </c>
      <c r="B137" s="113" t="e">
        <f>(IF(#REF!="Saleable area Loading :","We have considered Saleable area of Commercial as per our Calculation.","We considered Saleable area of Commercial as per Builder area Sheet."))</f>
        <v>#REF!</v>
      </c>
      <c r="C137" s="114"/>
      <c r="D137" s="114"/>
      <c r="E137" s="114"/>
      <c r="F137" s="114"/>
      <c r="G137" s="114"/>
      <c r="H137" s="115"/>
    </row>
    <row r="138" spans="1:14" s="31" customFormat="1" x14ac:dyDescent="0.25">
      <c r="A138" s="39" t="s">
        <v>153</v>
      </c>
      <c r="B138" s="113" t="s">
        <v>122</v>
      </c>
      <c r="C138" s="114"/>
      <c r="D138" s="114"/>
      <c r="E138" s="114"/>
      <c r="F138" s="114"/>
      <c r="G138" s="114"/>
      <c r="H138" s="115"/>
    </row>
    <row r="139" spans="1:14" s="31" customFormat="1" x14ac:dyDescent="0.25">
      <c r="A139" s="39" t="s">
        <v>153</v>
      </c>
      <c r="B139" s="113" t="s">
        <v>190</v>
      </c>
      <c r="C139" s="114"/>
      <c r="D139" s="114"/>
      <c r="E139" s="114"/>
      <c r="F139" s="114"/>
      <c r="G139" s="114"/>
      <c r="H139" s="115"/>
    </row>
    <row r="140" spans="1:14" s="31" customFormat="1" x14ac:dyDescent="0.25">
      <c r="A140" s="39" t="s">
        <v>153</v>
      </c>
      <c r="B140" s="113" t="s">
        <v>152</v>
      </c>
      <c r="C140" s="114"/>
      <c r="D140" s="114"/>
      <c r="E140" s="114"/>
      <c r="F140" s="114"/>
      <c r="G140" s="114"/>
      <c r="H140" s="115"/>
    </row>
    <row r="141" spans="1:14" s="31" customFormat="1" x14ac:dyDescent="0.25">
      <c r="A141" s="39" t="s">
        <v>153</v>
      </c>
      <c r="B141" s="113" t="s">
        <v>123</v>
      </c>
      <c r="C141" s="114"/>
      <c r="D141" s="114"/>
      <c r="E141" s="114"/>
      <c r="F141" s="114"/>
      <c r="G141" s="114"/>
      <c r="H141" s="115"/>
    </row>
    <row r="142" spans="1:14" s="31" customFormat="1" ht="34.5" customHeight="1" x14ac:dyDescent="0.25">
      <c r="A142" s="39" t="s">
        <v>153</v>
      </c>
      <c r="B142" s="113" t="s">
        <v>154</v>
      </c>
      <c r="C142" s="114"/>
      <c r="D142" s="114"/>
      <c r="E142" s="114"/>
      <c r="F142" s="114"/>
      <c r="G142" s="114"/>
      <c r="H142" s="115"/>
    </row>
    <row r="143" spans="1:14" s="31" customFormat="1" x14ac:dyDescent="0.25">
      <c r="A143" s="49" t="s">
        <v>153</v>
      </c>
      <c r="B143" s="62" t="s">
        <v>124</v>
      </c>
      <c r="C143" s="63"/>
      <c r="D143" s="63"/>
      <c r="E143" s="63"/>
      <c r="F143" s="63"/>
      <c r="G143" s="63"/>
      <c r="H143" s="64"/>
    </row>
    <row r="144" spans="1:14" s="31" customFormat="1" ht="34.5" customHeight="1" x14ac:dyDescent="0.25">
      <c r="A144" s="55" t="s">
        <v>153</v>
      </c>
      <c r="B144" s="110" t="s">
        <v>199</v>
      </c>
      <c r="C144" s="111"/>
      <c r="D144" s="111"/>
      <c r="E144" s="111"/>
      <c r="F144" s="111"/>
      <c r="G144" s="111"/>
      <c r="H144" s="112"/>
    </row>
    <row r="145" spans="1:8" s="31" customFormat="1" x14ac:dyDescent="0.25">
      <c r="A145" s="56" t="s">
        <v>153</v>
      </c>
      <c r="B145" s="62" t="s">
        <v>204</v>
      </c>
      <c r="C145" s="63"/>
      <c r="D145" s="63"/>
      <c r="E145" s="63"/>
      <c r="F145" s="63"/>
      <c r="G145" s="63"/>
      <c r="H145" s="64"/>
    </row>
    <row r="146" spans="1:8" s="31" customFormat="1" x14ac:dyDescent="0.25">
      <c r="A146" s="61" t="s">
        <v>153</v>
      </c>
      <c r="B146" s="62" t="s">
        <v>217</v>
      </c>
      <c r="C146" s="63"/>
      <c r="D146" s="63"/>
      <c r="E146" s="63"/>
      <c r="F146" s="63"/>
      <c r="G146" s="63"/>
      <c r="H146" s="64"/>
    </row>
    <row r="147" spans="1:8" s="31" customFormat="1" x14ac:dyDescent="0.25">
      <c r="A147" s="61" t="s">
        <v>153</v>
      </c>
      <c r="B147" s="62" t="s">
        <v>218</v>
      </c>
      <c r="C147" s="63"/>
      <c r="D147" s="63"/>
      <c r="E147" s="63"/>
      <c r="F147" s="63"/>
      <c r="G147" s="63"/>
      <c r="H147" s="64"/>
    </row>
    <row r="148" spans="1:8" s="31" customFormat="1" ht="31.5" customHeight="1" x14ac:dyDescent="0.25">
      <c r="A148" s="58" t="s">
        <v>153</v>
      </c>
      <c r="B148" s="62" t="s">
        <v>221</v>
      </c>
      <c r="C148" s="63"/>
      <c r="D148" s="63"/>
      <c r="E148" s="63"/>
      <c r="F148" s="63"/>
      <c r="G148" s="63"/>
      <c r="H148" s="64"/>
    </row>
    <row r="149" spans="1:8" x14ac:dyDescent="0.25">
      <c r="A149" s="92" t="s">
        <v>61</v>
      </c>
      <c r="B149" s="92"/>
      <c r="C149" s="92"/>
      <c r="D149" s="92"/>
      <c r="E149" s="92"/>
      <c r="F149" s="92"/>
      <c r="G149" s="92"/>
      <c r="H149" s="92"/>
    </row>
    <row r="150" spans="1:8" x14ac:dyDescent="0.25">
      <c r="A150" s="68" t="s">
        <v>62</v>
      </c>
      <c r="B150" s="68"/>
      <c r="C150" s="68"/>
      <c r="D150" s="68"/>
      <c r="E150" s="68"/>
      <c r="F150" s="68"/>
      <c r="G150" s="68"/>
      <c r="H150" s="68"/>
    </row>
    <row r="151" spans="1:8" ht="15.75" customHeight="1" x14ac:dyDescent="0.25">
      <c r="A151" s="69" t="s">
        <v>63</v>
      </c>
      <c r="B151" s="69"/>
      <c r="C151" s="69"/>
      <c r="D151" s="69"/>
      <c r="E151" s="69"/>
      <c r="F151" s="69"/>
      <c r="G151" s="69"/>
      <c r="H151" s="69"/>
    </row>
    <row r="152" spans="1:8" x14ac:dyDescent="0.25">
      <c r="A152" s="68" t="s">
        <v>64</v>
      </c>
      <c r="B152" s="68"/>
      <c r="C152" s="68"/>
      <c r="D152" s="68"/>
      <c r="E152" s="68"/>
      <c r="F152" s="68"/>
      <c r="G152" s="68"/>
      <c r="H152" s="68"/>
    </row>
    <row r="153" spans="1:8" x14ac:dyDescent="0.25">
      <c r="A153" s="68" t="s">
        <v>65</v>
      </c>
      <c r="B153" s="68"/>
      <c r="C153" s="68"/>
      <c r="D153" s="68"/>
      <c r="E153" s="68"/>
      <c r="F153" s="68"/>
      <c r="G153" s="68"/>
      <c r="H153" s="68"/>
    </row>
    <row r="154" spans="1:8" x14ac:dyDescent="0.25">
      <c r="A154" s="68" t="s">
        <v>125</v>
      </c>
      <c r="B154" s="68"/>
      <c r="C154" s="68"/>
      <c r="D154" s="68"/>
      <c r="E154" s="68"/>
      <c r="F154" s="68"/>
      <c r="G154" s="68"/>
      <c r="H154" s="68"/>
    </row>
    <row r="155" spans="1:8" x14ac:dyDescent="0.25">
      <c r="A155" s="93" t="s">
        <v>126</v>
      </c>
      <c r="B155" s="93"/>
      <c r="C155" s="93"/>
      <c r="D155" s="93"/>
      <c r="E155" s="93"/>
      <c r="F155" s="93"/>
      <c r="G155" s="93"/>
      <c r="H155" s="93"/>
    </row>
    <row r="156" spans="1:8" x14ac:dyDescent="0.25">
      <c r="A156" s="119" t="s">
        <v>77</v>
      </c>
      <c r="B156" s="119"/>
      <c r="C156" s="119" t="s">
        <v>220</v>
      </c>
      <c r="D156" s="119"/>
      <c r="E156" s="119" t="s">
        <v>105</v>
      </c>
      <c r="F156" s="119"/>
      <c r="G156" s="119" t="s">
        <v>219</v>
      </c>
      <c r="H156" s="119"/>
    </row>
    <row r="157" spans="1:8" x14ac:dyDescent="0.25">
      <c r="A157" s="118" t="s">
        <v>79</v>
      </c>
      <c r="B157" s="118"/>
      <c r="C157" s="118"/>
      <c r="D157" s="118"/>
      <c r="E157" s="118"/>
      <c r="F157" s="118"/>
      <c r="G157" s="118"/>
      <c r="H157" s="118"/>
    </row>
    <row r="158" spans="1:8" x14ac:dyDescent="0.25">
      <c r="A158" s="118"/>
      <c r="B158" s="118"/>
      <c r="C158" s="118"/>
      <c r="D158" s="118"/>
      <c r="E158" s="118"/>
      <c r="F158" s="118"/>
      <c r="G158" s="118"/>
      <c r="H158" s="118"/>
    </row>
    <row r="159" spans="1:8" x14ac:dyDescent="0.25">
      <c r="A159" s="118"/>
      <c r="B159" s="118"/>
      <c r="C159" s="118"/>
      <c r="D159" s="118"/>
      <c r="E159" s="118"/>
      <c r="F159" s="118"/>
      <c r="G159" s="118"/>
      <c r="H159" s="118"/>
    </row>
    <row r="160" spans="1:8" x14ac:dyDescent="0.25">
      <c r="A160" s="118"/>
      <c r="B160" s="118"/>
      <c r="C160" s="118"/>
      <c r="D160" s="118"/>
      <c r="E160" s="118"/>
      <c r="F160" s="118"/>
      <c r="G160" s="118"/>
      <c r="H160" s="118"/>
    </row>
    <row r="161" spans="1:8" x14ac:dyDescent="0.25">
      <c r="A161" s="34" t="s">
        <v>66</v>
      </c>
      <c r="B161" s="35"/>
      <c r="C161" s="35"/>
      <c r="D161" s="34" t="str">
        <f>E8</f>
        <v>Sangles Trinity</v>
      </c>
      <c r="F161" s="35"/>
      <c r="G161" s="35"/>
      <c r="H161" s="35"/>
    </row>
    <row r="162" spans="1:8" x14ac:dyDescent="0.25">
      <c r="A162" s="35"/>
      <c r="B162" s="35"/>
      <c r="C162" s="35"/>
      <c r="D162" s="35"/>
      <c r="E162" s="35"/>
      <c r="F162" s="35"/>
      <c r="G162" s="35"/>
      <c r="H162" s="35"/>
    </row>
    <row r="163" spans="1:8" x14ac:dyDescent="0.25">
      <c r="A163" s="35"/>
      <c r="B163" s="35"/>
      <c r="C163" s="35"/>
      <c r="D163" s="35"/>
      <c r="E163" s="35"/>
      <c r="F163" s="35"/>
      <c r="G163" s="35"/>
      <c r="H163" s="35"/>
    </row>
    <row r="164" spans="1:8" ht="15" customHeight="1" x14ac:dyDescent="0.25"/>
    <row r="204" spans="1:1" x14ac:dyDescent="0.25">
      <c r="A204" s="37" t="s">
        <v>167</v>
      </c>
    </row>
    <row r="247" spans="1:1" x14ac:dyDescent="0.25">
      <c r="A247" s="37" t="s">
        <v>67</v>
      </c>
    </row>
  </sheetData>
  <mergeCells count="267">
    <mergeCell ref="B146:H146"/>
    <mergeCell ref="B147:H147"/>
    <mergeCell ref="A114:B114"/>
    <mergeCell ref="A115:B115"/>
    <mergeCell ref="L116:M116"/>
    <mergeCell ref="A117:B117"/>
    <mergeCell ref="A122:H122"/>
    <mergeCell ref="A123:B123"/>
    <mergeCell ref="A128:H128"/>
    <mergeCell ref="L128:M128"/>
    <mergeCell ref="A129:B129"/>
    <mergeCell ref="A106:B106"/>
    <mergeCell ref="A107:B107"/>
    <mergeCell ref="A108:B108"/>
    <mergeCell ref="A109:B109"/>
    <mergeCell ref="A110:H110"/>
    <mergeCell ref="L110:M110"/>
    <mergeCell ref="A111:B111"/>
    <mergeCell ref="A112:B112"/>
    <mergeCell ref="A113:B113"/>
    <mergeCell ref="A104:H104"/>
    <mergeCell ref="L104:M104"/>
    <mergeCell ref="A105:B105"/>
    <mergeCell ref="B148:H148"/>
    <mergeCell ref="B143:H143"/>
    <mergeCell ref="A38:B38"/>
    <mergeCell ref="C38:H38"/>
    <mergeCell ref="B142:H142"/>
    <mergeCell ref="A47:B47"/>
    <mergeCell ref="C47:H47"/>
    <mergeCell ref="B140:H140"/>
    <mergeCell ref="F83:H83"/>
    <mergeCell ref="A83:E83"/>
    <mergeCell ref="A85:E85"/>
    <mergeCell ref="A86:E86"/>
    <mergeCell ref="A87:E87"/>
    <mergeCell ref="F87:H87"/>
    <mergeCell ref="A88:E88"/>
    <mergeCell ref="A90:E90"/>
    <mergeCell ref="F84:H84"/>
    <mergeCell ref="A89:E89"/>
    <mergeCell ref="A84:E84"/>
    <mergeCell ref="A81:E81"/>
    <mergeCell ref="F85:H85"/>
    <mergeCell ref="A92:E92"/>
    <mergeCell ref="C96:D96"/>
    <mergeCell ref="G96:H96"/>
    <mergeCell ref="F81:H81"/>
    <mergeCell ref="F86:H86"/>
    <mergeCell ref="A100:H100"/>
    <mergeCell ref="L122:M122"/>
    <mergeCell ref="A101:A102"/>
    <mergeCell ref="B101:B102"/>
    <mergeCell ref="C101:C102"/>
    <mergeCell ref="D101:D102"/>
    <mergeCell ref="E101:E102"/>
    <mergeCell ref="F101:F102"/>
    <mergeCell ref="G101:G102"/>
    <mergeCell ref="A103:H103"/>
    <mergeCell ref="A127:B127"/>
    <mergeCell ref="A119:B119"/>
    <mergeCell ref="A120:B120"/>
    <mergeCell ref="A130:B130"/>
    <mergeCell ref="A131:B131"/>
    <mergeCell ref="A133:B133"/>
    <mergeCell ref="A60:C60"/>
    <mergeCell ref="A61:C61"/>
    <mergeCell ref="D60:H60"/>
    <mergeCell ref="E71:F80"/>
    <mergeCell ref="G71:H80"/>
    <mergeCell ref="A79:B79"/>
    <mergeCell ref="A80:B80"/>
    <mergeCell ref="D61:H61"/>
    <mergeCell ref="A72:B72"/>
    <mergeCell ref="A74:B74"/>
    <mergeCell ref="E70:F70"/>
    <mergeCell ref="A63:C63"/>
    <mergeCell ref="D63:H63"/>
    <mergeCell ref="A66:C66"/>
    <mergeCell ref="D66:H66"/>
    <mergeCell ref="A125:B125"/>
    <mergeCell ref="A126:B126"/>
    <mergeCell ref="A121:B121"/>
    <mergeCell ref="A118:B118"/>
    <mergeCell ref="A116:H116"/>
    <mergeCell ref="A42:D42"/>
    <mergeCell ref="E42:H42"/>
    <mergeCell ref="E43:H43"/>
    <mergeCell ref="E44:H44"/>
    <mergeCell ref="E45:H45"/>
    <mergeCell ref="A43:D43"/>
    <mergeCell ref="A78:B78"/>
    <mergeCell ref="A44:D44"/>
    <mergeCell ref="A45:D45"/>
    <mergeCell ref="A46:H46"/>
    <mergeCell ref="D56:H56"/>
    <mergeCell ref="A56:C56"/>
    <mergeCell ref="G49:H49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36:H36"/>
    <mergeCell ref="A35:B35"/>
    <mergeCell ref="C35:E35"/>
    <mergeCell ref="C37:H37"/>
    <mergeCell ref="A40:D40"/>
    <mergeCell ref="E40:H40"/>
    <mergeCell ref="F32:H32"/>
    <mergeCell ref="F33:H33"/>
    <mergeCell ref="A39:H39"/>
    <mergeCell ref="F35:H35"/>
    <mergeCell ref="A37:B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57:H160"/>
    <mergeCell ref="A156:B156"/>
    <mergeCell ref="E156:F156"/>
    <mergeCell ref="C156:D156"/>
    <mergeCell ref="G156:H156"/>
    <mergeCell ref="A93:E93"/>
    <mergeCell ref="F93:H93"/>
    <mergeCell ref="A94:E94"/>
    <mergeCell ref="F94:H94"/>
    <mergeCell ref="A97:B97"/>
    <mergeCell ref="A132:B132"/>
    <mergeCell ref="A152:H152"/>
    <mergeCell ref="A95:H95"/>
    <mergeCell ref="A155:H155"/>
    <mergeCell ref="A153:H153"/>
    <mergeCell ref="C97:D97"/>
    <mergeCell ref="E97:F97"/>
    <mergeCell ref="B138:H138"/>
    <mergeCell ref="B139:H139"/>
    <mergeCell ref="A149:H149"/>
    <mergeCell ref="A150:H150"/>
    <mergeCell ref="E96:F96"/>
    <mergeCell ref="B144:H144"/>
    <mergeCell ref="B141:H141"/>
    <mergeCell ref="B137:H137"/>
    <mergeCell ref="A98:H98"/>
    <mergeCell ref="B135:H135"/>
    <mergeCell ref="B136:H136"/>
    <mergeCell ref="A134:H134"/>
    <mergeCell ref="D59:H59"/>
    <mergeCell ref="C51:H51"/>
    <mergeCell ref="F89:H89"/>
    <mergeCell ref="F92:H92"/>
    <mergeCell ref="F90:H90"/>
    <mergeCell ref="A99:H99"/>
    <mergeCell ref="A91:E91"/>
    <mergeCell ref="F91:H91"/>
    <mergeCell ref="A64:C64"/>
    <mergeCell ref="D64:H64"/>
    <mergeCell ref="A65:C65"/>
    <mergeCell ref="D65:H65"/>
    <mergeCell ref="A71:B71"/>
    <mergeCell ref="G70:H70"/>
    <mergeCell ref="F88:H88"/>
    <mergeCell ref="A82:E82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B145:H145"/>
    <mergeCell ref="A16:B16"/>
    <mergeCell ref="C16:H16"/>
    <mergeCell ref="E41:H41"/>
    <mergeCell ref="A41:D41"/>
    <mergeCell ref="A154:H154"/>
    <mergeCell ref="A151:H151"/>
    <mergeCell ref="A124:B124"/>
    <mergeCell ref="A96:B96"/>
    <mergeCell ref="A76:B76"/>
    <mergeCell ref="F82:H82"/>
    <mergeCell ref="G97:H97"/>
    <mergeCell ref="A48:B48"/>
    <mergeCell ref="C48:E48"/>
    <mergeCell ref="G48:H48"/>
    <mergeCell ref="G50:H50"/>
    <mergeCell ref="D54:H54"/>
    <mergeCell ref="C50:E50"/>
    <mergeCell ref="A57:C59"/>
    <mergeCell ref="D57:H57"/>
  </mergeCells>
  <dataValidations count="5">
    <dataValidation type="list" allowBlank="1" showInputMessage="1" showErrorMessage="1" sqref="D101:D102">
      <formula1>"Carpet Area,Carpet + Encl Balcony Area,RERA Carpet area"</formula1>
    </dataValidation>
    <dataValidation type="list" allowBlank="1" showInputMessage="1" showErrorMessage="1" sqref="H101">
      <formula1>"Saleable area Loading :,Builder Saleable Area"</formula1>
    </dataValidation>
    <dataValidation type="list" allowBlank="1" showInputMessage="1" showErrorMessage="1" sqref="H102">
      <formula1>".45,.50,.55,.60"</formula1>
    </dataValidation>
    <dataValidation type="list" allowBlank="1" showInputMessage="1" showErrorMessage="1" sqref="E101:E102">
      <formula1>"Fungible area,Balcony Area+ Chajja Area,Cornice Area,AP Area,WS Area"</formula1>
    </dataValidation>
    <dataValidation type="list" allowBlank="1" showInputMessage="1" showErrorMessage="1" sqref="B101:B102">
      <formula1>"Flat No. (Sale Plan),Sale / Rehab,Sale / Mhada"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60" max="16383" man="1"/>
    <brk id="203" max="16383" man="1"/>
    <brk id="24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57" t="s">
        <v>106</v>
      </c>
      <c r="C3" s="157"/>
      <c r="D3" s="157"/>
      <c r="E3" s="157"/>
      <c r="F3" s="157"/>
      <c r="G3" s="157"/>
      <c r="H3" s="157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2025-09-15T13:02:16Z</cp:lastPrinted>
  <dcterms:created xsi:type="dcterms:W3CDTF">2019-07-16T09:29:46Z</dcterms:created>
  <dcterms:modified xsi:type="dcterms:W3CDTF">2025-09-15T13:03:45Z</dcterms:modified>
</cp:coreProperties>
</file>