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Sept 2025\15-09-2025\"/>
    </mc:Choice>
  </mc:AlternateContent>
  <bookViews>
    <workbookView xWindow="0" yWindow="0" windowWidth="19200" windowHeight="6640"/>
  </bookViews>
  <sheets>
    <sheet name="Report" sheetId="1" r:id="rId1"/>
    <sheet name="Flat detail" sheetId="3" r:id="rId2"/>
    <sheet name="Note" sheetId="4" r:id="rId3"/>
    <sheet name="valuation" sheetId="5" r:id="rId4"/>
  </sheets>
  <definedNames>
    <definedName name="_xlnm.Print_Area" localSheetId="0">Report!$A$1:$H$402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1" l="1"/>
  <c r="D234" i="1" l="1"/>
  <c r="D233" i="1"/>
  <c r="F233" i="1" s="1"/>
  <c r="D232" i="1"/>
  <c r="F232" i="1" s="1"/>
  <c r="D231" i="1"/>
  <c r="F231" i="1" s="1"/>
  <c r="D230" i="1"/>
  <c r="F230" i="1" s="1"/>
  <c r="U229" i="1"/>
  <c r="U230" i="1" s="1"/>
  <c r="U231" i="1" s="1"/>
  <c r="U232" i="1" s="1"/>
  <c r="U233" i="1" s="1"/>
  <c r="U234" i="1" s="1"/>
  <c r="D229" i="1"/>
  <c r="F229" i="1" s="1"/>
  <c r="G228" i="1"/>
  <c r="D228" i="1"/>
  <c r="F228" i="1" s="1"/>
  <c r="V227" i="1"/>
  <c r="V228" i="1"/>
  <c r="V229" i="1" l="1"/>
  <c r="S228" i="1"/>
  <c r="C59" i="1"/>
  <c r="S229" i="1" l="1"/>
  <c r="V230" i="1"/>
  <c r="D238" i="1"/>
  <c r="D205" i="1"/>
  <c r="D204" i="1"/>
  <c r="D200" i="1"/>
  <c r="F200" i="1" s="1"/>
  <c r="D199" i="1"/>
  <c r="F199" i="1" s="1"/>
  <c r="D198" i="1"/>
  <c r="F198" i="1" s="1"/>
  <c r="D197" i="1"/>
  <c r="F197" i="1" s="1"/>
  <c r="D196" i="1"/>
  <c r="F196" i="1" s="1"/>
  <c r="D195" i="1"/>
  <c r="F195" i="1" s="1"/>
  <c r="U194" i="1"/>
  <c r="U195" i="1" s="1"/>
  <c r="U196" i="1" s="1"/>
  <c r="U197" i="1" s="1"/>
  <c r="U198" i="1" s="1"/>
  <c r="U199" i="1" s="1"/>
  <c r="U200" i="1" s="1"/>
  <c r="D194" i="1"/>
  <c r="F194" i="1" s="1"/>
  <c r="G193" i="1"/>
  <c r="D193" i="1"/>
  <c r="F193" i="1" s="1"/>
  <c r="V192" i="1"/>
  <c r="D191" i="1"/>
  <c r="F191" i="1" s="1"/>
  <c r="D189" i="1"/>
  <c r="F189" i="1" s="1"/>
  <c r="D188" i="1"/>
  <c r="F188" i="1" s="1"/>
  <c r="D187" i="1"/>
  <c r="F187" i="1" s="1"/>
  <c r="D186" i="1"/>
  <c r="F186" i="1" s="1"/>
  <c r="U185" i="1"/>
  <c r="U186" i="1" s="1"/>
  <c r="U187" i="1" s="1"/>
  <c r="U188" i="1" s="1"/>
  <c r="U189" i="1" s="1"/>
  <c r="U190" i="1" s="1"/>
  <c r="U191" i="1" s="1"/>
  <c r="D185" i="1"/>
  <c r="F185" i="1" s="1"/>
  <c r="G184" i="1"/>
  <c r="D184" i="1"/>
  <c r="F184" i="1" s="1"/>
  <c r="V183" i="1"/>
  <c r="D181" i="1"/>
  <c r="F181" i="1" s="1"/>
  <c r="D162" i="1"/>
  <c r="F162" i="1" s="1"/>
  <c r="D161" i="1"/>
  <c r="F161" i="1" s="1"/>
  <c r="U160" i="1"/>
  <c r="U161" i="1" s="1"/>
  <c r="U162" i="1" s="1"/>
  <c r="D160" i="1"/>
  <c r="F160" i="1" s="1"/>
  <c r="G159" i="1"/>
  <c r="D159" i="1"/>
  <c r="F159" i="1" s="1"/>
  <c r="V158" i="1"/>
  <c r="D157" i="1"/>
  <c r="F157" i="1" s="1"/>
  <c r="D156" i="1"/>
  <c r="F156" i="1" s="1"/>
  <c r="U155" i="1"/>
  <c r="U156" i="1" s="1"/>
  <c r="U157" i="1" s="1"/>
  <c r="D155" i="1"/>
  <c r="F155" i="1" s="1"/>
  <c r="G154" i="1"/>
  <c r="D154" i="1"/>
  <c r="F154" i="1" s="1"/>
  <c r="V153" i="1"/>
  <c r="J144" i="1"/>
  <c r="D144" i="1"/>
  <c r="W158" i="1"/>
  <c r="V184" i="1"/>
  <c r="W192" i="1"/>
  <c r="V193" i="1"/>
  <c r="W153" i="1"/>
  <c r="V159" i="1"/>
  <c r="V154" i="1"/>
  <c r="W183" i="1"/>
  <c r="V231" i="1" l="1"/>
  <c r="S230" i="1"/>
  <c r="V194" i="1"/>
  <c r="V185" i="1"/>
  <c r="V160" i="1"/>
  <c r="V155" i="1"/>
  <c r="D220" i="1"/>
  <c r="D212" i="1"/>
  <c r="D226" i="1"/>
  <c r="F226" i="1" s="1"/>
  <c r="D218" i="1"/>
  <c r="D210" i="1"/>
  <c r="D221" i="1"/>
  <c r="F221" i="1" s="1"/>
  <c r="D213" i="1"/>
  <c r="D262" i="1"/>
  <c r="F262" i="1" s="1"/>
  <c r="D261" i="1"/>
  <c r="F261" i="1" s="1"/>
  <c r="D260" i="1"/>
  <c r="F260" i="1" s="1"/>
  <c r="D259" i="1"/>
  <c r="F259" i="1" s="1"/>
  <c r="D258" i="1"/>
  <c r="F258" i="1" s="1"/>
  <c r="U257" i="1"/>
  <c r="U258" i="1" s="1"/>
  <c r="U259" i="1" s="1"/>
  <c r="U260" i="1" s="1"/>
  <c r="U261" i="1" s="1"/>
  <c r="U262" i="1" s="1"/>
  <c r="U263" i="1" s="1"/>
  <c r="D257" i="1"/>
  <c r="F257" i="1" s="1"/>
  <c r="G256" i="1"/>
  <c r="D256" i="1"/>
  <c r="F256" i="1" s="1"/>
  <c r="V255" i="1"/>
  <c r="D254" i="1"/>
  <c r="F254" i="1" s="1"/>
  <c r="D253" i="1"/>
  <c r="F253" i="1" s="1"/>
  <c r="D252" i="1"/>
  <c r="F252" i="1" s="1"/>
  <c r="D251" i="1"/>
  <c r="F251" i="1" s="1"/>
  <c r="D250" i="1"/>
  <c r="F250" i="1" s="1"/>
  <c r="D249" i="1"/>
  <c r="F249" i="1" s="1"/>
  <c r="U248" i="1"/>
  <c r="U249" i="1" s="1"/>
  <c r="U250" i="1" s="1"/>
  <c r="U251" i="1" s="1"/>
  <c r="U252" i="1" s="1"/>
  <c r="U253" i="1" s="1"/>
  <c r="U254" i="1" s="1"/>
  <c r="D248" i="1"/>
  <c r="F248" i="1" s="1"/>
  <c r="G247" i="1"/>
  <c r="D247" i="1"/>
  <c r="F247" i="1" s="1"/>
  <c r="V246" i="1"/>
  <c r="D245" i="1"/>
  <c r="D244" i="1"/>
  <c r="J244" i="1"/>
  <c r="D243" i="1"/>
  <c r="D242" i="1"/>
  <c r="J242" i="1"/>
  <c r="D241" i="1"/>
  <c r="D240" i="1"/>
  <c r="J240" i="1"/>
  <c r="D239" i="1"/>
  <c r="L245" i="1"/>
  <c r="L244" i="1"/>
  <c r="L243" i="1"/>
  <c r="L242" i="1"/>
  <c r="L241" i="1"/>
  <c r="L240" i="1"/>
  <c r="L239" i="1"/>
  <c r="L238" i="1"/>
  <c r="J238" i="1"/>
  <c r="D225" i="1"/>
  <c r="F225" i="1" s="1"/>
  <c r="D224" i="1"/>
  <c r="F224" i="1" s="1"/>
  <c r="D223" i="1"/>
  <c r="F223" i="1" s="1"/>
  <c r="D217" i="1"/>
  <c r="D216" i="1"/>
  <c r="D215" i="1"/>
  <c r="D214" i="1"/>
  <c r="J210" i="1"/>
  <c r="D209" i="1"/>
  <c r="D208" i="1"/>
  <c r="J208" i="1"/>
  <c r="D206" i="1"/>
  <c r="D207" i="1"/>
  <c r="J206" i="1"/>
  <c r="J205" i="1"/>
  <c r="J204" i="1"/>
  <c r="L210" i="1"/>
  <c r="L209" i="1"/>
  <c r="L208" i="1"/>
  <c r="L207" i="1"/>
  <c r="L206" i="1"/>
  <c r="L205" i="1"/>
  <c r="L204" i="1"/>
  <c r="U221" i="1"/>
  <c r="U222" i="1" s="1"/>
  <c r="U223" i="1" s="1"/>
  <c r="U224" i="1" s="1"/>
  <c r="U225" i="1" s="1"/>
  <c r="U226" i="1" s="1"/>
  <c r="G220" i="1"/>
  <c r="F220" i="1"/>
  <c r="V219" i="1"/>
  <c r="W159" i="1"/>
  <c r="W154" i="1"/>
  <c r="V256" i="1"/>
  <c r="V247" i="1"/>
  <c r="W193" i="1"/>
  <c r="W184" i="1"/>
  <c r="V220" i="1"/>
  <c r="S231" i="1" l="1"/>
  <c r="V232" i="1"/>
  <c r="W194" i="1"/>
  <c r="W195" i="1" s="1"/>
  <c r="W196" i="1" s="1"/>
  <c r="W197" i="1" s="1"/>
  <c r="W198" i="1" s="1"/>
  <c r="W199" i="1" s="1"/>
  <c r="W200" i="1" s="1"/>
  <c r="S193" i="1"/>
  <c r="V195" i="1"/>
  <c r="W185" i="1"/>
  <c r="W186" i="1" s="1"/>
  <c r="W187" i="1" s="1"/>
  <c r="W188" i="1" s="1"/>
  <c r="W189" i="1" s="1"/>
  <c r="W190" i="1" s="1"/>
  <c r="W191" i="1" s="1"/>
  <c r="S184" i="1"/>
  <c r="V186" i="1"/>
  <c r="W160" i="1"/>
  <c r="W161" i="1" s="1"/>
  <c r="W162" i="1" s="1"/>
  <c r="S159" i="1"/>
  <c r="V161" i="1"/>
  <c r="W155" i="1"/>
  <c r="W156" i="1" s="1"/>
  <c r="W157" i="1" s="1"/>
  <c r="S154" i="1"/>
  <c r="V156" i="1"/>
  <c r="C123" i="1"/>
  <c r="E123" i="1"/>
  <c r="C122" i="1"/>
  <c r="E122" i="1"/>
  <c r="S256" i="1"/>
  <c r="V257" i="1"/>
  <c r="S247" i="1"/>
  <c r="V248" i="1"/>
  <c r="V221" i="1"/>
  <c r="S220" i="1"/>
  <c r="E3" i="1"/>
  <c r="S232" i="1" l="1"/>
  <c r="V233" i="1"/>
  <c r="S194" i="1"/>
  <c r="V196" i="1"/>
  <c r="S195" i="1"/>
  <c r="S185" i="1"/>
  <c r="V187" i="1"/>
  <c r="S186" i="1"/>
  <c r="S160" i="1"/>
  <c r="V162" i="1"/>
  <c r="S162" i="1" s="1"/>
  <c r="S161" i="1"/>
  <c r="V157" i="1"/>
  <c r="S157" i="1" s="1"/>
  <c r="S156" i="1"/>
  <c r="S155" i="1"/>
  <c r="V258" i="1"/>
  <c r="S257" i="1"/>
  <c r="V249" i="1"/>
  <c r="S248" i="1"/>
  <c r="S221" i="1"/>
  <c r="V222" i="1"/>
  <c r="J84" i="1"/>
  <c r="J83" i="1"/>
  <c r="J82" i="1"/>
  <c r="J81" i="1"/>
  <c r="H74" i="1"/>
  <c r="V234" i="1" l="1"/>
  <c r="S234" i="1" s="1"/>
  <c r="S233" i="1"/>
  <c r="V197" i="1"/>
  <c r="S196" i="1"/>
  <c r="V188" i="1"/>
  <c r="S187" i="1"/>
  <c r="S258" i="1"/>
  <c r="V259" i="1"/>
  <c r="V250" i="1"/>
  <c r="S249" i="1"/>
  <c r="S222" i="1"/>
  <c r="V223" i="1"/>
  <c r="D79" i="1"/>
  <c r="J77" i="1"/>
  <c r="D81" i="1"/>
  <c r="D86" i="1"/>
  <c r="D84" i="1"/>
  <c r="D82" i="1"/>
  <c r="D80" i="1"/>
  <c r="J78" i="1"/>
  <c r="C77" i="1" s="1"/>
  <c r="J76" i="1"/>
  <c r="J79" i="1"/>
  <c r="J80" i="1" s="1"/>
  <c r="J85" i="1" s="1"/>
  <c r="J86" i="1" s="1"/>
  <c r="C78" i="1" s="1"/>
  <c r="D85" i="1"/>
  <c r="D83" i="1"/>
  <c r="J98" i="1"/>
  <c r="J97" i="1"/>
  <c r="J96" i="1"/>
  <c r="J95" i="1"/>
  <c r="J70" i="1"/>
  <c r="J69" i="1"/>
  <c r="J68" i="1"/>
  <c r="J67" i="1"/>
  <c r="H88" i="1"/>
  <c r="H60" i="1"/>
  <c r="V198" i="1" l="1"/>
  <c r="S197" i="1"/>
  <c r="V189" i="1"/>
  <c r="S188" i="1"/>
  <c r="S259" i="1"/>
  <c r="V260" i="1"/>
  <c r="V251" i="1"/>
  <c r="S250" i="1"/>
  <c r="S223" i="1"/>
  <c r="V224" i="1"/>
  <c r="E77" i="1"/>
  <c r="D78" i="1"/>
  <c r="G77" i="1"/>
  <c r="D77" i="1"/>
  <c r="J92" i="1"/>
  <c r="C91" i="1" s="1"/>
  <c r="D91" i="1" s="1"/>
  <c r="J90" i="1"/>
  <c r="D100" i="1"/>
  <c r="D98" i="1"/>
  <c r="D96" i="1"/>
  <c r="D94" i="1"/>
  <c r="D99" i="1"/>
  <c r="D97" i="1"/>
  <c r="D95" i="1"/>
  <c r="D93" i="1"/>
  <c r="J91" i="1"/>
  <c r="J93" i="1"/>
  <c r="J94" i="1" s="1"/>
  <c r="J99" i="1" s="1"/>
  <c r="J100" i="1" s="1"/>
  <c r="C92" i="1" s="1"/>
  <c r="D72" i="1"/>
  <c r="D70" i="1"/>
  <c r="D68" i="1"/>
  <c r="D66" i="1"/>
  <c r="J64" i="1"/>
  <c r="C63" i="1" s="1"/>
  <c r="D63" i="1" s="1"/>
  <c r="J62" i="1"/>
  <c r="D69" i="1"/>
  <c r="J65" i="1"/>
  <c r="J66" i="1" s="1"/>
  <c r="J71" i="1" s="1"/>
  <c r="J72" i="1" s="1"/>
  <c r="C64" i="1" s="1"/>
  <c r="D71" i="1"/>
  <c r="D67" i="1"/>
  <c r="D65" i="1"/>
  <c r="J63" i="1"/>
  <c r="S198" i="1" l="1"/>
  <c r="V199" i="1"/>
  <c r="V190" i="1"/>
  <c r="S189" i="1"/>
  <c r="V261" i="1"/>
  <c r="S260" i="1"/>
  <c r="V252" i="1"/>
  <c r="S251" i="1"/>
  <c r="V225" i="1"/>
  <c r="S224" i="1"/>
  <c r="I73" i="1"/>
  <c r="C75" i="1" s="1"/>
  <c r="E91" i="1"/>
  <c r="I87" i="1" s="1"/>
  <c r="C89" i="1" s="1"/>
  <c r="D92" i="1"/>
  <c r="G91" i="1"/>
  <c r="E63" i="1"/>
  <c r="D64" i="1"/>
  <c r="G63" i="1"/>
  <c r="I59" i="1" l="1"/>
  <c r="V200" i="1"/>
  <c r="S200" i="1" s="1"/>
  <c r="S199" i="1"/>
  <c r="V191" i="1"/>
  <c r="S191" i="1" s="1"/>
  <c r="S190" i="1"/>
  <c r="S261" i="1"/>
  <c r="V262" i="1"/>
  <c r="V253" i="1"/>
  <c r="S252" i="1"/>
  <c r="V226" i="1"/>
  <c r="S226" i="1" s="1"/>
  <c r="S225" i="1"/>
  <c r="F218" i="1"/>
  <c r="F217" i="1"/>
  <c r="F216" i="1"/>
  <c r="F215" i="1"/>
  <c r="F214" i="1"/>
  <c r="U213" i="1"/>
  <c r="U214" i="1" s="1"/>
  <c r="U215" i="1" s="1"/>
  <c r="U216" i="1" s="1"/>
  <c r="U217" i="1" s="1"/>
  <c r="U218" i="1" s="1"/>
  <c r="F213" i="1"/>
  <c r="G212" i="1"/>
  <c r="F212" i="1"/>
  <c r="V211" i="1"/>
  <c r="C14" i="1"/>
  <c r="V212" i="1"/>
  <c r="V263" i="1" l="1"/>
  <c r="S263" i="1" s="1"/>
  <c r="S262" i="1"/>
  <c r="V254" i="1"/>
  <c r="S254" i="1" s="1"/>
  <c r="S253" i="1"/>
  <c r="S212" i="1"/>
  <c r="V213" i="1"/>
  <c r="V214" i="1" l="1"/>
  <c r="S213" i="1"/>
  <c r="D182" i="1"/>
  <c r="D180" i="1"/>
  <c r="D179" i="1"/>
  <c r="D178" i="1"/>
  <c r="D177" i="1"/>
  <c r="D176" i="1"/>
  <c r="D175" i="1"/>
  <c r="D173" i="1"/>
  <c r="D172" i="1"/>
  <c r="D171" i="1"/>
  <c r="D170" i="1"/>
  <c r="D169" i="1"/>
  <c r="D168" i="1"/>
  <c r="D167" i="1"/>
  <c r="D166" i="1"/>
  <c r="D152" i="1"/>
  <c r="D151" i="1"/>
  <c r="D150" i="1"/>
  <c r="D149" i="1"/>
  <c r="D147" i="1"/>
  <c r="D146" i="1"/>
  <c r="D145" i="1"/>
  <c r="C120" i="1" l="1"/>
  <c r="E120" i="1"/>
  <c r="C121" i="1"/>
  <c r="E121" i="1"/>
  <c r="V215" i="1"/>
  <c r="S214" i="1"/>
  <c r="F245" i="1"/>
  <c r="F242" i="1"/>
  <c r="F239" i="1"/>
  <c r="F244" i="1"/>
  <c r="F243" i="1"/>
  <c r="F241" i="1"/>
  <c r="F240" i="1"/>
  <c r="U239" i="1"/>
  <c r="U240" i="1" s="1"/>
  <c r="U241" i="1" s="1"/>
  <c r="U242" i="1" s="1"/>
  <c r="U243" i="1" s="1"/>
  <c r="U244" i="1" s="1"/>
  <c r="U245" i="1" s="1"/>
  <c r="G238" i="1"/>
  <c r="F238" i="1"/>
  <c r="V237" i="1"/>
  <c r="F210" i="1"/>
  <c r="F204" i="1"/>
  <c r="I204" i="1" s="1"/>
  <c r="F208" i="1"/>
  <c r="F207" i="1"/>
  <c r="F206" i="1"/>
  <c r="F209" i="1"/>
  <c r="U205" i="1"/>
  <c r="U206" i="1" s="1"/>
  <c r="U207" i="1" s="1"/>
  <c r="U208" i="1" s="1"/>
  <c r="U209" i="1" s="1"/>
  <c r="U210" i="1" s="1"/>
  <c r="F205" i="1"/>
  <c r="G204" i="1"/>
  <c r="V203" i="1"/>
  <c r="F182" i="1"/>
  <c r="F180" i="1"/>
  <c r="F179" i="1"/>
  <c r="F178" i="1"/>
  <c r="F177" i="1"/>
  <c r="U176" i="1"/>
  <c r="U177" i="1" s="1"/>
  <c r="U178" i="1" s="1"/>
  <c r="U179" i="1" s="1"/>
  <c r="U180" i="1" s="1"/>
  <c r="U181" i="1" s="1"/>
  <c r="U182" i="1" s="1"/>
  <c r="F176" i="1"/>
  <c r="G175" i="1"/>
  <c r="F175" i="1"/>
  <c r="V174" i="1"/>
  <c r="F152" i="1"/>
  <c r="F151" i="1"/>
  <c r="U150" i="1"/>
  <c r="U151" i="1" s="1"/>
  <c r="U152" i="1" s="1"/>
  <c r="F150" i="1"/>
  <c r="G149" i="1"/>
  <c r="F149" i="1"/>
  <c r="V148" i="1"/>
  <c r="F173" i="1"/>
  <c r="F172" i="1"/>
  <c r="F170" i="1"/>
  <c r="F167" i="1"/>
  <c r="F166" i="1"/>
  <c r="F171" i="1"/>
  <c r="F169" i="1"/>
  <c r="F168" i="1"/>
  <c r="U167" i="1"/>
  <c r="U168" i="1" s="1"/>
  <c r="U169" i="1" s="1"/>
  <c r="U170" i="1" s="1"/>
  <c r="U171" i="1" s="1"/>
  <c r="U172" i="1" s="1"/>
  <c r="U173" i="1" s="1"/>
  <c r="G166" i="1"/>
  <c r="V165" i="1"/>
  <c r="F146" i="1"/>
  <c r="I146" i="1" s="1"/>
  <c r="F145" i="1"/>
  <c r="I145" i="1" s="1"/>
  <c r="F144" i="1"/>
  <c r="F147" i="1"/>
  <c r="I147" i="1" s="1"/>
  <c r="U145" i="1"/>
  <c r="U146" i="1" s="1"/>
  <c r="U147" i="1" s="1"/>
  <c r="G144" i="1"/>
  <c r="V143" i="1"/>
  <c r="V149" i="1"/>
  <c r="V144" i="1"/>
  <c r="W165" i="1"/>
  <c r="W143" i="1"/>
  <c r="W174" i="1"/>
  <c r="V166" i="1"/>
  <c r="V175" i="1"/>
  <c r="V204" i="1"/>
  <c r="W148" i="1"/>
  <c r="V238" i="1"/>
  <c r="G121" i="1" l="1"/>
  <c r="I144" i="1"/>
  <c r="G120" i="1"/>
  <c r="E124" i="1"/>
  <c r="C124" i="1"/>
  <c r="G123" i="1"/>
  <c r="I205" i="1"/>
  <c r="G122" i="1"/>
  <c r="V216" i="1"/>
  <c r="S215" i="1"/>
  <c r="V239" i="1"/>
  <c r="S238" i="1"/>
  <c r="S204" i="1"/>
  <c r="V205" i="1"/>
  <c r="V176" i="1"/>
  <c r="V150" i="1"/>
  <c r="V167" i="1"/>
  <c r="V145" i="1"/>
  <c r="E40" i="1"/>
  <c r="E41" i="1" s="1"/>
  <c r="W144" i="1"/>
  <c r="W175" i="1"/>
  <c r="W149" i="1"/>
  <c r="W166" i="1"/>
  <c r="G124" i="1" l="1"/>
  <c r="S216" i="1"/>
  <c r="V217" i="1"/>
  <c r="S239" i="1"/>
  <c r="V240" i="1"/>
  <c r="V206" i="1"/>
  <c r="S205" i="1"/>
  <c r="W176" i="1"/>
  <c r="W177" i="1" s="1"/>
  <c r="W178" i="1" s="1"/>
  <c r="W179" i="1" s="1"/>
  <c r="W180" i="1" s="1"/>
  <c r="W181" i="1" s="1"/>
  <c r="W182" i="1" s="1"/>
  <c r="S175" i="1"/>
  <c r="V177" i="1"/>
  <c r="W150" i="1"/>
  <c r="W151" i="1" s="1"/>
  <c r="W152" i="1" s="1"/>
  <c r="S149" i="1"/>
  <c r="V151" i="1"/>
  <c r="W167" i="1"/>
  <c r="W168" i="1" s="1"/>
  <c r="W169" i="1" s="1"/>
  <c r="W170" i="1" s="1"/>
  <c r="W171" i="1" s="1"/>
  <c r="W172" i="1" s="1"/>
  <c r="W173" i="1" s="1"/>
  <c r="S166" i="1"/>
  <c r="V168" i="1"/>
  <c r="W145" i="1"/>
  <c r="W146" i="1" s="1"/>
  <c r="W147" i="1" s="1"/>
  <c r="S144" i="1"/>
  <c r="V146" i="1"/>
  <c r="F130" i="1"/>
  <c r="G130" i="1"/>
  <c r="G131" i="1" s="1"/>
  <c r="G132" i="1" s="1"/>
  <c r="G133" i="1" s="1"/>
  <c r="G134" i="1" s="1"/>
  <c r="G135" i="1" s="1"/>
  <c r="G136" i="1" s="1"/>
  <c r="A131" i="1"/>
  <c r="A132" i="1" s="1"/>
  <c r="A133" i="1" s="1"/>
  <c r="A134" i="1" s="1"/>
  <c r="A135" i="1" s="1"/>
  <c r="A136" i="1" s="1"/>
  <c r="F131" i="1"/>
  <c r="F132" i="1"/>
  <c r="F133" i="1"/>
  <c r="F134" i="1"/>
  <c r="F135" i="1"/>
  <c r="F136" i="1"/>
  <c r="S217" i="1" l="1"/>
  <c r="V218" i="1"/>
  <c r="S218" i="1" s="1"/>
  <c r="V241" i="1"/>
  <c r="S240" i="1"/>
  <c r="V207" i="1"/>
  <c r="S206" i="1"/>
  <c r="S176" i="1"/>
  <c r="V178" i="1"/>
  <c r="S177" i="1"/>
  <c r="S150" i="1"/>
  <c r="V152" i="1"/>
  <c r="S152" i="1" s="1"/>
  <c r="S151" i="1"/>
  <c r="S167" i="1"/>
  <c r="V169" i="1"/>
  <c r="S168" i="1"/>
  <c r="S145" i="1"/>
  <c r="V147" i="1"/>
  <c r="S147" i="1" s="1"/>
  <c r="S146" i="1"/>
  <c r="V242" i="1" l="1"/>
  <c r="S241" i="1"/>
  <c r="V208" i="1"/>
  <c r="S207" i="1"/>
  <c r="V179" i="1"/>
  <c r="S178" i="1"/>
  <c r="V170" i="1"/>
  <c r="S169" i="1"/>
  <c r="E24" i="1"/>
  <c r="E22" i="1"/>
  <c r="S242" i="1" l="1"/>
  <c r="V243" i="1"/>
  <c r="V209" i="1"/>
  <c r="S208" i="1"/>
  <c r="S179" i="1"/>
  <c r="V180" i="1"/>
  <c r="S170" i="1"/>
  <c r="V171" i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V244" i="1" l="1"/>
  <c r="S243" i="1"/>
  <c r="V210" i="1"/>
  <c r="S209" i="1"/>
  <c r="V181" i="1"/>
  <c r="S180" i="1"/>
  <c r="V172" i="1"/>
  <c r="S171" i="1"/>
  <c r="G12" i="5"/>
  <c r="S244" i="1" l="1"/>
  <c r="V245" i="1"/>
  <c r="S245" i="1" s="1"/>
  <c r="S210" i="1"/>
  <c r="V182" i="1"/>
  <c r="S182" i="1" s="1"/>
  <c r="S181" i="1"/>
  <c r="S172" i="1"/>
  <c r="V173" i="1"/>
  <c r="S173" i="1" s="1"/>
  <c r="D58" i="1" l="1"/>
  <c r="E7" i="1" l="1"/>
  <c r="D278" i="1" l="1"/>
  <c r="F117" i="1"/>
  <c r="D51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<sst xmlns="http://schemas.openxmlformats.org/spreadsheetml/2006/main" count="504" uniqueCount="257">
  <si>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</si>
  <si>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</si>
  <si>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</si>
  <si>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</si>
  <si>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</si>
  <si>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</si>
  <si>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</si>
  <si>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</si>
  <si>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</si>
  <si>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</si>
  <si>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</si>
  <si>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</si>
  <si>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</si>
  <si>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</si>
  <si>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</si>
  <si>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</si>
  <si>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</si>
  <si>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</si>
  <si>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</si>
  <si>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</si>
  <si>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</si>
  <si>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</si>
  <si>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</si>
  <si>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</si>
  <si>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</si>
  <si>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</si>
  <si>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</si>
  <si>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</si>
  <si>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</si>
  <si>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</si>
  <si>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</si>
  <si>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</si>
  <si>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</si>
  <si>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</si>
  <si>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</si>
  <si>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</si>
  <si>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</si>
  <si>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</si>
  <si>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</si>
  <si>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</si>
  <si>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</si>
  <si>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</si>
  <si>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</si>
  <si>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</si>
  <si>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</si>
  <si>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</si>
  <si>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</si>
  <si>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</si>
  <si>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</si>
  <si>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</si>
  <si>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</si>
  <si>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</si>
  <si>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</si>
  <si>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</si>
  <si>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</si>
  <si>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</si>
  <si>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</si>
  <si>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</si>
  <si>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</si>
  <si>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</si>
  <si>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</si>
  <si>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</si>
  <si>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</si>
  <si>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</si>
  <si>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</si>
  <si>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</si>
  <si>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</si>
  <si>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</si>
  <si>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</si>
  <si>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</si>
  <si>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</si>
  <si>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</si>
  <si>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</si>
  <si>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</si>
  <si>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</si>
  <si>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</si>
  <si>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</si>
  <si>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</si>
  <si>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</si>
  <si>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</si>
  <si>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</si>
  <si>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</si>
  <si>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</si>
  <si>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</si>
  <si>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</si>
  <si>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</si>
  <si>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</si>
  <si>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</si>
  <si>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</si>
  <si>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</si>
  <si>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</si>
  <si>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</si>
  <si>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</si>
  <si>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</si>
  <si>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</si>
  <si>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</si>
  <si>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</si>
  <si>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</si>
  <si>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</si>
  <si>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</si>
  <si>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</si>
  <si>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Basement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</si>
  <si>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</si>
  <si>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</si>
  <si>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</si>
  <si>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</si>
  <si>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</si>
  <si>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</si>
  <si>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</si>
  <si>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</si>
  <si>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</si>
  <si>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</si>
  <si>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</si>
  <si>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</si>
  <si>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</si>
  <si>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</si>
  <si>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</si>
  <si>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</si>
  <si>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</si>
  <si>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</si>
  <si>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</si>
  <si>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</si>
  <si>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</si>
  <si>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</si>
  <si>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</si>
  <si>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</si>
  <si>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</si>
  <si>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</si>
  <si>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</si>
  <si>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</si>
  <si>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</si>
  <si>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</si>
  <si>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</si>
  <si>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</si>
  <si>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</si>
  <si>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</si>
  <si>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</si>
  <si>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</si>
  <si>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</si>
  <si>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</si>
  <si>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</si>
  <si>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</si>
  <si>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All work Completed. OC Received.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</si>
  <si>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</si>
  <si>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</si>
  <si>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</si>
  <si>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</si>
  <si>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</si>
  <si>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</si>
  <si>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</si>
  <si>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</si>
  <si>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</si>
  <si>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</si>
  <si>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</si>
  <si>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</si>
  <si>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</si>
  <si>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</si>
  <si>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Saleable area
Loading :</t>
  </si>
  <si>
    <t>,..,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</si>
  <si>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</si>
  <si>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</si>
  <si>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</si>
  <si>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</si>
  <si>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</si>
  <si>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</si>
  <si>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</si>
  <si>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P99000011142</t>
  </si>
  <si>
    <t>Trinetra Apartment</t>
  </si>
  <si>
    <t>M/s. Shree Sai Construction</t>
  </si>
  <si>
    <t>Axis Goregaon</t>
  </si>
  <si>
    <t>Achole</t>
  </si>
  <si>
    <t>Palghar</t>
  </si>
  <si>
    <t>Vasai</t>
  </si>
  <si>
    <t>112, H.No. 4 &amp; 5</t>
  </si>
  <si>
    <t xml:space="preserve">Wing A </t>
  </si>
  <si>
    <t xml:space="preserve">Wing B </t>
  </si>
  <si>
    <t>Wing C</t>
  </si>
  <si>
    <t>Wing D</t>
  </si>
  <si>
    <t>Ground Floor for Parking</t>
  </si>
  <si>
    <t>1st to 4th, 6th &amp; 7th Floor for Residential</t>
  </si>
  <si>
    <t>1BHK</t>
  </si>
  <si>
    <t>2BHK</t>
  </si>
  <si>
    <t>5th Floor</t>
  </si>
  <si>
    <t>Refuge Area</t>
  </si>
  <si>
    <t>1st to 4th Floor for Residential</t>
  </si>
  <si>
    <t>Navnath Bhatkar</t>
  </si>
  <si>
    <t>Achole Road</t>
  </si>
  <si>
    <t>Nalasopara</t>
  </si>
  <si>
    <t xml:space="preserve">Residential </t>
  </si>
  <si>
    <t>Vijay Park CHS</t>
  </si>
  <si>
    <t>Jay Bhole Welfare Society</t>
  </si>
  <si>
    <t>Slum</t>
  </si>
  <si>
    <t>Riddhi Siddhi Apartment</t>
  </si>
  <si>
    <t>4 Wings</t>
  </si>
  <si>
    <t>1.6Km from Nalasopara Railway Station</t>
  </si>
  <si>
    <t>Approved Plans, CC, Sale Plans</t>
  </si>
  <si>
    <t>Survey No</t>
  </si>
  <si>
    <t>Wing A</t>
  </si>
  <si>
    <t>Wing B</t>
  </si>
  <si>
    <t>Building No.4 = Wing A to D</t>
  </si>
  <si>
    <t>2,00,000/-</t>
  </si>
  <si>
    <t>Building No.4</t>
  </si>
  <si>
    <t>Construction details:</t>
  </si>
  <si>
    <t>Slab/Floor</t>
  </si>
  <si>
    <t>Piling Work in process</t>
  </si>
  <si>
    <t>Excavation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</si>
  <si>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</si>
  <si>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</si>
  <si>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</si>
  <si>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</si>
  <si>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</si>
  <si>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</si>
  <si>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</si>
  <si>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</si>
  <si>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</si>
  <si>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</si>
  <si>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</si>
  <si>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</si>
  <si>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</si>
  <si>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 xml:space="preserve">RCC </t>
  </si>
  <si>
    <t>Wing A, B, C, D = Gr + 1st to 9th Floor</t>
  </si>
  <si>
    <t>Building No.4 (Wing D) = Gr + 1st to 9th Floor</t>
  </si>
  <si>
    <t>Proposed no of Floor</t>
  </si>
  <si>
    <t>Building No.4 (Wing B &amp; C ) = Gr + 1st to 9th Floor</t>
  </si>
  <si>
    <t>Site Person - Contact Details ( Name &amp; Contact No.)</t>
  </si>
  <si>
    <t>Location Link</t>
  </si>
  <si>
    <t>https://goo.gl/maps/nBnrJg4hYcsnSR748</t>
  </si>
  <si>
    <t>5th to 7th &amp; 9th Floor</t>
  </si>
  <si>
    <t>9th floor added by arch letter</t>
  </si>
  <si>
    <t>8th Floor (Part Refuge Area)</t>
  </si>
  <si>
    <t>1RK</t>
  </si>
  <si>
    <t>VVCMC/TP/AMEND/VP/0121/507/2021-22</t>
  </si>
  <si>
    <t>VVCMC/TP/RDP/VP-121/507/2021-22</t>
  </si>
  <si>
    <t>Valid Up to:  Wing A to D = Gr + 1st to 9th Floor</t>
  </si>
  <si>
    <t xml:space="preserve">Office No. 1031, Wing J, Akshar Business Park, Plot No. 03 Sector 25, Near APMC Market, 
Vashi, Navi Mumbai, Maharashtra 400703 TEL: 022-46090378/79/8
E mail : vsjcapf@gmail.com. Web site : www.vsjadon.com </t>
  </si>
  <si>
    <t>Latitude, Longitude</t>
  </si>
  <si>
    <t>19.409281181753837,72.82375690710852</t>
  </si>
  <si>
    <t>9th Floor</t>
  </si>
  <si>
    <t>Ground Floor for Parking, Society Office &amp; Drivers Room</t>
  </si>
  <si>
    <t>LAYOUT PLAN:</t>
  </si>
  <si>
    <t>Approved Floor plan No.</t>
  </si>
  <si>
    <t>Flats - 240</t>
  </si>
  <si>
    <t>4500 to 5300</t>
  </si>
  <si>
    <t>Nikhil</t>
  </si>
  <si>
    <t>over valuation</t>
  </si>
  <si>
    <t>Other Charges</t>
  </si>
  <si>
    <t>2,13,000/-</t>
  </si>
  <si>
    <t>5th to 7th Floor</t>
  </si>
  <si>
    <t>C 907 Flat area changed for staff case by trupti on 22/05/2024</t>
  </si>
  <si>
    <t>5300 to 5500</t>
  </si>
  <si>
    <t>Trupti</t>
  </si>
  <si>
    <t>C907</t>
  </si>
  <si>
    <t>Completed</t>
  </si>
  <si>
    <t>60 Years</t>
  </si>
  <si>
    <t>Pooja</t>
  </si>
  <si>
    <t>VVCMC/TP/OC/VP-0121/80/FO/2025/APL/00100
Approved upto : Bldg No.4 (Wing A to D) = Gr/St + 1st to 9th Floor
Total Built Up Area = 10148.10 Sq.M.</t>
  </si>
  <si>
    <t>1. All work Completed. OC Received.
2. We considered  Saleable area  as per our calculation.
3. We considered Carpet area as per Approved Plan.
4. We considered Gross carpet area = Net carpet + Enclose balcony + A.P Area.
5. We have considered rate by verifying it from market inquire.
6. Car parking is subjected to authentic documentation.
7. We have updated Approved floor plan (1st to 9th Floor) of Wing C &amp; Wing D (on 01/06/2023).
8. In Approved Floor plan (dtd.08/10/2021), 9th floor for Wing C &amp; D is not mentioned.
9. As per architech (Space consultants, Nallasopara) letter provided by builder, there was a 
     drafting error for not mentioning word i.e. 9th floor plan in the title of 5th to 7th floor plan.
10. We have updated approved layout plan &amp; floor plan of Building No.4 Wing A to D (on 07/10/2023).
11.Recommended Rates of the Property have been revised on 06/11/2023.
12. We have updated OC (On 19/03/2025).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</si>
</sst>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67">
    <xf numFmtId="0" fontId="0" fillId="0" borderId="0" xfId="0"/>
    <xf numFmtId="0" fontId="0" fillId="2" borderId="1" xfId="0" applyFill="1" applyBorder="1"/>
    <xf numFmtId="0" fontId="0" fillId="0" borderId="2" xfId="0" applyBorder="1" applyAlignme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2" fillId="0" borderId="5" xfId="1" applyFont="1" applyFill="1" applyBorder="1" applyAlignment="1" applyProtection="1">
      <alignment horizontal="center" vertical="top"/>
      <protection locked="0"/>
    </xf>
    <xf numFmtId="0" fontId="7" fillId="0" borderId="8" xfId="1" applyFont="1" applyFill="1" applyBorder="1" applyProtection="1">
      <protection hidden="1"/>
    </xf>
    <xf numFmtId="0" fontId="7" fillId="0" borderId="0" xfId="1" applyFont="1" applyFill="1" applyBorder="1" applyProtection="1">
      <protection hidden="1"/>
    </xf>
    <xf numFmtId="0" fontId="17" fillId="0" borderId="0" xfId="0" applyFont="1" applyFill="1" applyBorder="1" applyProtection="1">
      <protection hidden="1"/>
    </xf>
    <xf numFmtId="0" fontId="17" fillId="0" borderId="11" xfId="0" applyFont="1" applyFill="1" applyBorder="1" applyProtection="1">
      <protection hidden="1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0" fontId="7" fillId="0" borderId="0" xfId="1" applyFont="1" applyFill="1"/>
    <xf numFmtId="0" fontId="15" fillId="0" borderId="0" xfId="1" applyFont="1" applyFill="1"/>
    <xf numFmtId="0" fontId="12" fillId="0" borderId="1" xfId="1" applyFont="1" applyFill="1" applyBorder="1" applyAlignment="1" applyProtection="1">
      <alignment vertical="top"/>
      <protection locked="0"/>
    </xf>
    <xf numFmtId="0" fontId="12" fillId="0" borderId="0" xfId="1" applyFont="1" applyFill="1"/>
    <xf numFmtId="0" fontId="7" fillId="0" borderId="0" xfId="1" applyFont="1" applyFill="1" applyProtection="1">
      <protection hidden="1"/>
    </xf>
    <xf numFmtId="0" fontId="7" fillId="0" borderId="9" xfId="1" applyFont="1" applyFill="1" applyBorder="1" applyProtection="1">
      <protection hidden="1"/>
    </xf>
    <xf numFmtId="0" fontId="7" fillId="0" borderId="10" xfId="1" applyFont="1" applyFill="1" applyBorder="1" applyProtection="1">
      <protection hidden="1"/>
    </xf>
    <xf numFmtId="0" fontId="7" fillId="0" borderId="10" xfId="1" applyFont="1" applyFill="1" applyBorder="1"/>
    <xf numFmtId="0" fontId="12" fillId="0" borderId="1" xfId="1" applyFont="1" applyFill="1" applyBorder="1" applyAlignment="1" applyProtection="1">
      <alignment horizontal="center" wrapText="1"/>
      <protection locked="0"/>
    </xf>
    <xf numFmtId="0" fontId="17" fillId="0" borderId="10" xfId="0" applyNumberFormat="1" applyFont="1" applyFill="1" applyBorder="1" applyProtection="1">
      <protection hidden="1"/>
    </xf>
    <xf numFmtId="1" fontId="12" fillId="0" borderId="1" xfId="1" applyNumberFormat="1" applyFont="1" applyFill="1" applyBorder="1" applyAlignment="1" applyProtection="1">
      <alignment horizontal="center" wrapText="1"/>
      <protection locked="0"/>
    </xf>
    <xf numFmtId="9" fontId="17" fillId="0" borderId="10" xfId="0" applyNumberFormat="1" applyFont="1" applyFill="1" applyBorder="1" applyProtection="1">
      <protection hidden="1"/>
    </xf>
    <xf numFmtId="1" fontId="0" fillId="0" borderId="10" xfId="0" applyNumberFormat="1" applyFill="1" applyBorder="1"/>
    <xf numFmtId="1" fontId="0" fillId="0" borderId="10" xfId="0" applyNumberFormat="1" applyFill="1" applyBorder="1" applyAlignment="1">
      <alignment horizontal="right"/>
    </xf>
    <xf numFmtId="1" fontId="0" fillId="0" borderId="12" xfId="0" applyNumberFormat="1" applyFill="1" applyBorder="1"/>
    <xf numFmtId="9" fontId="17" fillId="0" borderId="12" xfId="0" applyNumberFormat="1" applyFont="1" applyFill="1" applyBorder="1" applyProtection="1">
      <protection hidden="1"/>
    </xf>
    <xf numFmtId="0" fontId="16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0" fontId="7" fillId="0" borderId="0" xfId="1" applyNumberFormat="1" applyFont="1" applyFill="1" applyAlignment="1">
      <alignment horizontal="center" vertical="center"/>
    </xf>
    <xf numFmtId="0" fontId="7" fillId="0" borderId="0" xfId="0" applyFont="1" applyFill="1"/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0" fontId="12" fillId="0" borderId="1" xfId="1" applyFont="1" applyFill="1" applyBorder="1" applyAlignment="1" applyProtection="1">
      <alignment horizontal="left" vertical="top"/>
      <protection locked="0"/>
    </xf>
    <xf numFmtId="1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1" applyFont="1" applyFill="1"/>
    <xf numFmtId="14" fontId="7" fillId="2" borderId="0" xfId="1" applyNumberFormat="1" applyFont="1" applyFill="1"/>
    <xf numFmtId="0" fontId="7" fillId="0" borderId="0" xfId="1" applyFont="1" applyFill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9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1" fontId="7" fillId="2" borderId="22" xfId="1" applyNumberFormat="1" applyFont="1" applyFill="1" applyBorder="1" applyAlignment="1">
      <alignment horizontal="center" vertical="center"/>
    </xf>
    <xf numFmtId="1" fontId="7" fillId="2" borderId="0" xfId="1" applyNumberFormat="1" applyFont="1" applyFill="1" applyAlignment="1">
      <alignment horizontal="center" vertical="center"/>
    </xf>
    <xf numFmtId="167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6" xfId="1" applyFont="1" applyFill="1" applyBorder="1" applyAlignment="1" applyProtection="1">
      <alignment horizontal="left" vertical="top" wrapText="1"/>
      <protection locked="0"/>
    </xf>
    <xf numFmtId="0" fontId="12" fillId="0" borderId="21" xfId="1" applyFont="1" applyFill="1" applyBorder="1" applyAlignment="1" applyProtection="1">
      <alignment horizontal="left" vertical="top" wrapText="1"/>
      <protection locked="0"/>
    </xf>
    <xf numFmtId="0" fontId="12" fillId="0" borderId="7" xfId="1" applyFont="1" applyFill="1" applyBorder="1" applyAlignment="1" applyProtection="1">
      <alignment horizontal="left" vertical="top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6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" fontId="12" fillId="0" borderId="1" xfId="0" applyNumberFormat="1" applyFont="1" applyFill="1" applyBorder="1" applyAlignment="1" applyProtection="1">
      <alignment horizontal="center" vertical="center"/>
      <protection locked="0"/>
    </xf>
    <xf numFmtId="1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1" fontId="7" fillId="0" borderId="3" xfId="0" applyNumberFormat="1" applyFont="1" applyFill="1" applyBorder="1" applyAlignment="1" applyProtection="1">
      <alignment horizontal="center" vertical="top" wrapText="1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1" fontId="8" fillId="0" borderId="16" xfId="1" applyNumberFormat="1" applyFont="1" applyFill="1" applyBorder="1" applyAlignment="1" applyProtection="1">
      <alignment horizontal="center" vertical="top" wrapText="1"/>
      <protection locked="0"/>
    </xf>
    <xf numFmtId="1" fontId="8" fillId="0" borderId="17" xfId="1" applyNumberFormat="1" applyFont="1" applyFill="1" applyBorder="1" applyAlignment="1" applyProtection="1">
      <alignment horizontal="center" vertical="top" wrapText="1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1" fontId="8" fillId="0" borderId="6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3" xfId="1" applyNumberFormat="1" applyFont="1" applyFill="1" applyBorder="1" applyAlignment="1" applyProtection="1">
      <alignment horizontal="center" vertical="top" wrapText="1"/>
      <protection locked="0"/>
    </xf>
    <xf numFmtId="1" fontId="4" fillId="0" borderId="16" xfId="1" applyNumberFormat="1" applyFont="1" applyFill="1" applyBorder="1" applyAlignment="1" applyProtection="1">
      <alignment horizontal="center" vertical="top" wrapText="1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167" fontId="13" fillId="0" borderId="1" xfId="1" applyNumberFormat="1" applyFont="1" applyFill="1" applyBorder="1" applyAlignment="1" applyProtection="1">
      <alignment horizontal="left" vertical="top" wrapText="1"/>
      <protection locked="0"/>
    </xf>
    <xf numFmtId="9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3" xfId="1" applyFont="1" applyFill="1" applyBorder="1" applyAlignment="1" applyProtection="1">
      <alignment horizontal="left" vertical="top"/>
      <protection locked="0"/>
    </xf>
    <xf numFmtId="0" fontId="12" fillId="0" borderId="3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1" fontId="8" fillId="0" borderId="26" xfId="0" applyNumberFormat="1" applyFont="1" applyFill="1" applyBorder="1" applyAlignment="1" applyProtection="1">
      <alignment horizontal="center" vertical="top" wrapText="1"/>
      <protection locked="0"/>
    </xf>
    <xf numFmtId="1" fontId="8" fillId="0" borderId="27" xfId="0" applyNumberFormat="1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7" xfId="0" applyFont="1" applyFill="1" applyBorder="1" applyAlignment="1" applyProtection="1">
      <alignment horizontal="center" vertical="center"/>
      <protection locked="0"/>
    </xf>
    <xf numFmtId="1" fontId="10" fillId="0" borderId="27" xfId="0" applyNumberFormat="1" applyFont="1" applyFill="1" applyBorder="1" applyAlignment="1" applyProtection="1">
      <alignment horizontal="center" vertical="top" wrapText="1"/>
      <protection locked="0"/>
    </xf>
    <xf numFmtId="0" fontId="10" fillId="0" borderId="27" xfId="0" applyFont="1" applyFill="1" applyBorder="1" applyAlignment="1" applyProtection="1">
      <alignment horizontal="center" vertical="top" wrapText="1"/>
      <protection locked="0"/>
    </xf>
    <xf numFmtId="1" fontId="8" fillId="0" borderId="28" xfId="0" applyNumberFormat="1" applyFont="1" applyFill="1" applyBorder="1" applyAlignment="1" applyProtection="1">
      <alignment horizontal="center" vertical="top" wrapText="1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164" fontId="12" fillId="0" borderId="1" xfId="1" applyNumberFormat="1" applyFont="1" applyFill="1" applyBorder="1" applyAlignment="1" applyProtection="1">
      <alignment horizontal="left" vertical="top"/>
      <protection locked="0"/>
    </xf>
    <xf numFmtId="2" fontId="12" fillId="0" borderId="1" xfId="1" applyNumberFormat="1" applyFont="1" applyFill="1" applyBorder="1" applyAlignment="1" applyProtection="1">
      <alignment horizontal="left" vertical="top"/>
      <protection locked="0"/>
    </xf>
    <xf numFmtId="1" fontId="8" fillId="0" borderId="1" xfId="0" applyNumberFormat="1" applyFont="1" applyFill="1" applyBorder="1" applyAlignment="1" applyProtection="1">
      <alignment horizontal="left" vertical="top" wrapText="1"/>
      <protection locked="0"/>
    </xf>
    <xf numFmtId="0" fontId="13" fillId="0" borderId="1" xfId="2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0" fontId="8" fillId="0" borderId="16" xfId="1" applyFont="1" applyFill="1" applyBorder="1" applyAlignment="1" applyProtection="1">
      <alignment horizontal="center" vertical="top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" fontId="8" fillId="0" borderId="18" xfId="1" applyNumberFormat="1" applyFont="1" applyFill="1" applyBorder="1" applyAlignment="1" applyProtection="1">
      <alignment horizontal="center" vertical="top" wrapText="1"/>
      <protection locked="0"/>
    </xf>
    <xf numFmtId="1" fontId="8" fillId="0" borderId="20" xfId="1" applyNumberFormat="1" applyFont="1" applyFill="1" applyBorder="1" applyAlignment="1" applyProtection="1">
      <alignment horizontal="center" vertical="top" wrapText="1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167" fontId="12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center" wrapText="1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2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0" fontId="13" fillId="0" borderId="24" xfId="1" applyFont="1" applyFill="1" applyBorder="1" applyAlignment="1" applyProtection="1">
      <alignment horizontal="left" vertical="top" wrapText="1"/>
      <protection locked="0"/>
    </xf>
    <xf numFmtId="0" fontId="13" fillId="0" borderId="15" xfId="1" applyFont="1" applyFill="1" applyBorder="1" applyAlignment="1" applyProtection="1">
      <alignment horizontal="left" vertical="top" wrapText="1"/>
      <protection locked="0"/>
    </xf>
    <xf numFmtId="0" fontId="13" fillId="0" borderId="13" xfId="1" applyFont="1" applyFill="1" applyBorder="1" applyAlignment="1" applyProtection="1">
      <alignment horizontal="left" vertical="top" wrapText="1"/>
      <protection locked="0"/>
    </xf>
    <xf numFmtId="0" fontId="13" fillId="0" borderId="14" xfId="1" applyFont="1" applyFill="1" applyBorder="1" applyAlignment="1" applyProtection="1">
      <alignment horizontal="left" vertical="top" wrapText="1"/>
      <protection locked="0"/>
    </xf>
    <xf numFmtId="0" fontId="13" fillId="0" borderId="25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  <xf numFmtId="0" fontId="7" fillId="0" borderId="1" xfId="1" applyFont="1" applyFill="1" applyBorder="1" applyAlignment="1" applyProtection="1">
      <alignment horizontal="left"/>
      <protection locked="0"/>
    </xf>
    <xf numFmtId="0" fontId="23" fillId="0" borderId="1" xfId="9" applyFill="1" applyBorder="1" applyAlignment="1" applyProtection="1">
      <alignment horizontal="left"/>
      <protection locked="0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503542</xdr:colOff>
      <xdr:row>381</xdr:row>
      <xdr:rowOff>161365</xdr:rowOff>
    </xdr:from>
    <xdr:to>
      <xdr:col>7</xdr:col>
      <xdr:colOff>147917</xdr:colOff>
      <xdr:row>399</xdr:row>
      <xdr:rowOff>130659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03542" y="58118189"/>
          <a:ext cx="5605904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470646</xdr:colOff>
      <xdr:row>363</xdr:row>
      <xdr:rowOff>134471</xdr:rowOff>
    </xdr:from>
    <xdr:to>
      <xdr:col>7</xdr:col>
      <xdr:colOff>147917</xdr:colOff>
      <xdr:row>380</xdr:row>
      <xdr:rowOff>114971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0646" y="54460589"/>
          <a:ext cx="5638800" cy="34095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981075</xdr:colOff>
      <xdr:row>260</xdr:row>
      <xdr:rowOff>28575</xdr:rowOff>
    </xdr:from>
    <xdr:to>
      <xdr:col>15</xdr:col>
      <xdr:colOff>450900</xdr:colOff>
      <xdr:row>270</xdr:row>
      <xdr:rowOff>38734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62825" y="44510325"/>
          <a:ext cx="4680000" cy="4333868"/>
        </a:xfrm>
        <a:prstGeom prst="rect">
          <a:avLst/>
        </a:prstGeom>
      </xdr:spPr>
    </xdr:pic>
    <xdr:clientData/>
  </xdr:twoCellAnchor>
  <xdr:oneCellAnchor>
    <xdr:from>
      <xdr:col>13</xdr:col>
      <xdr:colOff>432967</xdr:colOff>
      <xdr:row>277</xdr:row>
      <xdr:rowOff>0</xdr:rowOff>
    </xdr:from>
    <xdr:ext cx="708656" cy="31149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6B2944B-4BA7-40B2-BDCE-10C01C47B4D0}"/>
            </a:ext>
          </a:extLst>
        </xdr:cNvPr>
        <xdr:cNvSpPr txBox="1"/>
      </xdr:nvSpPr>
      <xdr:spPr>
        <a:xfrm>
          <a:off x="10758067" y="50339625"/>
          <a:ext cx="708656" cy="31149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Wing C</a:t>
          </a:r>
        </a:p>
      </xdr:txBody>
    </xdr:sp>
    <xdr:clientData/>
  </xdr:oneCellAnchor>
  <xdr:oneCellAnchor>
    <xdr:from>
      <xdr:col>9</xdr:col>
      <xdr:colOff>473659</xdr:colOff>
      <xdr:row>290</xdr:row>
      <xdr:rowOff>33788</xdr:rowOff>
    </xdr:from>
    <xdr:ext cx="630429" cy="311496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4C3C6B98-D80C-4182-9533-BD19D50BFB96}"/>
            </a:ext>
          </a:extLst>
        </xdr:cNvPr>
        <xdr:cNvSpPr txBox="1"/>
      </xdr:nvSpPr>
      <xdr:spPr>
        <a:xfrm>
          <a:off x="8217484" y="50506763"/>
          <a:ext cx="630429" cy="31149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Wig D</a:t>
          </a:r>
        </a:p>
      </xdr:txBody>
    </xdr:sp>
    <xdr:clientData/>
  </xdr:oneCellAnchor>
  <xdr:twoCellAnchor editAs="oneCell">
    <xdr:from>
      <xdr:col>1</xdr:col>
      <xdr:colOff>276225</xdr:colOff>
      <xdr:row>323</xdr:row>
      <xdr:rowOff>161928</xdr:rowOff>
    </xdr:from>
    <xdr:to>
      <xdr:col>6</xdr:col>
      <xdr:colOff>406200</xdr:colOff>
      <xdr:row>350</xdr:row>
      <xdr:rowOff>147274</xdr:rowOff>
    </xdr:to>
    <xdr:pic>
      <xdr:nvPicPr>
        <xdr:cNvPr id="65" name="Picture 64"/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38225" y="64188978"/>
          <a:ext cx="4140000" cy="538601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557100</xdr:colOff>
      <xdr:row>351</xdr:row>
      <xdr:rowOff>50452</xdr:rowOff>
    </xdr:from>
    <xdr:to>
      <xdr:col>5</xdr:col>
      <xdr:colOff>231075</xdr:colOff>
      <xdr:row>361</xdr:row>
      <xdr:rowOff>23280</xdr:rowOff>
    </xdr:to>
    <xdr:pic>
      <xdr:nvPicPr>
        <xdr:cNvPr id="66" name="Picture 65"/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62050" y="69678202"/>
          <a:ext cx="2160000" cy="197307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2</xdr:col>
      <xdr:colOff>295275</xdr:colOff>
      <xdr:row>342</xdr:row>
      <xdr:rowOff>176663</xdr:rowOff>
    </xdr:from>
    <xdr:ext cx="726802" cy="311496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AE0AC1CD-BDA6-4065-B7FE-D770F28CAC45}"/>
            </a:ext>
          </a:extLst>
        </xdr:cNvPr>
        <xdr:cNvSpPr txBox="1"/>
      </xdr:nvSpPr>
      <xdr:spPr>
        <a:xfrm>
          <a:off x="1800225" y="67575563"/>
          <a:ext cx="726802" cy="31149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Wing D</a:t>
          </a:r>
        </a:p>
      </xdr:txBody>
    </xdr:sp>
    <xdr:clientData/>
  </xdr:oneCellAnchor>
  <xdr:oneCellAnchor>
    <xdr:from>
      <xdr:col>5</xdr:col>
      <xdr:colOff>142875</xdr:colOff>
      <xdr:row>343</xdr:row>
      <xdr:rowOff>33788</xdr:rowOff>
    </xdr:from>
    <xdr:ext cx="708656" cy="311496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AE0AC1CD-BDA6-4065-B7FE-D770F28CAC45}"/>
            </a:ext>
          </a:extLst>
        </xdr:cNvPr>
        <xdr:cNvSpPr txBox="1"/>
      </xdr:nvSpPr>
      <xdr:spPr>
        <a:xfrm>
          <a:off x="4133850" y="67632713"/>
          <a:ext cx="708656" cy="31149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Wing C</a:t>
          </a:r>
        </a:p>
      </xdr:txBody>
    </xdr:sp>
    <xdr:clientData/>
  </xdr:oneCellAnchor>
  <xdr:oneCellAnchor>
    <xdr:from>
      <xdr:col>5</xdr:col>
      <xdr:colOff>66675</xdr:colOff>
      <xdr:row>343</xdr:row>
      <xdr:rowOff>33788</xdr:rowOff>
    </xdr:from>
    <xdr:ext cx="726802" cy="311496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AE0AC1CD-BDA6-4065-B7FE-D770F28CAC45}"/>
            </a:ext>
          </a:extLst>
        </xdr:cNvPr>
        <xdr:cNvSpPr txBox="1"/>
      </xdr:nvSpPr>
      <xdr:spPr>
        <a:xfrm>
          <a:off x="4057650" y="67632713"/>
          <a:ext cx="726802" cy="31149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Wing C</a:t>
          </a:r>
        </a:p>
      </xdr:txBody>
    </xdr:sp>
    <xdr:clientData/>
  </xdr:oneCellAnchor>
  <xdr:oneCellAnchor>
    <xdr:from>
      <xdr:col>5</xdr:col>
      <xdr:colOff>200025</xdr:colOff>
      <xdr:row>324</xdr:row>
      <xdr:rowOff>109988</xdr:rowOff>
    </xdr:from>
    <xdr:ext cx="726802" cy="311496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AE0AC1CD-BDA6-4065-B7FE-D770F28CAC45}"/>
            </a:ext>
          </a:extLst>
        </xdr:cNvPr>
        <xdr:cNvSpPr txBox="1"/>
      </xdr:nvSpPr>
      <xdr:spPr>
        <a:xfrm>
          <a:off x="4191000" y="63908438"/>
          <a:ext cx="726802" cy="31149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Wing A</a:t>
          </a:r>
        </a:p>
      </xdr:txBody>
    </xdr:sp>
    <xdr:clientData/>
  </xdr:oneCellAnchor>
  <xdr:oneCellAnchor>
    <xdr:from>
      <xdr:col>5</xdr:col>
      <xdr:colOff>381000</xdr:colOff>
      <xdr:row>334</xdr:row>
      <xdr:rowOff>24263</xdr:rowOff>
    </xdr:from>
    <xdr:ext cx="726802" cy="311496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AE0AC1CD-BDA6-4065-B7FE-D770F28CAC45}"/>
            </a:ext>
          </a:extLst>
        </xdr:cNvPr>
        <xdr:cNvSpPr txBox="1"/>
      </xdr:nvSpPr>
      <xdr:spPr>
        <a:xfrm>
          <a:off x="4371975" y="65822963"/>
          <a:ext cx="726802" cy="31149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/>
            <a:t>Wing B</a:t>
          </a:r>
        </a:p>
      </xdr:txBody>
    </xdr:sp>
    <xdr:clientData/>
  </xdr:oneCellAnchor>
  <xdr:oneCellAnchor>
    <xdr:from>
      <xdr:col>11</xdr:col>
      <xdr:colOff>571500</xdr:colOff>
      <xdr:row>278</xdr:row>
      <xdr:rowOff>112059</xdr:rowOff>
    </xdr:from>
    <xdr:ext cx="184731" cy="264560"/>
    <xdr:sp macro="" textlink="">
      <xdr:nvSpPr>
        <xdr:cNvPr id="2" name="TextBox 1"/>
        <xdr:cNvSpPr txBox="1"/>
      </xdr:nvSpPr>
      <xdr:spPr>
        <a:xfrm>
          <a:off x="9749118" y="557268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twoCellAnchor>
    <xdr:from>
      <xdr:col>8</xdr:col>
      <xdr:colOff>157369</xdr:colOff>
      <xdr:row>278</xdr:row>
      <xdr:rowOff>24849</xdr:rowOff>
    </xdr:from>
    <xdr:to>
      <xdr:col>16</xdr:col>
      <xdr:colOff>589964</xdr:colOff>
      <xdr:row>322</xdr:row>
      <xdr:rowOff>0</xdr:rowOff>
    </xdr:to>
    <xdr:grpSp>
      <xdr:nvGrpSpPr>
        <xdr:cNvPr id="4" name="Group 3"/>
        <xdr:cNvGrpSpPr/>
      </xdr:nvGrpSpPr>
      <xdr:grpSpPr>
        <a:xfrm>
          <a:off x="7345569" y="49967599"/>
          <a:ext cx="6541295" cy="8630201"/>
          <a:chOff x="49696" y="49645957"/>
          <a:chExt cx="6263551" cy="8205825"/>
        </a:xfrm>
      </xdr:grpSpPr>
      <xdr:pic>
        <xdr:nvPicPr>
          <xdr:cNvPr id="34" name="Picture 33" descr="https://vsjcllp.vsjadon.com/upload/insp-190729-84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495" y="52412928"/>
            <a:ext cx="1941975" cy="2592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https://vsjcllp.vsjadon.com/upload/insp-190729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696" y="55259782"/>
            <a:ext cx="1941975" cy="2592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https://vsjcllp.vsjadon.com/upload/insp-190729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38621" y="55259782"/>
            <a:ext cx="1941975" cy="2592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https://vsjcllp.vsjadon.com/upload/insp-190729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3222" y="49645957"/>
            <a:ext cx="1941975" cy="2592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37" descr="https://vsjcllp.vsjadon.com/upload/insp-190729-86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19407" y="49645957"/>
            <a:ext cx="1941975" cy="2592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9" name="Picture 38" descr="https://vsjcllp.vsjadon.com/upload/insp-190729-86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71272" y="49645957"/>
            <a:ext cx="1941975" cy="2592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0" name="Picture 39" descr="https://vsjcllp.vsjadon.com/upload/insp-190729-86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67973" y="55259782"/>
            <a:ext cx="1941975" cy="2592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1" name="Picture 40" descr="https://vsjcllp.vsjadon.com/upload/insp-190729-87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38621" y="52412928"/>
            <a:ext cx="1941975" cy="2592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2" name="Picture 41" descr="https://vsjcllp.vsjadon.com/upload/insp-190729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67973" y="52412928"/>
            <a:ext cx="1941975" cy="2592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374650</xdr:colOff>
      <xdr:row>278</xdr:row>
      <xdr:rowOff>114300</xdr:rowOff>
    </xdr:from>
    <xdr:to>
      <xdr:col>7</xdr:col>
      <xdr:colOff>969710</xdr:colOff>
      <xdr:row>318</xdr:row>
      <xdr:rowOff>164446</xdr:rowOff>
    </xdr:to>
    <xdr:grpSp>
      <xdr:nvGrpSpPr>
        <xdr:cNvPr id="5" name="Group 4"/>
        <xdr:cNvGrpSpPr/>
      </xdr:nvGrpSpPr>
      <xdr:grpSpPr>
        <a:xfrm>
          <a:off x="374650" y="50057050"/>
          <a:ext cx="6418010" cy="7917796"/>
          <a:chOff x="374650" y="50057050"/>
          <a:chExt cx="6418010" cy="7917796"/>
        </a:xfrm>
      </xdr:grpSpPr>
      <xdr:pic>
        <xdr:nvPicPr>
          <xdr:cNvPr id="50" name="Picture 49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74497" y="55814846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1" name="Picture 50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58723" y="52935948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2" name="Picture 51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4651" y="500570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3" name="Picture 52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58724" y="500570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4" name="Picture 53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42797" y="500570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5" name="Picture 54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4650" y="52935948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6" name="Picture 55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42797" y="52935948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nBnrJg4hYcsnSR748" TargetMode="Externa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363"/>
  <sheetViews>
    <sheetView tabSelected="1" view="pageBreakPreview" topLeftCell="A61" zoomScaleNormal="100" zoomScaleSheetLayoutView="100" zoomScalePageLayoutView="85" workbookViewId="0">
      <selection activeCell="C61" sqref="A61:H105"/>
    </sheetView>
  </sheetViews>
  <sheetFormatPr defaultColWidth="9.1796875" defaultRowHeight="15.5" x14ac:dyDescent="0.35"/>
  <cols>
    <col min="1" max="1" width="11.453125" style="56" customWidth="1"/>
    <col min="2" max="2" width="11.1796875" style="56" customWidth="1"/>
    <col min="3" max="3" width="12.7265625" style="56" customWidth="1"/>
    <col min="4" max="4" width="12.81640625" style="56" customWidth="1"/>
    <col min="5" max="7" width="11.7265625" style="56" customWidth="1"/>
    <col min="8" max="8" width="19.54296875" style="56" customWidth="1"/>
    <col min="9" max="9" width="20.453125" style="31" customWidth="1"/>
    <col min="10" max="10" width="9.81640625" style="31" bestFit="1" customWidth="1"/>
    <col min="11" max="11" width="11.26953125" style="31" bestFit="1" customWidth="1"/>
    <col min="12" max="18" width="9.1796875" style="31"/>
    <col min="19" max="19" width="11.1796875" style="31" hidden="1" customWidth="1"/>
    <col min="20" max="21" width="9.1796875" style="31" hidden="1" customWidth="1"/>
    <col min="22" max="22" width="10.7265625" style="31" hidden="1" customWidth="1"/>
    <col min="23" max="23" width="13.453125" style="31" hidden="1" customWidth="1"/>
    <col min="24" max="254" width="9.1796875" style="31"/>
    <col min="255" max="255" width="8.7265625" style="31" customWidth="1"/>
    <col min="256" max="256" width="9.81640625" style="31" customWidth="1"/>
    <col min="257" max="257" width="14.453125" style="31" customWidth="1"/>
    <col min="258" max="258" width="7.26953125" style="31" customWidth="1"/>
    <col min="259" max="259" width="5.54296875" style="31" customWidth="1"/>
    <col min="260" max="260" width="9" style="31" customWidth="1"/>
    <col min="261" max="262" width="9.81640625" style="31" customWidth="1"/>
    <col min="263" max="263" width="11.1796875" style="31" customWidth="1"/>
    <col min="264" max="264" width="2.81640625" style="31" customWidth="1"/>
    <col min="265" max="265" width="3.54296875" style="31" customWidth="1"/>
    <col min="266" max="510" width="9.1796875" style="31"/>
    <col min="511" max="511" width="8.7265625" style="31" customWidth="1"/>
    <col min="512" max="512" width="9.81640625" style="31" customWidth="1"/>
    <col min="513" max="513" width="14.453125" style="31" customWidth="1"/>
    <col min="514" max="514" width="7.26953125" style="31" customWidth="1"/>
    <col min="515" max="515" width="5.54296875" style="31" customWidth="1"/>
    <col min="516" max="516" width="9" style="31" customWidth="1"/>
    <col min="517" max="518" width="9.81640625" style="31" customWidth="1"/>
    <col min="519" max="519" width="11.1796875" style="31" customWidth="1"/>
    <col min="520" max="520" width="2.81640625" style="31" customWidth="1"/>
    <col min="521" max="521" width="3.54296875" style="31" customWidth="1"/>
    <col min="522" max="766" width="9.1796875" style="31"/>
    <col min="767" max="767" width="8.7265625" style="31" customWidth="1"/>
    <col min="768" max="768" width="9.81640625" style="31" customWidth="1"/>
    <col min="769" max="769" width="14.453125" style="31" customWidth="1"/>
    <col min="770" max="770" width="7.26953125" style="31" customWidth="1"/>
    <col min="771" max="771" width="5.54296875" style="31" customWidth="1"/>
    <col min="772" max="772" width="9" style="31" customWidth="1"/>
    <col min="773" max="774" width="9.81640625" style="31" customWidth="1"/>
    <col min="775" max="775" width="11.1796875" style="31" customWidth="1"/>
    <col min="776" max="776" width="2.81640625" style="31" customWidth="1"/>
    <col min="777" max="777" width="3.54296875" style="31" customWidth="1"/>
    <col min="778" max="1022" width="9.1796875" style="31"/>
    <col min="1023" max="1023" width="8.7265625" style="31" customWidth="1"/>
    <col min="1024" max="1024" width="9.81640625" style="31" customWidth="1"/>
    <col min="1025" max="1025" width="14.453125" style="31" customWidth="1"/>
    <col min="1026" max="1026" width="7.26953125" style="31" customWidth="1"/>
    <col min="1027" max="1027" width="5.54296875" style="31" customWidth="1"/>
    <col min="1028" max="1028" width="9" style="31" customWidth="1"/>
    <col min="1029" max="1030" width="9.81640625" style="31" customWidth="1"/>
    <col min="1031" max="1031" width="11.1796875" style="31" customWidth="1"/>
    <col min="1032" max="1032" width="2.81640625" style="31" customWidth="1"/>
    <col min="1033" max="1033" width="3.54296875" style="31" customWidth="1"/>
    <col min="1034" max="1278" width="9.1796875" style="31"/>
    <col min="1279" max="1279" width="8.7265625" style="31" customWidth="1"/>
    <col min="1280" max="1280" width="9.81640625" style="31" customWidth="1"/>
    <col min="1281" max="1281" width="14.453125" style="31" customWidth="1"/>
    <col min="1282" max="1282" width="7.26953125" style="31" customWidth="1"/>
    <col min="1283" max="1283" width="5.54296875" style="31" customWidth="1"/>
    <col min="1284" max="1284" width="9" style="31" customWidth="1"/>
    <col min="1285" max="1286" width="9.81640625" style="31" customWidth="1"/>
    <col min="1287" max="1287" width="11.1796875" style="31" customWidth="1"/>
    <col min="1288" max="1288" width="2.81640625" style="31" customWidth="1"/>
    <col min="1289" max="1289" width="3.54296875" style="31" customWidth="1"/>
    <col min="1290" max="1534" width="9.1796875" style="31"/>
    <col min="1535" max="1535" width="8.7265625" style="31" customWidth="1"/>
    <col min="1536" max="1536" width="9.81640625" style="31" customWidth="1"/>
    <col min="1537" max="1537" width="14.453125" style="31" customWidth="1"/>
    <col min="1538" max="1538" width="7.26953125" style="31" customWidth="1"/>
    <col min="1539" max="1539" width="5.54296875" style="31" customWidth="1"/>
    <col min="1540" max="1540" width="9" style="31" customWidth="1"/>
    <col min="1541" max="1542" width="9.81640625" style="31" customWidth="1"/>
    <col min="1543" max="1543" width="11.1796875" style="31" customWidth="1"/>
    <col min="1544" max="1544" width="2.81640625" style="31" customWidth="1"/>
    <col min="1545" max="1545" width="3.54296875" style="31" customWidth="1"/>
    <col min="1546" max="1790" width="9.1796875" style="31"/>
    <col min="1791" max="1791" width="8.7265625" style="31" customWidth="1"/>
    <col min="1792" max="1792" width="9.81640625" style="31" customWidth="1"/>
    <col min="1793" max="1793" width="14.453125" style="31" customWidth="1"/>
    <col min="1794" max="1794" width="7.26953125" style="31" customWidth="1"/>
    <col min="1795" max="1795" width="5.54296875" style="31" customWidth="1"/>
    <col min="1796" max="1796" width="9" style="31" customWidth="1"/>
    <col min="1797" max="1798" width="9.81640625" style="31" customWidth="1"/>
    <col min="1799" max="1799" width="11.1796875" style="31" customWidth="1"/>
    <col min="1800" max="1800" width="2.81640625" style="31" customWidth="1"/>
    <col min="1801" max="1801" width="3.54296875" style="31" customWidth="1"/>
    <col min="1802" max="2046" width="9.1796875" style="31"/>
    <col min="2047" max="2047" width="8.7265625" style="31" customWidth="1"/>
    <col min="2048" max="2048" width="9.81640625" style="31" customWidth="1"/>
    <col min="2049" max="2049" width="14.453125" style="31" customWidth="1"/>
    <col min="2050" max="2050" width="7.26953125" style="31" customWidth="1"/>
    <col min="2051" max="2051" width="5.54296875" style="31" customWidth="1"/>
    <col min="2052" max="2052" width="9" style="31" customWidth="1"/>
    <col min="2053" max="2054" width="9.81640625" style="31" customWidth="1"/>
    <col min="2055" max="2055" width="11.1796875" style="31" customWidth="1"/>
    <col min="2056" max="2056" width="2.81640625" style="31" customWidth="1"/>
    <col min="2057" max="2057" width="3.54296875" style="31" customWidth="1"/>
    <col min="2058" max="2302" width="9.1796875" style="31"/>
    <col min="2303" max="2303" width="8.7265625" style="31" customWidth="1"/>
    <col min="2304" max="2304" width="9.81640625" style="31" customWidth="1"/>
    <col min="2305" max="2305" width="14.453125" style="31" customWidth="1"/>
    <col min="2306" max="2306" width="7.26953125" style="31" customWidth="1"/>
    <col min="2307" max="2307" width="5.54296875" style="31" customWidth="1"/>
    <col min="2308" max="2308" width="9" style="31" customWidth="1"/>
    <col min="2309" max="2310" width="9.81640625" style="31" customWidth="1"/>
    <col min="2311" max="2311" width="11.1796875" style="31" customWidth="1"/>
    <col min="2312" max="2312" width="2.81640625" style="31" customWidth="1"/>
    <col min="2313" max="2313" width="3.54296875" style="31" customWidth="1"/>
    <col min="2314" max="2558" width="9.1796875" style="31"/>
    <col min="2559" max="2559" width="8.7265625" style="31" customWidth="1"/>
    <col min="2560" max="2560" width="9.81640625" style="31" customWidth="1"/>
    <col min="2561" max="2561" width="14.453125" style="31" customWidth="1"/>
    <col min="2562" max="2562" width="7.26953125" style="31" customWidth="1"/>
    <col min="2563" max="2563" width="5.54296875" style="31" customWidth="1"/>
    <col min="2564" max="2564" width="9" style="31" customWidth="1"/>
    <col min="2565" max="2566" width="9.81640625" style="31" customWidth="1"/>
    <col min="2567" max="2567" width="11.1796875" style="31" customWidth="1"/>
    <col min="2568" max="2568" width="2.81640625" style="31" customWidth="1"/>
    <col min="2569" max="2569" width="3.54296875" style="31" customWidth="1"/>
    <col min="2570" max="2814" width="9.1796875" style="31"/>
    <col min="2815" max="2815" width="8.7265625" style="31" customWidth="1"/>
    <col min="2816" max="2816" width="9.81640625" style="31" customWidth="1"/>
    <col min="2817" max="2817" width="14.453125" style="31" customWidth="1"/>
    <col min="2818" max="2818" width="7.26953125" style="31" customWidth="1"/>
    <col min="2819" max="2819" width="5.54296875" style="31" customWidth="1"/>
    <col min="2820" max="2820" width="9" style="31" customWidth="1"/>
    <col min="2821" max="2822" width="9.81640625" style="31" customWidth="1"/>
    <col min="2823" max="2823" width="11.1796875" style="31" customWidth="1"/>
    <col min="2824" max="2824" width="2.81640625" style="31" customWidth="1"/>
    <col min="2825" max="2825" width="3.54296875" style="31" customWidth="1"/>
    <col min="2826" max="3070" width="9.1796875" style="31"/>
    <col min="3071" max="3071" width="8.7265625" style="31" customWidth="1"/>
    <col min="3072" max="3072" width="9.81640625" style="31" customWidth="1"/>
    <col min="3073" max="3073" width="14.453125" style="31" customWidth="1"/>
    <col min="3074" max="3074" width="7.26953125" style="31" customWidth="1"/>
    <col min="3075" max="3075" width="5.54296875" style="31" customWidth="1"/>
    <col min="3076" max="3076" width="9" style="31" customWidth="1"/>
    <col min="3077" max="3078" width="9.81640625" style="31" customWidth="1"/>
    <col min="3079" max="3079" width="11.1796875" style="31" customWidth="1"/>
    <col min="3080" max="3080" width="2.81640625" style="31" customWidth="1"/>
    <col min="3081" max="3081" width="3.54296875" style="31" customWidth="1"/>
    <col min="3082" max="3326" width="9.1796875" style="31"/>
    <col min="3327" max="3327" width="8.7265625" style="31" customWidth="1"/>
    <col min="3328" max="3328" width="9.81640625" style="31" customWidth="1"/>
    <col min="3329" max="3329" width="14.453125" style="31" customWidth="1"/>
    <col min="3330" max="3330" width="7.26953125" style="31" customWidth="1"/>
    <col min="3331" max="3331" width="5.54296875" style="31" customWidth="1"/>
    <col min="3332" max="3332" width="9" style="31" customWidth="1"/>
    <col min="3333" max="3334" width="9.81640625" style="31" customWidth="1"/>
    <col min="3335" max="3335" width="11.1796875" style="31" customWidth="1"/>
    <col min="3336" max="3336" width="2.81640625" style="31" customWidth="1"/>
    <col min="3337" max="3337" width="3.54296875" style="31" customWidth="1"/>
    <col min="3338" max="3582" width="9.1796875" style="31"/>
    <col min="3583" max="3583" width="8.7265625" style="31" customWidth="1"/>
    <col min="3584" max="3584" width="9.81640625" style="31" customWidth="1"/>
    <col min="3585" max="3585" width="14.453125" style="31" customWidth="1"/>
    <col min="3586" max="3586" width="7.26953125" style="31" customWidth="1"/>
    <col min="3587" max="3587" width="5.54296875" style="31" customWidth="1"/>
    <col min="3588" max="3588" width="9" style="31" customWidth="1"/>
    <col min="3589" max="3590" width="9.81640625" style="31" customWidth="1"/>
    <col min="3591" max="3591" width="11.1796875" style="31" customWidth="1"/>
    <col min="3592" max="3592" width="2.81640625" style="31" customWidth="1"/>
    <col min="3593" max="3593" width="3.54296875" style="31" customWidth="1"/>
    <col min="3594" max="3838" width="9.1796875" style="31"/>
    <col min="3839" max="3839" width="8.7265625" style="31" customWidth="1"/>
    <col min="3840" max="3840" width="9.81640625" style="31" customWidth="1"/>
    <col min="3841" max="3841" width="14.453125" style="31" customWidth="1"/>
    <col min="3842" max="3842" width="7.26953125" style="31" customWidth="1"/>
    <col min="3843" max="3843" width="5.54296875" style="31" customWidth="1"/>
    <col min="3844" max="3844" width="9" style="31" customWidth="1"/>
    <col min="3845" max="3846" width="9.81640625" style="31" customWidth="1"/>
    <col min="3847" max="3847" width="11.1796875" style="31" customWidth="1"/>
    <col min="3848" max="3848" width="2.81640625" style="31" customWidth="1"/>
    <col min="3849" max="3849" width="3.54296875" style="31" customWidth="1"/>
    <col min="3850" max="4094" width="9.1796875" style="31"/>
    <col min="4095" max="4095" width="8.7265625" style="31" customWidth="1"/>
    <col min="4096" max="4096" width="9.81640625" style="31" customWidth="1"/>
    <col min="4097" max="4097" width="14.453125" style="31" customWidth="1"/>
    <col min="4098" max="4098" width="7.26953125" style="31" customWidth="1"/>
    <col min="4099" max="4099" width="5.54296875" style="31" customWidth="1"/>
    <col min="4100" max="4100" width="9" style="31" customWidth="1"/>
    <col min="4101" max="4102" width="9.81640625" style="31" customWidth="1"/>
    <col min="4103" max="4103" width="11.1796875" style="31" customWidth="1"/>
    <col min="4104" max="4104" width="2.81640625" style="31" customWidth="1"/>
    <col min="4105" max="4105" width="3.54296875" style="31" customWidth="1"/>
    <col min="4106" max="4350" width="9.1796875" style="31"/>
    <col min="4351" max="4351" width="8.7265625" style="31" customWidth="1"/>
    <col min="4352" max="4352" width="9.81640625" style="31" customWidth="1"/>
    <col min="4353" max="4353" width="14.453125" style="31" customWidth="1"/>
    <col min="4354" max="4354" width="7.26953125" style="31" customWidth="1"/>
    <col min="4355" max="4355" width="5.54296875" style="31" customWidth="1"/>
    <col min="4356" max="4356" width="9" style="31" customWidth="1"/>
    <col min="4357" max="4358" width="9.81640625" style="31" customWidth="1"/>
    <col min="4359" max="4359" width="11.1796875" style="31" customWidth="1"/>
    <col min="4360" max="4360" width="2.81640625" style="31" customWidth="1"/>
    <col min="4361" max="4361" width="3.54296875" style="31" customWidth="1"/>
    <col min="4362" max="4606" width="9.1796875" style="31"/>
    <col min="4607" max="4607" width="8.7265625" style="31" customWidth="1"/>
    <col min="4608" max="4608" width="9.81640625" style="31" customWidth="1"/>
    <col min="4609" max="4609" width="14.453125" style="31" customWidth="1"/>
    <col min="4610" max="4610" width="7.26953125" style="31" customWidth="1"/>
    <col min="4611" max="4611" width="5.54296875" style="31" customWidth="1"/>
    <col min="4612" max="4612" width="9" style="31" customWidth="1"/>
    <col min="4613" max="4614" width="9.81640625" style="31" customWidth="1"/>
    <col min="4615" max="4615" width="11.1796875" style="31" customWidth="1"/>
    <col min="4616" max="4616" width="2.81640625" style="31" customWidth="1"/>
    <col min="4617" max="4617" width="3.54296875" style="31" customWidth="1"/>
    <col min="4618" max="4862" width="9.1796875" style="31"/>
    <col min="4863" max="4863" width="8.7265625" style="31" customWidth="1"/>
    <col min="4864" max="4864" width="9.81640625" style="31" customWidth="1"/>
    <col min="4865" max="4865" width="14.453125" style="31" customWidth="1"/>
    <col min="4866" max="4866" width="7.26953125" style="31" customWidth="1"/>
    <col min="4867" max="4867" width="5.54296875" style="31" customWidth="1"/>
    <col min="4868" max="4868" width="9" style="31" customWidth="1"/>
    <col min="4869" max="4870" width="9.81640625" style="31" customWidth="1"/>
    <col min="4871" max="4871" width="11.1796875" style="31" customWidth="1"/>
    <col min="4872" max="4872" width="2.81640625" style="31" customWidth="1"/>
    <col min="4873" max="4873" width="3.54296875" style="31" customWidth="1"/>
    <col min="4874" max="5118" width="9.1796875" style="31"/>
    <col min="5119" max="5119" width="8.7265625" style="31" customWidth="1"/>
    <col min="5120" max="5120" width="9.81640625" style="31" customWidth="1"/>
    <col min="5121" max="5121" width="14.453125" style="31" customWidth="1"/>
    <col min="5122" max="5122" width="7.26953125" style="31" customWidth="1"/>
    <col min="5123" max="5123" width="5.54296875" style="31" customWidth="1"/>
    <col min="5124" max="5124" width="9" style="31" customWidth="1"/>
    <col min="5125" max="5126" width="9.81640625" style="31" customWidth="1"/>
    <col min="5127" max="5127" width="11.1796875" style="31" customWidth="1"/>
    <col min="5128" max="5128" width="2.81640625" style="31" customWidth="1"/>
    <col min="5129" max="5129" width="3.54296875" style="31" customWidth="1"/>
    <col min="5130" max="5374" width="9.1796875" style="31"/>
    <col min="5375" max="5375" width="8.7265625" style="31" customWidth="1"/>
    <col min="5376" max="5376" width="9.81640625" style="31" customWidth="1"/>
    <col min="5377" max="5377" width="14.453125" style="31" customWidth="1"/>
    <col min="5378" max="5378" width="7.26953125" style="31" customWidth="1"/>
    <col min="5379" max="5379" width="5.54296875" style="31" customWidth="1"/>
    <col min="5380" max="5380" width="9" style="31" customWidth="1"/>
    <col min="5381" max="5382" width="9.81640625" style="31" customWidth="1"/>
    <col min="5383" max="5383" width="11.1796875" style="31" customWidth="1"/>
    <col min="5384" max="5384" width="2.81640625" style="31" customWidth="1"/>
    <col min="5385" max="5385" width="3.54296875" style="31" customWidth="1"/>
    <col min="5386" max="5630" width="9.1796875" style="31"/>
    <col min="5631" max="5631" width="8.7265625" style="31" customWidth="1"/>
    <col min="5632" max="5632" width="9.81640625" style="31" customWidth="1"/>
    <col min="5633" max="5633" width="14.453125" style="31" customWidth="1"/>
    <col min="5634" max="5634" width="7.26953125" style="31" customWidth="1"/>
    <col min="5635" max="5635" width="5.54296875" style="31" customWidth="1"/>
    <col min="5636" max="5636" width="9" style="31" customWidth="1"/>
    <col min="5637" max="5638" width="9.81640625" style="31" customWidth="1"/>
    <col min="5639" max="5639" width="11.1796875" style="31" customWidth="1"/>
    <col min="5640" max="5640" width="2.81640625" style="31" customWidth="1"/>
    <col min="5641" max="5641" width="3.54296875" style="31" customWidth="1"/>
    <col min="5642" max="5886" width="9.1796875" style="31"/>
    <col min="5887" max="5887" width="8.7265625" style="31" customWidth="1"/>
    <col min="5888" max="5888" width="9.81640625" style="31" customWidth="1"/>
    <col min="5889" max="5889" width="14.453125" style="31" customWidth="1"/>
    <col min="5890" max="5890" width="7.26953125" style="31" customWidth="1"/>
    <col min="5891" max="5891" width="5.54296875" style="31" customWidth="1"/>
    <col min="5892" max="5892" width="9" style="31" customWidth="1"/>
    <col min="5893" max="5894" width="9.81640625" style="31" customWidth="1"/>
    <col min="5895" max="5895" width="11.1796875" style="31" customWidth="1"/>
    <col min="5896" max="5896" width="2.81640625" style="31" customWidth="1"/>
    <col min="5897" max="5897" width="3.54296875" style="31" customWidth="1"/>
    <col min="5898" max="6142" width="9.1796875" style="31"/>
    <col min="6143" max="6143" width="8.7265625" style="31" customWidth="1"/>
    <col min="6144" max="6144" width="9.81640625" style="31" customWidth="1"/>
    <col min="6145" max="6145" width="14.453125" style="31" customWidth="1"/>
    <col min="6146" max="6146" width="7.26953125" style="31" customWidth="1"/>
    <col min="6147" max="6147" width="5.54296875" style="31" customWidth="1"/>
    <col min="6148" max="6148" width="9" style="31" customWidth="1"/>
    <col min="6149" max="6150" width="9.81640625" style="31" customWidth="1"/>
    <col min="6151" max="6151" width="11.1796875" style="31" customWidth="1"/>
    <col min="6152" max="6152" width="2.81640625" style="31" customWidth="1"/>
    <col min="6153" max="6153" width="3.54296875" style="31" customWidth="1"/>
    <col min="6154" max="6398" width="9.1796875" style="31"/>
    <col min="6399" max="6399" width="8.7265625" style="31" customWidth="1"/>
    <col min="6400" max="6400" width="9.81640625" style="31" customWidth="1"/>
    <col min="6401" max="6401" width="14.453125" style="31" customWidth="1"/>
    <col min="6402" max="6402" width="7.26953125" style="31" customWidth="1"/>
    <col min="6403" max="6403" width="5.54296875" style="31" customWidth="1"/>
    <col min="6404" max="6404" width="9" style="31" customWidth="1"/>
    <col min="6405" max="6406" width="9.81640625" style="31" customWidth="1"/>
    <col min="6407" max="6407" width="11.1796875" style="31" customWidth="1"/>
    <col min="6408" max="6408" width="2.81640625" style="31" customWidth="1"/>
    <col min="6409" max="6409" width="3.54296875" style="31" customWidth="1"/>
    <col min="6410" max="6654" width="9.1796875" style="31"/>
    <col min="6655" max="6655" width="8.7265625" style="31" customWidth="1"/>
    <col min="6656" max="6656" width="9.81640625" style="31" customWidth="1"/>
    <col min="6657" max="6657" width="14.453125" style="31" customWidth="1"/>
    <col min="6658" max="6658" width="7.26953125" style="31" customWidth="1"/>
    <col min="6659" max="6659" width="5.54296875" style="31" customWidth="1"/>
    <col min="6660" max="6660" width="9" style="31" customWidth="1"/>
    <col min="6661" max="6662" width="9.81640625" style="31" customWidth="1"/>
    <col min="6663" max="6663" width="11.1796875" style="31" customWidth="1"/>
    <col min="6664" max="6664" width="2.81640625" style="31" customWidth="1"/>
    <col min="6665" max="6665" width="3.54296875" style="31" customWidth="1"/>
    <col min="6666" max="6910" width="9.1796875" style="31"/>
    <col min="6911" max="6911" width="8.7265625" style="31" customWidth="1"/>
    <col min="6912" max="6912" width="9.81640625" style="31" customWidth="1"/>
    <col min="6913" max="6913" width="14.453125" style="31" customWidth="1"/>
    <col min="6914" max="6914" width="7.26953125" style="31" customWidth="1"/>
    <col min="6915" max="6915" width="5.54296875" style="31" customWidth="1"/>
    <col min="6916" max="6916" width="9" style="31" customWidth="1"/>
    <col min="6917" max="6918" width="9.81640625" style="31" customWidth="1"/>
    <col min="6919" max="6919" width="11.1796875" style="31" customWidth="1"/>
    <col min="6920" max="6920" width="2.81640625" style="31" customWidth="1"/>
    <col min="6921" max="6921" width="3.54296875" style="31" customWidth="1"/>
    <col min="6922" max="7166" width="9.1796875" style="31"/>
    <col min="7167" max="7167" width="8.7265625" style="31" customWidth="1"/>
    <col min="7168" max="7168" width="9.81640625" style="31" customWidth="1"/>
    <col min="7169" max="7169" width="14.453125" style="31" customWidth="1"/>
    <col min="7170" max="7170" width="7.26953125" style="31" customWidth="1"/>
    <col min="7171" max="7171" width="5.54296875" style="31" customWidth="1"/>
    <col min="7172" max="7172" width="9" style="31" customWidth="1"/>
    <col min="7173" max="7174" width="9.81640625" style="31" customWidth="1"/>
    <col min="7175" max="7175" width="11.1796875" style="31" customWidth="1"/>
    <col min="7176" max="7176" width="2.81640625" style="31" customWidth="1"/>
    <col min="7177" max="7177" width="3.54296875" style="31" customWidth="1"/>
    <col min="7178" max="7422" width="9.1796875" style="31"/>
    <col min="7423" max="7423" width="8.7265625" style="31" customWidth="1"/>
    <col min="7424" max="7424" width="9.81640625" style="31" customWidth="1"/>
    <col min="7425" max="7425" width="14.453125" style="31" customWidth="1"/>
    <col min="7426" max="7426" width="7.26953125" style="31" customWidth="1"/>
    <col min="7427" max="7427" width="5.54296875" style="31" customWidth="1"/>
    <col min="7428" max="7428" width="9" style="31" customWidth="1"/>
    <col min="7429" max="7430" width="9.81640625" style="31" customWidth="1"/>
    <col min="7431" max="7431" width="11.1796875" style="31" customWidth="1"/>
    <col min="7432" max="7432" width="2.81640625" style="31" customWidth="1"/>
    <col min="7433" max="7433" width="3.54296875" style="31" customWidth="1"/>
    <col min="7434" max="7678" width="9.1796875" style="31"/>
    <col min="7679" max="7679" width="8.7265625" style="31" customWidth="1"/>
    <col min="7680" max="7680" width="9.81640625" style="31" customWidth="1"/>
    <col min="7681" max="7681" width="14.453125" style="31" customWidth="1"/>
    <col min="7682" max="7682" width="7.26953125" style="31" customWidth="1"/>
    <col min="7683" max="7683" width="5.54296875" style="31" customWidth="1"/>
    <col min="7684" max="7684" width="9" style="31" customWidth="1"/>
    <col min="7685" max="7686" width="9.81640625" style="31" customWidth="1"/>
    <col min="7687" max="7687" width="11.1796875" style="31" customWidth="1"/>
    <col min="7688" max="7688" width="2.81640625" style="31" customWidth="1"/>
    <col min="7689" max="7689" width="3.54296875" style="31" customWidth="1"/>
    <col min="7690" max="7934" width="9.1796875" style="31"/>
    <col min="7935" max="7935" width="8.7265625" style="31" customWidth="1"/>
    <col min="7936" max="7936" width="9.81640625" style="31" customWidth="1"/>
    <col min="7937" max="7937" width="14.453125" style="31" customWidth="1"/>
    <col min="7938" max="7938" width="7.26953125" style="31" customWidth="1"/>
    <col min="7939" max="7939" width="5.54296875" style="31" customWidth="1"/>
    <col min="7940" max="7940" width="9" style="31" customWidth="1"/>
    <col min="7941" max="7942" width="9.81640625" style="31" customWidth="1"/>
    <col min="7943" max="7943" width="11.1796875" style="31" customWidth="1"/>
    <col min="7944" max="7944" width="2.81640625" style="31" customWidth="1"/>
    <col min="7945" max="7945" width="3.54296875" style="31" customWidth="1"/>
    <col min="7946" max="8190" width="9.1796875" style="31"/>
    <col min="8191" max="8191" width="8.7265625" style="31" customWidth="1"/>
    <col min="8192" max="8192" width="9.81640625" style="31" customWidth="1"/>
    <col min="8193" max="8193" width="14.453125" style="31" customWidth="1"/>
    <col min="8194" max="8194" width="7.26953125" style="31" customWidth="1"/>
    <col min="8195" max="8195" width="5.54296875" style="31" customWidth="1"/>
    <col min="8196" max="8196" width="9" style="31" customWidth="1"/>
    <col min="8197" max="8198" width="9.81640625" style="31" customWidth="1"/>
    <col min="8199" max="8199" width="11.1796875" style="31" customWidth="1"/>
    <col min="8200" max="8200" width="2.81640625" style="31" customWidth="1"/>
    <col min="8201" max="8201" width="3.54296875" style="31" customWidth="1"/>
    <col min="8202" max="8446" width="9.1796875" style="31"/>
    <col min="8447" max="8447" width="8.7265625" style="31" customWidth="1"/>
    <col min="8448" max="8448" width="9.81640625" style="31" customWidth="1"/>
    <col min="8449" max="8449" width="14.453125" style="31" customWidth="1"/>
    <col min="8450" max="8450" width="7.26953125" style="31" customWidth="1"/>
    <col min="8451" max="8451" width="5.54296875" style="31" customWidth="1"/>
    <col min="8452" max="8452" width="9" style="31" customWidth="1"/>
    <col min="8453" max="8454" width="9.81640625" style="31" customWidth="1"/>
    <col min="8455" max="8455" width="11.1796875" style="31" customWidth="1"/>
    <col min="8456" max="8456" width="2.81640625" style="31" customWidth="1"/>
    <col min="8457" max="8457" width="3.54296875" style="31" customWidth="1"/>
    <col min="8458" max="8702" width="9.1796875" style="31"/>
    <col min="8703" max="8703" width="8.7265625" style="31" customWidth="1"/>
    <col min="8704" max="8704" width="9.81640625" style="31" customWidth="1"/>
    <col min="8705" max="8705" width="14.453125" style="31" customWidth="1"/>
    <col min="8706" max="8706" width="7.26953125" style="31" customWidth="1"/>
    <col min="8707" max="8707" width="5.54296875" style="31" customWidth="1"/>
    <col min="8708" max="8708" width="9" style="31" customWidth="1"/>
    <col min="8709" max="8710" width="9.81640625" style="31" customWidth="1"/>
    <col min="8711" max="8711" width="11.1796875" style="31" customWidth="1"/>
    <col min="8712" max="8712" width="2.81640625" style="31" customWidth="1"/>
    <col min="8713" max="8713" width="3.54296875" style="31" customWidth="1"/>
    <col min="8714" max="8958" width="9.1796875" style="31"/>
    <col min="8959" max="8959" width="8.7265625" style="31" customWidth="1"/>
    <col min="8960" max="8960" width="9.81640625" style="31" customWidth="1"/>
    <col min="8961" max="8961" width="14.453125" style="31" customWidth="1"/>
    <col min="8962" max="8962" width="7.26953125" style="31" customWidth="1"/>
    <col min="8963" max="8963" width="5.54296875" style="31" customWidth="1"/>
    <col min="8964" max="8964" width="9" style="31" customWidth="1"/>
    <col min="8965" max="8966" width="9.81640625" style="31" customWidth="1"/>
    <col min="8967" max="8967" width="11.1796875" style="31" customWidth="1"/>
    <col min="8968" max="8968" width="2.81640625" style="31" customWidth="1"/>
    <col min="8969" max="8969" width="3.54296875" style="31" customWidth="1"/>
    <col min="8970" max="9214" width="9.1796875" style="31"/>
    <col min="9215" max="9215" width="8.7265625" style="31" customWidth="1"/>
    <col min="9216" max="9216" width="9.81640625" style="31" customWidth="1"/>
    <col min="9217" max="9217" width="14.453125" style="31" customWidth="1"/>
    <col min="9218" max="9218" width="7.26953125" style="31" customWidth="1"/>
    <col min="9219" max="9219" width="5.54296875" style="31" customWidth="1"/>
    <col min="9220" max="9220" width="9" style="31" customWidth="1"/>
    <col min="9221" max="9222" width="9.81640625" style="31" customWidth="1"/>
    <col min="9223" max="9223" width="11.1796875" style="31" customWidth="1"/>
    <col min="9224" max="9224" width="2.81640625" style="31" customWidth="1"/>
    <col min="9225" max="9225" width="3.54296875" style="31" customWidth="1"/>
    <col min="9226" max="9470" width="9.1796875" style="31"/>
    <col min="9471" max="9471" width="8.7265625" style="31" customWidth="1"/>
    <col min="9472" max="9472" width="9.81640625" style="31" customWidth="1"/>
    <col min="9473" max="9473" width="14.453125" style="31" customWidth="1"/>
    <col min="9474" max="9474" width="7.26953125" style="31" customWidth="1"/>
    <col min="9475" max="9475" width="5.54296875" style="31" customWidth="1"/>
    <col min="9476" max="9476" width="9" style="31" customWidth="1"/>
    <col min="9477" max="9478" width="9.81640625" style="31" customWidth="1"/>
    <col min="9479" max="9479" width="11.1796875" style="31" customWidth="1"/>
    <col min="9480" max="9480" width="2.81640625" style="31" customWidth="1"/>
    <col min="9481" max="9481" width="3.54296875" style="31" customWidth="1"/>
    <col min="9482" max="9726" width="9.1796875" style="31"/>
    <col min="9727" max="9727" width="8.7265625" style="31" customWidth="1"/>
    <col min="9728" max="9728" width="9.81640625" style="31" customWidth="1"/>
    <col min="9729" max="9729" width="14.453125" style="31" customWidth="1"/>
    <col min="9730" max="9730" width="7.26953125" style="31" customWidth="1"/>
    <col min="9731" max="9731" width="5.54296875" style="31" customWidth="1"/>
    <col min="9732" max="9732" width="9" style="31" customWidth="1"/>
    <col min="9733" max="9734" width="9.81640625" style="31" customWidth="1"/>
    <col min="9735" max="9735" width="11.1796875" style="31" customWidth="1"/>
    <col min="9736" max="9736" width="2.81640625" style="31" customWidth="1"/>
    <col min="9737" max="9737" width="3.54296875" style="31" customWidth="1"/>
    <col min="9738" max="9982" width="9.1796875" style="31"/>
    <col min="9983" max="9983" width="8.7265625" style="31" customWidth="1"/>
    <col min="9984" max="9984" width="9.81640625" style="31" customWidth="1"/>
    <col min="9985" max="9985" width="14.453125" style="31" customWidth="1"/>
    <col min="9986" max="9986" width="7.26953125" style="31" customWidth="1"/>
    <col min="9987" max="9987" width="5.54296875" style="31" customWidth="1"/>
    <col min="9988" max="9988" width="9" style="31" customWidth="1"/>
    <col min="9989" max="9990" width="9.81640625" style="31" customWidth="1"/>
    <col min="9991" max="9991" width="11.1796875" style="31" customWidth="1"/>
    <col min="9992" max="9992" width="2.81640625" style="31" customWidth="1"/>
    <col min="9993" max="9993" width="3.54296875" style="31" customWidth="1"/>
    <col min="9994" max="10238" width="9.1796875" style="31"/>
    <col min="10239" max="10239" width="8.7265625" style="31" customWidth="1"/>
    <col min="10240" max="10240" width="9.81640625" style="31" customWidth="1"/>
    <col min="10241" max="10241" width="14.453125" style="31" customWidth="1"/>
    <col min="10242" max="10242" width="7.26953125" style="31" customWidth="1"/>
    <col min="10243" max="10243" width="5.54296875" style="31" customWidth="1"/>
    <col min="10244" max="10244" width="9" style="31" customWidth="1"/>
    <col min="10245" max="10246" width="9.81640625" style="31" customWidth="1"/>
    <col min="10247" max="10247" width="11.1796875" style="31" customWidth="1"/>
    <col min="10248" max="10248" width="2.81640625" style="31" customWidth="1"/>
    <col min="10249" max="10249" width="3.54296875" style="31" customWidth="1"/>
    <col min="10250" max="10494" width="9.1796875" style="31"/>
    <col min="10495" max="10495" width="8.7265625" style="31" customWidth="1"/>
    <col min="10496" max="10496" width="9.81640625" style="31" customWidth="1"/>
    <col min="10497" max="10497" width="14.453125" style="31" customWidth="1"/>
    <col min="10498" max="10498" width="7.26953125" style="31" customWidth="1"/>
    <col min="10499" max="10499" width="5.54296875" style="31" customWidth="1"/>
    <col min="10500" max="10500" width="9" style="31" customWidth="1"/>
    <col min="10501" max="10502" width="9.81640625" style="31" customWidth="1"/>
    <col min="10503" max="10503" width="11.1796875" style="31" customWidth="1"/>
    <col min="10504" max="10504" width="2.81640625" style="31" customWidth="1"/>
    <col min="10505" max="10505" width="3.54296875" style="31" customWidth="1"/>
    <col min="10506" max="10750" width="9.1796875" style="31"/>
    <col min="10751" max="10751" width="8.7265625" style="31" customWidth="1"/>
    <col min="10752" max="10752" width="9.81640625" style="31" customWidth="1"/>
    <col min="10753" max="10753" width="14.453125" style="31" customWidth="1"/>
    <col min="10754" max="10754" width="7.26953125" style="31" customWidth="1"/>
    <col min="10755" max="10755" width="5.54296875" style="31" customWidth="1"/>
    <col min="10756" max="10756" width="9" style="31" customWidth="1"/>
    <col min="10757" max="10758" width="9.81640625" style="31" customWidth="1"/>
    <col min="10759" max="10759" width="11.1796875" style="31" customWidth="1"/>
    <col min="10760" max="10760" width="2.81640625" style="31" customWidth="1"/>
    <col min="10761" max="10761" width="3.54296875" style="31" customWidth="1"/>
    <col min="10762" max="11006" width="9.1796875" style="31"/>
    <col min="11007" max="11007" width="8.7265625" style="31" customWidth="1"/>
    <col min="11008" max="11008" width="9.81640625" style="31" customWidth="1"/>
    <col min="11009" max="11009" width="14.453125" style="31" customWidth="1"/>
    <col min="11010" max="11010" width="7.26953125" style="31" customWidth="1"/>
    <col min="11011" max="11011" width="5.54296875" style="31" customWidth="1"/>
    <col min="11012" max="11012" width="9" style="31" customWidth="1"/>
    <col min="11013" max="11014" width="9.81640625" style="31" customWidth="1"/>
    <col min="11015" max="11015" width="11.1796875" style="31" customWidth="1"/>
    <col min="11016" max="11016" width="2.81640625" style="31" customWidth="1"/>
    <col min="11017" max="11017" width="3.54296875" style="31" customWidth="1"/>
    <col min="11018" max="11262" width="9.1796875" style="31"/>
    <col min="11263" max="11263" width="8.7265625" style="31" customWidth="1"/>
    <col min="11264" max="11264" width="9.81640625" style="31" customWidth="1"/>
    <col min="11265" max="11265" width="14.453125" style="31" customWidth="1"/>
    <col min="11266" max="11266" width="7.26953125" style="31" customWidth="1"/>
    <col min="11267" max="11267" width="5.54296875" style="31" customWidth="1"/>
    <col min="11268" max="11268" width="9" style="31" customWidth="1"/>
    <col min="11269" max="11270" width="9.81640625" style="31" customWidth="1"/>
    <col min="11271" max="11271" width="11.1796875" style="31" customWidth="1"/>
    <col min="11272" max="11272" width="2.81640625" style="31" customWidth="1"/>
    <col min="11273" max="11273" width="3.54296875" style="31" customWidth="1"/>
    <col min="11274" max="11518" width="9.1796875" style="31"/>
    <col min="11519" max="11519" width="8.7265625" style="31" customWidth="1"/>
    <col min="11520" max="11520" width="9.81640625" style="31" customWidth="1"/>
    <col min="11521" max="11521" width="14.453125" style="31" customWidth="1"/>
    <col min="11522" max="11522" width="7.26953125" style="31" customWidth="1"/>
    <col min="11523" max="11523" width="5.54296875" style="31" customWidth="1"/>
    <col min="11524" max="11524" width="9" style="31" customWidth="1"/>
    <col min="11525" max="11526" width="9.81640625" style="31" customWidth="1"/>
    <col min="11527" max="11527" width="11.1796875" style="31" customWidth="1"/>
    <col min="11528" max="11528" width="2.81640625" style="31" customWidth="1"/>
    <col min="11529" max="11529" width="3.54296875" style="31" customWidth="1"/>
    <col min="11530" max="11774" width="9.1796875" style="31"/>
    <col min="11775" max="11775" width="8.7265625" style="31" customWidth="1"/>
    <col min="11776" max="11776" width="9.81640625" style="31" customWidth="1"/>
    <col min="11777" max="11777" width="14.453125" style="31" customWidth="1"/>
    <col min="11778" max="11778" width="7.26953125" style="31" customWidth="1"/>
    <col min="11779" max="11779" width="5.54296875" style="31" customWidth="1"/>
    <col min="11780" max="11780" width="9" style="31" customWidth="1"/>
    <col min="11781" max="11782" width="9.81640625" style="31" customWidth="1"/>
    <col min="11783" max="11783" width="11.1796875" style="31" customWidth="1"/>
    <col min="11784" max="11784" width="2.81640625" style="31" customWidth="1"/>
    <col min="11785" max="11785" width="3.54296875" style="31" customWidth="1"/>
    <col min="11786" max="12030" width="9.1796875" style="31"/>
    <col min="12031" max="12031" width="8.7265625" style="31" customWidth="1"/>
    <col min="12032" max="12032" width="9.81640625" style="31" customWidth="1"/>
    <col min="12033" max="12033" width="14.453125" style="31" customWidth="1"/>
    <col min="12034" max="12034" width="7.26953125" style="31" customWidth="1"/>
    <col min="12035" max="12035" width="5.54296875" style="31" customWidth="1"/>
    <col min="12036" max="12036" width="9" style="31" customWidth="1"/>
    <col min="12037" max="12038" width="9.81640625" style="31" customWidth="1"/>
    <col min="12039" max="12039" width="11.1796875" style="31" customWidth="1"/>
    <col min="12040" max="12040" width="2.81640625" style="31" customWidth="1"/>
    <col min="12041" max="12041" width="3.54296875" style="31" customWidth="1"/>
    <col min="12042" max="12286" width="9.1796875" style="31"/>
    <col min="12287" max="12287" width="8.7265625" style="31" customWidth="1"/>
    <col min="12288" max="12288" width="9.81640625" style="31" customWidth="1"/>
    <col min="12289" max="12289" width="14.453125" style="31" customWidth="1"/>
    <col min="12290" max="12290" width="7.26953125" style="31" customWidth="1"/>
    <col min="12291" max="12291" width="5.54296875" style="31" customWidth="1"/>
    <col min="12292" max="12292" width="9" style="31" customWidth="1"/>
    <col min="12293" max="12294" width="9.81640625" style="31" customWidth="1"/>
    <col min="12295" max="12295" width="11.1796875" style="31" customWidth="1"/>
    <col min="12296" max="12296" width="2.81640625" style="31" customWidth="1"/>
    <col min="12297" max="12297" width="3.54296875" style="31" customWidth="1"/>
    <col min="12298" max="12542" width="9.1796875" style="31"/>
    <col min="12543" max="12543" width="8.7265625" style="31" customWidth="1"/>
    <col min="12544" max="12544" width="9.81640625" style="31" customWidth="1"/>
    <col min="12545" max="12545" width="14.453125" style="31" customWidth="1"/>
    <col min="12546" max="12546" width="7.26953125" style="31" customWidth="1"/>
    <col min="12547" max="12547" width="5.54296875" style="31" customWidth="1"/>
    <col min="12548" max="12548" width="9" style="31" customWidth="1"/>
    <col min="12549" max="12550" width="9.81640625" style="31" customWidth="1"/>
    <col min="12551" max="12551" width="11.1796875" style="31" customWidth="1"/>
    <col min="12552" max="12552" width="2.81640625" style="31" customWidth="1"/>
    <col min="12553" max="12553" width="3.54296875" style="31" customWidth="1"/>
    <col min="12554" max="12798" width="9.1796875" style="31"/>
    <col min="12799" max="12799" width="8.7265625" style="31" customWidth="1"/>
    <col min="12800" max="12800" width="9.81640625" style="31" customWidth="1"/>
    <col min="12801" max="12801" width="14.453125" style="31" customWidth="1"/>
    <col min="12802" max="12802" width="7.26953125" style="31" customWidth="1"/>
    <col min="12803" max="12803" width="5.54296875" style="31" customWidth="1"/>
    <col min="12804" max="12804" width="9" style="31" customWidth="1"/>
    <col min="12805" max="12806" width="9.81640625" style="31" customWidth="1"/>
    <col min="12807" max="12807" width="11.1796875" style="31" customWidth="1"/>
    <col min="12808" max="12808" width="2.81640625" style="31" customWidth="1"/>
    <col min="12809" max="12809" width="3.54296875" style="31" customWidth="1"/>
    <col min="12810" max="13054" width="9.1796875" style="31"/>
    <col min="13055" max="13055" width="8.7265625" style="31" customWidth="1"/>
    <col min="13056" max="13056" width="9.81640625" style="31" customWidth="1"/>
    <col min="13057" max="13057" width="14.453125" style="31" customWidth="1"/>
    <col min="13058" max="13058" width="7.26953125" style="31" customWidth="1"/>
    <col min="13059" max="13059" width="5.54296875" style="31" customWidth="1"/>
    <col min="13060" max="13060" width="9" style="31" customWidth="1"/>
    <col min="13061" max="13062" width="9.81640625" style="31" customWidth="1"/>
    <col min="13063" max="13063" width="11.1796875" style="31" customWidth="1"/>
    <col min="13064" max="13064" width="2.81640625" style="31" customWidth="1"/>
    <col min="13065" max="13065" width="3.54296875" style="31" customWidth="1"/>
    <col min="13066" max="13310" width="9.1796875" style="31"/>
    <col min="13311" max="13311" width="8.7265625" style="31" customWidth="1"/>
    <col min="13312" max="13312" width="9.81640625" style="31" customWidth="1"/>
    <col min="13313" max="13313" width="14.453125" style="31" customWidth="1"/>
    <col min="13314" max="13314" width="7.26953125" style="31" customWidth="1"/>
    <col min="13315" max="13315" width="5.54296875" style="31" customWidth="1"/>
    <col min="13316" max="13316" width="9" style="31" customWidth="1"/>
    <col min="13317" max="13318" width="9.81640625" style="31" customWidth="1"/>
    <col min="13319" max="13319" width="11.1796875" style="31" customWidth="1"/>
    <col min="13320" max="13320" width="2.81640625" style="31" customWidth="1"/>
    <col min="13321" max="13321" width="3.54296875" style="31" customWidth="1"/>
    <col min="13322" max="13566" width="9.1796875" style="31"/>
    <col min="13567" max="13567" width="8.7265625" style="31" customWidth="1"/>
    <col min="13568" max="13568" width="9.81640625" style="31" customWidth="1"/>
    <col min="13569" max="13569" width="14.453125" style="31" customWidth="1"/>
    <col min="13570" max="13570" width="7.26953125" style="31" customWidth="1"/>
    <col min="13571" max="13571" width="5.54296875" style="31" customWidth="1"/>
    <col min="13572" max="13572" width="9" style="31" customWidth="1"/>
    <col min="13573" max="13574" width="9.81640625" style="31" customWidth="1"/>
    <col min="13575" max="13575" width="11.1796875" style="31" customWidth="1"/>
    <col min="13576" max="13576" width="2.81640625" style="31" customWidth="1"/>
    <col min="13577" max="13577" width="3.54296875" style="31" customWidth="1"/>
    <col min="13578" max="13822" width="9.1796875" style="31"/>
    <col min="13823" max="13823" width="8.7265625" style="31" customWidth="1"/>
    <col min="13824" max="13824" width="9.81640625" style="31" customWidth="1"/>
    <col min="13825" max="13825" width="14.453125" style="31" customWidth="1"/>
    <col min="13826" max="13826" width="7.26953125" style="31" customWidth="1"/>
    <col min="13827" max="13827" width="5.54296875" style="31" customWidth="1"/>
    <col min="13828" max="13828" width="9" style="31" customWidth="1"/>
    <col min="13829" max="13830" width="9.81640625" style="31" customWidth="1"/>
    <col min="13831" max="13831" width="11.1796875" style="31" customWidth="1"/>
    <col min="13832" max="13832" width="2.81640625" style="31" customWidth="1"/>
    <col min="13833" max="13833" width="3.54296875" style="31" customWidth="1"/>
    <col min="13834" max="14078" width="9.1796875" style="31"/>
    <col min="14079" max="14079" width="8.7265625" style="31" customWidth="1"/>
    <col min="14080" max="14080" width="9.81640625" style="31" customWidth="1"/>
    <col min="14081" max="14081" width="14.453125" style="31" customWidth="1"/>
    <col min="14082" max="14082" width="7.26953125" style="31" customWidth="1"/>
    <col min="14083" max="14083" width="5.54296875" style="31" customWidth="1"/>
    <col min="14084" max="14084" width="9" style="31" customWidth="1"/>
    <col min="14085" max="14086" width="9.81640625" style="31" customWidth="1"/>
    <col min="14087" max="14087" width="11.1796875" style="31" customWidth="1"/>
    <col min="14088" max="14088" width="2.81640625" style="31" customWidth="1"/>
    <col min="14089" max="14089" width="3.54296875" style="31" customWidth="1"/>
    <col min="14090" max="14334" width="9.1796875" style="31"/>
    <col min="14335" max="14335" width="8.7265625" style="31" customWidth="1"/>
    <col min="14336" max="14336" width="9.81640625" style="31" customWidth="1"/>
    <col min="14337" max="14337" width="14.453125" style="31" customWidth="1"/>
    <col min="14338" max="14338" width="7.26953125" style="31" customWidth="1"/>
    <col min="14339" max="14339" width="5.54296875" style="31" customWidth="1"/>
    <col min="14340" max="14340" width="9" style="31" customWidth="1"/>
    <col min="14341" max="14342" width="9.81640625" style="31" customWidth="1"/>
    <col min="14343" max="14343" width="11.1796875" style="31" customWidth="1"/>
    <col min="14344" max="14344" width="2.81640625" style="31" customWidth="1"/>
    <col min="14345" max="14345" width="3.54296875" style="31" customWidth="1"/>
    <col min="14346" max="14590" width="9.1796875" style="31"/>
    <col min="14591" max="14591" width="8.7265625" style="31" customWidth="1"/>
    <col min="14592" max="14592" width="9.81640625" style="31" customWidth="1"/>
    <col min="14593" max="14593" width="14.453125" style="31" customWidth="1"/>
    <col min="14594" max="14594" width="7.26953125" style="31" customWidth="1"/>
    <col min="14595" max="14595" width="5.54296875" style="31" customWidth="1"/>
    <col min="14596" max="14596" width="9" style="31" customWidth="1"/>
    <col min="14597" max="14598" width="9.81640625" style="31" customWidth="1"/>
    <col min="14599" max="14599" width="11.1796875" style="31" customWidth="1"/>
    <col min="14600" max="14600" width="2.81640625" style="31" customWidth="1"/>
    <col min="14601" max="14601" width="3.54296875" style="31" customWidth="1"/>
    <col min="14602" max="14846" width="9.1796875" style="31"/>
    <col min="14847" max="14847" width="8.7265625" style="31" customWidth="1"/>
    <col min="14848" max="14848" width="9.81640625" style="31" customWidth="1"/>
    <col min="14849" max="14849" width="14.453125" style="31" customWidth="1"/>
    <col min="14850" max="14850" width="7.26953125" style="31" customWidth="1"/>
    <col min="14851" max="14851" width="5.54296875" style="31" customWidth="1"/>
    <col min="14852" max="14852" width="9" style="31" customWidth="1"/>
    <col min="14853" max="14854" width="9.81640625" style="31" customWidth="1"/>
    <col min="14855" max="14855" width="11.1796875" style="31" customWidth="1"/>
    <col min="14856" max="14856" width="2.81640625" style="31" customWidth="1"/>
    <col min="14857" max="14857" width="3.54296875" style="31" customWidth="1"/>
    <col min="14858" max="15102" width="9.1796875" style="31"/>
    <col min="15103" max="15103" width="8.7265625" style="31" customWidth="1"/>
    <col min="15104" max="15104" width="9.81640625" style="31" customWidth="1"/>
    <col min="15105" max="15105" width="14.453125" style="31" customWidth="1"/>
    <col min="15106" max="15106" width="7.26953125" style="31" customWidth="1"/>
    <col min="15107" max="15107" width="5.54296875" style="31" customWidth="1"/>
    <col min="15108" max="15108" width="9" style="31" customWidth="1"/>
    <col min="15109" max="15110" width="9.81640625" style="31" customWidth="1"/>
    <col min="15111" max="15111" width="11.1796875" style="31" customWidth="1"/>
    <col min="15112" max="15112" width="2.81640625" style="31" customWidth="1"/>
    <col min="15113" max="15113" width="3.54296875" style="31" customWidth="1"/>
    <col min="15114" max="15358" width="9.1796875" style="31"/>
    <col min="15359" max="15359" width="8.7265625" style="31" customWidth="1"/>
    <col min="15360" max="15360" width="9.81640625" style="31" customWidth="1"/>
    <col min="15361" max="15361" width="14.453125" style="31" customWidth="1"/>
    <col min="15362" max="15362" width="7.26953125" style="31" customWidth="1"/>
    <col min="15363" max="15363" width="5.54296875" style="31" customWidth="1"/>
    <col min="15364" max="15364" width="9" style="31" customWidth="1"/>
    <col min="15365" max="15366" width="9.81640625" style="31" customWidth="1"/>
    <col min="15367" max="15367" width="11.1796875" style="31" customWidth="1"/>
    <col min="15368" max="15368" width="2.81640625" style="31" customWidth="1"/>
    <col min="15369" max="15369" width="3.54296875" style="31" customWidth="1"/>
    <col min="15370" max="15614" width="9.1796875" style="31"/>
    <col min="15615" max="15615" width="8.7265625" style="31" customWidth="1"/>
    <col min="15616" max="15616" width="9.81640625" style="31" customWidth="1"/>
    <col min="15617" max="15617" width="14.453125" style="31" customWidth="1"/>
    <col min="15618" max="15618" width="7.26953125" style="31" customWidth="1"/>
    <col min="15619" max="15619" width="5.54296875" style="31" customWidth="1"/>
    <col min="15620" max="15620" width="9" style="31" customWidth="1"/>
    <col min="15621" max="15622" width="9.81640625" style="31" customWidth="1"/>
    <col min="15623" max="15623" width="11.1796875" style="31" customWidth="1"/>
    <col min="15624" max="15624" width="2.81640625" style="31" customWidth="1"/>
    <col min="15625" max="15625" width="3.54296875" style="31" customWidth="1"/>
    <col min="15626" max="15870" width="9.1796875" style="31"/>
    <col min="15871" max="15871" width="8.7265625" style="31" customWidth="1"/>
    <col min="15872" max="15872" width="9.81640625" style="31" customWidth="1"/>
    <col min="15873" max="15873" width="14.453125" style="31" customWidth="1"/>
    <col min="15874" max="15874" width="7.26953125" style="31" customWidth="1"/>
    <col min="15875" max="15875" width="5.54296875" style="31" customWidth="1"/>
    <col min="15876" max="15876" width="9" style="31" customWidth="1"/>
    <col min="15877" max="15878" width="9.81640625" style="31" customWidth="1"/>
    <col min="15879" max="15879" width="11.1796875" style="31" customWidth="1"/>
    <col min="15880" max="15880" width="2.81640625" style="31" customWidth="1"/>
    <col min="15881" max="15881" width="3.54296875" style="31" customWidth="1"/>
    <col min="15882" max="16126" width="9.1796875" style="31"/>
    <col min="16127" max="16127" width="8.7265625" style="31" customWidth="1"/>
    <col min="16128" max="16128" width="9.81640625" style="31" customWidth="1"/>
    <col min="16129" max="16129" width="14.453125" style="31" customWidth="1"/>
    <col min="16130" max="16130" width="7.26953125" style="31" customWidth="1"/>
    <col min="16131" max="16131" width="5.54296875" style="31" customWidth="1"/>
    <col min="16132" max="16132" width="9" style="31" customWidth="1"/>
    <col min="16133" max="16134" width="9.81640625" style="31" customWidth="1"/>
    <col min="16135" max="16135" width="11.1796875" style="31" customWidth="1"/>
    <col min="16136" max="16136" width="2.81640625" style="31" customWidth="1"/>
    <col min="16137" max="16137" width="3.54296875" style="31" customWidth="1"/>
    <col min="16138" max="16384" width="9.1796875" style="31"/>
  </cols>
  <sheetData>
    <row r="1" spans="1:8" ht="46.5" customHeight="1" x14ac:dyDescent="0.35">
      <c r="A1" s="149" t="s">
        <v>234</v>
      </c>
      <c r="B1" s="149"/>
      <c r="C1" s="149"/>
      <c r="D1" s="149"/>
      <c r="E1" s="149"/>
      <c r="F1" s="149"/>
      <c r="G1" s="149"/>
      <c r="H1" s="149"/>
    </row>
    <row r="2" spans="1:8" ht="16.5" customHeight="1" x14ac:dyDescent="0.35">
      <c r="A2" s="144" t="s">
        <v>0</v>
      </c>
      <c r="B2" s="144"/>
      <c r="C2" s="144"/>
      <c r="D2" s="144"/>
      <c r="E2" s="144"/>
      <c r="F2" s="144"/>
      <c r="G2" s="144"/>
      <c r="H2" s="144"/>
    </row>
    <row r="3" spans="1:8" x14ac:dyDescent="0.35">
      <c r="A3" s="111" t="s">
        <v>1</v>
      </c>
      <c r="B3" s="111"/>
      <c r="C3" s="111"/>
      <c r="D3" s="111"/>
      <c r="E3" s="150" t="str">
        <f ca="1">TEXT(TODAY(),"DD/MM/YYYY")</f>
        <v>15/09/2025</v>
      </c>
      <c r="F3" s="150"/>
      <c r="G3" s="150"/>
      <c r="H3" s="150"/>
    </row>
    <row r="4" spans="1:8" ht="15" customHeight="1" x14ac:dyDescent="0.35">
      <c r="A4" s="111" t="s">
        <v>2</v>
      </c>
      <c r="B4" s="111"/>
      <c r="C4" s="111"/>
      <c r="D4" s="111"/>
      <c r="E4" s="151" t="s">
        <v>169</v>
      </c>
      <c r="F4" s="151"/>
      <c r="G4" s="151"/>
      <c r="H4" s="151"/>
    </row>
    <row r="5" spans="1:8" x14ac:dyDescent="0.35">
      <c r="A5" s="111" t="s">
        <v>3</v>
      </c>
      <c r="B5" s="111"/>
      <c r="C5" s="111"/>
      <c r="D5" s="111"/>
      <c r="E5" s="150">
        <v>45915</v>
      </c>
      <c r="F5" s="150"/>
      <c r="G5" s="150"/>
      <c r="H5" s="150"/>
    </row>
    <row r="6" spans="1:8" ht="16.5" customHeight="1" x14ac:dyDescent="0.35">
      <c r="A6" s="111" t="s">
        <v>4</v>
      </c>
      <c r="B6" s="111"/>
      <c r="C6" s="111"/>
      <c r="D6" s="111"/>
      <c r="E6" s="113" t="s">
        <v>168</v>
      </c>
      <c r="F6" s="113"/>
      <c r="G6" s="113"/>
      <c r="H6" s="113"/>
    </row>
    <row r="7" spans="1:8" ht="15" customHeight="1" x14ac:dyDescent="0.35">
      <c r="A7" s="111" t="s">
        <v>5</v>
      </c>
      <c r="B7" s="111"/>
      <c r="C7" s="111"/>
      <c r="D7" s="111"/>
      <c r="E7" s="113" t="str">
        <f>E6</f>
        <v>M/s. Shree Sai Construction</v>
      </c>
      <c r="F7" s="113"/>
      <c r="G7" s="113"/>
      <c r="H7" s="113"/>
    </row>
    <row r="8" spans="1:8" x14ac:dyDescent="0.35">
      <c r="A8" s="111" t="s">
        <v>6</v>
      </c>
      <c r="B8" s="111"/>
      <c r="C8" s="111"/>
      <c r="D8" s="111"/>
      <c r="E8" s="119" t="s">
        <v>167</v>
      </c>
      <c r="F8" s="119"/>
      <c r="G8" s="119"/>
      <c r="H8" s="119"/>
    </row>
    <row r="9" spans="1:8" x14ac:dyDescent="0.35">
      <c r="A9" s="111" t="s">
        <v>164</v>
      </c>
      <c r="B9" s="111"/>
      <c r="C9" s="111"/>
      <c r="D9" s="111"/>
      <c r="E9" s="111">
        <v>9890435363</v>
      </c>
      <c r="F9" s="111"/>
      <c r="G9" s="111"/>
      <c r="H9" s="111"/>
    </row>
    <row r="10" spans="1:8" x14ac:dyDescent="0.35">
      <c r="A10" s="111" t="s">
        <v>224</v>
      </c>
      <c r="B10" s="111"/>
      <c r="C10" s="111"/>
      <c r="D10" s="111"/>
      <c r="E10" s="111">
        <v>9890435363</v>
      </c>
      <c r="F10" s="111"/>
      <c r="G10" s="111"/>
      <c r="H10" s="111"/>
    </row>
    <row r="11" spans="1:8" x14ac:dyDescent="0.35">
      <c r="A11" s="111" t="s">
        <v>7</v>
      </c>
      <c r="B11" s="111"/>
      <c r="C11" s="111"/>
      <c r="D11" s="111"/>
      <c r="E11" s="111" t="s">
        <v>199</v>
      </c>
      <c r="F11" s="111"/>
      <c r="G11" s="111"/>
      <c r="H11" s="111"/>
    </row>
    <row r="12" spans="1:8" x14ac:dyDescent="0.35">
      <c r="A12" s="111" t="s">
        <v>8</v>
      </c>
      <c r="B12" s="111"/>
      <c r="C12" s="111"/>
      <c r="D12" s="111"/>
      <c r="E12" s="113" t="s">
        <v>195</v>
      </c>
      <c r="F12" s="113"/>
      <c r="G12" s="113"/>
      <c r="H12" s="113"/>
    </row>
    <row r="13" spans="1:8" x14ac:dyDescent="0.35">
      <c r="A13" s="111" t="s">
        <v>9</v>
      </c>
      <c r="B13" s="111"/>
      <c r="C13" s="111"/>
      <c r="D13" s="111"/>
      <c r="E13" s="113" t="s">
        <v>166</v>
      </c>
      <c r="F13" s="111"/>
      <c r="G13" s="111"/>
      <c r="H13" s="111"/>
    </row>
    <row r="14" spans="1:8" ht="35.25" customHeight="1" x14ac:dyDescent="0.35">
      <c r="A14" s="113" t="s">
        <v>10</v>
      </c>
      <c r="B14" s="113"/>
      <c r="C14" s="113" t="str">
        <f>CONCATENATE((IF(OR(E8="",E8="NA"),"",E8)),", ",(IF(OR(A15="",A15="NA"),"",A15)),".",(IF(OR(C15="",C15="NA"),"",C15)),", ",(IF(OR(C16="",C16="NA"),"",C16)),", near ",(IF(OR(C19="",C19="NA"),"",C19)),", ",(IF(OR(G16="",G16="NA"),"",G16)),", ",(IF(OR(C17="",C17="NA"),"",C17)),", ",(IF(OR(C18="",C18="NA"),"",C18)),", ",(IF(OR(G17="",G17="NA"),"",G17)),".")</f>
        <v>Trinetra Apartment, Survey No.112, H.No. 4 &amp; 5, Achole Road, near Vijay Park CHS, Achole, Nalasopara, Vasai, Palghar.</v>
      </c>
      <c r="D14" s="113"/>
      <c r="E14" s="113"/>
      <c r="F14" s="113"/>
      <c r="G14" s="113"/>
      <c r="H14" s="113"/>
    </row>
    <row r="15" spans="1:8" x14ac:dyDescent="0.35">
      <c r="A15" s="113" t="s">
        <v>196</v>
      </c>
      <c r="B15" s="113"/>
      <c r="C15" s="113" t="s">
        <v>173</v>
      </c>
      <c r="D15" s="113"/>
      <c r="E15" s="113"/>
      <c r="F15" s="113"/>
      <c r="G15" s="113"/>
      <c r="H15" s="113"/>
    </row>
    <row r="16" spans="1:8" ht="15.75" customHeight="1" x14ac:dyDescent="0.35">
      <c r="A16" s="113" t="s">
        <v>11</v>
      </c>
      <c r="B16" s="113"/>
      <c r="C16" s="111" t="s">
        <v>186</v>
      </c>
      <c r="D16" s="111"/>
      <c r="E16" s="113" t="s">
        <v>104</v>
      </c>
      <c r="F16" s="113"/>
      <c r="G16" s="113" t="s">
        <v>170</v>
      </c>
      <c r="H16" s="113"/>
    </row>
    <row r="17" spans="1:8" x14ac:dyDescent="0.35">
      <c r="A17" s="110" t="s">
        <v>13</v>
      </c>
      <c r="B17" s="110"/>
      <c r="C17" s="113" t="s">
        <v>187</v>
      </c>
      <c r="D17" s="113"/>
      <c r="E17" s="128" t="s">
        <v>12</v>
      </c>
      <c r="F17" s="128"/>
      <c r="G17" s="152" t="s">
        <v>171</v>
      </c>
      <c r="H17" s="152"/>
    </row>
    <row r="18" spans="1:8" x14ac:dyDescent="0.35">
      <c r="A18" s="111" t="s">
        <v>105</v>
      </c>
      <c r="B18" s="111"/>
      <c r="C18" s="113" t="s">
        <v>172</v>
      </c>
      <c r="D18" s="113"/>
      <c r="E18" s="113" t="s">
        <v>14</v>
      </c>
      <c r="F18" s="113"/>
      <c r="G18" s="113">
        <v>401209</v>
      </c>
      <c r="H18" s="113"/>
    </row>
    <row r="19" spans="1:8" ht="32.25" customHeight="1" x14ac:dyDescent="0.35">
      <c r="A19" s="111" t="s">
        <v>165</v>
      </c>
      <c r="B19" s="111"/>
      <c r="C19" s="113" t="s">
        <v>189</v>
      </c>
      <c r="D19" s="113"/>
      <c r="E19" s="113" t="s">
        <v>15</v>
      </c>
      <c r="F19" s="113"/>
      <c r="G19" s="113" t="s">
        <v>194</v>
      </c>
      <c r="H19" s="113"/>
    </row>
    <row r="20" spans="1:8" ht="15" customHeight="1" x14ac:dyDescent="0.35">
      <c r="A20" s="113" t="s">
        <v>109</v>
      </c>
      <c r="B20" s="113"/>
      <c r="C20" s="113"/>
      <c r="D20" s="113"/>
      <c r="E20" s="111" t="s">
        <v>16</v>
      </c>
      <c r="F20" s="111"/>
      <c r="G20" s="111"/>
      <c r="H20" s="111"/>
    </row>
    <row r="21" spans="1:8" ht="15" customHeight="1" x14ac:dyDescent="0.35">
      <c r="A21" s="113" t="s">
        <v>17</v>
      </c>
      <c r="B21" s="113"/>
      <c r="C21" s="113"/>
      <c r="D21" s="113"/>
      <c r="E21" s="113" t="s">
        <v>18</v>
      </c>
      <c r="F21" s="113"/>
      <c r="G21" s="113"/>
      <c r="H21" s="113"/>
    </row>
    <row r="22" spans="1:8" ht="15" customHeight="1" x14ac:dyDescent="0.35">
      <c r="A22" s="111" t="s">
        <v>19</v>
      </c>
      <c r="B22" s="111"/>
      <c r="C22" s="111"/>
      <c r="D22" s="111"/>
      <c r="E22" s="113" t="str">
        <f>IF(AND(G17="Mumbai"),"Upper Class","Middle Class")</f>
        <v>Middle Class</v>
      </c>
      <c r="F22" s="113"/>
      <c r="G22" s="113"/>
      <c r="H22" s="113"/>
    </row>
    <row r="23" spans="1:8" x14ac:dyDescent="0.35">
      <c r="A23" s="111" t="s">
        <v>20</v>
      </c>
      <c r="B23" s="111"/>
      <c r="C23" s="111"/>
      <c r="D23" s="111"/>
      <c r="E23" s="113" t="s">
        <v>21</v>
      </c>
      <c r="F23" s="113"/>
      <c r="G23" s="113"/>
      <c r="H23" s="113"/>
    </row>
    <row r="24" spans="1:8" ht="15.75" customHeight="1" x14ac:dyDescent="0.35">
      <c r="A24" s="111" t="s">
        <v>22</v>
      </c>
      <c r="B24" s="111"/>
      <c r="C24" s="111"/>
      <c r="D24" s="111"/>
      <c r="E24" s="113" t="str">
        <f>IF(AND(G17="Mumbai"),"Developed","Developing")</f>
        <v>Developing</v>
      </c>
      <c r="F24" s="113"/>
      <c r="G24" s="113"/>
      <c r="H24" s="113"/>
    </row>
    <row r="25" spans="1:8" x14ac:dyDescent="0.35">
      <c r="A25" s="111" t="s">
        <v>23</v>
      </c>
      <c r="B25" s="111"/>
      <c r="C25" s="111"/>
      <c r="D25" s="111"/>
      <c r="E25" s="113" t="s">
        <v>24</v>
      </c>
      <c r="F25" s="113"/>
      <c r="G25" s="113"/>
      <c r="H25" s="113"/>
    </row>
    <row r="26" spans="1:8" x14ac:dyDescent="0.35">
      <c r="A26" s="111" t="s">
        <v>116</v>
      </c>
      <c r="B26" s="111"/>
      <c r="C26" s="111"/>
      <c r="D26" s="111"/>
      <c r="E26" s="113" t="s">
        <v>117</v>
      </c>
      <c r="F26" s="113"/>
      <c r="G26" s="113"/>
      <c r="H26" s="113"/>
    </row>
    <row r="27" spans="1:8" ht="15" customHeight="1" x14ac:dyDescent="0.35">
      <c r="A27" s="113" t="s">
        <v>33</v>
      </c>
      <c r="B27" s="113"/>
      <c r="C27" s="113"/>
      <c r="D27" s="113"/>
      <c r="E27" s="151" t="s">
        <v>188</v>
      </c>
      <c r="F27" s="151"/>
      <c r="G27" s="151"/>
      <c r="H27" s="151"/>
    </row>
    <row r="28" spans="1:8" x14ac:dyDescent="0.35">
      <c r="A28" s="113" t="s">
        <v>127</v>
      </c>
      <c r="B28" s="113"/>
      <c r="C28" s="113"/>
      <c r="D28" s="113"/>
      <c r="E28" s="113" t="s">
        <v>34</v>
      </c>
      <c r="F28" s="113"/>
      <c r="G28" s="113"/>
      <c r="H28" s="113"/>
    </row>
    <row r="29" spans="1:8" s="32" customFormat="1" x14ac:dyDescent="0.35">
      <c r="A29" s="155" t="s">
        <v>128</v>
      </c>
      <c r="B29" s="155"/>
      <c r="C29" s="154" t="s">
        <v>29</v>
      </c>
      <c r="D29" s="154"/>
      <c r="E29" s="154"/>
      <c r="F29" s="154" t="s">
        <v>31</v>
      </c>
      <c r="G29" s="154"/>
      <c r="H29" s="154"/>
    </row>
    <row r="30" spans="1:8" s="32" customFormat="1" x14ac:dyDescent="0.35">
      <c r="A30" s="126" t="s">
        <v>25</v>
      </c>
      <c r="B30" s="126" t="s">
        <v>30</v>
      </c>
      <c r="C30" s="124" t="s">
        <v>30</v>
      </c>
      <c r="D30" s="124"/>
      <c r="E30" s="124"/>
      <c r="F30" s="124" t="s">
        <v>189</v>
      </c>
      <c r="G30" s="124"/>
      <c r="H30" s="124"/>
    </row>
    <row r="31" spans="1:8" x14ac:dyDescent="0.35">
      <c r="A31" s="126" t="s">
        <v>26</v>
      </c>
      <c r="B31" s="126" t="s">
        <v>30</v>
      </c>
      <c r="C31" s="124" t="s">
        <v>30</v>
      </c>
      <c r="D31" s="124"/>
      <c r="E31" s="124"/>
      <c r="F31" s="124" t="s">
        <v>190</v>
      </c>
      <c r="G31" s="124"/>
      <c r="H31" s="124"/>
    </row>
    <row r="32" spans="1:8" s="32" customFormat="1" x14ac:dyDescent="0.35">
      <c r="A32" s="126" t="s">
        <v>28</v>
      </c>
      <c r="B32" s="126" t="s">
        <v>30</v>
      </c>
      <c r="C32" s="124" t="s">
        <v>30</v>
      </c>
      <c r="D32" s="124"/>
      <c r="E32" s="124"/>
      <c r="F32" s="124" t="s">
        <v>191</v>
      </c>
      <c r="G32" s="124"/>
      <c r="H32" s="124"/>
    </row>
    <row r="33" spans="1:11" x14ac:dyDescent="0.35">
      <c r="A33" s="126" t="s">
        <v>27</v>
      </c>
      <c r="B33" s="126" t="s">
        <v>30</v>
      </c>
      <c r="C33" s="124" t="s">
        <v>30</v>
      </c>
      <c r="D33" s="124"/>
      <c r="E33" s="124"/>
      <c r="F33" s="124" t="s">
        <v>192</v>
      </c>
      <c r="G33" s="124"/>
      <c r="H33" s="124"/>
    </row>
    <row r="34" spans="1:11" x14ac:dyDescent="0.35">
      <c r="A34" s="110" t="s">
        <v>32</v>
      </c>
      <c r="B34" s="110"/>
      <c r="C34" s="110"/>
      <c r="D34" s="110"/>
      <c r="E34" s="110"/>
      <c r="F34" s="110"/>
      <c r="G34" s="110"/>
      <c r="H34" s="110"/>
    </row>
    <row r="35" spans="1:11" ht="15.75" customHeight="1" x14ac:dyDescent="0.35">
      <c r="A35" s="144" t="s">
        <v>235</v>
      </c>
      <c r="B35" s="144"/>
      <c r="C35" s="165" t="s">
        <v>236</v>
      </c>
      <c r="D35" s="165"/>
      <c r="E35" s="165"/>
      <c r="F35" s="165"/>
      <c r="G35" s="165"/>
      <c r="H35" s="165"/>
    </row>
    <row r="36" spans="1:11" ht="15.75" customHeight="1" x14ac:dyDescent="0.35">
      <c r="A36" s="144" t="s">
        <v>225</v>
      </c>
      <c r="B36" s="144"/>
      <c r="C36" s="166" t="s">
        <v>226</v>
      </c>
      <c r="D36" s="165"/>
      <c r="E36" s="165"/>
      <c r="F36" s="165"/>
      <c r="G36" s="165"/>
      <c r="H36" s="165"/>
    </row>
    <row r="37" spans="1:11" x14ac:dyDescent="0.35">
      <c r="A37" s="125" t="s">
        <v>35</v>
      </c>
      <c r="B37" s="125"/>
      <c r="C37" s="125"/>
      <c r="D37" s="125"/>
      <c r="E37" s="125"/>
      <c r="F37" s="125"/>
      <c r="G37" s="125"/>
      <c r="H37" s="125"/>
    </row>
    <row r="38" spans="1:11" x14ac:dyDescent="0.35">
      <c r="A38" s="110" t="s">
        <v>36</v>
      </c>
      <c r="B38" s="110"/>
      <c r="C38" s="110"/>
      <c r="D38" s="110"/>
      <c r="E38" s="153">
        <v>3440</v>
      </c>
      <c r="F38" s="153"/>
      <c r="G38" s="153"/>
      <c r="H38" s="153"/>
    </row>
    <row r="39" spans="1:11" x14ac:dyDescent="0.35">
      <c r="A39" s="110" t="s">
        <v>37</v>
      </c>
      <c r="B39" s="110"/>
      <c r="C39" s="110"/>
      <c r="D39" s="110"/>
      <c r="E39" s="140">
        <v>1.1000000000000001</v>
      </c>
      <c r="F39" s="140"/>
      <c r="G39" s="140"/>
      <c r="H39" s="140"/>
    </row>
    <row r="40" spans="1:11" x14ac:dyDescent="0.35">
      <c r="A40" s="110" t="s">
        <v>38</v>
      </c>
      <c r="B40" s="110"/>
      <c r="C40" s="110"/>
      <c r="D40" s="110"/>
      <c r="E40" s="140">
        <f>E42/E38-E39</f>
        <v>0.3567848837209302</v>
      </c>
      <c r="F40" s="140"/>
      <c r="G40" s="140"/>
      <c r="H40" s="140"/>
    </row>
    <row r="41" spans="1:11" x14ac:dyDescent="0.35">
      <c r="A41" s="111" t="s">
        <v>39</v>
      </c>
      <c r="B41" s="111"/>
      <c r="C41" s="111"/>
      <c r="D41" s="111"/>
      <c r="E41" s="140">
        <f>E39+E40</f>
        <v>1.4567848837209303</v>
      </c>
      <c r="F41" s="140"/>
      <c r="G41" s="140"/>
      <c r="H41" s="140"/>
    </row>
    <row r="42" spans="1:11" x14ac:dyDescent="0.35">
      <c r="A42" s="111" t="s">
        <v>126</v>
      </c>
      <c r="B42" s="111"/>
      <c r="C42" s="111"/>
      <c r="D42" s="111"/>
      <c r="E42" s="141">
        <v>5011.34</v>
      </c>
      <c r="F42" s="141"/>
      <c r="G42" s="141"/>
      <c r="H42" s="141"/>
    </row>
    <row r="43" spans="1:11" x14ac:dyDescent="0.35">
      <c r="A43" s="111" t="s">
        <v>40</v>
      </c>
      <c r="B43" s="111"/>
      <c r="C43" s="111"/>
      <c r="D43" s="111"/>
      <c r="E43" s="111" t="s">
        <v>193</v>
      </c>
      <c r="F43" s="111"/>
      <c r="G43" s="111"/>
      <c r="H43" s="111"/>
    </row>
    <row r="44" spans="1:11" x14ac:dyDescent="0.35">
      <c r="A44" s="119" t="s">
        <v>41</v>
      </c>
      <c r="B44" s="119"/>
      <c r="C44" s="119"/>
      <c r="D44" s="119"/>
      <c r="E44" s="119"/>
      <c r="F44" s="119"/>
      <c r="G44" s="119"/>
      <c r="H44" s="119"/>
    </row>
    <row r="45" spans="1:11" ht="33.75" customHeight="1" x14ac:dyDescent="0.35">
      <c r="A45" s="113" t="s">
        <v>42</v>
      </c>
      <c r="B45" s="113"/>
      <c r="C45" s="113" t="s">
        <v>231</v>
      </c>
      <c r="D45" s="113"/>
      <c r="E45" s="113"/>
      <c r="F45" s="74" t="s">
        <v>43</v>
      </c>
      <c r="G45" s="88">
        <v>44477</v>
      </c>
      <c r="H45" s="88"/>
    </row>
    <row r="46" spans="1:11" ht="35.25" customHeight="1" x14ac:dyDescent="0.35">
      <c r="A46" s="113" t="s">
        <v>240</v>
      </c>
      <c r="B46" s="111"/>
      <c r="C46" s="113" t="s">
        <v>231</v>
      </c>
      <c r="D46" s="113"/>
      <c r="E46" s="113"/>
      <c r="F46" s="60" t="s">
        <v>43</v>
      </c>
      <c r="G46" s="88">
        <v>44477</v>
      </c>
      <c r="H46" s="88"/>
      <c r="K46" s="34"/>
    </row>
    <row r="47" spans="1:11" s="34" customFormat="1" x14ac:dyDescent="0.35">
      <c r="A47" s="113" t="s">
        <v>44</v>
      </c>
      <c r="B47" s="113"/>
      <c r="C47" s="113" t="s">
        <v>232</v>
      </c>
      <c r="D47" s="111"/>
      <c r="E47" s="111"/>
      <c r="F47" s="33" t="s">
        <v>43</v>
      </c>
      <c r="G47" s="88">
        <v>44477</v>
      </c>
      <c r="H47" s="88"/>
    </row>
    <row r="48" spans="1:11" s="34" customFormat="1" x14ac:dyDescent="0.35">
      <c r="A48" s="113"/>
      <c r="B48" s="113"/>
      <c r="C48" s="89" t="s">
        <v>233</v>
      </c>
      <c r="D48" s="90"/>
      <c r="E48" s="90"/>
      <c r="F48" s="90"/>
      <c r="G48" s="90"/>
      <c r="H48" s="91"/>
    </row>
    <row r="49" spans="1:11" ht="80" customHeight="1" x14ac:dyDescent="0.35">
      <c r="A49" s="120" t="s">
        <v>45</v>
      </c>
      <c r="B49" s="120"/>
      <c r="C49" s="120" t="s">
        <v>255</v>
      </c>
      <c r="D49" s="119"/>
      <c r="E49" s="119" t="s">
        <v>46</v>
      </c>
      <c r="F49" s="27" t="s">
        <v>43</v>
      </c>
      <c r="G49" s="114">
        <v>45677</v>
      </c>
      <c r="H49" s="114"/>
    </row>
    <row r="50" spans="1:11" x14ac:dyDescent="0.35">
      <c r="A50" s="127" t="s">
        <v>48</v>
      </c>
      <c r="B50" s="127"/>
      <c r="C50" s="127"/>
      <c r="D50" s="127"/>
      <c r="E50" s="127"/>
      <c r="F50" s="127"/>
      <c r="G50" s="127"/>
      <c r="H50" s="127"/>
    </row>
    <row r="51" spans="1:11" x14ac:dyDescent="0.35">
      <c r="A51" s="128" t="s">
        <v>125</v>
      </c>
      <c r="B51" s="128"/>
      <c r="C51" s="128"/>
      <c r="D51" s="111">
        <f>E42</f>
        <v>5011.34</v>
      </c>
      <c r="E51" s="111"/>
      <c r="F51" s="111"/>
      <c r="G51" s="111"/>
      <c r="H51" s="111"/>
    </row>
    <row r="52" spans="1:11" x14ac:dyDescent="0.35">
      <c r="A52" s="113" t="s">
        <v>49</v>
      </c>
      <c r="B52" s="111"/>
      <c r="C52" s="111"/>
      <c r="D52" s="111" t="s">
        <v>241</v>
      </c>
      <c r="E52" s="111"/>
      <c r="F52" s="111"/>
      <c r="G52" s="111"/>
      <c r="H52" s="111"/>
    </row>
    <row r="53" spans="1:11" x14ac:dyDescent="0.35">
      <c r="A53" s="113" t="s">
        <v>50</v>
      </c>
      <c r="B53" s="111"/>
      <c r="C53" s="111"/>
      <c r="D53" s="113" t="s">
        <v>220</v>
      </c>
      <c r="E53" s="111"/>
      <c r="F53" s="111"/>
      <c r="G53" s="111"/>
      <c r="H53" s="111"/>
    </row>
    <row r="54" spans="1:11" x14ac:dyDescent="0.35">
      <c r="A54" s="113" t="s">
        <v>222</v>
      </c>
      <c r="B54" s="111"/>
      <c r="C54" s="111"/>
      <c r="D54" s="113" t="s">
        <v>220</v>
      </c>
      <c r="E54" s="111"/>
      <c r="F54" s="111"/>
      <c r="G54" s="111"/>
      <c r="H54" s="111"/>
    </row>
    <row r="55" spans="1:11" ht="15.75" customHeight="1" x14ac:dyDescent="0.35">
      <c r="A55" s="111" t="s">
        <v>47</v>
      </c>
      <c r="B55" s="111"/>
      <c r="C55" s="111"/>
      <c r="D55" s="113" t="s">
        <v>252</v>
      </c>
      <c r="E55" s="113"/>
      <c r="F55" s="113"/>
      <c r="G55" s="113"/>
      <c r="H55" s="113"/>
    </row>
    <row r="56" spans="1:11" ht="15.75" customHeight="1" x14ac:dyDescent="0.35">
      <c r="A56" s="111" t="s">
        <v>122</v>
      </c>
      <c r="B56" s="111"/>
      <c r="C56" s="111"/>
      <c r="D56" s="113" t="s">
        <v>253</v>
      </c>
      <c r="E56" s="113"/>
      <c r="F56" s="113"/>
      <c r="G56" s="113"/>
      <c r="H56" s="113"/>
    </row>
    <row r="57" spans="1:11" ht="15.75" customHeight="1" x14ac:dyDescent="0.35">
      <c r="A57" s="111" t="s">
        <v>123</v>
      </c>
      <c r="B57" s="111"/>
      <c r="C57" s="111"/>
      <c r="D57" s="113" t="s">
        <v>24</v>
      </c>
      <c r="E57" s="113"/>
      <c r="F57" s="113"/>
      <c r="G57" s="113"/>
      <c r="H57" s="113"/>
      <c r="J57" s="35"/>
      <c r="K57" s="35"/>
    </row>
    <row r="58" spans="1:11" ht="15.75" customHeight="1" thickBot="1" x14ac:dyDescent="0.4">
      <c r="A58" s="122" t="s">
        <v>121</v>
      </c>
      <c r="B58" s="122"/>
      <c r="C58" s="122"/>
      <c r="D58" s="123" t="str">
        <f ca="1">(IF(E63&gt;95%,"Nothing",IF(E63&gt;0%,"Cement, Aggregate, Steel, etc",IF(E63=0%,"Work not yet Started"))))</f>
        <v>Nothing</v>
      </c>
      <c r="E58" s="123"/>
      <c r="F58" s="123"/>
      <c r="G58" s="123"/>
      <c r="H58" s="123"/>
      <c r="J58" s="35"/>
      <c r="K58" s="35"/>
    </row>
    <row r="59" spans="1:11" ht="15.75" customHeight="1" x14ac:dyDescent="0.35">
      <c r="A59" s="156" t="s">
        <v>202</v>
      </c>
      <c r="B59" s="157"/>
      <c r="C59" s="158" t="str">
        <f>D54</f>
        <v>Wing A, B, C, D = Gr + 1st to 9th Floor</v>
      </c>
      <c r="D59" s="159"/>
      <c r="E59" s="159"/>
      <c r="F59" s="159"/>
      <c r="G59" s="159"/>
      <c r="H59" s="160"/>
      <c r="I59" s="22" t="str">
        <f ca="1">(IF(E63&gt;99%,"All work completed. Please provide OC.",IF(E63&gt;89.8%,"Plinth, RCC, Brick, Plaster, Flooring, Painting work Completed. Finishing work is in process.",IF(E63&lt;94%,(IF(C63=0,"Work not yet Started.",IF(D63=25%,"Piling work in process",IF(D63=50%,"Excavation work in process",IF(D63=100%,"Excavation work Completed. ","0")))&amp;(IF(C64=0%,"",IF(C64=J65,"Footing work is process",IF(C64=J66,"Footing work Completed",IF(C64=J67,"1st Basement Completed",IF(C64=J68,"1st &amp; 2nd Basement Completed",IF(C64=J69,"1st to 3rd Basement Completed",IF(C64=J70,"1st to 4th Basement Completed",IF(C64=J71,"Plinth work is process",IF(C64=J72,"Plinth work completed","0")))))))))))&amp;(IF(C65=(D60+F60+H60),", RCC Slab",IF(C65&gt;0,", RCC upto "&amp;C65&amp;" Slab",""))&amp;(IF(C66=H60,", Brickwork",IF(C66&gt;0,", Brickwork upto "&amp;C66&amp;" Floor",""))&amp;(IF(C67=H60,", Internal Plaster",IF(C67&gt;0,", Internal Plaster upto "&amp;C67&amp;" Floor",""))&amp;(IF(C68=H60,", External Plaster",IF(C68&gt;0,", External Plaster upto "&amp;C68&amp;" Floor",""))&amp;(IF(C69=H60,", Flooring",IF(C69&gt;0,", Flooring upto "&amp;C69&amp;" Floor",""))&amp;(IF(C70=H60,", Painting",IF(C70&gt;0,", Painting upto "&amp;C70&amp;" Floor",""))&amp;(IF(C71&gt;0,", Finishing upto "&amp;C71&amp;" Floor","")&amp;(IF(C65&gt;0.5," Completed",""))))))))))))))</f>
        <v>All work completed. Please provide OC.</v>
      </c>
      <c r="J59" s="36"/>
      <c r="K59" s="36"/>
    </row>
    <row r="60" spans="1:11" x14ac:dyDescent="0.35">
      <c r="A60" s="28" t="s">
        <v>101</v>
      </c>
      <c r="B60" s="29">
        <v>0</v>
      </c>
      <c r="C60" s="29" t="s">
        <v>103</v>
      </c>
      <c r="D60" s="29">
        <v>1</v>
      </c>
      <c r="E60" s="29" t="s">
        <v>102</v>
      </c>
      <c r="F60" s="29">
        <v>0</v>
      </c>
      <c r="G60" s="29" t="s">
        <v>115</v>
      </c>
      <c r="H60" s="21">
        <f ca="1">--TRIM(RIGHT(SUBSTITUTE(LEFT(C59,_xlfn.AGGREGATE(16,6,FIND({0,1,2,3,4,5,6,7,8,9},C59,ROW(INDIRECT("1:"&amp;LEN(C59)))),1))," ",REPT(" ",LEN(C59))),LEN(C59)))</f>
        <v>9</v>
      </c>
      <c r="I60" s="23"/>
      <c r="J60" s="37"/>
      <c r="K60" s="37"/>
    </row>
    <row r="61" spans="1:11" x14ac:dyDescent="0.35">
      <c r="A61" s="119" t="s">
        <v>124</v>
      </c>
      <c r="B61" s="119"/>
      <c r="C61" s="120" t="str">
        <f>I61</f>
        <v>All work Completed. OC Received.</v>
      </c>
      <c r="D61" s="120"/>
      <c r="E61" s="120"/>
      <c r="F61" s="120"/>
      <c r="G61" s="120"/>
      <c r="H61" s="120"/>
      <c r="I61" s="23" t="s">
        <v>142</v>
      </c>
      <c r="J61" s="37"/>
      <c r="K61" s="37"/>
    </row>
    <row r="62" spans="1:11" x14ac:dyDescent="0.35">
      <c r="A62" s="121" t="s">
        <v>51</v>
      </c>
      <c r="B62" s="121"/>
      <c r="C62" s="73" t="s">
        <v>203</v>
      </c>
      <c r="D62" s="75" t="s">
        <v>118</v>
      </c>
      <c r="E62" s="121" t="s">
        <v>120</v>
      </c>
      <c r="F62" s="121"/>
      <c r="G62" s="121" t="s">
        <v>119</v>
      </c>
      <c r="H62" s="121"/>
      <c r="I62" s="24" t="s">
        <v>204</v>
      </c>
      <c r="J62" s="38">
        <f ca="1">H60*25%</f>
        <v>2.25</v>
      </c>
      <c r="K62" s="38"/>
    </row>
    <row r="63" spans="1:11" x14ac:dyDescent="0.35">
      <c r="A63" s="121" t="s">
        <v>205</v>
      </c>
      <c r="B63" s="121"/>
      <c r="C63" s="39">
        <f ca="1">J64</f>
        <v>9</v>
      </c>
      <c r="D63" s="76">
        <f ca="1">((100/H60)*C63)/100</f>
        <v>1</v>
      </c>
      <c r="E63" s="115">
        <f ca="1">(((C64/H60*10)+(40/(D60+F60+H60)*C65)+(7.5/(H60)*C66)+(7.5/(H60)*C67)+(10/H60*C68)+(10/H60*C69)+(5/H60*C70)+(5/H60*C71)+(5/H60*C72))/100)</f>
        <v>1</v>
      </c>
      <c r="F63" s="115"/>
      <c r="G63" s="115">
        <f ca="1">((((C63/H60)*20)+((C64/H60)*25)+(30/(H60+F60+D60)*C65)+(5/H60*C66)+(5/H60*C67)+(5/H60*C68)+(5/H60*C69)+(0/H60*C70)+(0/H60*C71)+(5/H60*C72))/100)</f>
        <v>1</v>
      </c>
      <c r="H63" s="115"/>
      <c r="I63" s="24" t="s">
        <v>136</v>
      </c>
      <c r="J63" s="40">
        <f ca="1">H60*50%</f>
        <v>4.5</v>
      </c>
      <c r="K63" s="38"/>
    </row>
    <row r="64" spans="1:11" x14ac:dyDescent="0.35">
      <c r="A64" s="121" t="s">
        <v>52</v>
      </c>
      <c r="B64" s="121"/>
      <c r="C64" s="41">
        <f ca="1">J72</f>
        <v>9</v>
      </c>
      <c r="D64" s="76">
        <f ca="1">((100/H60)*C64)/100</f>
        <v>1</v>
      </c>
      <c r="E64" s="115"/>
      <c r="F64" s="115"/>
      <c r="G64" s="115"/>
      <c r="H64" s="115"/>
      <c r="I64" s="24" t="s">
        <v>137</v>
      </c>
      <c r="J64" s="40">
        <f ca="1">H60</f>
        <v>9</v>
      </c>
      <c r="K64" s="42">
        <v>0.02</v>
      </c>
    </row>
    <row r="65" spans="1:11" x14ac:dyDescent="0.35">
      <c r="A65" s="121" t="s">
        <v>219</v>
      </c>
      <c r="B65" s="121"/>
      <c r="C65" s="41">
        <v>10</v>
      </c>
      <c r="D65" s="76">
        <f ca="1">((100/(D60+F60+H60))*C65)/100</f>
        <v>1</v>
      </c>
      <c r="E65" s="115"/>
      <c r="F65" s="115"/>
      <c r="G65" s="115"/>
      <c r="H65" s="115"/>
      <c r="I65" s="24" t="s">
        <v>138</v>
      </c>
      <c r="J65" s="43">
        <f ca="1">(IF(B60&gt;1,(H60/(B60+2)),H60/4))</f>
        <v>2.25</v>
      </c>
      <c r="K65" s="42">
        <v>0.04</v>
      </c>
    </row>
    <row r="66" spans="1:11" x14ac:dyDescent="0.35">
      <c r="A66" s="121" t="s">
        <v>206</v>
      </c>
      <c r="B66" s="121" t="s">
        <v>207</v>
      </c>
      <c r="C66" s="39">
        <v>9</v>
      </c>
      <c r="D66" s="76">
        <f ca="1">((100/H60)*C66)/100</f>
        <v>1</v>
      </c>
      <c r="E66" s="115"/>
      <c r="F66" s="115"/>
      <c r="G66" s="115"/>
      <c r="H66" s="115"/>
      <c r="I66" s="24" t="s">
        <v>139</v>
      </c>
      <c r="J66" s="43">
        <f ca="1">(IF(B60&gt;1,(H60/(B60+2)+J65),H60/4+J65))</f>
        <v>4.5</v>
      </c>
      <c r="K66" s="42">
        <v>0.08</v>
      </c>
    </row>
    <row r="67" spans="1:11" x14ac:dyDescent="0.35">
      <c r="A67" s="121" t="s">
        <v>208</v>
      </c>
      <c r="B67" s="121" t="s">
        <v>207</v>
      </c>
      <c r="C67" s="39">
        <v>9</v>
      </c>
      <c r="D67" s="76">
        <f ca="1">((100/H60)*C67)/100</f>
        <v>1</v>
      </c>
      <c r="E67" s="115"/>
      <c r="F67" s="115"/>
      <c r="G67" s="115"/>
      <c r="H67" s="115"/>
      <c r="I67" s="24" t="s">
        <v>209</v>
      </c>
      <c r="J67" s="43">
        <f>(IF(B60&gt;1,(H60/(B60+2)+J66),0))</f>
        <v>0</v>
      </c>
      <c r="K67" s="42">
        <v>0.15</v>
      </c>
    </row>
    <row r="68" spans="1:11" x14ac:dyDescent="0.35">
      <c r="A68" s="124" t="s">
        <v>210</v>
      </c>
      <c r="B68" s="124" t="s">
        <v>211</v>
      </c>
      <c r="C68" s="39">
        <v>9</v>
      </c>
      <c r="D68" s="76">
        <f ca="1">((100/(H60))*C68)/100</f>
        <v>1</v>
      </c>
      <c r="E68" s="115"/>
      <c r="F68" s="115"/>
      <c r="G68" s="115"/>
      <c r="H68" s="115"/>
      <c r="I68" s="24" t="s">
        <v>212</v>
      </c>
      <c r="J68" s="43">
        <f>(IF(B60&gt;2,(H60/(B60+2)+J67),0))</f>
        <v>0</v>
      </c>
      <c r="K68" s="42">
        <v>0.04</v>
      </c>
    </row>
    <row r="69" spans="1:11" x14ac:dyDescent="0.35">
      <c r="A69" s="121" t="s">
        <v>213</v>
      </c>
      <c r="B69" s="121" t="s">
        <v>213</v>
      </c>
      <c r="C69" s="39">
        <v>9</v>
      </c>
      <c r="D69" s="76">
        <f ca="1">((100/H60)*C69)/100</f>
        <v>1</v>
      </c>
      <c r="E69" s="115"/>
      <c r="F69" s="115"/>
      <c r="G69" s="115"/>
      <c r="H69" s="115"/>
      <c r="I69" s="24" t="s">
        <v>214</v>
      </c>
      <c r="J69" s="44">
        <f>(IF(B60&gt;3,(H60/(B60+2)+J68),0))</f>
        <v>0</v>
      </c>
      <c r="K69" s="42">
        <v>0.08</v>
      </c>
    </row>
    <row r="70" spans="1:11" x14ac:dyDescent="0.35">
      <c r="A70" s="121" t="s">
        <v>215</v>
      </c>
      <c r="B70" s="121"/>
      <c r="C70" s="39">
        <v>9</v>
      </c>
      <c r="D70" s="76">
        <f ca="1">((100/H60)*C70)/100</f>
        <v>1</v>
      </c>
      <c r="E70" s="115"/>
      <c r="F70" s="115"/>
      <c r="G70" s="115"/>
      <c r="H70" s="115"/>
      <c r="I70" s="24" t="s">
        <v>216</v>
      </c>
      <c r="J70" s="43">
        <f>(IF(B60&gt;4,(H60/(B60+2)+J69),0))</f>
        <v>0</v>
      </c>
      <c r="K70" s="42">
        <v>0.15</v>
      </c>
    </row>
    <row r="71" spans="1:11" ht="15" customHeight="1" x14ac:dyDescent="0.35">
      <c r="A71" s="121" t="s">
        <v>217</v>
      </c>
      <c r="B71" s="121" t="s">
        <v>217</v>
      </c>
      <c r="C71" s="39">
        <v>9</v>
      </c>
      <c r="D71" s="76">
        <f ca="1">((100/(H60))*C71)/100</f>
        <v>1</v>
      </c>
      <c r="E71" s="115"/>
      <c r="F71" s="115"/>
      <c r="G71" s="115"/>
      <c r="H71" s="115"/>
      <c r="I71" s="24" t="s">
        <v>140</v>
      </c>
      <c r="J71" s="43">
        <f ca="1">(IF(B60=1,(H60/(B60+3)+J66),IF(B60=0,(H60/4+J66),IF(B60&gt;1,0))))</f>
        <v>6.75</v>
      </c>
      <c r="K71" s="42">
        <v>0.2</v>
      </c>
    </row>
    <row r="72" spans="1:11" ht="16" thickBot="1" x14ac:dyDescent="0.4">
      <c r="A72" s="121" t="s">
        <v>218</v>
      </c>
      <c r="B72" s="121"/>
      <c r="C72" s="39">
        <v>9</v>
      </c>
      <c r="D72" s="76">
        <f ca="1">((100/(H60))*C72)/100</f>
        <v>1</v>
      </c>
      <c r="E72" s="115"/>
      <c r="F72" s="115"/>
      <c r="G72" s="115"/>
      <c r="H72" s="115"/>
      <c r="I72" s="25" t="s">
        <v>141</v>
      </c>
      <c r="J72" s="45">
        <f ca="1">(IF(B60&gt;1.5,(H60/(B60+2)+J66+MAX(0,J67-J66)+MAX(0,J68-J67)+MAX(0,J69-J68)+MAX(0,J70-J69)+MAX(0,J71-J70)),IF(B60=1,(H60/(B60+3)+J71),IF(B60=0,H60/4+J71))))</f>
        <v>9</v>
      </c>
      <c r="K72" s="46">
        <v>0.3</v>
      </c>
    </row>
    <row r="73" spans="1:11" ht="15.75" hidden="1" customHeight="1" x14ac:dyDescent="0.35">
      <c r="A73" s="120" t="s">
        <v>202</v>
      </c>
      <c r="B73" s="120"/>
      <c r="C73" s="120" t="s">
        <v>223</v>
      </c>
      <c r="D73" s="120"/>
      <c r="E73" s="120"/>
      <c r="F73" s="120"/>
      <c r="G73" s="120"/>
      <c r="H73" s="120"/>
      <c r="I73" s="22" t="str">
        <f ca="1">(IF(E77&gt;99%,"All work completed. Please provide OC.",IF(E77&gt;89.8%,"Plinth, RCC, Brick, Plaster, Flooring, Painting work Completed. Finishing work is in process.",IF(E77&lt;94%,(IF(C77=0,"Work not yet Started.",IF(D77=25%,"Piling work in process",IF(D77=50%,"Excavation work in process",IF(D77=100%,"Excavation work Completed. ","0")))&amp;(IF(C78=0%,"",IF(C78=J79,"Footing work is process",IF(C78=J80,"Footing work Completed",IF(C78=J81,"1st Basement Completed",IF(C78=J82,"1st &amp; 2nd Basement Completed",IF(C78=J83,"1st to 3rd Basement Completed",IF(C78=J84,"1st to 4th Basement Completed",IF(C78=J85,"Plinth work is process",IF(C78=J86,"Plinth work completed","0")))))))))))&amp;(IF(C79=(D74+F74+H74),", RCC Slab",IF(C79&gt;0,", RCC upto "&amp;C79&amp;" Slab",""))&amp;(IF(C80=H74,", Brickwork",IF(C80&gt;0,", Brickwork upto "&amp;C80&amp;" Floor",""))&amp;(IF(C81=H74,", Internal Plaster",IF(C81&gt;0,", Internal Plaster upto "&amp;C81&amp;" Floor",""))&amp;(IF(C82=H74,", External Plaster",IF(C82&gt;0,", External Plaster upto "&amp;C82&amp;" Floor",""))&amp;(IF(C83=H74,", Flooring",IF(C83&gt;0,", Flooring upto "&amp;C83&amp;" Floor",""))&amp;(IF(C84=H74,", Painting",IF(C84&gt;0,", Painting upto "&amp;C84&amp;" Floor",""))&amp;(IF(C85&gt;0,", Finishing upto "&amp;C85&amp;" Floor","")&amp;(IF(C79&gt;0.5," Completed",""))))))))))))))</f>
        <v>Excavation work Completed. Plinth work completed, RCC Slab, Brickwork, Internal Plaster, External Plaster, Flooring upto 7 Floor, Painting upto 7 Floor Completed</v>
      </c>
      <c r="J73" s="36"/>
      <c r="K73" s="36"/>
    </row>
    <row r="74" spans="1:11" hidden="1" x14ac:dyDescent="0.35">
      <c r="A74" s="75" t="s">
        <v>101</v>
      </c>
      <c r="B74" s="75">
        <v>0</v>
      </c>
      <c r="C74" s="75" t="s">
        <v>103</v>
      </c>
      <c r="D74" s="75">
        <v>1</v>
      </c>
      <c r="E74" s="75" t="s">
        <v>102</v>
      </c>
      <c r="F74" s="75">
        <v>0</v>
      </c>
      <c r="G74" s="75" t="s">
        <v>115</v>
      </c>
      <c r="H74" s="75">
        <f ca="1">--TRIM(RIGHT(SUBSTITUTE(LEFT(C73,_xlfn.AGGREGATE(16,6,FIND({0,1,2,3,4,5,6,7,8,9},C73,ROW(INDIRECT("1:"&amp;LEN(C73)))),1))," ",REPT(" ",LEN(C73))),LEN(C73)))</f>
        <v>9</v>
      </c>
      <c r="I74" s="23"/>
      <c r="J74" s="37"/>
      <c r="K74" s="37"/>
    </row>
    <row r="75" spans="1:11" ht="47.25" hidden="1" customHeight="1" x14ac:dyDescent="0.35">
      <c r="A75" s="119" t="s">
        <v>124</v>
      </c>
      <c r="B75" s="119"/>
      <c r="C75" s="120" t="str">
        <f ca="1">I73</f>
        <v>Excavation work Completed. Plinth work completed, RCC Slab, Brickwork, Internal Plaster, External Plaster, Flooring upto 7 Floor, Painting upto 7 Floor Completed</v>
      </c>
      <c r="D75" s="120"/>
      <c r="E75" s="120"/>
      <c r="F75" s="120"/>
      <c r="G75" s="120"/>
      <c r="H75" s="120"/>
      <c r="I75" s="23" t="s">
        <v>142</v>
      </c>
      <c r="J75" s="37"/>
      <c r="K75" s="37"/>
    </row>
    <row r="76" spans="1:11" hidden="1" x14ac:dyDescent="0.35">
      <c r="A76" s="121" t="s">
        <v>51</v>
      </c>
      <c r="B76" s="121"/>
      <c r="C76" s="73" t="s">
        <v>203</v>
      </c>
      <c r="D76" s="75" t="s">
        <v>118</v>
      </c>
      <c r="E76" s="121" t="s">
        <v>120</v>
      </c>
      <c r="F76" s="121"/>
      <c r="G76" s="121" t="s">
        <v>119</v>
      </c>
      <c r="H76" s="121"/>
      <c r="I76" s="24" t="s">
        <v>204</v>
      </c>
      <c r="J76" s="38">
        <f ca="1">H74*25%</f>
        <v>2.25</v>
      </c>
      <c r="K76" s="38"/>
    </row>
    <row r="77" spans="1:11" hidden="1" x14ac:dyDescent="0.35">
      <c r="A77" s="121" t="s">
        <v>205</v>
      </c>
      <c r="B77" s="121"/>
      <c r="C77" s="39">
        <f ca="1">J78</f>
        <v>9</v>
      </c>
      <c r="D77" s="76">
        <f ca="1">((100/H74)*C77)/100</f>
        <v>1</v>
      </c>
      <c r="E77" s="115">
        <f ca="1">(((C78/H74*10)+(40/(D74+F74+H74)*C79)+(7.5/(H74)*C80)+(7.5/(H74)*C81)+(10/H74*C82)+(10/H74*C83)+(5/H74*C84)+(5/H74*C85)+(5/H74*C86))/100)</f>
        <v>0.86666666666666659</v>
      </c>
      <c r="F77" s="115"/>
      <c r="G77" s="115">
        <f ca="1">((((C77/H74)*20)+((C78/H74)*25)+(30/(H74+F74+D74)*C79)+(5/H74*C80)+(5/H74*C81)+(5/H74*C82)+(5/H74*C83)+(0/H74*C84)+(0/H74*C85)+(5/H74*C86))/100)</f>
        <v>0.93888888888888888</v>
      </c>
      <c r="H77" s="115"/>
      <c r="I77" s="24" t="s">
        <v>136</v>
      </c>
      <c r="J77" s="40">
        <f ca="1">H74*50%</f>
        <v>4.5</v>
      </c>
      <c r="K77" s="38"/>
    </row>
    <row r="78" spans="1:11" hidden="1" x14ac:dyDescent="0.35">
      <c r="A78" s="121" t="s">
        <v>52</v>
      </c>
      <c r="B78" s="121"/>
      <c r="C78" s="41">
        <f ca="1">J86</f>
        <v>9</v>
      </c>
      <c r="D78" s="76">
        <f ca="1">((100/H74)*C78)/100</f>
        <v>1</v>
      </c>
      <c r="E78" s="115"/>
      <c r="F78" s="115"/>
      <c r="G78" s="115"/>
      <c r="H78" s="115"/>
      <c r="I78" s="24" t="s">
        <v>137</v>
      </c>
      <c r="J78" s="40">
        <f ca="1">H74</f>
        <v>9</v>
      </c>
      <c r="K78" s="42">
        <v>0.02</v>
      </c>
    </row>
    <row r="79" spans="1:11" hidden="1" x14ac:dyDescent="0.35">
      <c r="A79" s="121" t="s">
        <v>219</v>
      </c>
      <c r="B79" s="121"/>
      <c r="C79" s="41">
        <v>10</v>
      </c>
      <c r="D79" s="76">
        <f ca="1">((100/(D74+F74+H74))*C79)/100</f>
        <v>1</v>
      </c>
      <c r="E79" s="115"/>
      <c r="F79" s="115"/>
      <c r="G79" s="115"/>
      <c r="H79" s="115"/>
      <c r="I79" s="24" t="s">
        <v>138</v>
      </c>
      <c r="J79" s="43">
        <f ca="1">(IF(B74&gt;1,(H74/(B74+2)),H74/4))</f>
        <v>2.25</v>
      </c>
      <c r="K79" s="42">
        <v>0.04</v>
      </c>
    </row>
    <row r="80" spans="1:11" hidden="1" x14ac:dyDescent="0.35">
      <c r="A80" s="121" t="s">
        <v>206</v>
      </c>
      <c r="B80" s="121" t="s">
        <v>207</v>
      </c>
      <c r="C80" s="39">
        <v>9</v>
      </c>
      <c r="D80" s="76">
        <f ca="1">((100/H74)*C80)/100</f>
        <v>1</v>
      </c>
      <c r="E80" s="115"/>
      <c r="F80" s="115"/>
      <c r="G80" s="115"/>
      <c r="H80" s="115"/>
      <c r="I80" s="24" t="s">
        <v>139</v>
      </c>
      <c r="J80" s="43">
        <f ca="1">(IF(B74&gt;1,(H74/(B74+2)+J79),H74/4+J79))</f>
        <v>4.5</v>
      </c>
      <c r="K80" s="42">
        <v>0.08</v>
      </c>
    </row>
    <row r="81" spans="1:11" hidden="1" x14ac:dyDescent="0.35">
      <c r="A81" s="121" t="s">
        <v>208</v>
      </c>
      <c r="B81" s="121" t="s">
        <v>207</v>
      </c>
      <c r="C81" s="39">
        <v>9</v>
      </c>
      <c r="D81" s="76">
        <f ca="1">((100/H74)*C81)/100</f>
        <v>1</v>
      </c>
      <c r="E81" s="115"/>
      <c r="F81" s="115"/>
      <c r="G81" s="115"/>
      <c r="H81" s="115"/>
      <c r="I81" s="24" t="s">
        <v>209</v>
      </c>
      <c r="J81" s="43">
        <f>(IF(B74&gt;1,(H74/(B74+2)+J80),0))</f>
        <v>0</v>
      </c>
      <c r="K81" s="42">
        <v>0.15</v>
      </c>
    </row>
    <row r="82" spans="1:11" hidden="1" x14ac:dyDescent="0.35">
      <c r="A82" s="124" t="s">
        <v>210</v>
      </c>
      <c r="B82" s="124" t="s">
        <v>211</v>
      </c>
      <c r="C82" s="39">
        <v>9</v>
      </c>
      <c r="D82" s="76">
        <f ca="1">((100/(H74))*C82)/100</f>
        <v>1</v>
      </c>
      <c r="E82" s="115"/>
      <c r="F82" s="115"/>
      <c r="G82" s="115"/>
      <c r="H82" s="115"/>
      <c r="I82" s="24" t="s">
        <v>212</v>
      </c>
      <c r="J82" s="43">
        <f>(IF(B74&gt;2,(H74/(B74+2)+J81),0))</f>
        <v>0</v>
      </c>
      <c r="K82" s="42">
        <v>0.04</v>
      </c>
    </row>
    <row r="83" spans="1:11" hidden="1" x14ac:dyDescent="0.35">
      <c r="A83" s="121" t="s">
        <v>213</v>
      </c>
      <c r="B83" s="121" t="s">
        <v>213</v>
      </c>
      <c r="C83" s="39">
        <v>7</v>
      </c>
      <c r="D83" s="76">
        <f ca="1">((100/H74)*C83)/100</f>
        <v>0.77777777777777768</v>
      </c>
      <c r="E83" s="115"/>
      <c r="F83" s="115"/>
      <c r="G83" s="115"/>
      <c r="H83" s="115"/>
      <c r="I83" s="24" t="s">
        <v>214</v>
      </c>
      <c r="J83" s="44">
        <f>(IF(B74&gt;3,(H74/(B74+2)+J82),0))</f>
        <v>0</v>
      </c>
      <c r="K83" s="42">
        <v>0.08</v>
      </c>
    </row>
    <row r="84" spans="1:11" hidden="1" x14ac:dyDescent="0.35">
      <c r="A84" s="121" t="s">
        <v>215</v>
      </c>
      <c r="B84" s="121"/>
      <c r="C84" s="39">
        <v>7</v>
      </c>
      <c r="D84" s="76">
        <f ca="1">((100/H74)*C84)/100</f>
        <v>0.77777777777777768</v>
      </c>
      <c r="E84" s="115"/>
      <c r="F84" s="115"/>
      <c r="G84" s="115"/>
      <c r="H84" s="115"/>
      <c r="I84" s="24" t="s">
        <v>216</v>
      </c>
      <c r="J84" s="43">
        <f>(IF(B74&gt;4,(H74/(B74+2)+J83),0))</f>
        <v>0</v>
      </c>
      <c r="K84" s="42">
        <v>0.15</v>
      </c>
    </row>
    <row r="85" spans="1:11" ht="15" hidden="1" customHeight="1" x14ac:dyDescent="0.35">
      <c r="A85" s="121" t="s">
        <v>217</v>
      </c>
      <c r="B85" s="121" t="s">
        <v>217</v>
      </c>
      <c r="C85" s="39">
        <v>0</v>
      </c>
      <c r="D85" s="76">
        <f ca="1">((100/(H74))*C85)/100</f>
        <v>0</v>
      </c>
      <c r="E85" s="115"/>
      <c r="F85" s="115"/>
      <c r="G85" s="115"/>
      <c r="H85" s="115"/>
      <c r="I85" s="24" t="s">
        <v>140</v>
      </c>
      <c r="J85" s="43">
        <f ca="1">(IF(B74=1,(H74/(B74+3)+J80),IF(B74=0,(H74/4+J80),IF(B74&gt;1,0))))</f>
        <v>6.75</v>
      </c>
      <c r="K85" s="42">
        <v>0.2</v>
      </c>
    </row>
    <row r="86" spans="1:11" ht="16" hidden="1" thickBot="1" x14ac:dyDescent="0.4">
      <c r="A86" s="121" t="s">
        <v>218</v>
      </c>
      <c r="B86" s="121"/>
      <c r="C86" s="39">
        <v>0</v>
      </c>
      <c r="D86" s="76">
        <f ca="1">((100/(H74))*C86)/100</f>
        <v>0</v>
      </c>
      <c r="E86" s="115"/>
      <c r="F86" s="115"/>
      <c r="G86" s="115"/>
      <c r="H86" s="115"/>
      <c r="I86" s="25" t="s">
        <v>141</v>
      </c>
      <c r="J86" s="45">
        <f ca="1">(IF(B74&gt;1.5,(H74/(B74+2)+J80+MAX(0,J81-J80)+MAX(0,J82-J81)+MAX(0,J83-J82)+MAX(0,J84-J83)+MAX(0,J85-J84)),IF(B74=1,(H74/(B74+3)+J85),IF(B74=0,H74/4+J85))))</f>
        <v>9</v>
      </c>
      <c r="K86" s="46">
        <v>0.3</v>
      </c>
    </row>
    <row r="87" spans="1:11" ht="15.75" hidden="1" customHeight="1" x14ac:dyDescent="0.35">
      <c r="A87" s="161" t="s">
        <v>202</v>
      </c>
      <c r="B87" s="161"/>
      <c r="C87" s="161" t="s">
        <v>221</v>
      </c>
      <c r="D87" s="161"/>
      <c r="E87" s="161"/>
      <c r="F87" s="161"/>
      <c r="G87" s="161"/>
      <c r="H87" s="161"/>
      <c r="I87" s="22" t="str">
        <f ca="1">(IF(E91&gt;99%,"All work completed. Please provide OC.",IF(E91&gt;89.8%,"Plinth, RCC, Brick, Plaster, Flooring, Painting work Completed. Finishing work is in process.",IF(E91&lt;94%,(IF(C91=0,"Work not yet Started.",IF(D91=25%,"Piling work in process",IF(D91=50%,"Excavation work in process",IF(D91=100%,"Excavation work Completed. ","0")))&amp;(IF(C92=0%,"",IF(C92=J93,"Footing work is process",IF(C92=J94,"Footing work Completed",IF(C92=J95,"1st Basement Completed",IF(C92=J96,"1st &amp; 2nd Basement Completed",IF(C92=J97,"1st to 3rd Basement Completed",IF(C92=J98,"1st to 4th Basement Completed",IF(C92=J99,"Plinth work is process",IF(C92=J100,"Plinth work completed","0")))))))))))&amp;(IF(C93=(D88+F88+H88),", RCC Slab",IF(C93&gt;0,", RCC upto "&amp;C93&amp;" Slab",""))&amp;(IF(C94=H88,", Brickwork",IF(C94&gt;0,", Brickwork upto "&amp;C94&amp;" Floor",""))&amp;(IF(C95=H88,", Internal Plaster",IF(C95&gt;0,", Internal Plaster upto "&amp;C95&amp;" Floor",""))&amp;(IF(C96=H88,", External Plaster",IF(C96&gt;0,", External Plaster upto "&amp;C96&amp;" Floor",""))&amp;(IF(C97=H88,", Flooring",IF(C97&gt;0,", Flooring upto "&amp;C97&amp;" Floor",""))&amp;(IF(C98=H88,", Painting",IF(C98&gt;0,", Painting upto "&amp;C98&amp;" Floor",""))&amp;(IF(C99&gt;0,", Finishing upto "&amp;C99&amp;" Floor","")&amp;(IF(C93&gt;0.5," Completed",""))))))))))))))</f>
        <v>Excavation work Completed. Plinth work completed, RCC Slab, Brickwork, Internal Plaster, External Plaster, Flooring upto 8 Floor, Painting upto 8 Floor, Finishing upto 2 Floor Completed</v>
      </c>
      <c r="J87" s="36"/>
      <c r="K87" s="36"/>
    </row>
    <row r="88" spans="1:11" hidden="1" x14ac:dyDescent="0.35">
      <c r="A88" s="75" t="s">
        <v>101</v>
      </c>
      <c r="B88" s="75">
        <v>0</v>
      </c>
      <c r="C88" s="75" t="s">
        <v>103</v>
      </c>
      <c r="D88" s="75">
        <v>1</v>
      </c>
      <c r="E88" s="75" t="s">
        <v>102</v>
      </c>
      <c r="F88" s="75">
        <v>0</v>
      </c>
      <c r="G88" s="75" t="s">
        <v>115</v>
      </c>
      <c r="H88" s="75">
        <f ca="1">--TRIM(RIGHT(SUBSTITUTE(LEFT(C87,_xlfn.AGGREGATE(16,6,FIND({0,1,2,3,4,5,6,7,8,9},C87,ROW(INDIRECT("1:"&amp;LEN(C87)))),1))," ",REPT(" ",LEN(C87))),LEN(C87)))</f>
        <v>9</v>
      </c>
      <c r="I88" s="23"/>
      <c r="J88" s="37"/>
      <c r="K88" s="37"/>
    </row>
    <row r="89" spans="1:11" ht="54" hidden="1" customHeight="1" x14ac:dyDescent="0.35">
      <c r="A89" s="119" t="s">
        <v>124</v>
      </c>
      <c r="B89" s="119"/>
      <c r="C89" s="120" t="str">
        <f ca="1">I87</f>
        <v>Excavation work Completed. Plinth work completed, RCC Slab, Brickwork, Internal Plaster, External Plaster, Flooring upto 8 Floor, Painting upto 8 Floor, Finishing upto 2 Floor Completed</v>
      </c>
      <c r="D89" s="120"/>
      <c r="E89" s="120"/>
      <c r="F89" s="120"/>
      <c r="G89" s="120"/>
      <c r="H89" s="120"/>
      <c r="I89" s="23" t="s">
        <v>142</v>
      </c>
      <c r="J89" s="37"/>
      <c r="K89" s="37"/>
    </row>
    <row r="90" spans="1:11" hidden="1" x14ac:dyDescent="0.35">
      <c r="A90" s="121" t="s">
        <v>51</v>
      </c>
      <c r="B90" s="121"/>
      <c r="C90" s="73" t="s">
        <v>203</v>
      </c>
      <c r="D90" s="77" t="s">
        <v>118</v>
      </c>
      <c r="E90" s="121" t="s">
        <v>120</v>
      </c>
      <c r="F90" s="121"/>
      <c r="G90" s="121" t="s">
        <v>119</v>
      </c>
      <c r="H90" s="121"/>
      <c r="I90" s="24" t="s">
        <v>204</v>
      </c>
      <c r="J90" s="38">
        <f ca="1">H88*25%</f>
        <v>2.25</v>
      </c>
      <c r="K90" s="38"/>
    </row>
    <row r="91" spans="1:11" hidden="1" x14ac:dyDescent="0.35">
      <c r="A91" s="121" t="s">
        <v>205</v>
      </c>
      <c r="B91" s="121"/>
      <c r="C91" s="39">
        <f ca="1">J92</f>
        <v>9</v>
      </c>
      <c r="D91" s="76">
        <f ca="1">((100/H88)*C91)/100</f>
        <v>1</v>
      </c>
      <c r="E91" s="115">
        <f ca="1">(((C92/H88*10)+(40/(D88+F88+H88)*C93)+(7.5/(H88)*C94)+(7.5/(H88)*C95)+(10/H88*C96)+(10/H88*C97)+(5/H88*C98)+(5/H88*C99)+(5/H88*C100))/100)</f>
        <v>0.89444444444444438</v>
      </c>
      <c r="F91" s="115"/>
      <c r="G91" s="115">
        <f ca="1">((((C91/H88)*20)+((C92/H88)*25)+(30/(H88+F88+D88)*C93)+(5/H88*C94)+(5/H88*C95)+(5/H88*C96)+(5/H88*C97)+(0/H88*C98)+(0/H88*C99)+(5/H88*C100))/100)</f>
        <v>0.94444444444444442</v>
      </c>
      <c r="H91" s="115"/>
      <c r="I91" s="24" t="s">
        <v>136</v>
      </c>
      <c r="J91" s="40">
        <f ca="1">H88*50%</f>
        <v>4.5</v>
      </c>
      <c r="K91" s="38"/>
    </row>
    <row r="92" spans="1:11" hidden="1" x14ac:dyDescent="0.35">
      <c r="A92" s="121" t="s">
        <v>52</v>
      </c>
      <c r="B92" s="121"/>
      <c r="C92" s="41">
        <f ca="1">J100</f>
        <v>9</v>
      </c>
      <c r="D92" s="76">
        <f ca="1">((100/H88)*C92)/100</f>
        <v>1</v>
      </c>
      <c r="E92" s="115"/>
      <c r="F92" s="115"/>
      <c r="G92" s="115"/>
      <c r="H92" s="115"/>
      <c r="I92" s="24" t="s">
        <v>137</v>
      </c>
      <c r="J92" s="40">
        <f ca="1">H88</f>
        <v>9</v>
      </c>
      <c r="K92" s="42">
        <v>0.02</v>
      </c>
    </row>
    <row r="93" spans="1:11" hidden="1" x14ac:dyDescent="0.35">
      <c r="A93" s="121" t="s">
        <v>219</v>
      </c>
      <c r="B93" s="121"/>
      <c r="C93" s="41">
        <v>10</v>
      </c>
      <c r="D93" s="76">
        <f ca="1">((100/(D88+F88+H88))*C93)/100</f>
        <v>1</v>
      </c>
      <c r="E93" s="115"/>
      <c r="F93" s="115"/>
      <c r="G93" s="115"/>
      <c r="H93" s="115"/>
      <c r="I93" s="24" t="s">
        <v>138</v>
      </c>
      <c r="J93" s="43">
        <f ca="1">(IF(B88&gt;1,(H88/(B88+2)),H88/4))</f>
        <v>2.25</v>
      </c>
      <c r="K93" s="42">
        <v>0.04</v>
      </c>
    </row>
    <row r="94" spans="1:11" hidden="1" x14ac:dyDescent="0.35">
      <c r="A94" s="121" t="s">
        <v>206</v>
      </c>
      <c r="B94" s="121" t="s">
        <v>207</v>
      </c>
      <c r="C94" s="39">
        <v>9</v>
      </c>
      <c r="D94" s="76">
        <f ca="1">((100/H88)*C94)/100</f>
        <v>1</v>
      </c>
      <c r="E94" s="115"/>
      <c r="F94" s="115"/>
      <c r="G94" s="115"/>
      <c r="H94" s="115"/>
      <c r="I94" s="24" t="s">
        <v>139</v>
      </c>
      <c r="J94" s="43">
        <f ca="1">(IF(B88&gt;1,(H88/(B88+2)+J93),H88/4+J93))</f>
        <v>4.5</v>
      </c>
      <c r="K94" s="42">
        <v>0.08</v>
      </c>
    </row>
    <row r="95" spans="1:11" hidden="1" x14ac:dyDescent="0.35">
      <c r="A95" s="121" t="s">
        <v>208</v>
      </c>
      <c r="B95" s="121" t="s">
        <v>207</v>
      </c>
      <c r="C95" s="39">
        <v>9</v>
      </c>
      <c r="D95" s="76">
        <f ca="1">((100/H88)*C95)/100</f>
        <v>1</v>
      </c>
      <c r="E95" s="115"/>
      <c r="F95" s="115"/>
      <c r="G95" s="115"/>
      <c r="H95" s="115"/>
      <c r="I95" s="24" t="s">
        <v>209</v>
      </c>
      <c r="J95" s="43">
        <f>(IF(B88&gt;1,(H88/(B88+2)+J94),0))</f>
        <v>0</v>
      </c>
      <c r="K95" s="42">
        <v>0.15</v>
      </c>
    </row>
    <row r="96" spans="1:11" hidden="1" x14ac:dyDescent="0.35">
      <c r="A96" s="124" t="s">
        <v>210</v>
      </c>
      <c r="B96" s="124" t="s">
        <v>211</v>
      </c>
      <c r="C96" s="39">
        <v>9</v>
      </c>
      <c r="D96" s="76">
        <f ca="1">((100/(H88))*C96)/100</f>
        <v>1</v>
      </c>
      <c r="E96" s="115"/>
      <c r="F96" s="115"/>
      <c r="G96" s="115"/>
      <c r="H96" s="115"/>
      <c r="I96" s="24" t="s">
        <v>212</v>
      </c>
      <c r="J96" s="43">
        <f>(IF(B88&gt;2,(H88/(B88+2)+J95),0))</f>
        <v>0</v>
      </c>
      <c r="K96" s="42">
        <v>0.04</v>
      </c>
    </row>
    <row r="97" spans="1:14" hidden="1" x14ac:dyDescent="0.35">
      <c r="A97" s="121" t="s">
        <v>213</v>
      </c>
      <c r="B97" s="121" t="s">
        <v>213</v>
      </c>
      <c r="C97" s="39">
        <v>8</v>
      </c>
      <c r="D97" s="76">
        <f ca="1">((100/H88)*C97)/100</f>
        <v>0.88888888888888884</v>
      </c>
      <c r="E97" s="115"/>
      <c r="F97" s="115"/>
      <c r="G97" s="115"/>
      <c r="H97" s="115"/>
      <c r="I97" s="24" t="s">
        <v>214</v>
      </c>
      <c r="J97" s="44">
        <f>(IF(B88&gt;3,(H88/(B88+2)+J96),0))</f>
        <v>0</v>
      </c>
      <c r="K97" s="42">
        <v>0.08</v>
      </c>
    </row>
    <row r="98" spans="1:14" hidden="1" x14ac:dyDescent="0.35">
      <c r="A98" s="121" t="s">
        <v>215</v>
      </c>
      <c r="B98" s="121"/>
      <c r="C98" s="39">
        <v>8</v>
      </c>
      <c r="D98" s="76">
        <f ca="1">((100/H88)*C98)/100</f>
        <v>0.88888888888888884</v>
      </c>
      <c r="E98" s="115"/>
      <c r="F98" s="115"/>
      <c r="G98" s="115"/>
      <c r="H98" s="115"/>
      <c r="I98" s="24" t="s">
        <v>216</v>
      </c>
      <c r="J98" s="43">
        <f>(IF(B88&gt;4,(H88/(B88+2)+J97),0))</f>
        <v>0</v>
      </c>
      <c r="K98" s="42">
        <v>0.15</v>
      </c>
    </row>
    <row r="99" spans="1:14" ht="15" hidden="1" customHeight="1" x14ac:dyDescent="0.35">
      <c r="A99" s="121" t="s">
        <v>217</v>
      </c>
      <c r="B99" s="121" t="s">
        <v>217</v>
      </c>
      <c r="C99" s="39">
        <v>2</v>
      </c>
      <c r="D99" s="76">
        <f ca="1">((100/(H88))*C99)/100</f>
        <v>0.22222222222222221</v>
      </c>
      <c r="E99" s="115"/>
      <c r="F99" s="115"/>
      <c r="G99" s="115"/>
      <c r="H99" s="115"/>
      <c r="I99" s="24" t="s">
        <v>140</v>
      </c>
      <c r="J99" s="43">
        <f ca="1">(IF(B88=1,(H88/(B88+3)+J94),IF(B88=0,(H88/4+J94),IF(B88&gt;1,0))))</f>
        <v>6.75</v>
      </c>
      <c r="K99" s="42">
        <v>0.2</v>
      </c>
    </row>
    <row r="100" spans="1:14" ht="16" hidden="1" thickBot="1" x14ac:dyDescent="0.4">
      <c r="A100" s="121" t="s">
        <v>218</v>
      </c>
      <c r="B100" s="121"/>
      <c r="C100" s="39">
        <v>0</v>
      </c>
      <c r="D100" s="76">
        <f ca="1">((100/(H88))*C100)/100</f>
        <v>0</v>
      </c>
      <c r="E100" s="115"/>
      <c r="F100" s="115"/>
      <c r="G100" s="115"/>
      <c r="H100" s="115"/>
      <c r="I100" s="25" t="s">
        <v>141</v>
      </c>
      <c r="J100" s="45">
        <f ca="1">(IF(B88&gt;1.5,(H88/(B88+2)+J94+MAX(0,J95-J94)+MAX(0,J96-J95)+MAX(0,J97-J96)+MAX(0,J98-J97)+MAX(0,J99-J98)),IF(B88=1,(H88/(B88+3)+J99),IF(B88=0,H88/4+J99))))</f>
        <v>9</v>
      </c>
      <c r="K100" s="46">
        <v>0.3</v>
      </c>
    </row>
    <row r="101" spans="1:14" x14ac:dyDescent="0.35">
      <c r="A101" s="111" t="s">
        <v>156</v>
      </c>
      <c r="B101" s="111"/>
      <c r="C101" s="111"/>
      <c r="D101" s="111"/>
      <c r="E101" s="111"/>
      <c r="F101" s="111" t="s">
        <v>18</v>
      </c>
      <c r="G101" s="111"/>
      <c r="H101" s="111"/>
    </row>
    <row r="102" spans="1:14" x14ac:dyDescent="0.35">
      <c r="A102" s="110" t="s">
        <v>53</v>
      </c>
      <c r="B102" s="110"/>
      <c r="C102" s="110"/>
      <c r="D102" s="110"/>
      <c r="E102" s="110"/>
      <c r="F102" s="110"/>
      <c r="G102" s="110"/>
      <c r="H102" s="110"/>
    </row>
    <row r="103" spans="1:14" ht="15" customHeight="1" x14ac:dyDescent="0.35">
      <c r="A103" s="119" t="s">
        <v>106</v>
      </c>
      <c r="B103" s="119"/>
      <c r="C103" s="120" t="s">
        <v>107</v>
      </c>
      <c r="D103" s="120"/>
      <c r="E103" s="120"/>
      <c r="F103" s="120"/>
      <c r="G103" s="120"/>
      <c r="H103" s="120"/>
    </row>
    <row r="104" spans="1:14" x14ac:dyDescent="0.35">
      <c r="A104" s="125" t="s">
        <v>54</v>
      </c>
      <c r="B104" s="125"/>
      <c r="C104" s="125"/>
      <c r="D104" s="125"/>
      <c r="E104" s="125"/>
      <c r="F104" s="125"/>
      <c r="G104" s="125"/>
      <c r="H104" s="125"/>
    </row>
    <row r="105" spans="1:14" x14ac:dyDescent="0.35">
      <c r="A105" s="110" t="s">
        <v>108</v>
      </c>
      <c r="B105" s="110"/>
      <c r="C105" s="110"/>
      <c r="D105" s="110"/>
      <c r="E105" s="110"/>
      <c r="F105" s="111">
        <v>5500</v>
      </c>
      <c r="G105" s="111"/>
      <c r="H105" s="111"/>
      <c r="I105" s="67" t="s">
        <v>242</v>
      </c>
      <c r="J105" s="67" t="s">
        <v>243</v>
      </c>
      <c r="K105" s="68">
        <v>45236</v>
      </c>
      <c r="L105" s="67" t="s">
        <v>244</v>
      </c>
      <c r="M105" s="67"/>
    </row>
    <row r="106" spans="1:14" hidden="1" x14ac:dyDescent="0.35">
      <c r="A106" s="110" t="s">
        <v>113</v>
      </c>
      <c r="B106" s="110"/>
      <c r="C106" s="110"/>
      <c r="D106" s="110"/>
      <c r="E106" s="110"/>
      <c r="F106" s="111"/>
      <c r="G106" s="111"/>
      <c r="H106" s="111"/>
    </row>
    <row r="107" spans="1:14" hidden="1" x14ac:dyDescent="0.35">
      <c r="A107" s="110" t="s">
        <v>114</v>
      </c>
      <c r="B107" s="110"/>
      <c r="C107" s="110"/>
      <c r="D107" s="110"/>
      <c r="E107" s="110"/>
      <c r="F107" s="111"/>
      <c r="G107" s="111"/>
      <c r="H107" s="111"/>
    </row>
    <row r="108" spans="1:14" s="47" customFormat="1" hidden="1" x14ac:dyDescent="0.3">
      <c r="A108" s="110" t="s">
        <v>129</v>
      </c>
      <c r="B108" s="110"/>
      <c r="C108" s="110"/>
      <c r="D108" s="110"/>
      <c r="E108" s="110"/>
      <c r="F108" s="111" t="s">
        <v>30</v>
      </c>
      <c r="G108" s="111"/>
      <c r="H108" s="111"/>
    </row>
    <row r="109" spans="1:14" s="47" customFormat="1" x14ac:dyDescent="0.35">
      <c r="A109" s="110" t="s">
        <v>245</v>
      </c>
      <c r="B109" s="110"/>
      <c r="C109" s="110"/>
      <c r="D109" s="110"/>
      <c r="E109" s="110"/>
      <c r="F109" s="111" t="s">
        <v>246</v>
      </c>
      <c r="G109" s="111"/>
      <c r="H109" s="111"/>
      <c r="I109" s="67" t="s">
        <v>249</v>
      </c>
      <c r="J109" s="67" t="s">
        <v>250</v>
      </c>
      <c r="K109" s="68">
        <v>45434</v>
      </c>
      <c r="L109" s="67" t="s">
        <v>244</v>
      </c>
      <c r="N109" s="47" t="s">
        <v>251</v>
      </c>
    </row>
    <row r="110" spans="1:14" s="47" customFormat="1" hidden="1" x14ac:dyDescent="0.3">
      <c r="A110" s="110" t="s">
        <v>130</v>
      </c>
      <c r="B110" s="110"/>
      <c r="C110" s="110"/>
      <c r="D110" s="110"/>
      <c r="E110" s="110"/>
      <c r="F110" s="111" t="s">
        <v>30</v>
      </c>
      <c r="G110" s="111"/>
      <c r="H110" s="111"/>
    </row>
    <row r="111" spans="1:14" s="47" customFormat="1" hidden="1" x14ac:dyDescent="0.3">
      <c r="A111" s="110" t="s">
        <v>131</v>
      </c>
      <c r="B111" s="110"/>
      <c r="C111" s="110"/>
      <c r="D111" s="110"/>
      <c r="E111" s="110"/>
      <c r="F111" s="111" t="s">
        <v>30</v>
      </c>
      <c r="G111" s="111"/>
      <c r="H111" s="111"/>
    </row>
    <row r="112" spans="1:14" s="47" customFormat="1" hidden="1" x14ac:dyDescent="0.3">
      <c r="A112" s="110" t="s">
        <v>132</v>
      </c>
      <c r="B112" s="110"/>
      <c r="C112" s="110"/>
      <c r="D112" s="110"/>
      <c r="E112" s="110"/>
      <c r="F112" s="111" t="s">
        <v>30</v>
      </c>
      <c r="G112" s="111"/>
      <c r="H112" s="111"/>
    </row>
    <row r="113" spans="1:8" s="47" customFormat="1" hidden="1" x14ac:dyDescent="0.3">
      <c r="A113" s="110" t="s">
        <v>133</v>
      </c>
      <c r="B113" s="110"/>
      <c r="C113" s="110"/>
      <c r="D113" s="110"/>
      <c r="E113" s="110"/>
      <c r="F113" s="111" t="s">
        <v>30</v>
      </c>
      <c r="G113" s="111"/>
      <c r="H113" s="111"/>
    </row>
    <row r="114" spans="1:8" s="47" customFormat="1" hidden="1" x14ac:dyDescent="0.3">
      <c r="A114" s="110" t="s">
        <v>134</v>
      </c>
      <c r="B114" s="110"/>
      <c r="C114" s="110"/>
      <c r="D114" s="110"/>
      <c r="E114" s="110"/>
      <c r="F114" s="111" t="s">
        <v>30</v>
      </c>
      <c r="G114" s="111"/>
      <c r="H114" s="111"/>
    </row>
    <row r="115" spans="1:8" s="47" customFormat="1" hidden="1" x14ac:dyDescent="0.3">
      <c r="A115" s="110" t="s">
        <v>135</v>
      </c>
      <c r="B115" s="110"/>
      <c r="C115" s="110"/>
      <c r="D115" s="110"/>
      <c r="E115" s="110"/>
      <c r="F115" s="111" t="s">
        <v>30</v>
      </c>
      <c r="G115" s="111"/>
      <c r="H115" s="111"/>
    </row>
    <row r="116" spans="1:8" x14ac:dyDescent="0.35">
      <c r="A116" s="110" t="s">
        <v>55</v>
      </c>
      <c r="B116" s="110"/>
      <c r="C116" s="110"/>
      <c r="D116" s="110"/>
      <c r="E116" s="110"/>
      <c r="F116" s="113" t="s">
        <v>200</v>
      </c>
      <c r="G116" s="113"/>
      <c r="H116" s="113"/>
    </row>
    <row r="117" spans="1:8" s="48" customFormat="1" x14ac:dyDescent="0.35">
      <c r="A117" s="125" t="s">
        <v>56</v>
      </c>
      <c r="B117" s="125"/>
      <c r="C117" s="125"/>
      <c r="D117" s="125"/>
      <c r="E117" s="125"/>
      <c r="F117" s="111">
        <f>F105*0.8</f>
        <v>4400</v>
      </c>
      <c r="G117" s="111"/>
      <c r="H117" s="111"/>
    </row>
    <row r="118" spans="1:8" s="49" customFormat="1" x14ac:dyDescent="0.35">
      <c r="A118" s="133" t="s">
        <v>100</v>
      </c>
      <c r="B118" s="133"/>
      <c r="C118" s="133"/>
      <c r="D118" s="133"/>
      <c r="E118" s="133"/>
      <c r="F118" s="133"/>
      <c r="G118" s="133"/>
      <c r="H118" s="133"/>
    </row>
    <row r="119" spans="1:8" s="49" customFormat="1" ht="15.75" customHeight="1" x14ac:dyDescent="0.35">
      <c r="A119" s="112" t="s">
        <v>57</v>
      </c>
      <c r="B119" s="112"/>
      <c r="C119" s="146" t="s">
        <v>111</v>
      </c>
      <c r="D119" s="146"/>
      <c r="E119" s="139" t="s">
        <v>58</v>
      </c>
      <c r="F119" s="139"/>
      <c r="G119" s="112" t="s">
        <v>59</v>
      </c>
      <c r="H119" s="112"/>
    </row>
    <row r="120" spans="1:8" s="49" customFormat="1" ht="15.75" customHeight="1" x14ac:dyDescent="0.35">
      <c r="A120" s="116" t="s">
        <v>197</v>
      </c>
      <c r="B120" s="116"/>
      <c r="C120" s="117">
        <f>COUNT(D144:D147)*6+COUNT(D149:D152)+COUNT(D154:D157)+COUNT(D159:D162)</f>
        <v>36</v>
      </c>
      <c r="D120" s="117"/>
      <c r="E120" s="118">
        <f>SUM(D144:D147)*6+SUM(D149:D152)+SUM(D154:D157)+SUM(D159:D162)</f>
        <v>16556.108400000001</v>
      </c>
      <c r="F120" s="118"/>
      <c r="G120" s="118">
        <f>SUM(F144:F147)*6+SUM(F149:F152)+SUM(F154:F157)+SUM(F159:F162)</f>
        <v>24006.357179999999</v>
      </c>
      <c r="H120" s="118"/>
    </row>
    <row r="121" spans="1:8" s="49" customFormat="1" ht="15.75" customHeight="1" x14ac:dyDescent="0.35">
      <c r="A121" s="116" t="s">
        <v>198</v>
      </c>
      <c r="B121" s="116"/>
      <c r="C121" s="117">
        <f>COUNT(D166:D173)*6+COUNT(D175:D182)+COUNT(D184:D189,D191)+COUNT(D193:D200)</f>
        <v>71</v>
      </c>
      <c r="D121" s="117"/>
      <c r="E121" s="118">
        <f>SUM(D166:D173)*6+SUM(D175:D182)+SUM(D184:D189,D191)+SUM(D193:D200)</f>
        <v>29920.959900000002</v>
      </c>
      <c r="F121" s="118"/>
      <c r="G121" s="118">
        <f>SUM(F166:F173)*6+SUM(F175:F182)+SUM(F184:F189,F191)+SUM(F193:F200)</f>
        <v>43385.391855000002</v>
      </c>
      <c r="H121" s="118"/>
    </row>
    <row r="122" spans="1:8" s="49" customFormat="1" ht="15.75" customHeight="1" x14ac:dyDescent="0.35">
      <c r="A122" s="116" t="s">
        <v>176</v>
      </c>
      <c r="B122" s="116"/>
      <c r="C122" s="96">
        <f>COUNT(D204:D210)*4+COUNT(D212:D218)*4+COUNT(D220:D221,D223:D226)</f>
        <v>62</v>
      </c>
      <c r="D122" s="96"/>
      <c r="E122" s="97">
        <f t="shared" ref="E122" si="0">SUM(D204:D210)*4+SUM(D212:D218)*4+SUM(D220:D221,D223:D226)</f>
        <v>28296.026459999997</v>
      </c>
      <c r="F122" s="97"/>
      <c r="G122" s="97">
        <f>SUM(F204:F210)*4+SUM(F212:F218)*4+SUM(F220:F221,F223:F226)</f>
        <v>41029.238366999998</v>
      </c>
      <c r="H122" s="97"/>
    </row>
    <row r="123" spans="1:8" s="49" customFormat="1" ht="15.75" customHeight="1" thickBot="1" x14ac:dyDescent="0.4">
      <c r="A123" s="98" t="s">
        <v>177</v>
      </c>
      <c r="B123" s="98"/>
      <c r="C123" s="99">
        <f>COUNT(D238:D245)*4+COUNT(D247:D254)*4+COUNT(D256:D262)</f>
        <v>71</v>
      </c>
      <c r="D123" s="99"/>
      <c r="E123" s="100">
        <f t="shared" ref="E123" si="1">SUM(D238:D245)*4+SUM(D247:D254)*4+SUM(D256:D262)</f>
        <v>25694.663669999998</v>
      </c>
      <c r="F123" s="100"/>
      <c r="G123" s="100">
        <f>SUM(F238:F245)*4+SUM(F247:F254)*4+SUM(F256:F262)</f>
        <v>37257.262321499991</v>
      </c>
      <c r="H123" s="100"/>
    </row>
    <row r="124" spans="1:8" s="49" customFormat="1" ht="16" thickBot="1" x14ac:dyDescent="0.4">
      <c r="A124" s="131" t="s">
        <v>61</v>
      </c>
      <c r="B124" s="132"/>
      <c r="C124" s="134">
        <f>SUM(C120:C123)</f>
        <v>240</v>
      </c>
      <c r="D124" s="134"/>
      <c r="E124" s="135">
        <f>SUM(E120:E123)</f>
        <v>100467.75842999999</v>
      </c>
      <c r="F124" s="136"/>
      <c r="G124" s="132">
        <f>SUM(G120:G123)</f>
        <v>145678.24972349999</v>
      </c>
      <c r="H124" s="137"/>
    </row>
    <row r="125" spans="1:8" s="48" customFormat="1" x14ac:dyDescent="0.35">
      <c r="A125" s="145" t="s">
        <v>62</v>
      </c>
      <c r="B125" s="145"/>
      <c r="C125" s="145"/>
      <c r="D125" s="145"/>
      <c r="E125" s="145"/>
      <c r="F125" s="145"/>
      <c r="G125" s="145"/>
      <c r="H125" s="145"/>
    </row>
    <row r="126" spans="1:8" x14ac:dyDescent="0.35">
      <c r="A126" s="144" t="s">
        <v>63</v>
      </c>
      <c r="B126" s="144"/>
      <c r="C126" s="144"/>
      <c r="D126" s="144"/>
      <c r="E126" s="144"/>
      <c r="F126" s="144"/>
      <c r="G126" s="144"/>
      <c r="H126" s="144"/>
    </row>
    <row r="127" spans="1:8" ht="47.25" hidden="1" customHeight="1" x14ac:dyDescent="0.35">
      <c r="A127" s="101" t="s">
        <v>161</v>
      </c>
      <c r="B127" s="101" t="s">
        <v>160</v>
      </c>
      <c r="C127" s="101" t="s">
        <v>64</v>
      </c>
      <c r="D127" s="101" t="s">
        <v>65</v>
      </c>
      <c r="E127" s="108" t="s">
        <v>66</v>
      </c>
      <c r="F127" s="30" t="s">
        <v>157</v>
      </c>
      <c r="G127" s="103" t="s">
        <v>67</v>
      </c>
      <c r="H127" s="147"/>
    </row>
    <row r="128" spans="1:8" s="50" customFormat="1" hidden="1" x14ac:dyDescent="0.35">
      <c r="A128" s="102"/>
      <c r="B128" s="102"/>
      <c r="C128" s="102"/>
      <c r="D128" s="102"/>
      <c r="E128" s="109"/>
      <c r="F128" s="20">
        <v>0.6</v>
      </c>
      <c r="G128" s="104"/>
      <c r="H128" s="148"/>
    </row>
    <row r="129" spans="1:23" s="50" customFormat="1" hidden="1" x14ac:dyDescent="0.35">
      <c r="A129" s="105" t="s">
        <v>159</v>
      </c>
      <c r="B129" s="106"/>
      <c r="C129" s="106"/>
      <c r="D129" s="106"/>
      <c r="E129" s="106"/>
      <c r="F129" s="106"/>
      <c r="G129" s="106"/>
      <c r="H129" s="107"/>
    </row>
    <row r="130" spans="1:23" s="50" customFormat="1" hidden="1" x14ac:dyDescent="0.35">
      <c r="A130" s="93">
        <v>1</v>
      </c>
      <c r="B130" s="94"/>
      <c r="C130" s="26"/>
      <c r="D130" s="26"/>
      <c r="E130" s="26"/>
      <c r="F130" s="26">
        <f>D130*(($F$128)+1)+E130</f>
        <v>0</v>
      </c>
      <c r="G130" s="93" t="str">
        <f>A129</f>
        <v>Ground Floor</v>
      </c>
      <c r="H130" s="94"/>
      <c r="I130" s="51"/>
      <c r="S130" s="85"/>
      <c r="T130" s="85"/>
      <c r="U130" s="51"/>
    </row>
    <row r="131" spans="1:23" s="50" customFormat="1" hidden="1" x14ac:dyDescent="0.35">
      <c r="A131" s="93">
        <f>A130+1</f>
        <v>2</v>
      </c>
      <c r="B131" s="94"/>
      <c r="C131" s="26"/>
      <c r="D131" s="26"/>
      <c r="E131" s="26"/>
      <c r="F131" s="26">
        <f t="shared" ref="F131:F132" si="2">D131*(($F$128)+1)+E131</f>
        <v>0</v>
      </c>
      <c r="G131" s="93" t="str">
        <f t="shared" ref="G131:G136" si="3">G130</f>
        <v>Ground Floor</v>
      </c>
      <c r="H131" s="94"/>
      <c r="I131" s="51"/>
      <c r="S131" s="85"/>
      <c r="T131" s="85"/>
      <c r="U131" s="51"/>
    </row>
    <row r="132" spans="1:23" s="50" customFormat="1" hidden="1" x14ac:dyDescent="0.35">
      <c r="A132" s="93">
        <f t="shared" ref="A132:A134" si="4">A131+1</f>
        <v>3</v>
      </c>
      <c r="B132" s="94"/>
      <c r="C132" s="26"/>
      <c r="D132" s="26"/>
      <c r="E132" s="26"/>
      <c r="F132" s="26">
        <f t="shared" si="2"/>
        <v>0</v>
      </c>
      <c r="G132" s="93" t="str">
        <f t="shared" si="3"/>
        <v>Ground Floor</v>
      </c>
      <c r="H132" s="94"/>
      <c r="I132" s="51"/>
      <c r="S132" s="85"/>
      <c r="T132" s="85"/>
      <c r="U132" s="51"/>
    </row>
    <row r="133" spans="1:23" s="50" customFormat="1" hidden="1" x14ac:dyDescent="0.35">
      <c r="A133" s="93">
        <f t="shared" si="4"/>
        <v>4</v>
      </c>
      <c r="B133" s="94"/>
      <c r="C133" s="26"/>
      <c r="D133" s="26"/>
      <c r="E133" s="26"/>
      <c r="F133" s="26">
        <f t="shared" ref="F133:F134" si="5">D133*(($F$128)+1)+E133</f>
        <v>0</v>
      </c>
      <c r="G133" s="93" t="str">
        <f t="shared" si="3"/>
        <v>Ground Floor</v>
      </c>
      <c r="H133" s="94"/>
      <c r="I133" s="51"/>
      <c r="S133" s="85"/>
      <c r="T133" s="85"/>
      <c r="U133" s="51"/>
    </row>
    <row r="134" spans="1:23" s="50" customFormat="1" hidden="1" x14ac:dyDescent="0.35">
      <c r="A134" s="93">
        <f t="shared" si="4"/>
        <v>5</v>
      </c>
      <c r="B134" s="94"/>
      <c r="C134" s="26"/>
      <c r="D134" s="26"/>
      <c r="E134" s="26"/>
      <c r="F134" s="26">
        <f t="shared" si="5"/>
        <v>0</v>
      </c>
      <c r="G134" s="93" t="str">
        <f t="shared" si="3"/>
        <v>Ground Floor</v>
      </c>
      <c r="H134" s="94"/>
      <c r="I134" s="51"/>
      <c r="S134" s="85"/>
      <c r="T134" s="85"/>
      <c r="U134" s="51"/>
    </row>
    <row r="135" spans="1:23" s="50" customFormat="1" hidden="1" x14ac:dyDescent="0.35">
      <c r="A135" s="93">
        <f t="shared" ref="A135:A136" si="6">A134+1</f>
        <v>6</v>
      </c>
      <c r="B135" s="94"/>
      <c r="C135" s="26"/>
      <c r="D135" s="26"/>
      <c r="E135" s="26"/>
      <c r="F135" s="26">
        <f t="shared" ref="F135:F136" si="7">D135*(($F$128)+1)+E135</f>
        <v>0</v>
      </c>
      <c r="G135" s="93" t="str">
        <f t="shared" si="3"/>
        <v>Ground Floor</v>
      </c>
      <c r="H135" s="94"/>
      <c r="I135" s="51"/>
      <c r="S135" s="85"/>
      <c r="T135" s="85"/>
      <c r="U135" s="51"/>
    </row>
    <row r="136" spans="1:23" s="50" customFormat="1" hidden="1" x14ac:dyDescent="0.35">
      <c r="A136" s="93">
        <f t="shared" si="6"/>
        <v>7</v>
      </c>
      <c r="B136" s="94"/>
      <c r="C136" s="26"/>
      <c r="D136" s="26"/>
      <c r="E136" s="26"/>
      <c r="F136" s="26">
        <f t="shared" si="7"/>
        <v>0</v>
      </c>
      <c r="G136" s="93" t="str">
        <f t="shared" si="3"/>
        <v>Ground Floor</v>
      </c>
      <c r="H136" s="94"/>
      <c r="I136" s="51"/>
      <c r="S136" s="85"/>
      <c r="T136" s="85"/>
      <c r="U136" s="51"/>
    </row>
    <row r="137" spans="1:23" s="50" customFormat="1" hidden="1" x14ac:dyDescent="0.35">
      <c r="A137" s="93"/>
      <c r="B137" s="95"/>
      <c r="C137" s="95"/>
      <c r="D137" s="95"/>
      <c r="E137" s="95"/>
      <c r="F137" s="95"/>
      <c r="G137" s="95"/>
      <c r="H137" s="94"/>
      <c r="I137" s="51"/>
      <c r="U137" s="51"/>
    </row>
    <row r="138" spans="1:23" ht="47.25" customHeight="1" x14ac:dyDescent="0.35">
      <c r="A138" s="103" t="s">
        <v>162</v>
      </c>
      <c r="B138" s="103" t="s">
        <v>163</v>
      </c>
      <c r="C138" s="101" t="s">
        <v>64</v>
      </c>
      <c r="D138" s="101" t="s">
        <v>65</v>
      </c>
      <c r="E138" s="108" t="s">
        <v>66</v>
      </c>
      <c r="F138" s="30" t="s">
        <v>157</v>
      </c>
      <c r="G138" s="103" t="s">
        <v>67</v>
      </c>
      <c r="H138" s="147"/>
      <c r="I138" s="51"/>
    </row>
    <row r="139" spans="1:23" s="50" customFormat="1" x14ac:dyDescent="0.35">
      <c r="A139" s="104"/>
      <c r="B139" s="104"/>
      <c r="C139" s="102"/>
      <c r="D139" s="102"/>
      <c r="E139" s="109"/>
      <c r="F139" s="20">
        <v>0.45</v>
      </c>
      <c r="G139" s="104"/>
      <c r="H139" s="148"/>
      <c r="I139" s="51"/>
    </row>
    <row r="140" spans="1:23" s="50" customFormat="1" x14ac:dyDescent="0.35">
      <c r="A140" s="92" t="s">
        <v>201</v>
      </c>
      <c r="B140" s="92"/>
      <c r="C140" s="92"/>
      <c r="D140" s="92"/>
      <c r="E140" s="92"/>
      <c r="F140" s="92"/>
      <c r="G140" s="92"/>
      <c r="H140" s="92"/>
      <c r="I140" s="51"/>
    </row>
    <row r="141" spans="1:23" s="50" customFormat="1" x14ac:dyDescent="0.35">
      <c r="A141" s="92" t="s">
        <v>174</v>
      </c>
      <c r="B141" s="92"/>
      <c r="C141" s="92"/>
      <c r="D141" s="92"/>
      <c r="E141" s="92"/>
      <c r="F141" s="92"/>
      <c r="G141" s="92"/>
      <c r="H141" s="92"/>
      <c r="I141" s="51"/>
    </row>
    <row r="142" spans="1:23" s="50" customFormat="1" x14ac:dyDescent="0.35">
      <c r="A142" s="92" t="s">
        <v>178</v>
      </c>
      <c r="B142" s="92"/>
      <c r="C142" s="92"/>
      <c r="D142" s="92"/>
      <c r="E142" s="92"/>
      <c r="F142" s="92"/>
      <c r="G142" s="92"/>
      <c r="H142" s="92"/>
      <c r="I142" s="51"/>
    </row>
    <row r="143" spans="1:23" s="50" customFormat="1" ht="15.75" customHeight="1" x14ac:dyDescent="0.35">
      <c r="A143" s="105" t="s">
        <v>179</v>
      </c>
      <c r="B143" s="106"/>
      <c r="C143" s="106"/>
      <c r="D143" s="106"/>
      <c r="E143" s="106"/>
      <c r="F143" s="106"/>
      <c r="G143" s="106"/>
      <c r="H143" s="107"/>
      <c r="I143" s="51"/>
      <c r="S143" s="85" t="s">
        <v>158</v>
      </c>
      <c r="T143" s="85"/>
      <c r="V143" s="50" t="str">
        <f>LEFT(A143,SUM(LEN(A143)-LEN(SUBSTITUTE(A143,{"0","1","2","3","4","5","6","7","8","9"},""))))</f>
        <v xml:space="preserve">1st </v>
      </c>
      <c r="W143" s="52">
        <f ca="1">--TRIM(RIGHT(SUBSTITUTE(LEFT(A143,_xlfn.AGGREGATE(16,6,FIND({0,1,2,3,4,5,6,7,8,9},A143,ROW(INDIRECT("1:"&amp;LEN(A143)))),1))," ",REPT(" ",LEN(A143))),LEN(A143)))</f>
        <v>7</v>
      </c>
    </row>
    <row r="144" spans="1:23" s="50" customFormat="1" ht="15.75" customHeight="1" x14ac:dyDescent="0.35">
      <c r="A144" s="93">
        <v>1</v>
      </c>
      <c r="B144" s="94"/>
      <c r="C144" s="26" t="s">
        <v>180</v>
      </c>
      <c r="D144" s="26">
        <f>(28.59+(2.75+2.75)*0.9+(2.75+2.15+2.75)*0.75)*10.764</f>
        <v>422.78300999999999</v>
      </c>
      <c r="E144" s="26">
        <v>0</v>
      </c>
      <c r="F144" s="26">
        <f t="shared" ref="F144:F147" si="8">D144*(($F$139)+1)+E144</f>
        <v>613.03536450000001</v>
      </c>
      <c r="G144" s="79" t="str">
        <f>A143</f>
        <v>1st to 4th, 6th &amp; 7th Floor for Residential</v>
      </c>
      <c r="H144" s="80"/>
      <c r="I144" s="51">
        <f>2200000/F144</f>
        <v>3588.6999794772851</v>
      </c>
      <c r="J144" s="50">
        <f>2.75*3.5+2.15*2.6+2.75*2.75+1.65*1.2+0.9*1.35+0.9*0.5+0.9*0.7+2.15*0.9</f>
        <v>28.987499999999997</v>
      </c>
      <c r="S144" s="85" t="e">
        <f ca="1">V144&amp;""&amp;#REF!&amp;""&amp;W144</f>
        <v>#REF!</v>
      </c>
      <c r="T144" s="85"/>
      <c r="U144" s="51">
        <v>1</v>
      </c>
      <c r="V144" s="50">
        <f ca="1">(SUMPRODUCT(MID(0&amp;V143, LARGE(INDEX(ISNUMBER(--MID(V143, ROW(INDIRECT("1:"&amp;LEN(V143))), 1)) * ROW(INDIRECT("1:"&amp;LEN(V143))), 0), ROW(INDIRECT("1:"&amp;LEN(V143))))+1, 1) * 10^ROW(INDIRECT("1:"&amp;LEN(V143)))/10))*U144*100+1</f>
        <v>101</v>
      </c>
      <c r="W144" s="50">
        <f ca="1">(SUMPRODUCT(MID(0&amp;W143, LARGE(INDEX(ISNUMBER(--MID(W143, ROW(INDIRECT("1:"&amp;LEN(W143))), 1)) * ROW(INDIRECT("1:"&amp;LEN(W143))), 0), ROW(INDIRECT("1:"&amp;LEN(W143))))+1, 1) * 10^ROW(INDIRECT("1:"&amp;LEN(W143)))/10))*U144*100+1</f>
        <v>701</v>
      </c>
    </row>
    <row r="145" spans="1:23" s="50" customFormat="1" ht="15.75" customHeight="1" x14ac:dyDescent="0.35">
      <c r="A145" s="93">
        <v>2</v>
      </c>
      <c r="B145" s="94"/>
      <c r="C145" s="26" t="s">
        <v>181</v>
      </c>
      <c r="D145" s="26">
        <f>(42.26+2.75*0.9+(2.75+2.75+3.2+2.45)*0.75)*10.764</f>
        <v>571.54148999999995</v>
      </c>
      <c r="E145" s="26">
        <v>0</v>
      </c>
      <c r="F145" s="26">
        <f t="shared" si="8"/>
        <v>828.73516049999989</v>
      </c>
      <c r="G145" s="81"/>
      <c r="H145" s="82"/>
      <c r="I145" s="51">
        <f>3400000/F145</f>
        <v>4102.6375639096595</v>
      </c>
      <c r="S145" s="85" t="e">
        <f ca="1">V145&amp;""&amp;#REF!&amp;""&amp;W145</f>
        <v>#REF!</v>
      </c>
      <c r="T145" s="85"/>
      <c r="U145" s="51">
        <f t="shared" ref="U145:W145" si="9">U144+1</f>
        <v>2</v>
      </c>
      <c r="V145" s="50">
        <f t="shared" ca="1" si="9"/>
        <v>102</v>
      </c>
      <c r="W145" s="50">
        <f t="shared" ca="1" si="9"/>
        <v>702</v>
      </c>
    </row>
    <row r="146" spans="1:23" s="50" customFormat="1" ht="15.75" customHeight="1" x14ac:dyDescent="0.35">
      <c r="A146" s="93">
        <v>3</v>
      </c>
      <c r="B146" s="94"/>
      <c r="C146" s="26" t="s">
        <v>180</v>
      </c>
      <c r="D146" s="26">
        <f>(29.1+(2.75+2.75)*0.9+(2.75+2.15+2.75)*0.75)*10.764</f>
        <v>428.27265000000006</v>
      </c>
      <c r="E146" s="26">
        <v>0</v>
      </c>
      <c r="F146" s="26">
        <f t="shared" si="8"/>
        <v>620.99534250000011</v>
      </c>
      <c r="G146" s="81"/>
      <c r="H146" s="82"/>
      <c r="I146" s="51">
        <f t="shared" ref="I146:I147" si="10">2200000/F146</f>
        <v>3542.6996781380844</v>
      </c>
      <c r="S146" s="85" t="e">
        <f ca="1">V146&amp;""&amp;#REF!&amp;""&amp;W146</f>
        <v>#REF!</v>
      </c>
      <c r="T146" s="85"/>
      <c r="U146" s="51">
        <f t="shared" ref="U146:W146" si="11">U145+1</f>
        <v>3</v>
      </c>
      <c r="V146" s="50">
        <f t="shared" ca="1" si="11"/>
        <v>103</v>
      </c>
      <c r="W146" s="50">
        <f t="shared" ca="1" si="11"/>
        <v>703</v>
      </c>
    </row>
    <row r="147" spans="1:23" s="50" customFormat="1" ht="15.75" customHeight="1" x14ac:dyDescent="0.35">
      <c r="A147" s="93">
        <v>4</v>
      </c>
      <c r="B147" s="94"/>
      <c r="C147" s="26" t="s">
        <v>180</v>
      </c>
      <c r="D147" s="26">
        <f>(28.05+2.75*0.9*2+(2.75+2.15+2.75)*0.75)*10.764</f>
        <v>416.97044999999997</v>
      </c>
      <c r="E147" s="26">
        <v>0</v>
      </c>
      <c r="F147" s="26">
        <f t="shared" si="8"/>
        <v>604.60715249999998</v>
      </c>
      <c r="G147" s="83"/>
      <c r="H147" s="84"/>
      <c r="I147" s="51">
        <f t="shared" si="10"/>
        <v>3638.7263877100759</v>
      </c>
      <c r="S147" s="85" t="e">
        <f ca="1">V147&amp;""&amp;#REF!&amp;""&amp;W147</f>
        <v>#REF!</v>
      </c>
      <c r="T147" s="85"/>
      <c r="U147" s="51">
        <f t="shared" ref="U147:W147" si="12">U146+1</f>
        <v>4</v>
      </c>
      <c r="V147" s="50">
        <f t="shared" ca="1" si="12"/>
        <v>104</v>
      </c>
      <c r="W147" s="50">
        <f t="shared" ca="1" si="12"/>
        <v>704</v>
      </c>
    </row>
    <row r="148" spans="1:23" s="50" customFormat="1" ht="15.75" customHeight="1" x14ac:dyDescent="0.35">
      <c r="A148" s="105" t="s">
        <v>182</v>
      </c>
      <c r="B148" s="106"/>
      <c r="C148" s="106"/>
      <c r="D148" s="106"/>
      <c r="E148" s="106"/>
      <c r="F148" s="106"/>
      <c r="G148" s="106"/>
      <c r="H148" s="107"/>
      <c r="I148" s="51"/>
      <c r="S148" s="85" t="s">
        <v>158</v>
      </c>
      <c r="T148" s="85"/>
      <c r="V148" s="50" t="str">
        <f>LEFT(A148,SUM(LEN(A148)-LEN(SUBSTITUTE(A148,{"0","1","2","3","4","5","6","7","8","9"},""))))</f>
        <v>5</v>
      </c>
      <c r="W148" s="52">
        <f ca="1">--TRIM(RIGHT(SUBSTITUTE(LEFT(A148,_xlfn.AGGREGATE(16,6,FIND({0,1,2,3,4,5,6,7,8,9},A148,ROW(INDIRECT("1:"&amp;LEN(A148)))),1))," ",REPT(" ",LEN(A148))),LEN(A148)))</f>
        <v>5</v>
      </c>
    </row>
    <row r="149" spans="1:23" s="50" customFormat="1" x14ac:dyDescent="0.35">
      <c r="A149" s="93">
        <v>1</v>
      </c>
      <c r="B149" s="94"/>
      <c r="C149" s="26" t="s">
        <v>180</v>
      </c>
      <c r="D149" s="26">
        <f>(28.59+(2.75+2.75)*0.9+(2.75+2.15+2.75)*0.75)*10.764</f>
        <v>422.78300999999999</v>
      </c>
      <c r="E149" s="26">
        <v>0</v>
      </c>
      <c r="F149" s="26">
        <f t="shared" ref="F149:F152" si="13">D149*(($F$139)+1)+E149</f>
        <v>613.03536450000001</v>
      </c>
      <c r="G149" s="79" t="str">
        <f>A148</f>
        <v>5th Floor</v>
      </c>
      <c r="H149" s="80"/>
      <c r="I149" s="51"/>
      <c r="S149" s="85" t="e">
        <f ca="1">V149&amp;""&amp;#REF!&amp;""&amp;W149</f>
        <v>#REF!</v>
      </c>
      <c r="T149" s="85"/>
      <c r="U149" s="51">
        <v>1</v>
      </c>
      <c r="V149" s="50">
        <f ca="1">(SUMPRODUCT(MID(0&amp;V148, LARGE(INDEX(ISNUMBER(--MID(V148, ROW(INDIRECT("1:"&amp;LEN(V148))), 1)) * ROW(INDIRECT("1:"&amp;LEN(V148))), 0), ROW(INDIRECT("1:"&amp;LEN(V148))))+1, 1) * 10^ROW(INDIRECT("1:"&amp;LEN(V148)))/10))*U149*100+1</f>
        <v>501</v>
      </c>
      <c r="W149" s="50">
        <f ca="1">(SUMPRODUCT(MID(0&amp;W148, LARGE(INDEX(ISNUMBER(--MID(W148, ROW(INDIRECT("1:"&amp;LEN(W148))), 1)) * ROW(INDIRECT("1:"&amp;LEN(W148))), 0), ROW(INDIRECT("1:"&amp;LEN(W148))))+1, 1) * 10^ROW(INDIRECT("1:"&amp;LEN(W148)))/10))*U149*100+1</f>
        <v>501</v>
      </c>
    </row>
    <row r="150" spans="1:23" s="50" customFormat="1" x14ac:dyDescent="0.35">
      <c r="A150" s="93">
        <v>2</v>
      </c>
      <c r="B150" s="94"/>
      <c r="C150" s="26" t="s">
        <v>181</v>
      </c>
      <c r="D150" s="26">
        <f>(42.26+2.75*0.9+(2.75+2.75+3.2+2.45)*0.75)*10.764</f>
        <v>571.54148999999995</v>
      </c>
      <c r="E150" s="26">
        <v>0</v>
      </c>
      <c r="F150" s="26">
        <f t="shared" si="13"/>
        <v>828.73516049999989</v>
      </c>
      <c r="G150" s="81"/>
      <c r="H150" s="82"/>
      <c r="I150" s="51"/>
      <c r="S150" s="85" t="e">
        <f ca="1">V150&amp;""&amp;#REF!&amp;""&amp;W150</f>
        <v>#REF!</v>
      </c>
      <c r="T150" s="85"/>
      <c r="U150" s="51">
        <f t="shared" ref="U150:W150" si="14">U149+1</f>
        <v>2</v>
      </c>
      <c r="V150" s="50">
        <f t="shared" ca="1" si="14"/>
        <v>502</v>
      </c>
      <c r="W150" s="50">
        <f t="shared" ca="1" si="14"/>
        <v>502</v>
      </c>
    </row>
    <row r="151" spans="1:23" s="50" customFormat="1" x14ac:dyDescent="0.35">
      <c r="A151" s="93">
        <v>3</v>
      </c>
      <c r="B151" s="94"/>
      <c r="C151" s="26" t="s">
        <v>180</v>
      </c>
      <c r="D151" s="26">
        <f>(29.1+(2.75+2.75)*0.9+(2.75+2.15+2.75)*0.75)*10.764</f>
        <v>428.27265000000006</v>
      </c>
      <c r="E151" s="26">
        <v>0</v>
      </c>
      <c r="F151" s="26">
        <f t="shared" si="13"/>
        <v>620.99534250000011</v>
      </c>
      <c r="G151" s="81"/>
      <c r="H151" s="82"/>
      <c r="I151" s="51"/>
      <c r="S151" s="85" t="e">
        <f ca="1">V151&amp;""&amp;#REF!&amp;""&amp;W151</f>
        <v>#REF!</v>
      </c>
      <c r="T151" s="85"/>
      <c r="U151" s="51">
        <f t="shared" ref="U151:W151" si="15">U150+1</f>
        <v>3</v>
      </c>
      <c r="V151" s="50">
        <f t="shared" ca="1" si="15"/>
        <v>503</v>
      </c>
      <c r="W151" s="50">
        <f t="shared" ca="1" si="15"/>
        <v>503</v>
      </c>
    </row>
    <row r="152" spans="1:23" s="50" customFormat="1" x14ac:dyDescent="0.35">
      <c r="A152" s="93">
        <v>4</v>
      </c>
      <c r="B152" s="94"/>
      <c r="C152" s="26" t="s">
        <v>180</v>
      </c>
      <c r="D152" s="26">
        <f>(28.05+2.75*0.9*2+(2.75+2.15+2.75)*0.75)*10.764</f>
        <v>416.97044999999997</v>
      </c>
      <c r="E152" s="26">
        <v>0</v>
      </c>
      <c r="F152" s="26">
        <f t="shared" si="13"/>
        <v>604.60715249999998</v>
      </c>
      <c r="G152" s="83"/>
      <c r="H152" s="84"/>
      <c r="I152" s="51"/>
      <c r="S152" s="85" t="e">
        <f ca="1">V152&amp;""&amp;#REF!&amp;""&amp;W152</f>
        <v>#REF!</v>
      </c>
      <c r="T152" s="85"/>
      <c r="U152" s="51">
        <f t="shared" ref="U152:W152" si="16">U151+1</f>
        <v>4</v>
      </c>
      <c r="V152" s="50">
        <f t="shared" ca="1" si="16"/>
        <v>504</v>
      </c>
      <c r="W152" s="50">
        <f t="shared" ca="1" si="16"/>
        <v>504</v>
      </c>
    </row>
    <row r="153" spans="1:23" s="65" customFormat="1" ht="15.75" customHeight="1" x14ac:dyDescent="0.35">
      <c r="A153" s="105" t="s">
        <v>229</v>
      </c>
      <c r="B153" s="106"/>
      <c r="C153" s="106"/>
      <c r="D153" s="106"/>
      <c r="E153" s="106"/>
      <c r="F153" s="106"/>
      <c r="G153" s="106"/>
      <c r="H153" s="107"/>
      <c r="I153" s="51"/>
      <c r="S153" s="85" t="s">
        <v>158</v>
      </c>
      <c r="T153" s="85"/>
      <c r="V153" s="65" t="str">
        <f>LEFT(A153,SUM(LEN(A153)-LEN(SUBSTITUTE(A153,{"0","1","2","3","4","5","6","7","8","9"},""))))</f>
        <v>8</v>
      </c>
      <c r="W153" s="52">
        <f ca="1">--TRIM(RIGHT(SUBSTITUTE(LEFT(A153,_xlfn.AGGREGATE(16,6,FIND({0,1,2,3,4,5,6,7,8,9},A153,ROW(INDIRECT("1:"&amp;LEN(A153)))),1))," ",REPT(" ",LEN(A153))),LEN(A153)))</f>
        <v>8</v>
      </c>
    </row>
    <row r="154" spans="1:23" s="65" customFormat="1" x14ac:dyDescent="0.35">
      <c r="A154" s="93">
        <v>1</v>
      </c>
      <c r="B154" s="94"/>
      <c r="C154" s="66" t="s">
        <v>180</v>
      </c>
      <c r="D154" s="66">
        <f>(28.59+(2.75+2.75)*0.9+(2.75+2.15+2.75)*0.75)*10.764</f>
        <v>422.78300999999999</v>
      </c>
      <c r="E154" s="66">
        <v>0</v>
      </c>
      <c r="F154" s="66">
        <f t="shared" ref="F154:F157" si="17">D154*(($F$139)+1)+E154</f>
        <v>613.03536450000001</v>
      </c>
      <c r="G154" s="79" t="str">
        <f>A153</f>
        <v>8th Floor (Part Refuge Area)</v>
      </c>
      <c r="H154" s="80"/>
      <c r="I154" s="51"/>
      <c r="S154" s="85" t="e">
        <f ca="1">V154&amp;""&amp;#REF!&amp;""&amp;W154</f>
        <v>#REF!</v>
      </c>
      <c r="T154" s="85"/>
      <c r="U154" s="51">
        <v>1</v>
      </c>
      <c r="V154" s="65">
        <f ca="1">(SUMPRODUCT(MID(0&amp;V153, LARGE(INDEX(ISNUMBER(--MID(V153, ROW(INDIRECT("1:"&amp;LEN(V153))), 1)) * ROW(INDIRECT("1:"&amp;LEN(V153))), 0), ROW(INDIRECT("1:"&amp;LEN(V153))))+1, 1) * 10^ROW(INDIRECT("1:"&amp;LEN(V153)))/10))*U154*100+1</f>
        <v>801</v>
      </c>
      <c r="W154" s="65">
        <f ca="1">(SUMPRODUCT(MID(0&amp;W153, LARGE(INDEX(ISNUMBER(--MID(W153, ROW(INDIRECT("1:"&amp;LEN(W153))), 1)) * ROW(INDIRECT("1:"&amp;LEN(W153))), 0), ROW(INDIRECT("1:"&amp;LEN(W153))))+1, 1) * 10^ROW(INDIRECT("1:"&amp;LEN(W153)))/10))*U154*100+1</f>
        <v>801</v>
      </c>
    </row>
    <row r="155" spans="1:23" s="65" customFormat="1" x14ac:dyDescent="0.35">
      <c r="A155" s="93">
        <v>2</v>
      </c>
      <c r="B155" s="94"/>
      <c r="C155" s="66" t="s">
        <v>181</v>
      </c>
      <c r="D155" s="66">
        <f>(42.26+2.75*0.9+(2.75+2.75+3.2+2.45)*0.75)*10.764</f>
        <v>571.54148999999995</v>
      </c>
      <c r="E155" s="66">
        <v>0</v>
      </c>
      <c r="F155" s="66">
        <f t="shared" si="17"/>
        <v>828.73516049999989</v>
      </c>
      <c r="G155" s="81"/>
      <c r="H155" s="82"/>
      <c r="I155" s="51"/>
      <c r="S155" s="85" t="e">
        <f ca="1">V155&amp;""&amp;#REF!&amp;""&amp;W155</f>
        <v>#REF!</v>
      </c>
      <c r="T155" s="85"/>
      <c r="U155" s="51">
        <f t="shared" ref="U155:W155" si="18">U154+1</f>
        <v>2</v>
      </c>
      <c r="V155" s="65">
        <f t="shared" ca="1" si="18"/>
        <v>802</v>
      </c>
      <c r="W155" s="65">
        <f t="shared" ca="1" si="18"/>
        <v>802</v>
      </c>
    </row>
    <row r="156" spans="1:23" s="65" customFormat="1" x14ac:dyDescent="0.35">
      <c r="A156" s="93">
        <v>3</v>
      </c>
      <c r="B156" s="94"/>
      <c r="C156" s="66" t="s">
        <v>180</v>
      </c>
      <c r="D156" s="66">
        <f>(29.1+(2.75+2.75)*0.9+(2.75+2.15+2.75)*0.75)*10.764</f>
        <v>428.27265000000006</v>
      </c>
      <c r="E156" s="66">
        <v>0</v>
      </c>
      <c r="F156" s="66">
        <f t="shared" si="17"/>
        <v>620.99534250000011</v>
      </c>
      <c r="G156" s="81"/>
      <c r="H156" s="82"/>
      <c r="I156" s="51"/>
      <c r="S156" s="85" t="e">
        <f ca="1">V156&amp;""&amp;#REF!&amp;""&amp;W156</f>
        <v>#REF!</v>
      </c>
      <c r="T156" s="85"/>
      <c r="U156" s="51">
        <f t="shared" ref="U156:W156" si="19">U155+1</f>
        <v>3</v>
      </c>
      <c r="V156" s="65">
        <f t="shared" ca="1" si="19"/>
        <v>803</v>
      </c>
      <c r="W156" s="65">
        <f t="shared" ca="1" si="19"/>
        <v>803</v>
      </c>
    </row>
    <row r="157" spans="1:23" s="65" customFormat="1" x14ac:dyDescent="0.35">
      <c r="A157" s="93">
        <v>4</v>
      </c>
      <c r="B157" s="94"/>
      <c r="C157" s="66" t="s">
        <v>180</v>
      </c>
      <c r="D157" s="66">
        <f>(28.05+2.75*0.9*2+(2.75+2.15+2.75)*0.75)*10.764</f>
        <v>416.97044999999997</v>
      </c>
      <c r="E157" s="66">
        <v>0</v>
      </c>
      <c r="F157" s="66">
        <f t="shared" si="17"/>
        <v>604.60715249999998</v>
      </c>
      <c r="G157" s="83"/>
      <c r="H157" s="84"/>
      <c r="I157" s="51"/>
      <c r="S157" s="85" t="e">
        <f ca="1">V157&amp;""&amp;#REF!&amp;""&amp;W157</f>
        <v>#REF!</v>
      </c>
      <c r="T157" s="85"/>
      <c r="U157" s="51">
        <f t="shared" ref="U157:W157" si="20">U156+1</f>
        <v>4</v>
      </c>
      <c r="V157" s="65">
        <f t="shared" ca="1" si="20"/>
        <v>804</v>
      </c>
      <c r="W157" s="65">
        <f t="shared" ca="1" si="20"/>
        <v>804</v>
      </c>
    </row>
    <row r="158" spans="1:23" s="65" customFormat="1" ht="15.75" customHeight="1" x14ac:dyDescent="0.35">
      <c r="A158" s="105" t="s">
        <v>237</v>
      </c>
      <c r="B158" s="106"/>
      <c r="C158" s="106"/>
      <c r="D158" s="106"/>
      <c r="E158" s="106"/>
      <c r="F158" s="106"/>
      <c r="G158" s="106"/>
      <c r="H158" s="107"/>
      <c r="I158" s="51"/>
      <c r="S158" s="85" t="s">
        <v>158</v>
      </c>
      <c r="T158" s="85"/>
      <c r="V158" s="65" t="str">
        <f>LEFT(A158,SUM(LEN(A158)-LEN(SUBSTITUTE(A158,{"0","1","2","3","4","5","6","7","8","9"},""))))</f>
        <v>9</v>
      </c>
      <c r="W158" s="52">
        <f ca="1">--TRIM(RIGHT(SUBSTITUTE(LEFT(A158,_xlfn.AGGREGATE(16,6,FIND({0,1,2,3,4,5,6,7,8,9},A158,ROW(INDIRECT("1:"&amp;LEN(A158)))),1))," ",REPT(" ",LEN(A158))),LEN(A158)))</f>
        <v>9</v>
      </c>
    </row>
    <row r="159" spans="1:23" s="65" customFormat="1" x14ac:dyDescent="0.35">
      <c r="A159" s="93">
        <v>1</v>
      </c>
      <c r="B159" s="94"/>
      <c r="C159" s="66" t="s">
        <v>180</v>
      </c>
      <c r="D159" s="66">
        <f>(28.59+(2.75+2.75)*0.9+(2.75+2.15+2.75)*0.75)*10.764</f>
        <v>422.78300999999999</v>
      </c>
      <c r="E159" s="66">
        <v>0</v>
      </c>
      <c r="F159" s="66">
        <f t="shared" ref="F159:F162" si="21">D159*(($F$139)+1)+E159</f>
        <v>613.03536450000001</v>
      </c>
      <c r="G159" s="79" t="str">
        <f>A158</f>
        <v>9th Floor</v>
      </c>
      <c r="H159" s="80"/>
      <c r="I159" s="51"/>
      <c r="S159" s="85" t="e">
        <f ca="1">V159&amp;""&amp;#REF!&amp;""&amp;W159</f>
        <v>#REF!</v>
      </c>
      <c r="T159" s="85"/>
      <c r="U159" s="51">
        <v>1</v>
      </c>
      <c r="V159" s="65">
        <f ca="1">(SUMPRODUCT(MID(0&amp;V158, LARGE(INDEX(ISNUMBER(--MID(V158, ROW(INDIRECT("1:"&amp;LEN(V158))), 1)) * ROW(INDIRECT("1:"&amp;LEN(V158))), 0), ROW(INDIRECT("1:"&amp;LEN(V158))))+1, 1) * 10^ROW(INDIRECT("1:"&amp;LEN(V158)))/10))*U159*100+1</f>
        <v>901</v>
      </c>
      <c r="W159" s="65">
        <f ca="1">(SUMPRODUCT(MID(0&amp;W158, LARGE(INDEX(ISNUMBER(--MID(W158, ROW(INDIRECT("1:"&amp;LEN(W158))), 1)) * ROW(INDIRECT("1:"&amp;LEN(W158))), 0), ROW(INDIRECT("1:"&amp;LEN(W158))))+1, 1) * 10^ROW(INDIRECT("1:"&amp;LEN(W158)))/10))*U159*100+1</f>
        <v>901</v>
      </c>
    </row>
    <row r="160" spans="1:23" s="65" customFormat="1" x14ac:dyDescent="0.35">
      <c r="A160" s="93">
        <v>2</v>
      </c>
      <c r="B160" s="94"/>
      <c r="C160" s="66" t="s">
        <v>181</v>
      </c>
      <c r="D160" s="66">
        <f>(42.26+2.75*0.9+(2.75+2.75+3.2+2.45)*0.75)*10.764</f>
        <v>571.54148999999995</v>
      </c>
      <c r="E160" s="66">
        <v>0</v>
      </c>
      <c r="F160" s="66">
        <f t="shared" si="21"/>
        <v>828.73516049999989</v>
      </c>
      <c r="G160" s="81"/>
      <c r="H160" s="82"/>
      <c r="I160" s="51"/>
      <c r="S160" s="85" t="e">
        <f ca="1">V160&amp;""&amp;#REF!&amp;""&amp;W160</f>
        <v>#REF!</v>
      </c>
      <c r="T160" s="85"/>
      <c r="U160" s="51">
        <f t="shared" ref="U160:W160" si="22">U159+1</f>
        <v>2</v>
      </c>
      <c r="V160" s="65">
        <f t="shared" ca="1" si="22"/>
        <v>902</v>
      </c>
      <c r="W160" s="65">
        <f t="shared" ca="1" si="22"/>
        <v>902</v>
      </c>
    </row>
    <row r="161" spans="1:23" s="65" customFormat="1" x14ac:dyDescent="0.35">
      <c r="A161" s="93">
        <v>3</v>
      </c>
      <c r="B161" s="94"/>
      <c r="C161" s="66" t="s">
        <v>180</v>
      </c>
      <c r="D161" s="66">
        <f>(29.1+(2.75+2.75)*0.9+(2.75+2.15+2.75)*0.75)*10.764</f>
        <v>428.27265000000006</v>
      </c>
      <c r="E161" s="66">
        <v>0</v>
      </c>
      <c r="F161" s="66">
        <f t="shared" si="21"/>
        <v>620.99534250000011</v>
      </c>
      <c r="G161" s="81"/>
      <c r="H161" s="82"/>
      <c r="I161" s="51"/>
      <c r="S161" s="85" t="e">
        <f ca="1">V161&amp;""&amp;#REF!&amp;""&amp;W161</f>
        <v>#REF!</v>
      </c>
      <c r="T161" s="85"/>
      <c r="U161" s="51">
        <f t="shared" ref="U161:W161" si="23">U160+1</f>
        <v>3</v>
      </c>
      <c r="V161" s="65">
        <f t="shared" ca="1" si="23"/>
        <v>903</v>
      </c>
      <c r="W161" s="65">
        <f t="shared" ca="1" si="23"/>
        <v>903</v>
      </c>
    </row>
    <row r="162" spans="1:23" s="65" customFormat="1" x14ac:dyDescent="0.35">
      <c r="A162" s="93">
        <v>4</v>
      </c>
      <c r="B162" s="94"/>
      <c r="C162" s="66" t="s">
        <v>180</v>
      </c>
      <c r="D162" s="66">
        <f>(28.05+2.75*0.9*2+(2.75+2.15+2.75)*0.75)*10.764</f>
        <v>416.97044999999997</v>
      </c>
      <c r="E162" s="66">
        <v>0</v>
      </c>
      <c r="F162" s="66">
        <f t="shared" si="21"/>
        <v>604.60715249999998</v>
      </c>
      <c r="G162" s="83"/>
      <c r="H162" s="84"/>
      <c r="I162" s="51"/>
      <c r="S162" s="85" t="e">
        <f ca="1">V162&amp;""&amp;#REF!&amp;""&amp;W162</f>
        <v>#REF!</v>
      </c>
      <c r="T162" s="85"/>
      <c r="U162" s="51">
        <f t="shared" ref="U162:W162" si="24">U161+1</f>
        <v>4</v>
      </c>
      <c r="V162" s="65">
        <f t="shared" ca="1" si="24"/>
        <v>904</v>
      </c>
      <c r="W162" s="65">
        <f t="shared" ca="1" si="24"/>
        <v>904</v>
      </c>
    </row>
    <row r="163" spans="1:23" s="50" customFormat="1" x14ac:dyDescent="0.35">
      <c r="A163" s="92" t="s">
        <v>175</v>
      </c>
      <c r="B163" s="92"/>
      <c r="C163" s="92"/>
      <c r="D163" s="92"/>
      <c r="E163" s="92"/>
      <c r="F163" s="92"/>
      <c r="G163" s="92"/>
      <c r="H163" s="92"/>
      <c r="I163" s="51"/>
    </row>
    <row r="164" spans="1:23" s="50" customFormat="1" x14ac:dyDescent="0.35">
      <c r="A164" s="92" t="s">
        <v>178</v>
      </c>
      <c r="B164" s="92"/>
      <c r="C164" s="92"/>
      <c r="D164" s="92"/>
      <c r="E164" s="92"/>
      <c r="F164" s="92"/>
      <c r="G164" s="92"/>
      <c r="H164" s="92"/>
      <c r="I164" s="51"/>
    </row>
    <row r="165" spans="1:23" s="50" customFormat="1" ht="15.75" customHeight="1" x14ac:dyDescent="0.35">
      <c r="A165" s="92" t="s">
        <v>179</v>
      </c>
      <c r="B165" s="92"/>
      <c r="C165" s="92"/>
      <c r="D165" s="92"/>
      <c r="E165" s="92"/>
      <c r="F165" s="92"/>
      <c r="G165" s="92"/>
      <c r="H165" s="92"/>
      <c r="I165" s="51"/>
      <c r="S165" s="85" t="s">
        <v>158</v>
      </c>
      <c r="T165" s="85"/>
      <c r="V165" s="50" t="str">
        <f>LEFT(A165,SUM(LEN(A165)-LEN(SUBSTITUTE(A165,{"0","1","2","3","4","5","6","7","8","9"},""))))</f>
        <v xml:space="preserve">1st </v>
      </c>
      <c r="W165" s="52">
        <f ca="1">--TRIM(RIGHT(SUBSTITUTE(LEFT(A165,_xlfn.AGGREGATE(16,6,FIND({0,1,2,3,4,5,6,7,8,9},A165,ROW(INDIRECT("1:"&amp;LEN(A165)))),1))," ",REPT(" ",LEN(A165))),LEN(A165)))</f>
        <v>7</v>
      </c>
    </row>
    <row r="166" spans="1:23" s="50" customFormat="1" ht="15.75" customHeight="1" x14ac:dyDescent="0.35">
      <c r="A166" s="78">
        <v>1</v>
      </c>
      <c r="B166" s="78"/>
      <c r="C166" s="72" t="s">
        <v>180</v>
      </c>
      <c r="D166" s="72">
        <f>(31.74+2.75*0.9+(2.75+2.3+1.62)*0.75)*10.764</f>
        <v>422.13716999999991</v>
      </c>
      <c r="E166" s="72">
        <v>0</v>
      </c>
      <c r="F166" s="72">
        <f t="shared" ref="F166:F172" si="25">D166*(($F$139)+1)+E166</f>
        <v>612.09889649999991</v>
      </c>
      <c r="G166" s="78" t="str">
        <f>A165</f>
        <v>1st to 4th, 6th &amp; 7th Floor for Residential</v>
      </c>
      <c r="H166" s="78"/>
      <c r="I166" s="51"/>
      <c r="S166" s="85" t="e">
        <f ca="1">V166&amp;""&amp;#REF!&amp;""&amp;W166</f>
        <v>#REF!</v>
      </c>
      <c r="T166" s="85"/>
      <c r="U166" s="51">
        <v>1</v>
      </c>
      <c r="V166" s="50">
        <f ca="1">(SUMPRODUCT(MID(0&amp;V165, LARGE(INDEX(ISNUMBER(--MID(V165, ROW(INDIRECT("1:"&amp;LEN(V165))), 1)) * ROW(INDIRECT("1:"&amp;LEN(V165))), 0), ROW(INDIRECT("1:"&amp;LEN(V165))))+1, 1) * 10^ROW(INDIRECT("1:"&amp;LEN(V165)))/10))*U166*100+1</f>
        <v>101</v>
      </c>
      <c r="W166" s="50">
        <f ca="1">(SUMPRODUCT(MID(0&amp;W165, LARGE(INDEX(ISNUMBER(--MID(W165, ROW(INDIRECT("1:"&amp;LEN(W165))), 1)) * ROW(INDIRECT("1:"&amp;LEN(W165))), 0), ROW(INDIRECT("1:"&amp;LEN(W165))))+1, 1) * 10^ROW(INDIRECT("1:"&amp;LEN(W165)))/10))*U166*100+1</f>
        <v>701</v>
      </c>
    </row>
    <row r="167" spans="1:23" s="50" customFormat="1" ht="15.75" customHeight="1" x14ac:dyDescent="0.35">
      <c r="A167" s="78">
        <v>2</v>
      </c>
      <c r="B167" s="78"/>
      <c r="C167" s="72" t="s">
        <v>180</v>
      </c>
      <c r="D167" s="72">
        <f>(28.59+(2.75+2.75)*0.9+(2.75+2.15+2.75)*0.75)*10.764</f>
        <v>422.78300999999999</v>
      </c>
      <c r="E167" s="72">
        <v>0</v>
      </c>
      <c r="F167" s="72">
        <f t="shared" si="25"/>
        <v>613.03536450000001</v>
      </c>
      <c r="G167" s="78"/>
      <c r="H167" s="78"/>
      <c r="I167" s="51"/>
      <c r="S167" s="85" t="e">
        <f ca="1">V167&amp;""&amp;#REF!&amp;""&amp;W167</f>
        <v>#REF!</v>
      </c>
      <c r="T167" s="85"/>
      <c r="U167" s="51">
        <f t="shared" ref="U167:W167" si="26">U166+1</f>
        <v>2</v>
      </c>
      <c r="V167" s="50">
        <f t="shared" ca="1" si="26"/>
        <v>102</v>
      </c>
      <c r="W167" s="50">
        <f t="shared" ca="1" si="26"/>
        <v>702</v>
      </c>
    </row>
    <row r="168" spans="1:23" s="50" customFormat="1" ht="15.75" customHeight="1" x14ac:dyDescent="0.35">
      <c r="A168" s="78">
        <v>3</v>
      </c>
      <c r="B168" s="78"/>
      <c r="C168" s="72" t="s">
        <v>180</v>
      </c>
      <c r="D168" s="72">
        <f>(28.59+(2.75+2.75)*0.9+(2.75+2.15+2.75)*0.75)*10.764</f>
        <v>422.78300999999999</v>
      </c>
      <c r="E168" s="72">
        <v>0</v>
      </c>
      <c r="F168" s="72">
        <f t="shared" si="25"/>
        <v>613.03536450000001</v>
      </c>
      <c r="G168" s="78"/>
      <c r="H168" s="78"/>
      <c r="I168" s="51"/>
      <c r="S168" s="85" t="e">
        <f ca="1">V168&amp;""&amp;#REF!&amp;""&amp;W168</f>
        <v>#REF!</v>
      </c>
      <c r="T168" s="85"/>
      <c r="U168" s="51">
        <f t="shared" ref="U168:W168" si="27">U167+1</f>
        <v>3</v>
      </c>
      <c r="V168" s="50">
        <f t="shared" ca="1" si="27"/>
        <v>103</v>
      </c>
      <c r="W168" s="50">
        <f t="shared" ca="1" si="27"/>
        <v>703</v>
      </c>
    </row>
    <row r="169" spans="1:23" s="50" customFormat="1" ht="15.75" customHeight="1" x14ac:dyDescent="0.35">
      <c r="A169" s="78">
        <v>4</v>
      </c>
      <c r="B169" s="78"/>
      <c r="C169" s="72" t="s">
        <v>180</v>
      </c>
      <c r="D169" s="72">
        <f>(29.94+2.75*0.9+(2.75+2.5+2.75)*0.75)*10.764</f>
        <v>413.49905999999999</v>
      </c>
      <c r="E169" s="72">
        <v>0</v>
      </c>
      <c r="F169" s="72">
        <f t="shared" si="25"/>
        <v>599.57363699999996</v>
      </c>
      <c r="G169" s="78"/>
      <c r="H169" s="78"/>
      <c r="I169" s="51"/>
      <c r="S169" s="85" t="e">
        <f ca="1">V169&amp;""&amp;#REF!&amp;""&amp;W169</f>
        <v>#REF!</v>
      </c>
      <c r="T169" s="85"/>
      <c r="U169" s="51">
        <f t="shared" ref="U169:W169" si="28">U168+1</f>
        <v>4</v>
      </c>
      <c r="V169" s="50">
        <f t="shared" ca="1" si="28"/>
        <v>104</v>
      </c>
      <c r="W169" s="50">
        <f t="shared" ca="1" si="28"/>
        <v>704</v>
      </c>
    </row>
    <row r="170" spans="1:23" s="50" customFormat="1" ht="15.75" customHeight="1" x14ac:dyDescent="0.35">
      <c r="A170" s="78">
        <v>5</v>
      </c>
      <c r="B170" s="78"/>
      <c r="C170" s="72" t="s">
        <v>180</v>
      </c>
      <c r="D170" s="72">
        <f>(29.94+2.75*0.9+(2.75+2.5+2.75)*0.75)*10.764</f>
        <v>413.49905999999999</v>
      </c>
      <c r="E170" s="72">
        <v>0</v>
      </c>
      <c r="F170" s="72">
        <f t="shared" si="25"/>
        <v>599.57363699999996</v>
      </c>
      <c r="G170" s="78"/>
      <c r="H170" s="78"/>
      <c r="I170" s="51"/>
      <c r="S170" s="85" t="e">
        <f ca="1">V170&amp;""&amp;#REF!&amp;""&amp;W170</f>
        <v>#REF!</v>
      </c>
      <c r="T170" s="85"/>
      <c r="U170" s="51">
        <f t="shared" ref="U170:W170" si="29">U169+1</f>
        <v>5</v>
      </c>
      <c r="V170" s="50">
        <f t="shared" ca="1" si="29"/>
        <v>105</v>
      </c>
      <c r="W170" s="50">
        <f t="shared" ca="1" si="29"/>
        <v>705</v>
      </c>
    </row>
    <row r="171" spans="1:23" s="50" customFormat="1" ht="15.75" customHeight="1" x14ac:dyDescent="0.35">
      <c r="A171" s="78">
        <v>6</v>
      </c>
      <c r="B171" s="78"/>
      <c r="C171" s="72" t="s">
        <v>180</v>
      </c>
      <c r="D171" s="72">
        <f>(28.59+(2.75+2.75)*0.9+(2.75+2.15+2.75)*0.75)*10.764</f>
        <v>422.78300999999999</v>
      </c>
      <c r="E171" s="72">
        <v>0</v>
      </c>
      <c r="F171" s="72">
        <f t="shared" si="25"/>
        <v>613.03536450000001</v>
      </c>
      <c r="G171" s="78"/>
      <c r="H171" s="78"/>
      <c r="I171" s="51"/>
      <c r="S171" s="85" t="e">
        <f ca="1">V171&amp;""&amp;#REF!&amp;""&amp;W171</f>
        <v>#REF!</v>
      </c>
      <c r="T171" s="85"/>
      <c r="U171" s="51">
        <f t="shared" ref="U171:W171" si="30">U170+1</f>
        <v>6</v>
      </c>
      <c r="V171" s="50">
        <f t="shared" ca="1" si="30"/>
        <v>106</v>
      </c>
      <c r="W171" s="50">
        <f t="shared" ca="1" si="30"/>
        <v>706</v>
      </c>
    </row>
    <row r="172" spans="1:23" s="50" customFormat="1" ht="15.75" customHeight="1" x14ac:dyDescent="0.35">
      <c r="A172" s="78">
        <v>7</v>
      </c>
      <c r="B172" s="78"/>
      <c r="C172" s="72" t="s">
        <v>180</v>
      </c>
      <c r="D172" s="72">
        <f>(28.59+(2.75+2.75)*0.9+(2.75+2.15+2.75)*0.75)*10.764</f>
        <v>422.78300999999999</v>
      </c>
      <c r="E172" s="72">
        <v>0</v>
      </c>
      <c r="F172" s="72">
        <f t="shared" si="25"/>
        <v>613.03536450000001</v>
      </c>
      <c r="G172" s="78"/>
      <c r="H172" s="78"/>
      <c r="I172" s="51"/>
      <c r="S172" s="85" t="e">
        <f ca="1">V172&amp;""&amp;#REF!&amp;""&amp;W172</f>
        <v>#REF!</v>
      </c>
      <c r="T172" s="85"/>
      <c r="U172" s="51">
        <f t="shared" ref="U172:W173" si="31">U171+1</f>
        <v>7</v>
      </c>
      <c r="V172" s="50">
        <f t="shared" ca="1" si="31"/>
        <v>107</v>
      </c>
      <c r="W172" s="50">
        <f t="shared" ca="1" si="31"/>
        <v>707</v>
      </c>
    </row>
    <row r="173" spans="1:23" s="50" customFormat="1" ht="15.75" customHeight="1" x14ac:dyDescent="0.35">
      <c r="A173" s="78">
        <v>8</v>
      </c>
      <c r="B173" s="78"/>
      <c r="C173" s="72" t="s">
        <v>180</v>
      </c>
      <c r="D173" s="72">
        <f>(31.74+2.75*0.9+(2.75+2.3+2.75)*0.75)*10.764</f>
        <v>431.25965999999994</v>
      </c>
      <c r="E173" s="72">
        <v>0</v>
      </c>
      <c r="F173" s="72">
        <f t="shared" ref="F173" si="32">D173*(($F$139)+1)+E173</f>
        <v>625.32650699999988</v>
      </c>
      <c r="G173" s="78"/>
      <c r="H173" s="78"/>
      <c r="I173" s="51"/>
      <c r="S173" s="85" t="e">
        <f ca="1">V173&amp;""&amp;#REF!&amp;""&amp;W173</f>
        <v>#REF!</v>
      </c>
      <c r="T173" s="85"/>
      <c r="U173" s="51">
        <f t="shared" si="31"/>
        <v>8</v>
      </c>
      <c r="V173" s="50">
        <f t="shared" ca="1" si="31"/>
        <v>108</v>
      </c>
      <c r="W173" s="50">
        <f t="shared" ca="1" si="31"/>
        <v>708</v>
      </c>
    </row>
    <row r="174" spans="1:23" s="50" customFormat="1" ht="15.75" customHeight="1" x14ac:dyDescent="0.35">
      <c r="A174" s="105" t="s">
        <v>182</v>
      </c>
      <c r="B174" s="106"/>
      <c r="C174" s="106"/>
      <c r="D174" s="106"/>
      <c r="E174" s="106"/>
      <c r="F174" s="106"/>
      <c r="G174" s="106"/>
      <c r="H174" s="107"/>
      <c r="I174" s="51"/>
      <c r="S174" s="85" t="s">
        <v>158</v>
      </c>
      <c r="T174" s="85"/>
      <c r="V174" s="50" t="str">
        <f>LEFT(A174,SUM(LEN(A174)-LEN(SUBSTITUTE(A174,{"0","1","2","3","4","5","6","7","8","9"},""))))</f>
        <v>5</v>
      </c>
      <c r="W174" s="52">
        <f ca="1">--TRIM(RIGHT(SUBSTITUTE(LEFT(A174,_xlfn.AGGREGATE(16,6,FIND({0,1,2,3,4,5,6,7,8,9},A174,ROW(INDIRECT("1:"&amp;LEN(A174)))),1))," ",REPT(" ",LEN(A174))),LEN(A174)))</f>
        <v>5</v>
      </c>
    </row>
    <row r="175" spans="1:23" s="50" customFormat="1" ht="15.75" customHeight="1" x14ac:dyDescent="0.35">
      <c r="A175" s="93">
        <v>1</v>
      </c>
      <c r="B175" s="94"/>
      <c r="C175" s="26" t="s">
        <v>180</v>
      </c>
      <c r="D175" s="26">
        <f>(31.74+2.75*0.9+(2.75+2.3+1.62)*0.75)*10.764</f>
        <v>422.13716999999991</v>
      </c>
      <c r="E175" s="26">
        <v>0</v>
      </c>
      <c r="F175" s="26">
        <f t="shared" ref="F175:F182" si="33">D175*(($F$139)+1)+E175</f>
        <v>612.09889649999991</v>
      </c>
      <c r="G175" s="79" t="str">
        <f>A174</f>
        <v>5th Floor</v>
      </c>
      <c r="H175" s="80"/>
      <c r="I175" s="51"/>
      <c r="S175" s="85" t="e">
        <f ca="1">V175&amp;""&amp;#REF!&amp;""&amp;W175</f>
        <v>#REF!</v>
      </c>
      <c r="T175" s="85"/>
      <c r="U175" s="51">
        <v>1</v>
      </c>
      <c r="V175" s="50">
        <f ca="1">(SUMPRODUCT(MID(0&amp;V174, LARGE(INDEX(ISNUMBER(--MID(V174, ROW(INDIRECT("1:"&amp;LEN(V174))), 1)) * ROW(INDIRECT("1:"&amp;LEN(V174))), 0), ROW(INDIRECT("1:"&amp;LEN(V174))))+1, 1) * 10^ROW(INDIRECT("1:"&amp;LEN(V174)))/10))*U175*100+1</f>
        <v>501</v>
      </c>
      <c r="W175" s="50">
        <f ca="1">(SUMPRODUCT(MID(0&amp;W174, LARGE(INDEX(ISNUMBER(--MID(W174, ROW(INDIRECT("1:"&amp;LEN(W174))), 1)) * ROW(INDIRECT("1:"&amp;LEN(W174))), 0), ROW(INDIRECT("1:"&amp;LEN(W174))))+1, 1) * 10^ROW(INDIRECT("1:"&amp;LEN(W174)))/10))*U175*100+1</f>
        <v>501</v>
      </c>
    </row>
    <row r="176" spans="1:23" s="50" customFormat="1" ht="15.75" customHeight="1" x14ac:dyDescent="0.35">
      <c r="A176" s="93">
        <v>2</v>
      </c>
      <c r="B176" s="94"/>
      <c r="C176" s="26" t="s">
        <v>180</v>
      </c>
      <c r="D176" s="26">
        <f>(28.59+(2.75+2.75)*0.9+(2.75+2.15+2.75)*0.75)*10.764</f>
        <v>422.78300999999999</v>
      </c>
      <c r="E176" s="26">
        <v>0</v>
      </c>
      <c r="F176" s="26">
        <f t="shared" si="33"/>
        <v>613.03536450000001</v>
      </c>
      <c r="G176" s="81"/>
      <c r="H176" s="82"/>
      <c r="I176" s="51"/>
      <c r="S176" s="85" t="e">
        <f ca="1">V176&amp;""&amp;#REF!&amp;""&amp;W176</f>
        <v>#REF!</v>
      </c>
      <c r="T176" s="85"/>
      <c r="U176" s="51">
        <f t="shared" ref="U176:W176" si="34">U175+1</f>
        <v>2</v>
      </c>
      <c r="V176" s="50">
        <f t="shared" ca="1" si="34"/>
        <v>502</v>
      </c>
      <c r="W176" s="50">
        <f t="shared" ca="1" si="34"/>
        <v>502</v>
      </c>
    </row>
    <row r="177" spans="1:23" s="50" customFormat="1" ht="15.75" customHeight="1" x14ac:dyDescent="0.35">
      <c r="A177" s="93">
        <v>3</v>
      </c>
      <c r="B177" s="94"/>
      <c r="C177" s="26" t="s">
        <v>180</v>
      </c>
      <c r="D177" s="26">
        <f>(28.59+(2.75+2.75)*0.9+(2.75+2.15+2.75)*0.75)*10.764</f>
        <v>422.78300999999999</v>
      </c>
      <c r="E177" s="26">
        <v>0</v>
      </c>
      <c r="F177" s="26">
        <f t="shared" si="33"/>
        <v>613.03536450000001</v>
      </c>
      <c r="G177" s="81"/>
      <c r="H177" s="82"/>
      <c r="I177" s="51"/>
      <c r="S177" s="85" t="e">
        <f ca="1">V177&amp;""&amp;#REF!&amp;""&amp;W177</f>
        <v>#REF!</v>
      </c>
      <c r="T177" s="85"/>
      <c r="U177" s="51">
        <f t="shared" ref="U177:W177" si="35">U176+1</f>
        <v>3</v>
      </c>
      <c r="V177" s="50">
        <f t="shared" ca="1" si="35"/>
        <v>503</v>
      </c>
      <c r="W177" s="50">
        <f t="shared" ca="1" si="35"/>
        <v>503</v>
      </c>
    </row>
    <row r="178" spans="1:23" s="50" customFormat="1" ht="15.75" customHeight="1" x14ac:dyDescent="0.35">
      <c r="A178" s="93">
        <v>4</v>
      </c>
      <c r="B178" s="94"/>
      <c r="C178" s="26" t="s">
        <v>180</v>
      </c>
      <c r="D178" s="26">
        <f>(29.94+2.75*0.9+(2.75+2.5+2.75)*0.75)*10.764</f>
        <v>413.49905999999999</v>
      </c>
      <c r="E178" s="26">
        <v>0</v>
      </c>
      <c r="F178" s="26">
        <f t="shared" si="33"/>
        <v>599.57363699999996</v>
      </c>
      <c r="G178" s="81"/>
      <c r="H178" s="82"/>
      <c r="I178" s="51"/>
      <c r="S178" s="85" t="e">
        <f ca="1">V178&amp;""&amp;#REF!&amp;""&amp;W178</f>
        <v>#REF!</v>
      </c>
      <c r="T178" s="85"/>
      <c r="U178" s="51">
        <f t="shared" ref="U178:W178" si="36">U177+1</f>
        <v>4</v>
      </c>
      <c r="V178" s="50">
        <f t="shared" ca="1" si="36"/>
        <v>504</v>
      </c>
      <c r="W178" s="50">
        <f t="shared" ca="1" si="36"/>
        <v>504</v>
      </c>
    </row>
    <row r="179" spans="1:23" s="50" customFormat="1" ht="15.75" customHeight="1" x14ac:dyDescent="0.35">
      <c r="A179" s="93">
        <v>5</v>
      </c>
      <c r="B179" s="94"/>
      <c r="C179" s="26" t="s">
        <v>180</v>
      </c>
      <c r="D179" s="26">
        <f>(29.94+2.75*0.9+(2.75+2.5+2.75)*0.75)*10.764</f>
        <v>413.49905999999999</v>
      </c>
      <c r="E179" s="26">
        <v>0</v>
      </c>
      <c r="F179" s="26">
        <f t="shared" si="33"/>
        <v>599.57363699999996</v>
      </c>
      <c r="G179" s="81"/>
      <c r="H179" s="82"/>
      <c r="I179" s="51"/>
      <c r="S179" s="85" t="e">
        <f ca="1">V179&amp;""&amp;#REF!&amp;""&amp;W179</f>
        <v>#REF!</v>
      </c>
      <c r="T179" s="85"/>
      <c r="U179" s="51">
        <f t="shared" ref="U179:W179" si="37">U178+1</f>
        <v>5</v>
      </c>
      <c r="V179" s="50">
        <f t="shared" ca="1" si="37"/>
        <v>505</v>
      </c>
      <c r="W179" s="50">
        <f t="shared" ca="1" si="37"/>
        <v>505</v>
      </c>
    </row>
    <row r="180" spans="1:23" s="50" customFormat="1" ht="15.75" customHeight="1" x14ac:dyDescent="0.35">
      <c r="A180" s="93">
        <v>6</v>
      </c>
      <c r="B180" s="94"/>
      <c r="C180" s="26" t="s">
        <v>180</v>
      </c>
      <c r="D180" s="26">
        <f>(28.59+(2.75+2.75)*0.9+(2.75+2.15+2.75)*0.75)*10.764</f>
        <v>422.78300999999999</v>
      </c>
      <c r="E180" s="26">
        <v>0</v>
      </c>
      <c r="F180" s="26">
        <f t="shared" si="33"/>
        <v>613.03536450000001</v>
      </c>
      <c r="G180" s="81"/>
      <c r="H180" s="82"/>
      <c r="I180" s="51"/>
      <c r="S180" s="85" t="e">
        <f ca="1">V180&amp;""&amp;#REF!&amp;""&amp;W180</f>
        <v>#REF!</v>
      </c>
      <c r="T180" s="85"/>
      <c r="U180" s="51">
        <f t="shared" ref="U180:W180" si="38">U179+1</f>
        <v>6</v>
      </c>
      <c r="V180" s="50">
        <f t="shared" ca="1" si="38"/>
        <v>506</v>
      </c>
      <c r="W180" s="50">
        <f t="shared" ca="1" si="38"/>
        <v>506</v>
      </c>
    </row>
    <row r="181" spans="1:23" s="50" customFormat="1" ht="15.75" customHeight="1" x14ac:dyDescent="0.35">
      <c r="A181" s="93">
        <v>7</v>
      </c>
      <c r="B181" s="94"/>
      <c r="C181" s="66" t="s">
        <v>180</v>
      </c>
      <c r="D181" s="66">
        <f>(28.59+(2.75+2.75)*0.9+(2.75+2.15+2.75)*0.75)*10.764</f>
        <v>422.78300999999999</v>
      </c>
      <c r="E181" s="66">
        <v>0</v>
      </c>
      <c r="F181" s="66">
        <f t="shared" si="33"/>
        <v>613.03536450000001</v>
      </c>
      <c r="G181" s="81"/>
      <c r="H181" s="82"/>
      <c r="I181" s="51"/>
      <c r="S181" s="85" t="e">
        <f ca="1">V181&amp;""&amp;#REF!&amp;""&amp;W181</f>
        <v>#REF!</v>
      </c>
      <c r="T181" s="85"/>
      <c r="U181" s="51">
        <f t="shared" ref="U181:W181" si="39">U180+1</f>
        <v>7</v>
      </c>
      <c r="V181" s="50">
        <f t="shared" ca="1" si="39"/>
        <v>507</v>
      </c>
      <c r="W181" s="50">
        <f t="shared" ca="1" si="39"/>
        <v>507</v>
      </c>
    </row>
    <row r="182" spans="1:23" s="50" customFormat="1" ht="15.75" customHeight="1" x14ac:dyDescent="0.35">
      <c r="A182" s="93">
        <v>8</v>
      </c>
      <c r="B182" s="94"/>
      <c r="C182" s="26" t="s">
        <v>180</v>
      </c>
      <c r="D182" s="26">
        <f>(31.74+2.75*0.9+(2.75+2.3+2.75)*0.75)*10.764</f>
        <v>431.25965999999994</v>
      </c>
      <c r="E182" s="26">
        <v>0</v>
      </c>
      <c r="F182" s="26">
        <f t="shared" si="33"/>
        <v>625.32650699999988</v>
      </c>
      <c r="G182" s="83"/>
      <c r="H182" s="84"/>
      <c r="I182" s="51"/>
      <c r="S182" s="85" t="e">
        <f ca="1">V182&amp;""&amp;#REF!&amp;""&amp;W182</f>
        <v>#REF!</v>
      </c>
      <c r="T182" s="85"/>
      <c r="U182" s="51">
        <f t="shared" ref="U182:W182" si="40">U181+1</f>
        <v>8</v>
      </c>
      <c r="V182" s="50">
        <f t="shared" ca="1" si="40"/>
        <v>508</v>
      </c>
      <c r="W182" s="50">
        <f t="shared" ca="1" si="40"/>
        <v>508</v>
      </c>
    </row>
    <row r="183" spans="1:23" s="65" customFormat="1" ht="15.75" customHeight="1" x14ac:dyDescent="0.35">
      <c r="A183" s="105" t="s">
        <v>229</v>
      </c>
      <c r="B183" s="106"/>
      <c r="C183" s="106"/>
      <c r="D183" s="106"/>
      <c r="E183" s="106"/>
      <c r="F183" s="106"/>
      <c r="G183" s="106"/>
      <c r="H183" s="107"/>
      <c r="I183" s="51"/>
      <c r="S183" s="85" t="s">
        <v>158</v>
      </c>
      <c r="T183" s="85"/>
      <c r="V183" s="65" t="str">
        <f>LEFT(A183,SUM(LEN(A183)-LEN(SUBSTITUTE(A183,{"0","1","2","3","4","5","6","7","8","9"},""))))</f>
        <v>8</v>
      </c>
      <c r="W183" s="52">
        <f ca="1">--TRIM(RIGHT(SUBSTITUTE(LEFT(A183,_xlfn.AGGREGATE(16,6,FIND({0,1,2,3,4,5,6,7,8,9},A183,ROW(INDIRECT("1:"&amp;LEN(A183)))),1))," ",REPT(" ",LEN(A183))),LEN(A183)))</f>
        <v>8</v>
      </c>
    </row>
    <row r="184" spans="1:23" s="65" customFormat="1" ht="15.75" customHeight="1" x14ac:dyDescent="0.35">
      <c r="A184" s="93">
        <v>1</v>
      </c>
      <c r="B184" s="94"/>
      <c r="C184" s="66" t="s">
        <v>180</v>
      </c>
      <c r="D184" s="66">
        <f>(31.74+2.75*0.9+(2.75+2.3+1.62)*0.75)*10.764</f>
        <v>422.13716999999991</v>
      </c>
      <c r="E184" s="66">
        <v>0</v>
      </c>
      <c r="F184" s="66">
        <f t="shared" ref="F184:F189" si="41">D184*(($F$139)+1)+E184</f>
        <v>612.09889649999991</v>
      </c>
      <c r="G184" s="79" t="str">
        <f>A183</f>
        <v>8th Floor (Part Refuge Area)</v>
      </c>
      <c r="H184" s="80"/>
      <c r="I184" s="51"/>
      <c r="S184" s="85" t="e">
        <f ca="1">V184&amp;""&amp;#REF!&amp;""&amp;W184</f>
        <v>#REF!</v>
      </c>
      <c r="T184" s="85"/>
      <c r="U184" s="51">
        <v>1</v>
      </c>
      <c r="V184" s="65">
        <f ca="1">(SUMPRODUCT(MID(0&amp;V183, LARGE(INDEX(ISNUMBER(--MID(V183, ROW(INDIRECT("1:"&amp;LEN(V183))), 1)) * ROW(INDIRECT("1:"&amp;LEN(V183))), 0), ROW(INDIRECT("1:"&amp;LEN(V183))))+1, 1) * 10^ROW(INDIRECT("1:"&amp;LEN(V183)))/10))*U184*100+1</f>
        <v>801</v>
      </c>
      <c r="W184" s="65">
        <f ca="1">(SUMPRODUCT(MID(0&amp;W183, LARGE(INDEX(ISNUMBER(--MID(W183, ROW(INDIRECT("1:"&amp;LEN(W183))), 1)) * ROW(INDIRECT("1:"&amp;LEN(W183))), 0), ROW(INDIRECT("1:"&amp;LEN(W183))))+1, 1) * 10^ROW(INDIRECT("1:"&amp;LEN(W183)))/10))*U184*100+1</f>
        <v>801</v>
      </c>
    </row>
    <row r="185" spans="1:23" s="65" customFormat="1" ht="15.75" customHeight="1" x14ac:dyDescent="0.35">
      <c r="A185" s="93">
        <v>2</v>
      </c>
      <c r="B185" s="94"/>
      <c r="C185" s="66" t="s">
        <v>180</v>
      </c>
      <c r="D185" s="66">
        <f>(28.59+(2.75+2.75)*0.9+(2.75+2.15+2.75)*0.75)*10.764</f>
        <v>422.78300999999999</v>
      </c>
      <c r="E185" s="66">
        <v>0</v>
      </c>
      <c r="F185" s="66">
        <f t="shared" si="41"/>
        <v>613.03536450000001</v>
      </c>
      <c r="G185" s="81"/>
      <c r="H185" s="82"/>
      <c r="I185" s="51"/>
      <c r="S185" s="85" t="e">
        <f ca="1">V185&amp;""&amp;#REF!&amp;""&amp;W185</f>
        <v>#REF!</v>
      </c>
      <c r="T185" s="85"/>
      <c r="U185" s="51">
        <f t="shared" ref="U185:W185" si="42">U184+1</f>
        <v>2</v>
      </c>
      <c r="V185" s="65">
        <f t="shared" ca="1" si="42"/>
        <v>802</v>
      </c>
      <c r="W185" s="65">
        <f t="shared" ca="1" si="42"/>
        <v>802</v>
      </c>
    </row>
    <row r="186" spans="1:23" s="65" customFormat="1" ht="15.75" customHeight="1" x14ac:dyDescent="0.35">
      <c r="A186" s="93">
        <v>3</v>
      </c>
      <c r="B186" s="94"/>
      <c r="C186" s="66" t="s">
        <v>180</v>
      </c>
      <c r="D186" s="66">
        <f>(28.59+(2.75+2.75)*0.9+(2.75+2.15+2.75)*0.75)*10.764</f>
        <v>422.78300999999999</v>
      </c>
      <c r="E186" s="66">
        <v>0</v>
      </c>
      <c r="F186" s="66">
        <f t="shared" si="41"/>
        <v>613.03536450000001</v>
      </c>
      <c r="G186" s="81"/>
      <c r="H186" s="82"/>
      <c r="I186" s="51"/>
      <c r="S186" s="85" t="e">
        <f ca="1">V186&amp;""&amp;#REF!&amp;""&amp;W186</f>
        <v>#REF!</v>
      </c>
      <c r="T186" s="85"/>
      <c r="U186" s="51">
        <f t="shared" ref="U186:W186" si="43">U185+1</f>
        <v>3</v>
      </c>
      <c r="V186" s="65">
        <f t="shared" ca="1" si="43"/>
        <v>803</v>
      </c>
      <c r="W186" s="65">
        <f t="shared" ca="1" si="43"/>
        <v>803</v>
      </c>
    </row>
    <row r="187" spans="1:23" s="65" customFormat="1" ht="15.75" customHeight="1" x14ac:dyDescent="0.35">
      <c r="A187" s="93">
        <v>4</v>
      </c>
      <c r="B187" s="94"/>
      <c r="C187" s="66" t="s">
        <v>180</v>
      </c>
      <c r="D187" s="66">
        <f>(29.94+2.75*0.9+(2.75+2.5+2.75)*0.75)*10.764</f>
        <v>413.49905999999999</v>
      </c>
      <c r="E187" s="66">
        <v>0</v>
      </c>
      <c r="F187" s="66">
        <f t="shared" si="41"/>
        <v>599.57363699999996</v>
      </c>
      <c r="G187" s="81"/>
      <c r="H187" s="82"/>
      <c r="I187" s="51"/>
      <c r="S187" s="85" t="e">
        <f ca="1">V187&amp;""&amp;#REF!&amp;""&amp;W187</f>
        <v>#REF!</v>
      </c>
      <c r="T187" s="85"/>
      <c r="U187" s="51">
        <f t="shared" ref="U187:W187" si="44">U186+1</f>
        <v>4</v>
      </c>
      <c r="V187" s="65">
        <f t="shared" ca="1" si="44"/>
        <v>804</v>
      </c>
      <c r="W187" s="65">
        <f t="shared" ca="1" si="44"/>
        <v>804</v>
      </c>
    </row>
    <row r="188" spans="1:23" s="65" customFormat="1" ht="15.75" customHeight="1" x14ac:dyDescent="0.35">
      <c r="A188" s="93">
        <v>5</v>
      </c>
      <c r="B188" s="94"/>
      <c r="C188" s="66" t="s">
        <v>180</v>
      </c>
      <c r="D188" s="66">
        <f>(29.94+2.75*0.9+(2.75+2.5+2.75)*0.75)*10.764</f>
        <v>413.49905999999999</v>
      </c>
      <c r="E188" s="66">
        <v>0</v>
      </c>
      <c r="F188" s="66">
        <f t="shared" si="41"/>
        <v>599.57363699999996</v>
      </c>
      <c r="G188" s="81"/>
      <c r="H188" s="82"/>
      <c r="I188" s="51"/>
      <c r="S188" s="85" t="e">
        <f ca="1">V188&amp;""&amp;#REF!&amp;""&amp;W188</f>
        <v>#REF!</v>
      </c>
      <c r="T188" s="85"/>
      <c r="U188" s="51">
        <f t="shared" ref="U188:W188" si="45">U187+1</f>
        <v>5</v>
      </c>
      <c r="V188" s="65">
        <f t="shared" ca="1" si="45"/>
        <v>805</v>
      </c>
      <c r="W188" s="65">
        <f t="shared" ca="1" si="45"/>
        <v>805</v>
      </c>
    </row>
    <row r="189" spans="1:23" s="65" customFormat="1" ht="15.75" customHeight="1" x14ac:dyDescent="0.35">
      <c r="A189" s="93">
        <v>6</v>
      </c>
      <c r="B189" s="94"/>
      <c r="C189" s="66" t="s">
        <v>180</v>
      </c>
      <c r="D189" s="66">
        <f>(28.59+(2.75+2.75)*0.9+(2.75+2.15+2.75)*0.75)*10.764</f>
        <v>422.78300999999999</v>
      </c>
      <c r="E189" s="66">
        <v>0</v>
      </c>
      <c r="F189" s="66">
        <f t="shared" si="41"/>
        <v>613.03536450000001</v>
      </c>
      <c r="G189" s="81"/>
      <c r="H189" s="82"/>
      <c r="I189" s="51"/>
      <c r="S189" s="85" t="e">
        <f ca="1">V189&amp;""&amp;#REF!&amp;""&amp;W189</f>
        <v>#REF!</v>
      </c>
      <c r="T189" s="85"/>
      <c r="U189" s="51">
        <f t="shared" ref="U189:W189" si="46">U188+1</f>
        <v>6</v>
      </c>
      <c r="V189" s="65">
        <f t="shared" ca="1" si="46"/>
        <v>806</v>
      </c>
      <c r="W189" s="65">
        <f t="shared" ca="1" si="46"/>
        <v>806</v>
      </c>
    </row>
    <row r="190" spans="1:23" s="65" customFormat="1" ht="15.75" customHeight="1" x14ac:dyDescent="0.35">
      <c r="A190" s="93">
        <v>7</v>
      </c>
      <c r="B190" s="94"/>
      <c r="C190" s="93" t="s">
        <v>183</v>
      </c>
      <c r="D190" s="95"/>
      <c r="E190" s="95"/>
      <c r="F190" s="94"/>
      <c r="G190" s="81"/>
      <c r="H190" s="82"/>
      <c r="I190" s="51"/>
      <c r="S190" s="85" t="e">
        <f ca="1">V190&amp;""&amp;#REF!&amp;""&amp;W190</f>
        <v>#REF!</v>
      </c>
      <c r="T190" s="85"/>
      <c r="U190" s="51">
        <f t="shared" ref="U190:W190" si="47">U189+1</f>
        <v>7</v>
      </c>
      <c r="V190" s="65">
        <f t="shared" ca="1" si="47"/>
        <v>807</v>
      </c>
      <c r="W190" s="65">
        <f t="shared" ca="1" si="47"/>
        <v>807</v>
      </c>
    </row>
    <row r="191" spans="1:23" s="65" customFormat="1" ht="15.75" customHeight="1" x14ac:dyDescent="0.35">
      <c r="A191" s="93">
        <v>8</v>
      </c>
      <c r="B191" s="94"/>
      <c r="C191" s="66" t="s">
        <v>180</v>
      </c>
      <c r="D191" s="66">
        <f>(31.74+2.75*0.9+(2.75+2.3+2.75)*0.75)*10.764</f>
        <v>431.25965999999994</v>
      </c>
      <c r="E191" s="66">
        <v>0</v>
      </c>
      <c r="F191" s="66">
        <f>D191*(($F$139)+1)+E191</f>
        <v>625.32650699999988</v>
      </c>
      <c r="G191" s="83"/>
      <c r="H191" s="84"/>
      <c r="I191" s="51"/>
      <c r="S191" s="85" t="e">
        <f ca="1">V191&amp;""&amp;#REF!&amp;""&amp;W191</f>
        <v>#REF!</v>
      </c>
      <c r="T191" s="85"/>
      <c r="U191" s="51">
        <f t="shared" ref="U191:W191" si="48">U190+1</f>
        <v>8</v>
      </c>
      <c r="V191" s="65">
        <f t="shared" ca="1" si="48"/>
        <v>808</v>
      </c>
      <c r="W191" s="65">
        <f t="shared" ca="1" si="48"/>
        <v>808</v>
      </c>
    </row>
    <row r="192" spans="1:23" s="65" customFormat="1" ht="15.75" customHeight="1" x14ac:dyDescent="0.35">
      <c r="A192" s="105" t="s">
        <v>237</v>
      </c>
      <c r="B192" s="106"/>
      <c r="C192" s="106"/>
      <c r="D192" s="106"/>
      <c r="E192" s="106"/>
      <c r="F192" s="106"/>
      <c r="G192" s="106"/>
      <c r="H192" s="107"/>
      <c r="I192" s="51"/>
      <c r="S192" s="85" t="s">
        <v>158</v>
      </c>
      <c r="T192" s="85"/>
      <c r="V192" s="65" t="str">
        <f>LEFT(A192,SUM(LEN(A192)-LEN(SUBSTITUTE(A192,{"0","1","2","3","4","5","6","7","8","9"},""))))</f>
        <v>9</v>
      </c>
      <c r="W192" s="52">
        <f ca="1">--TRIM(RIGHT(SUBSTITUTE(LEFT(A192,_xlfn.AGGREGATE(16,6,FIND({0,1,2,3,4,5,6,7,8,9},A192,ROW(INDIRECT("1:"&amp;LEN(A192)))),1))," ",REPT(" ",LEN(A192))),LEN(A192)))</f>
        <v>9</v>
      </c>
    </row>
    <row r="193" spans="1:23" s="65" customFormat="1" ht="15.75" customHeight="1" x14ac:dyDescent="0.35">
      <c r="A193" s="93">
        <v>1</v>
      </c>
      <c r="B193" s="94"/>
      <c r="C193" s="66" t="s">
        <v>180</v>
      </c>
      <c r="D193" s="66">
        <f>(31.74+2.75*0.9+(2.75+2.3+1.62)*0.75)*10.764</f>
        <v>422.13716999999991</v>
      </c>
      <c r="E193" s="66">
        <v>0</v>
      </c>
      <c r="F193" s="66">
        <f t="shared" ref="F193:F200" si="49">D193*(($F$139)+1)+E193</f>
        <v>612.09889649999991</v>
      </c>
      <c r="G193" s="79" t="str">
        <f>A192</f>
        <v>9th Floor</v>
      </c>
      <c r="H193" s="80"/>
      <c r="I193" s="51"/>
      <c r="S193" s="85" t="e">
        <f ca="1">V193&amp;""&amp;#REF!&amp;""&amp;W193</f>
        <v>#REF!</v>
      </c>
      <c r="T193" s="85"/>
      <c r="U193" s="51">
        <v>1</v>
      </c>
      <c r="V193" s="65">
        <f ca="1">(SUMPRODUCT(MID(0&amp;V192, LARGE(INDEX(ISNUMBER(--MID(V192, ROW(INDIRECT("1:"&amp;LEN(V192))), 1)) * ROW(INDIRECT("1:"&amp;LEN(V192))), 0), ROW(INDIRECT("1:"&amp;LEN(V192))))+1, 1) * 10^ROW(INDIRECT("1:"&amp;LEN(V192)))/10))*U193*100+1</f>
        <v>901</v>
      </c>
      <c r="W193" s="65">
        <f ca="1">(SUMPRODUCT(MID(0&amp;W192, LARGE(INDEX(ISNUMBER(--MID(W192, ROW(INDIRECT("1:"&amp;LEN(W192))), 1)) * ROW(INDIRECT("1:"&amp;LEN(W192))), 0), ROW(INDIRECT("1:"&amp;LEN(W192))))+1, 1) * 10^ROW(INDIRECT("1:"&amp;LEN(W192)))/10))*U193*100+1</f>
        <v>901</v>
      </c>
    </row>
    <row r="194" spans="1:23" s="65" customFormat="1" ht="15.75" customHeight="1" x14ac:dyDescent="0.35">
      <c r="A194" s="93">
        <v>2</v>
      </c>
      <c r="B194" s="94"/>
      <c r="C194" s="66" t="s">
        <v>180</v>
      </c>
      <c r="D194" s="66">
        <f>(28.59+(2.75+2.75)*0.9+(2.75+2.15+2.75)*0.75)*10.764</f>
        <v>422.78300999999999</v>
      </c>
      <c r="E194" s="66">
        <v>0</v>
      </c>
      <c r="F194" s="66">
        <f t="shared" si="49"/>
        <v>613.03536450000001</v>
      </c>
      <c r="G194" s="81"/>
      <c r="H194" s="82"/>
      <c r="I194" s="51"/>
      <c r="S194" s="85" t="e">
        <f ca="1">V194&amp;""&amp;#REF!&amp;""&amp;W194</f>
        <v>#REF!</v>
      </c>
      <c r="T194" s="85"/>
      <c r="U194" s="51">
        <f t="shared" ref="U194:W194" si="50">U193+1</f>
        <v>2</v>
      </c>
      <c r="V194" s="65">
        <f t="shared" ca="1" si="50"/>
        <v>902</v>
      </c>
      <c r="W194" s="65">
        <f t="shared" ca="1" si="50"/>
        <v>902</v>
      </c>
    </row>
    <row r="195" spans="1:23" s="65" customFormat="1" ht="15.75" customHeight="1" x14ac:dyDescent="0.35">
      <c r="A195" s="93">
        <v>3</v>
      </c>
      <c r="B195" s="94"/>
      <c r="C195" s="66" t="s">
        <v>180</v>
      </c>
      <c r="D195" s="66">
        <f>(28.59+(2.75+2.75)*0.9+(2.75+2.15+2.75)*0.75)*10.764</f>
        <v>422.78300999999999</v>
      </c>
      <c r="E195" s="66">
        <v>0</v>
      </c>
      <c r="F195" s="66">
        <f t="shared" si="49"/>
        <v>613.03536450000001</v>
      </c>
      <c r="G195" s="81"/>
      <c r="H195" s="82"/>
      <c r="I195" s="51"/>
      <c r="S195" s="85" t="e">
        <f ca="1">V195&amp;""&amp;#REF!&amp;""&amp;W195</f>
        <v>#REF!</v>
      </c>
      <c r="T195" s="85"/>
      <c r="U195" s="51">
        <f t="shared" ref="U195:W195" si="51">U194+1</f>
        <v>3</v>
      </c>
      <c r="V195" s="65">
        <f t="shared" ca="1" si="51"/>
        <v>903</v>
      </c>
      <c r="W195" s="65">
        <f t="shared" ca="1" si="51"/>
        <v>903</v>
      </c>
    </row>
    <row r="196" spans="1:23" s="65" customFormat="1" ht="15.75" customHeight="1" x14ac:dyDescent="0.35">
      <c r="A196" s="93">
        <v>4</v>
      </c>
      <c r="B196" s="94"/>
      <c r="C196" s="66" t="s">
        <v>180</v>
      </c>
      <c r="D196" s="66">
        <f>(29.94+2.75*0.9+(2.75+2.5+2.75)*0.75)*10.764</f>
        <v>413.49905999999999</v>
      </c>
      <c r="E196" s="66">
        <v>0</v>
      </c>
      <c r="F196" s="66">
        <f t="shared" si="49"/>
        <v>599.57363699999996</v>
      </c>
      <c r="G196" s="81"/>
      <c r="H196" s="82"/>
      <c r="I196" s="51"/>
      <c r="S196" s="85" t="e">
        <f ca="1">V196&amp;""&amp;#REF!&amp;""&amp;W196</f>
        <v>#REF!</v>
      </c>
      <c r="T196" s="85"/>
      <c r="U196" s="51">
        <f t="shared" ref="U196:W196" si="52">U195+1</f>
        <v>4</v>
      </c>
      <c r="V196" s="65">
        <f t="shared" ca="1" si="52"/>
        <v>904</v>
      </c>
      <c r="W196" s="65">
        <f t="shared" ca="1" si="52"/>
        <v>904</v>
      </c>
    </row>
    <row r="197" spans="1:23" s="65" customFormat="1" ht="15.75" customHeight="1" x14ac:dyDescent="0.35">
      <c r="A197" s="93">
        <v>5</v>
      </c>
      <c r="B197" s="94"/>
      <c r="C197" s="66" t="s">
        <v>180</v>
      </c>
      <c r="D197" s="66">
        <f>(29.94+2.75*0.9+(2.75+2.5+2.75)*0.75)*10.764</f>
        <v>413.49905999999999</v>
      </c>
      <c r="E197" s="66">
        <v>0</v>
      </c>
      <c r="F197" s="66">
        <f t="shared" si="49"/>
        <v>599.57363699999996</v>
      </c>
      <c r="G197" s="81"/>
      <c r="H197" s="82"/>
      <c r="I197" s="51"/>
      <c r="S197" s="85" t="e">
        <f ca="1">V197&amp;""&amp;#REF!&amp;""&amp;W197</f>
        <v>#REF!</v>
      </c>
      <c r="T197" s="85"/>
      <c r="U197" s="51">
        <f t="shared" ref="U197:W197" si="53">U196+1</f>
        <v>5</v>
      </c>
      <c r="V197" s="65">
        <f t="shared" ca="1" si="53"/>
        <v>905</v>
      </c>
      <c r="W197" s="65">
        <f t="shared" ca="1" si="53"/>
        <v>905</v>
      </c>
    </row>
    <row r="198" spans="1:23" s="65" customFormat="1" ht="15.75" customHeight="1" x14ac:dyDescent="0.35">
      <c r="A198" s="93">
        <v>6</v>
      </c>
      <c r="B198" s="94"/>
      <c r="C198" s="66" t="s">
        <v>180</v>
      </c>
      <c r="D198" s="66">
        <f>(28.59+(2.75+2.75)*0.9+(2.75+2.15+2.75)*0.75)*10.764</f>
        <v>422.78300999999999</v>
      </c>
      <c r="E198" s="66">
        <v>0</v>
      </c>
      <c r="F198" s="66">
        <f t="shared" si="49"/>
        <v>613.03536450000001</v>
      </c>
      <c r="G198" s="81"/>
      <c r="H198" s="82"/>
      <c r="I198" s="51"/>
      <c r="S198" s="85" t="e">
        <f ca="1">V198&amp;""&amp;#REF!&amp;""&amp;W198</f>
        <v>#REF!</v>
      </c>
      <c r="T198" s="85"/>
      <c r="U198" s="51">
        <f t="shared" ref="U198:W198" si="54">U197+1</f>
        <v>6</v>
      </c>
      <c r="V198" s="65">
        <f t="shared" ca="1" si="54"/>
        <v>906</v>
      </c>
      <c r="W198" s="65">
        <f t="shared" ca="1" si="54"/>
        <v>906</v>
      </c>
    </row>
    <row r="199" spans="1:23" s="65" customFormat="1" ht="15.75" customHeight="1" x14ac:dyDescent="0.35">
      <c r="A199" s="93">
        <v>7</v>
      </c>
      <c r="B199" s="94"/>
      <c r="C199" s="66" t="s">
        <v>180</v>
      </c>
      <c r="D199" s="66">
        <f>(28.59+(2.75+2.75)*0.9+(2.75+2.15+2.75)*0.75)*10.764</f>
        <v>422.78300999999999</v>
      </c>
      <c r="E199" s="66">
        <v>0</v>
      </c>
      <c r="F199" s="66">
        <f t="shared" si="49"/>
        <v>613.03536450000001</v>
      </c>
      <c r="G199" s="81"/>
      <c r="H199" s="82"/>
      <c r="I199" s="51"/>
      <c r="S199" s="85" t="e">
        <f ca="1">V199&amp;""&amp;#REF!&amp;""&amp;W199</f>
        <v>#REF!</v>
      </c>
      <c r="T199" s="85"/>
      <c r="U199" s="51">
        <f t="shared" ref="U199:W199" si="55">U198+1</f>
        <v>7</v>
      </c>
      <c r="V199" s="65">
        <f t="shared" ca="1" si="55"/>
        <v>907</v>
      </c>
      <c r="W199" s="65">
        <f t="shared" ca="1" si="55"/>
        <v>907</v>
      </c>
    </row>
    <row r="200" spans="1:23" s="65" customFormat="1" ht="15.75" customHeight="1" x14ac:dyDescent="0.35">
      <c r="A200" s="93">
        <v>8</v>
      </c>
      <c r="B200" s="94"/>
      <c r="C200" s="66" t="s">
        <v>180</v>
      </c>
      <c r="D200" s="66">
        <f>(31.74+2.75*0.9+(2.75+2.3+2.75)*0.75)*10.764</f>
        <v>431.25965999999994</v>
      </c>
      <c r="E200" s="66">
        <v>0</v>
      </c>
      <c r="F200" s="66">
        <f t="shared" si="49"/>
        <v>625.32650699999988</v>
      </c>
      <c r="G200" s="83"/>
      <c r="H200" s="84"/>
      <c r="I200" s="51"/>
      <c r="S200" s="85" t="e">
        <f ca="1">V200&amp;""&amp;#REF!&amp;""&amp;W200</f>
        <v>#REF!</v>
      </c>
      <c r="T200" s="85"/>
      <c r="U200" s="51">
        <f t="shared" ref="U200:W200" si="56">U199+1</f>
        <v>8</v>
      </c>
      <c r="V200" s="65">
        <f t="shared" ca="1" si="56"/>
        <v>908</v>
      </c>
      <c r="W200" s="65">
        <f t="shared" ca="1" si="56"/>
        <v>908</v>
      </c>
    </row>
    <row r="201" spans="1:23" s="50" customFormat="1" x14ac:dyDescent="0.35">
      <c r="A201" s="92" t="s">
        <v>176</v>
      </c>
      <c r="B201" s="92"/>
      <c r="C201" s="92"/>
      <c r="D201" s="92"/>
      <c r="E201" s="92"/>
      <c r="F201" s="92"/>
      <c r="G201" s="92"/>
      <c r="H201" s="92"/>
      <c r="I201" s="51"/>
    </row>
    <row r="202" spans="1:23" s="50" customFormat="1" x14ac:dyDescent="0.35">
      <c r="A202" s="92" t="s">
        <v>238</v>
      </c>
      <c r="B202" s="92"/>
      <c r="C202" s="92"/>
      <c r="D202" s="92"/>
      <c r="E202" s="92"/>
      <c r="F202" s="92"/>
      <c r="G202" s="92"/>
      <c r="H202" s="92"/>
      <c r="I202" s="51"/>
    </row>
    <row r="203" spans="1:23" s="50" customFormat="1" x14ac:dyDescent="0.35">
      <c r="A203" s="92" t="s">
        <v>184</v>
      </c>
      <c r="B203" s="92"/>
      <c r="C203" s="92"/>
      <c r="D203" s="92"/>
      <c r="E203" s="92"/>
      <c r="F203" s="92"/>
      <c r="G203" s="92"/>
      <c r="H203" s="92"/>
      <c r="I203" s="51"/>
      <c r="S203" s="85"/>
      <c r="T203" s="85"/>
      <c r="V203" s="50" t="str">
        <f>LEFT(A203,SUM(LEN(A203)-LEN(SUBSTITUTE(A203,{"0","1","2","3","4","5","6","7","8","9"},""))))</f>
        <v>1s</v>
      </c>
    </row>
    <row r="204" spans="1:23" s="50" customFormat="1" ht="15.75" customHeight="1" x14ac:dyDescent="0.35">
      <c r="A204" s="78">
        <v>1</v>
      </c>
      <c r="B204" s="78"/>
      <c r="C204" s="72" t="s">
        <v>181</v>
      </c>
      <c r="D204" s="72">
        <f>(2.75*3.5+2.75*3.35+2.3*2.45+2.75*3.35+1.2*2+1.2*1.5+1.2*1.2+2.75*0.9+(1.62+2.3+2.75+2.75)*0.75)*10.764</f>
        <v>525.98285999999985</v>
      </c>
      <c r="E204" s="72">
        <v>0</v>
      </c>
      <c r="F204" s="72">
        <f t="shared" ref="F204:F210" si="57">D204*(($F$139)+1)+E204</f>
        <v>762.6751469999997</v>
      </c>
      <c r="G204" s="78" t="str">
        <f>A203</f>
        <v>1st to 4th Floor for Residential</v>
      </c>
      <c r="H204" s="78"/>
      <c r="I204" s="51">
        <f>3400000/F204</f>
        <v>4457.992388206143</v>
      </c>
      <c r="J204" s="50">
        <f>2.75*3.5+2.75*3.35+2.3*2.45+2.75*3.35+1.2*2+1.2*1.2</f>
        <v>37.524999999999991</v>
      </c>
      <c r="L204" s="58">
        <f>(39.42+2.75*0.9+(1.62+2.3+2.75+2.75)*0.75)*10.764</f>
        <v>527.00544000000002</v>
      </c>
      <c r="S204" s="85">
        <f t="shared" ref="S204:S210" ca="1" si="58">V204</f>
        <v>101</v>
      </c>
      <c r="T204" s="85"/>
      <c r="U204" s="51">
        <v>1</v>
      </c>
      <c r="V204" s="50">
        <f ca="1">(SUMPRODUCT(MID(0&amp;V203, LARGE(INDEX(ISNUMBER(--MID(V203, ROW(INDIRECT("1:"&amp;LEN(V203))), 1)) * ROW(INDIRECT("1:"&amp;LEN(V203))), 0), ROW(INDIRECT("1:"&amp;LEN(V203))))+1, 1) * 10^ROW(INDIRECT("1:"&amp;LEN(V203)))/10))*U204*100+1</f>
        <v>101</v>
      </c>
    </row>
    <row r="205" spans="1:23" s="50" customFormat="1" ht="15.75" customHeight="1" x14ac:dyDescent="0.35">
      <c r="A205" s="78">
        <v>2</v>
      </c>
      <c r="B205" s="78"/>
      <c r="C205" s="72" t="s">
        <v>181</v>
      </c>
      <c r="D205" s="72">
        <f>(3.5*3.05+2.9*2.3+3.35*2.15+2.75*3.35+1.2*2.3+1.2*0.9+2.9*2.75+1.65*1.7+(3.05+2.9)*1.2+(2.9+2.15+3.05+2.75)*0.75)*10.764</f>
        <v>685.20932999999991</v>
      </c>
      <c r="E205" s="72">
        <v>0</v>
      </c>
      <c r="F205" s="72">
        <f t="shared" si="57"/>
        <v>993.55352849999986</v>
      </c>
      <c r="G205" s="78"/>
      <c r="H205" s="78"/>
      <c r="I205" s="51">
        <f>3400000/F205</f>
        <v>3422.060213638505</v>
      </c>
      <c r="J205" s="50">
        <f>3.5*3.05+2.9*2.3+3.35*2.15+2.75*3.35+1.2*2.3+1.2*0.9+2.9*2.75+1.65*1.7</f>
        <v>48.379999999999995</v>
      </c>
      <c r="L205" s="58">
        <f>(48.39+(3.05+2.9)*1.2+(2.75+2.15+3.05+2.75)*0.75)*10.764</f>
        <v>684.10601999999994</v>
      </c>
      <c r="S205" s="85">
        <f t="shared" ca="1" si="58"/>
        <v>102</v>
      </c>
      <c r="T205" s="85"/>
      <c r="U205" s="51">
        <f>U204+1</f>
        <v>2</v>
      </c>
      <c r="V205" s="50">
        <f ca="1">V204+1</f>
        <v>102</v>
      </c>
    </row>
    <row r="206" spans="1:23" s="50" customFormat="1" ht="15.75" customHeight="1" x14ac:dyDescent="0.35">
      <c r="A206" s="78">
        <v>3</v>
      </c>
      <c r="B206" s="78"/>
      <c r="C206" s="72" t="s">
        <v>180</v>
      </c>
      <c r="D206" s="72">
        <f>(3.5*2.75+2.75*2+1.85*2.75+0.9*1.1+1.65*1.1+2.75*0.9*2+(2.75+2+2.75)*0.75)*10.764</f>
        <v>361.58967000000001</v>
      </c>
      <c r="E206" s="72">
        <v>0</v>
      </c>
      <c r="F206" s="72">
        <f t="shared" si="57"/>
        <v>524.30502149999995</v>
      </c>
      <c r="G206" s="78"/>
      <c r="H206" s="78"/>
      <c r="I206" s="51"/>
      <c r="J206" s="50">
        <f>3.5*2.75+2.75*2+1.85*2.75+0.9*1.1+1.65*1.1</f>
        <v>23.017499999999998</v>
      </c>
      <c r="L206" s="58">
        <f>(24.56+2.75*0.9*2+(2.75+2+2.75)*0.75)*10.764</f>
        <v>378.19313999999997</v>
      </c>
      <c r="S206" s="85">
        <f t="shared" ca="1" si="58"/>
        <v>103</v>
      </c>
      <c r="T206" s="85"/>
      <c r="U206" s="51">
        <f>U205+1</f>
        <v>3</v>
      </c>
      <c r="V206" s="50">
        <f ca="1">V205+1</f>
        <v>103</v>
      </c>
    </row>
    <row r="207" spans="1:23" s="50" customFormat="1" ht="15.75" customHeight="1" x14ac:dyDescent="0.35">
      <c r="A207" s="78">
        <v>4</v>
      </c>
      <c r="B207" s="78"/>
      <c r="C207" s="72" t="s">
        <v>180</v>
      </c>
      <c r="D207" s="72">
        <f>(3.5*2.75+2.75*2+1.85*2.75+0.9*1.1+1.65*1.1+2.75*0.9*2+(2.75+2+2.75)*0.75)*10.764</f>
        <v>361.58967000000001</v>
      </c>
      <c r="E207" s="72">
        <v>0</v>
      </c>
      <c r="F207" s="72">
        <f t="shared" si="57"/>
        <v>524.30502149999995</v>
      </c>
      <c r="G207" s="78"/>
      <c r="H207" s="78"/>
      <c r="I207" s="51"/>
      <c r="L207" s="58">
        <f>(24.56+2.75*0.9*2+(2.75+2+2.75)*0.75)*10.764</f>
        <v>378.19313999999997</v>
      </c>
      <c r="S207" s="85">
        <f t="shared" ca="1" si="58"/>
        <v>104</v>
      </c>
      <c r="T207" s="85"/>
      <c r="U207" s="51">
        <f t="shared" ref="U207:V210" si="59">U206+1</f>
        <v>4</v>
      </c>
      <c r="V207" s="50">
        <f t="shared" ca="1" si="59"/>
        <v>104</v>
      </c>
    </row>
    <row r="208" spans="1:23" s="50" customFormat="1" ht="15.75" customHeight="1" x14ac:dyDescent="0.35">
      <c r="A208" s="78">
        <v>5</v>
      </c>
      <c r="B208" s="78"/>
      <c r="C208" s="72" t="s">
        <v>180</v>
      </c>
      <c r="D208" s="72">
        <f>(2.75*3.5+2.15*2.6+2.75*2.75+1.65*1.2+0.9*1.35+0.9*0.5+2.15*1+2.75*0.9*2+(2.75+2.15+2.75)*0.75)*10.764</f>
        <v>422.59464000000003</v>
      </c>
      <c r="E208" s="72">
        <v>0</v>
      </c>
      <c r="F208" s="72">
        <f t="shared" si="57"/>
        <v>612.76222800000005</v>
      </c>
      <c r="G208" s="78"/>
      <c r="H208" s="78"/>
      <c r="I208" s="51"/>
      <c r="J208" s="50">
        <f>2.75*3.5+2.15*2.6+2.75*2.75+1.65*1.2+0.9*1.35+0.9*0.5+2.15*1</f>
        <v>28.572499999999998</v>
      </c>
      <c r="L208" s="58">
        <f>(28.46+2.75*0.9*2+(2.75+2.15+2.75)*0.75)*10.764</f>
        <v>421.38369000000006</v>
      </c>
      <c r="S208" s="85">
        <f t="shared" ca="1" si="58"/>
        <v>105</v>
      </c>
      <c r="T208" s="85"/>
      <c r="U208" s="51">
        <f t="shared" si="59"/>
        <v>5</v>
      </c>
      <c r="V208" s="50">
        <f t="shared" ca="1" si="59"/>
        <v>105</v>
      </c>
    </row>
    <row r="209" spans="1:22" s="50" customFormat="1" ht="15.75" customHeight="1" x14ac:dyDescent="0.35">
      <c r="A209" s="78">
        <v>6</v>
      </c>
      <c r="B209" s="78"/>
      <c r="C209" s="72" t="s">
        <v>180</v>
      </c>
      <c r="D209" s="72">
        <f>(2.75*3.5+2.15*2.6+2.75*2.75+1.65*1.2+0.9*1.35+0.9*0.5+2.15*1+2.75*0.9*2+(2.75+2.15+2.75)*0.75)*10.764</f>
        <v>422.59464000000003</v>
      </c>
      <c r="E209" s="72">
        <v>0</v>
      </c>
      <c r="F209" s="72">
        <f t="shared" si="57"/>
        <v>612.76222800000005</v>
      </c>
      <c r="G209" s="78"/>
      <c r="H209" s="78"/>
      <c r="I209" s="51"/>
      <c r="L209" s="58">
        <f>(28.46+2.75*0.9*2+(2.75+2.15+2.75)*0.75)*10.764</f>
        <v>421.38369000000006</v>
      </c>
      <c r="S209" s="85">
        <f t="shared" ca="1" si="58"/>
        <v>106</v>
      </c>
      <c r="T209" s="85"/>
      <c r="U209" s="51">
        <f>U208+1</f>
        <v>6</v>
      </c>
      <c r="V209" s="50">
        <f t="shared" ca="1" si="59"/>
        <v>106</v>
      </c>
    </row>
    <row r="210" spans="1:22" s="50" customFormat="1" ht="15.75" customHeight="1" x14ac:dyDescent="0.35">
      <c r="A210" s="78">
        <v>7</v>
      </c>
      <c r="B210" s="78"/>
      <c r="C210" s="72" t="s">
        <v>180</v>
      </c>
      <c r="D210" s="72">
        <f>(2.75*3.5+2.3*2.45+2.75*3.35+1.2*2+1.2*1.2+1.2*1.5+2.75*0.9+(1.62+2.3+2.75)*0.75)*10.764</f>
        <v>404.61875999999995</v>
      </c>
      <c r="E210" s="72">
        <v>0</v>
      </c>
      <c r="F210" s="72">
        <f t="shared" si="57"/>
        <v>586.69720199999995</v>
      </c>
      <c r="G210" s="78"/>
      <c r="H210" s="78"/>
      <c r="I210" s="51"/>
      <c r="J210" s="50">
        <f>2.75*3.5+2.3*2.45+2.75*3.35+1.2*2+1.2*1.2</f>
        <v>28.3125</v>
      </c>
      <c r="L210" s="58">
        <f>(30+2.75*0.9+(1.62+2.3+2.75)*0.75)*10.764</f>
        <v>403.40780999999998</v>
      </c>
      <c r="S210" s="85">
        <f t="shared" ca="1" si="58"/>
        <v>107</v>
      </c>
      <c r="T210" s="85"/>
      <c r="U210" s="51">
        <f>U209+1</f>
        <v>7</v>
      </c>
      <c r="V210" s="50">
        <f t="shared" ca="1" si="59"/>
        <v>107</v>
      </c>
    </row>
    <row r="211" spans="1:22" s="50" customFormat="1" x14ac:dyDescent="0.35">
      <c r="A211" s="92" t="s">
        <v>247</v>
      </c>
      <c r="B211" s="92"/>
      <c r="C211" s="92"/>
      <c r="D211" s="92"/>
      <c r="E211" s="92"/>
      <c r="F211" s="92"/>
      <c r="G211" s="92"/>
      <c r="H211" s="92"/>
      <c r="I211" s="51" t="s">
        <v>228</v>
      </c>
      <c r="S211" s="85"/>
      <c r="T211" s="85"/>
      <c r="V211" s="50" t="str">
        <f>LEFT(A211,SUM(LEN(A211)-LEN(SUBSTITUTE(A211,{"0","1","2","3","4","5","6","7","8","9"},""))))</f>
        <v>5t</v>
      </c>
    </row>
    <row r="212" spans="1:22" s="50" customFormat="1" ht="15.75" customHeight="1" x14ac:dyDescent="0.35">
      <c r="A212" s="78">
        <v>1</v>
      </c>
      <c r="B212" s="78"/>
      <c r="C212" s="26" t="s">
        <v>181</v>
      </c>
      <c r="D212" s="58">
        <f>(2.75*3.5+2.75*3.35+2.3*2.45+2.75*3.35+1.2*2+1.2*1.5+1.2*1.2+2.75*0.9+(1.62+2.3+2.75+2.75)*0.75)*10.764</f>
        <v>525.98285999999985</v>
      </c>
      <c r="E212" s="26">
        <v>0</v>
      </c>
      <c r="F212" s="26">
        <f t="shared" ref="F212:F218" si="60">D212*(($F$139)+1)+E212</f>
        <v>762.6751469999997</v>
      </c>
      <c r="G212" s="79" t="str">
        <f>A211</f>
        <v>5th to 7th Floor</v>
      </c>
      <c r="H212" s="80"/>
      <c r="I212" s="51"/>
      <c r="S212" s="85">
        <f t="shared" ref="S212:S218" ca="1" si="61">V212</f>
        <v>501</v>
      </c>
      <c r="T212" s="85"/>
      <c r="U212" s="51">
        <v>1</v>
      </c>
      <c r="V212" s="50">
        <f ca="1">(SUMPRODUCT(MID(0&amp;V211, LARGE(INDEX(ISNUMBER(--MID(V211, ROW(INDIRECT("1:"&amp;LEN(V211))), 1)) * ROW(INDIRECT("1:"&amp;LEN(V211))), 0), ROW(INDIRECT("1:"&amp;LEN(V211))))+1, 1) * 10^ROW(INDIRECT("1:"&amp;LEN(V211)))/10))*U212*100+1</f>
        <v>501</v>
      </c>
    </row>
    <row r="213" spans="1:22" s="50" customFormat="1" ht="15.75" customHeight="1" x14ac:dyDescent="0.35">
      <c r="A213" s="78">
        <v>2</v>
      </c>
      <c r="B213" s="78"/>
      <c r="C213" s="26" t="s">
        <v>181</v>
      </c>
      <c r="D213" s="58">
        <f>(3.5*3.05+2.9*2.3+3.35*2.15+2.75*3.35+1.2*2.3+1.2*0.9+2.9*2.75+1.65*1.7+(3.05+2.9)*1.2+(2.9+2.15+3.05+2.75)*0.75)*10.764</f>
        <v>685.20932999999991</v>
      </c>
      <c r="E213" s="26">
        <v>0</v>
      </c>
      <c r="F213" s="26">
        <f t="shared" si="60"/>
        <v>993.55352849999986</v>
      </c>
      <c r="G213" s="81"/>
      <c r="H213" s="82"/>
      <c r="I213" s="51"/>
      <c r="S213" s="85">
        <f t="shared" ca="1" si="61"/>
        <v>502</v>
      </c>
      <c r="T213" s="85"/>
      <c r="U213" s="51">
        <f>U212+1</f>
        <v>2</v>
      </c>
      <c r="V213" s="50">
        <f ca="1">V212+1</f>
        <v>502</v>
      </c>
    </row>
    <row r="214" spans="1:22" s="50" customFormat="1" ht="15.75" customHeight="1" x14ac:dyDescent="0.35">
      <c r="A214" s="78">
        <v>3</v>
      </c>
      <c r="B214" s="78"/>
      <c r="C214" s="26" t="s">
        <v>180</v>
      </c>
      <c r="D214" s="58">
        <f>(3.5*2.75+2.75*2+1.85*2.75+0.9*1.1+1.65*1.1+2.75*0.9*2+(2.75+2+2.75)*0.75)*10.764</f>
        <v>361.58967000000001</v>
      </c>
      <c r="E214" s="26">
        <v>0</v>
      </c>
      <c r="F214" s="26">
        <f t="shared" si="60"/>
        <v>524.30502149999995</v>
      </c>
      <c r="G214" s="81"/>
      <c r="H214" s="82"/>
      <c r="I214" s="51"/>
      <c r="S214" s="85">
        <f t="shared" ca="1" si="61"/>
        <v>503</v>
      </c>
      <c r="T214" s="85"/>
      <c r="U214" s="51">
        <f>U213+1</f>
        <v>3</v>
      </c>
      <c r="V214" s="50">
        <f ca="1">V213+1</f>
        <v>503</v>
      </c>
    </row>
    <row r="215" spans="1:22" s="50" customFormat="1" ht="15.75" customHeight="1" x14ac:dyDescent="0.35">
      <c r="A215" s="78">
        <v>4</v>
      </c>
      <c r="B215" s="78"/>
      <c r="C215" s="26" t="s">
        <v>180</v>
      </c>
      <c r="D215" s="58">
        <f>(3.5*2.75+2.75*2+1.85*2.75+0.9*1.1+1.65*1.1+2.75*0.9*2+(2.75+2+2.75)*0.75)*10.764</f>
        <v>361.58967000000001</v>
      </c>
      <c r="E215" s="26">
        <v>0</v>
      </c>
      <c r="F215" s="26">
        <f t="shared" si="60"/>
        <v>524.30502149999995</v>
      </c>
      <c r="G215" s="81"/>
      <c r="H215" s="82"/>
      <c r="I215" s="51"/>
      <c r="S215" s="85">
        <f t="shared" ca="1" si="61"/>
        <v>504</v>
      </c>
      <c r="T215" s="85"/>
      <c r="U215" s="51">
        <f t="shared" ref="U215:V215" si="62">U214+1</f>
        <v>4</v>
      </c>
      <c r="V215" s="50">
        <f t="shared" ca="1" si="62"/>
        <v>504</v>
      </c>
    </row>
    <row r="216" spans="1:22" s="50" customFormat="1" ht="15.75" customHeight="1" x14ac:dyDescent="0.35">
      <c r="A216" s="78">
        <v>5</v>
      </c>
      <c r="B216" s="78"/>
      <c r="C216" s="26" t="s">
        <v>180</v>
      </c>
      <c r="D216" s="58">
        <f>(2.75*3.5+2.15*2.6+2.75*2.75+1.65*1.2+0.9*1.35+0.9*0.5+2.15*1+2.75*0.9*2+(2.75+2.15+2.75)*0.75)*10.764</f>
        <v>422.59464000000003</v>
      </c>
      <c r="E216" s="26">
        <v>0</v>
      </c>
      <c r="F216" s="26">
        <f t="shared" si="60"/>
        <v>612.76222800000005</v>
      </c>
      <c r="G216" s="81"/>
      <c r="H216" s="82"/>
      <c r="I216" s="51"/>
      <c r="S216" s="85">
        <f t="shared" ca="1" si="61"/>
        <v>505</v>
      </c>
      <c r="T216" s="85"/>
      <c r="U216" s="51">
        <f t="shared" ref="U216:V216" si="63">U215+1</f>
        <v>5</v>
      </c>
      <c r="V216" s="50">
        <f t="shared" ca="1" si="63"/>
        <v>505</v>
      </c>
    </row>
    <row r="217" spans="1:22" s="50" customFormat="1" ht="15.75" customHeight="1" x14ac:dyDescent="0.35">
      <c r="A217" s="78">
        <v>6</v>
      </c>
      <c r="B217" s="78"/>
      <c r="C217" s="26" t="s">
        <v>180</v>
      </c>
      <c r="D217" s="58">
        <f>(2.75*3.5+2.15*2.6+2.75*2.75+1.65*1.2+0.9*1.35+0.9*0.5+2.15*1+2.75*0.9*2+(2.75+2.15+2.75)*0.75)*10.764</f>
        <v>422.59464000000003</v>
      </c>
      <c r="E217" s="26">
        <v>0</v>
      </c>
      <c r="F217" s="26">
        <f t="shared" si="60"/>
        <v>612.76222800000005</v>
      </c>
      <c r="G217" s="81"/>
      <c r="H217" s="82"/>
      <c r="I217" s="51"/>
      <c r="S217" s="85">
        <f t="shared" ca="1" si="61"/>
        <v>506</v>
      </c>
      <c r="T217" s="85"/>
      <c r="U217" s="51">
        <f>U216+1</f>
        <v>6</v>
      </c>
      <c r="V217" s="50">
        <f t="shared" ref="V217" ca="1" si="64">V216+1</f>
        <v>506</v>
      </c>
    </row>
    <row r="218" spans="1:22" s="50" customFormat="1" ht="15.75" customHeight="1" x14ac:dyDescent="0.35">
      <c r="A218" s="78">
        <v>7</v>
      </c>
      <c r="B218" s="78"/>
      <c r="C218" s="26" t="s">
        <v>180</v>
      </c>
      <c r="D218" s="58">
        <f>(2.75*3.5+2.3*2.45+2.75*3.35+1.2*2+1.2*1.2+1.2*1.5+2.75*0.9+(1.62+2.3+2.75)*0.75)*10.764</f>
        <v>404.61875999999995</v>
      </c>
      <c r="E218" s="26">
        <v>0</v>
      </c>
      <c r="F218" s="26">
        <f t="shared" si="60"/>
        <v>586.69720199999995</v>
      </c>
      <c r="G218" s="83"/>
      <c r="H218" s="84"/>
      <c r="I218" s="51"/>
      <c r="S218" s="85">
        <f t="shared" ca="1" si="61"/>
        <v>507</v>
      </c>
      <c r="T218" s="85"/>
      <c r="U218" s="51">
        <f>U217+1</f>
        <v>7</v>
      </c>
      <c r="V218" s="50">
        <f t="shared" ref="V218" ca="1" si="65">V217+1</f>
        <v>507</v>
      </c>
    </row>
    <row r="219" spans="1:22" s="59" customFormat="1" x14ac:dyDescent="0.35">
      <c r="A219" s="92" t="s">
        <v>229</v>
      </c>
      <c r="B219" s="92"/>
      <c r="C219" s="92"/>
      <c r="D219" s="92"/>
      <c r="E219" s="92"/>
      <c r="F219" s="92"/>
      <c r="G219" s="92"/>
      <c r="H219" s="92"/>
      <c r="I219" s="51"/>
      <c r="S219" s="85"/>
      <c r="T219" s="85"/>
      <c r="V219" s="59" t="str">
        <f>LEFT(A219,SUM(LEN(A219)-LEN(SUBSTITUTE(A219,{"0","1","2","3","4","5","6","7","8","9"},""))))</f>
        <v>8</v>
      </c>
    </row>
    <row r="220" spans="1:22" s="59" customFormat="1" ht="15.75" customHeight="1" x14ac:dyDescent="0.35">
      <c r="A220" s="78">
        <v>1</v>
      </c>
      <c r="B220" s="78"/>
      <c r="C220" s="58" t="s">
        <v>181</v>
      </c>
      <c r="D220" s="58">
        <f>(2.75*3.5+2.75*3.35+2.3*2.45+2.75*3.35+1.2*2+1.2*1.5+1.2*1.2+2.75*0.9+(1.62+2.3+2.75+2.75)*0.75)*10.764</f>
        <v>525.98285999999985</v>
      </c>
      <c r="E220" s="58">
        <v>0</v>
      </c>
      <c r="F220" s="58">
        <f t="shared" ref="F220:F226" si="66">D220*(($F$139)+1)+E220</f>
        <v>762.6751469999997</v>
      </c>
      <c r="G220" s="79" t="str">
        <f>A219</f>
        <v>8th Floor (Part Refuge Area)</v>
      </c>
      <c r="H220" s="80"/>
      <c r="I220" s="51"/>
      <c r="S220" s="85">
        <f t="shared" ref="S220:S226" ca="1" si="67">V220</f>
        <v>801</v>
      </c>
      <c r="T220" s="85"/>
      <c r="U220" s="51">
        <v>1</v>
      </c>
      <c r="V220" s="59">
        <f ca="1">(SUMPRODUCT(MID(0&amp;V219, LARGE(INDEX(ISNUMBER(--MID(V219, ROW(INDIRECT("1:"&amp;LEN(V219))), 1)) * ROW(INDIRECT("1:"&amp;LEN(V219))), 0), ROW(INDIRECT("1:"&amp;LEN(V219))))+1, 1) * 10^ROW(INDIRECT("1:"&amp;LEN(V219)))/10))*U220*100+1</f>
        <v>801</v>
      </c>
    </row>
    <row r="221" spans="1:22" s="59" customFormat="1" ht="15.75" customHeight="1" x14ac:dyDescent="0.35">
      <c r="A221" s="78">
        <v>2</v>
      </c>
      <c r="B221" s="78"/>
      <c r="C221" s="58" t="s">
        <v>181</v>
      </c>
      <c r="D221" s="58">
        <f>(3.5*3.05+2.9*2.3+3.35*2.15+2.75*3.35+1.2*2.3+1.2*0.9+2.9*2.75+1.65*1.7+(3.05+2.9)*1.2+(2.9+2.15+3.05+2.75)*0.75)*10.764</f>
        <v>685.20932999999991</v>
      </c>
      <c r="E221" s="58">
        <v>0</v>
      </c>
      <c r="F221" s="58">
        <f t="shared" si="66"/>
        <v>993.55352849999986</v>
      </c>
      <c r="G221" s="81"/>
      <c r="H221" s="82"/>
      <c r="I221" s="51"/>
      <c r="S221" s="85">
        <f t="shared" ca="1" si="67"/>
        <v>802</v>
      </c>
      <c r="T221" s="85"/>
      <c r="U221" s="51">
        <f>U220+1</f>
        <v>2</v>
      </c>
      <c r="V221" s="59">
        <f ca="1">V220+1</f>
        <v>802</v>
      </c>
    </row>
    <row r="222" spans="1:22" s="59" customFormat="1" ht="15.75" customHeight="1" x14ac:dyDescent="0.35">
      <c r="A222" s="78">
        <v>3</v>
      </c>
      <c r="B222" s="78"/>
      <c r="C222" s="93" t="s">
        <v>183</v>
      </c>
      <c r="D222" s="95"/>
      <c r="E222" s="95"/>
      <c r="F222" s="94"/>
      <c r="G222" s="81"/>
      <c r="H222" s="82"/>
      <c r="I222" s="51"/>
      <c r="S222" s="85">
        <f t="shared" ca="1" si="67"/>
        <v>803</v>
      </c>
      <c r="T222" s="85"/>
      <c r="U222" s="51">
        <f>U221+1</f>
        <v>3</v>
      </c>
      <c r="V222" s="59">
        <f ca="1">V221+1</f>
        <v>803</v>
      </c>
    </row>
    <row r="223" spans="1:22" s="59" customFormat="1" ht="15.75" customHeight="1" x14ac:dyDescent="0.35">
      <c r="A223" s="78">
        <v>4</v>
      </c>
      <c r="B223" s="78"/>
      <c r="C223" s="58" t="s">
        <v>180</v>
      </c>
      <c r="D223" s="58">
        <f>(3.5*2.75+2.75*2+1.85*2.75+0.9*1.1+1.65*1.1+2.75*0.9*2+(2.75+2+2.75)*0.75)*10.764</f>
        <v>361.58967000000001</v>
      </c>
      <c r="E223" s="58">
        <v>0</v>
      </c>
      <c r="F223" s="58">
        <f t="shared" si="66"/>
        <v>524.30502149999995</v>
      </c>
      <c r="G223" s="81"/>
      <c r="H223" s="82"/>
      <c r="I223" s="51"/>
      <c r="S223" s="85">
        <f t="shared" ca="1" si="67"/>
        <v>804</v>
      </c>
      <c r="T223" s="85"/>
      <c r="U223" s="51">
        <f t="shared" ref="U223:V223" si="68">U222+1</f>
        <v>4</v>
      </c>
      <c r="V223" s="59">
        <f t="shared" ca="1" si="68"/>
        <v>804</v>
      </c>
    </row>
    <row r="224" spans="1:22" s="59" customFormat="1" ht="15.75" customHeight="1" x14ac:dyDescent="0.35">
      <c r="A224" s="78">
        <v>5</v>
      </c>
      <c r="B224" s="78"/>
      <c r="C224" s="58" t="s">
        <v>180</v>
      </c>
      <c r="D224" s="58">
        <f>(2.75*3.5+2.15*2.6+2.75*2.75+1.65*1.2+0.9*1.35+0.9*0.5+2.15*1+2.75*0.9*2+(2.75+2.15+2.75)*0.75)*10.764</f>
        <v>422.59464000000003</v>
      </c>
      <c r="E224" s="58">
        <v>0</v>
      </c>
      <c r="F224" s="58">
        <f t="shared" si="66"/>
        <v>612.76222800000005</v>
      </c>
      <c r="G224" s="81"/>
      <c r="H224" s="82"/>
      <c r="I224" s="51"/>
      <c r="S224" s="85">
        <f t="shared" ca="1" si="67"/>
        <v>805</v>
      </c>
      <c r="T224" s="85"/>
      <c r="U224" s="51">
        <f t="shared" ref="U224:V226" si="69">U223+1</f>
        <v>5</v>
      </c>
      <c r="V224" s="59">
        <f t="shared" ca="1" si="69"/>
        <v>805</v>
      </c>
    </row>
    <row r="225" spans="1:22" s="59" customFormat="1" ht="15.75" customHeight="1" x14ac:dyDescent="0.35">
      <c r="A225" s="78">
        <v>6</v>
      </c>
      <c r="B225" s="78"/>
      <c r="C225" s="58" t="s">
        <v>180</v>
      </c>
      <c r="D225" s="58">
        <f>(2.75*3.5+2.15*2.6+2.75*2.75+1.65*1.2+0.9*1.35+0.9*0.5+2.15*1+2.75*0.9*2+(2.75+2.15+2.75)*0.75)*10.764</f>
        <v>422.59464000000003</v>
      </c>
      <c r="E225" s="58">
        <v>0</v>
      </c>
      <c r="F225" s="58">
        <f t="shared" si="66"/>
        <v>612.76222800000005</v>
      </c>
      <c r="G225" s="81"/>
      <c r="H225" s="82"/>
      <c r="I225" s="51"/>
      <c r="S225" s="85">
        <f t="shared" ca="1" si="67"/>
        <v>806</v>
      </c>
      <c r="T225" s="85"/>
      <c r="U225" s="51">
        <f>U224+1</f>
        <v>6</v>
      </c>
      <c r="V225" s="59">
        <f t="shared" ca="1" si="69"/>
        <v>806</v>
      </c>
    </row>
    <row r="226" spans="1:22" s="59" customFormat="1" ht="15.75" customHeight="1" x14ac:dyDescent="0.35">
      <c r="A226" s="78">
        <v>7</v>
      </c>
      <c r="B226" s="78"/>
      <c r="C226" s="58" t="s">
        <v>180</v>
      </c>
      <c r="D226" s="58">
        <f>(2.75*3.5+2.3*2.45+2.75*3.35+1.2*2+1.2*1.2+1.2*1.5+2.75*0.9+(1.62+2.3+2.75)*0.75)*10.764</f>
        <v>404.61875999999995</v>
      </c>
      <c r="E226" s="58">
        <v>0</v>
      </c>
      <c r="F226" s="58">
        <f t="shared" si="66"/>
        <v>586.69720199999995</v>
      </c>
      <c r="G226" s="83"/>
      <c r="H226" s="84"/>
      <c r="I226" s="51"/>
      <c r="S226" s="85">
        <f t="shared" ca="1" si="67"/>
        <v>807</v>
      </c>
      <c r="T226" s="85"/>
      <c r="U226" s="51">
        <f>U225+1</f>
        <v>7</v>
      </c>
      <c r="V226" s="59">
        <f t="shared" ca="1" si="69"/>
        <v>807</v>
      </c>
    </row>
    <row r="227" spans="1:22" s="69" customFormat="1" x14ac:dyDescent="0.35">
      <c r="A227" s="92" t="s">
        <v>237</v>
      </c>
      <c r="B227" s="92"/>
      <c r="C227" s="92"/>
      <c r="D227" s="92"/>
      <c r="E227" s="92"/>
      <c r="F227" s="92"/>
      <c r="G227" s="92"/>
      <c r="H227" s="92"/>
      <c r="I227" s="51"/>
      <c r="S227" s="85"/>
      <c r="T227" s="85"/>
      <c r="V227" s="69" t="str">
        <f>LEFT(A227,SUM(LEN(A227)-LEN(SUBSTITUTE(A227,{"0","1","2","3","4","5","6","7","8","9"},""))))</f>
        <v>9</v>
      </c>
    </row>
    <row r="228" spans="1:22" s="69" customFormat="1" ht="15.75" customHeight="1" x14ac:dyDescent="0.35">
      <c r="A228" s="78">
        <v>1</v>
      </c>
      <c r="B228" s="78"/>
      <c r="C228" s="70" t="s">
        <v>181</v>
      </c>
      <c r="D228" s="70">
        <f>(2.75*3.5+2.75*3.35+2.3*2.45+2.75*3.35+1.2*2+1.2*1.5+1.2*1.2+2.75*0.9+(1.62+2.3+2.75+2.75)*0.75)*10.764</f>
        <v>525.98285999999985</v>
      </c>
      <c r="E228" s="70">
        <v>0</v>
      </c>
      <c r="F228" s="70">
        <f t="shared" ref="F228:F233" si="70">D228*(($F$139)+1)+E228</f>
        <v>762.6751469999997</v>
      </c>
      <c r="G228" s="79" t="str">
        <f>A227</f>
        <v>9th Floor</v>
      </c>
      <c r="H228" s="80"/>
      <c r="I228" s="51"/>
      <c r="S228" s="85">
        <f t="shared" ref="S228:S234" ca="1" si="71">V228</f>
        <v>901</v>
      </c>
      <c r="T228" s="85"/>
      <c r="U228" s="51">
        <v>1</v>
      </c>
      <c r="V228" s="69">
        <f ca="1">(SUMPRODUCT(MID(0&amp;V227, LARGE(INDEX(ISNUMBER(--MID(V227, ROW(INDIRECT("1:"&amp;LEN(V227))), 1)) * ROW(INDIRECT("1:"&amp;LEN(V227))), 0), ROW(INDIRECT("1:"&amp;LEN(V227))))+1, 1) * 10^ROW(INDIRECT("1:"&amp;LEN(V227)))/10))*U228*100+1</f>
        <v>901</v>
      </c>
    </row>
    <row r="229" spans="1:22" s="69" customFormat="1" ht="15.75" customHeight="1" x14ac:dyDescent="0.35">
      <c r="A229" s="78">
        <v>2</v>
      </c>
      <c r="B229" s="78"/>
      <c r="C229" s="70" t="s">
        <v>181</v>
      </c>
      <c r="D229" s="70">
        <f>(3.5*3.05+2.9*2.3+3.35*2.15+2.75*3.35+1.2*2.3+1.2*0.9+2.9*2.75+1.65*1.7+(3.05+2.9)*1.2+(2.9+2.15+3.05+2.75)*0.75)*10.764</f>
        <v>685.20932999999991</v>
      </c>
      <c r="E229" s="70">
        <v>0</v>
      </c>
      <c r="F229" s="70">
        <f t="shared" si="70"/>
        <v>993.55352849999986</v>
      </c>
      <c r="G229" s="81"/>
      <c r="H229" s="82"/>
      <c r="I229" s="51"/>
      <c r="S229" s="85">
        <f t="shared" ca="1" si="71"/>
        <v>902</v>
      </c>
      <c r="T229" s="85"/>
      <c r="U229" s="51">
        <f>U228+1</f>
        <v>2</v>
      </c>
      <c r="V229" s="69">
        <f ca="1">V228+1</f>
        <v>902</v>
      </c>
    </row>
    <row r="230" spans="1:22" s="69" customFormat="1" ht="15.75" customHeight="1" x14ac:dyDescent="0.35">
      <c r="A230" s="78">
        <v>3</v>
      </c>
      <c r="B230" s="78"/>
      <c r="C230" s="70" t="s">
        <v>180</v>
      </c>
      <c r="D230" s="70">
        <f>(3.5*2.75+2.75*2+1.85*2.75+0.9*1.1+1.65*1.1+2.75*0.9*2+(2.75+2+2.75)*0.75)*10.764</f>
        <v>361.58967000000001</v>
      </c>
      <c r="E230" s="70">
        <v>0</v>
      </c>
      <c r="F230" s="70">
        <f t="shared" si="70"/>
        <v>524.30502149999995</v>
      </c>
      <c r="G230" s="81"/>
      <c r="H230" s="82"/>
      <c r="I230" s="51"/>
      <c r="S230" s="85">
        <f t="shared" ca="1" si="71"/>
        <v>903</v>
      </c>
      <c r="T230" s="85"/>
      <c r="U230" s="51">
        <f>U229+1</f>
        <v>3</v>
      </c>
      <c r="V230" s="69">
        <f ca="1">V229+1</f>
        <v>903</v>
      </c>
    </row>
    <row r="231" spans="1:22" s="69" customFormat="1" ht="15.75" customHeight="1" x14ac:dyDescent="0.35">
      <c r="A231" s="78">
        <v>4</v>
      </c>
      <c r="B231" s="78"/>
      <c r="C231" s="70" t="s">
        <v>180</v>
      </c>
      <c r="D231" s="70">
        <f>(3.5*2.75+2.75*2+1.85*2.75+0.9*1.1+1.65*1.1+2.75*0.9*2+(2.75+2+2.75)*0.75)*10.764</f>
        <v>361.58967000000001</v>
      </c>
      <c r="E231" s="70">
        <v>0</v>
      </c>
      <c r="F231" s="70">
        <f t="shared" si="70"/>
        <v>524.30502149999995</v>
      </c>
      <c r="G231" s="81"/>
      <c r="H231" s="82"/>
      <c r="I231" s="51"/>
      <c r="S231" s="85">
        <f t="shared" ca="1" si="71"/>
        <v>904</v>
      </c>
      <c r="T231" s="85"/>
      <c r="U231" s="51">
        <f t="shared" ref="U231:V231" si="72">U230+1</f>
        <v>4</v>
      </c>
      <c r="V231" s="69">
        <f t="shared" ca="1" si="72"/>
        <v>904</v>
      </c>
    </row>
    <row r="232" spans="1:22" s="69" customFormat="1" ht="15.75" customHeight="1" x14ac:dyDescent="0.35">
      <c r="A232" s="78">
        <v>5</v>
      </c>
      <c r="B232" s="78"/>
      <c r="C232" s="70" t="s">
        <v>180</v>
      </c>
      <c r="D232" s="70">
        <f>(2.75*3.5+2.15*2.6+2.75*2.75+1.65*1.2+0.9*1.35+0.9*0.5+2.15*1+2.75*0.9*2+(2.75+2.15+2.75)*0.75)*10.764</f>
        <v>422.59464000000003</v>
      </c>
      <c r="E232" s="70">
        <v>0</v>
      </c>
      <c r="F232" s="70">
        <f t="shared" si="70"/>
        <v>612.76222800000005</v>
      </c>
      <c r="G232" s="81"/>
      <c r="H232" s="82"/>
      <c r="I232" s="51"/>
      <c r="S232" s="85">
        <f t="shared" ca="1" si="71"/>
        <v>905</v>
      </c>
      <c r="T232" s="85"/>
      <c r="U232" s="51">
        <f t="shared" ref="U232:V234" si="73">U231+1</f>
        <v>5</v>
      </c>
      <c r="V232" s="69">
        <f t="shared" ca="1" si="73"/>
        <v>905</v>
      </c>
    </row>
    <row r="233" spans="1:22" s="69" customFormat="1" ht="15.75" customHeight="1" x14ac:dyDescent="0.35">
      <c r="A233" s="78">
        <v>6</v>
      </c>
      <c r="B233" s="78"/>
      <c r="C233" s="70" t="s">
        <v>180</v>
      </c>
      <c r="D233" s="70">
        <f>(2.75*3.5+2.15*2.6+2.75*2.75+1.65*1.2+0.9*1.35+0.9*0.5+2.15*1+2.75*0.9*2+(2.75+2.15+2.75)*0.75)*10.764</f>
        <v>422.59464000000003</v>
      </c>
      <c r="E233" s="70">
        <v>0</v>
      </c>
      <c r="F233" s="70">
        <f t="shared" si="70"/>
        <v>612.76222800000005</v>
      </c>
      <c r="G233" s="81"/>
      <c r="H233" s="82"/>
      <c r="I233" s="51"/>
      <c r="S233" s="85">
        <f t="shared" ca="1" si="71"/>
        <v>906</v>
      </c>
      <c r="T233" s="85"/>
      <c r="U233" s="51">
        <f>U232+1</f>
        <v>6</v>
      </c>
      <c r="V233" s="69">
        <f t="shared" ca="1" si="73"/>
        <v>906</v>
      </c>
    </row>
    <row r="234" spans="1:22" s="69" customFormat="1" ht="15.75" customHeight="1" x14ac:dyDescent="0.35">
      <c r="A234" s="78">
        <v>7</v>
      </c>
      <c r="B234" s="78"/>
      <c r="C234" s="70" t="s">
        <v>180</v>
      </c>
      <c r="D234" s="70">
        <f>(2.75*3.5+2.3*2.45+2.75*3.35+1.2*2+1.2*1.2+1.2*1.5+2.75*0.9+(1.62+2.3+2.75)*0.75)*10.764</f>
        <v>404.61875999999995</v>
      </c>
      <c r="E234" s="70">
        <v>0</v>
      </c>
      <c r="F234" s="70">
        <v>680</v>
      </c>
      <c r="G234" s="83"/>
      <c r="H234" s="84"/>
      <c r="I234" s="86" t="s">
        <v>248</v>
      </c>
      <c r="J234" s="87"/>
      <c r="K234" s="87"/>
      <c r="L234" s="87"/>
      <c r="M234" s="87"/>
      <c r="S234" s="85">
        <f t="shared" ca="1" si="71"/>
        <v>907</v>
      </c>
      <c r="T234" s="85"/>
      <c r="U234" s="51">
        <f>U233+1</f>
        <v>7</v>
      </c>
      <c r="V234" s="69">
        <f t="shared" ca="1" si="73"/>
        <v>907</v>
      </c>
    </row>
    <row r="235" spans="1:22" s="50" customFormat="1" x14ac:dyDescent="0.35">
      <c r="A235" s="92" t="s">
        <v>177</v>
      </c>
      <c r="B235" s="92"/>
      <c r="C235" s="92"/>
      <c r="D235" s="92"/>
      <c r="E235" s="92"/>
      <c r="F235" s="92"/>
      <c r="G235" s="92"/>
      <c r="H235" s="92"/>
      <c r="I235" s="51"/>
    </row>
    <row r="236" spans="1:22" s="50" customFormat="1" x14ac:dyDescent="0.35">
      <c r="A236" s="92" t="s">
        <v>178</v>
      </c>
      <c r="B236" s="92"/>
      <c r="C236" s="92"/>
      <c r="D236" s="92"/>
      <c r="E236" s="92"/>
      <c r="F236" s="92"/>
      <c r="G236" s="92"/>
      <c r="H236" s="92"/>
      <c r="I236" s="51"/>
    </row>
    <row r="237" spans="1:22" s="50" customFormat="1" x14ac:dyDescent="0.35">
      <c r="A237" s="92" t="s">
        <v>184</v>
      </c>
      <c r="B237" s="92"/>
      <c r="C237" s="92"/>
      <c r="D237" s="92"/>
      <c r="E237" s="92"/>
      <c r="F237" s="92"/>
      <c r="G237" s="92"/>
      <c r="H237" s="92"/>
      <c r="I237" s="51"/>
      <c r="S237" s="85"/>
      <c r="T237" s="85"/>
      <c r="V237" s="50" t="str">
        <f>LEFT(A237,SUM(LEN(A237)-LEN(SUBSTITUTE(A237,{"0","1","2","3","4","5","6","7","8","9"},""))))</f>
        <v>1s</v>
      </c>
    </row>
    <row r="238" spans="1:22" s="50" customFormat="1" ht="15.75" customHeight="1" x14ac:dyDescent="0.35">
      <c r="A238" s="78">
        <v>1</v>
      </c>
      <c r="B238" s="78"/>
      <c r="C238" s="26" t="s">
        <v>230</v>
      </c>
      <c r="D238" s="26">
        <f>(3.5*2.75+1.55*3.1+1.2*2+1.15*0.95+1.2*0.9+2.75*0.9+3.1*0.9+(2.75+3.1)*0.75)*10.764</f>
        <v>308.44241999999997</v>
      </c>
      <c r="E238" s="26">
        <v>0</v>
      </c>
      <c r="F238" s="26">
        <f>D238*(($F$139)+1)+E238</f>
        <v>447.24150899999995</v>
      </c>
      <c r="G238" s="79" t="str">
        <f>A237</f>
        <v>1st to 4th Floor for Residential</v>
      </c>
      <c r="H238" s="80"/>
      <c r="I238" s="51"/>
      <c r="J238" s="50">
        <f>3.5*2.75+1.55*3.1+1.2*2+1.15*0.95+1.2*0.9</f>
        <v>19.002499999999998</v>
      </c>
      <c r="L238" s="58">
        <f>(3.5*2.75+1.55*3.1+1.2*2+1.15*0.95+1.2*0.9+2.75*0.9+3.1*0.9+(2.75+3.1)*0.75)*10.764</f>
        <v>308.44241999999997</v>
      </c>
      <c r="S238" s="85">
        <f t="shared" ref="S238:S244" ca="1" si="74">V238</f>
        <v>101</v>
      </c>
      <c r="T238" s="85"/>
      <c r="U238" s="51">
        <v>1</v>
      </c>
      <c r="V238" s="50">
        <f ca="1">(SUMPRODUCT(MID(0&amp;V237, LARGE(INDEX(ISNUMBER(--MID(V237, ROW(INDIRECT("1:"&amp;LEN(V237))), 1)) * ROW(INDIRECT("1:"&amp;LEN(V237))), 0), ROW(INDIRECT("1:"&amp;LEN(V237))))+1, 1) * 10^ROW(INDIRECT("1:"&amp;LEN(V237)))/10))*U238*100+1</f>
        <v>101</v>
      </c>
    </row>
    <row r="239" spans="1:22" s="50" customFormat="1" ht="15.75" customHeight="1" x14ac:dyDescent="0.35">
      <c r="A239" s="78">
        <v>2</v>
      </c>
      <c r="B239" s="78"/>
      <c r="C239" s="26" t="s">
        <v>230</v>
      </c>
      <c r="D239" s="26">
        <f>(3.5*2.75+1.55*3.1+1.2*2+1.15*0.95+1.2*0.9+2.75*0.9+3.1*0.9+(2.75+3.1)*0.75)*10.764</f>
        <v>308.44241999999997</v>
      </c>
      <c r="E239" s="26">
        <v>0</v>
      </c>
      <c r="F239" s="26">
        <f t="shared" ref="F239:F244" si="75">D239*(($F$139)+1)+E239</f>
        <v>447.24150899999995</v>
      </c>
      <c r="G239" s="81"/>
      <c r="H239" s="82"/>
      <c r="I239" s="51"/>
      <c r="L239" s="58">
        <f>(18.98+2.75*0.9+3.1*0.9+(2.75+3.1)*0.75)*10.764</f>
        <v>308.20022999999998</v>
      </c>
      <c r="S239" s="85">
        <f t="shared" ca="1" si="74"/>
        <v>102</v>
      </c>
      <c r="T239" s="85"/>
      <c r="U239" s="51">
        <f>U238+1</f>
        <v>2</v>
      </c>
      <c r="V239" s="50">
        <f ca="1">V238+1</f>
        <v>102</v>
      </c>
    </row>
    <row r="240" spans="1:22" s="50" customFormat="1" ht="15.75" customHeight="1" x14ac:dyDescent="0.35">
      <c r="A240" s="93">
        <v>3</v>
      </c>
      <c r="B240" s="94"/>
      <c r="C240" s="58" t="s">
        <v>180</v>
      </c>
      <c r="D240" s="26">
        <f>(3.5*2.75+2.75*2+1.85*2.75+0.9*1.1+1.65*1.1+2.75*0.9*2+(2.75+2+2.75)*0.75)*10.764</f>
        <v>361.58967000000001</v>
      </c>
      <c r="E240" s="26">
        <v>0</v>
      </c>
      <c r="F240" s="26">
        <f t="shared" si="75"/>
        <v>524.30502149999995</v>
      </c>
      <c r="G240" s="81"/>
      <c r="H240" s="82"/>
      <c r="I240" s="51"/>
      <c r="J240" s="50">
        <f>3.5*2.75+2.75*2+1.85*2.75+0.9*1.1+1.65*1.1</f>
        <v>23.017499999999998</v>
      </c>
      <c r="L240" s="58">
        <f>(23.03+2.75*0.9*2+(2.75+2+2.75)*0.75)*10.764</f>
        <v>361.72422</v>
      </c>
      <c r="S240" s="85">
        <f t="shared" ca="1" si="74"/>
        <v>103</v>
      </c>
      <c r="T240" s="85"/>
      <c r="U240" s="51">
        <f>U239+1</f>
        <v>3</v>
      </c>
      <c r="V240" s="50">
        <f ca="1">V239+1</f>
        <v>103</v>
      </c>
    </row>
    <row r="241" spans="1:22" s="50" customFormat="1" ht="15.75" customHeight="1" x14ac:dyDescent="0.35">
      <c r="A241" s="93">
        <v>4</v>
      </c>
      <c r="B241" s="94"/>
      <c r="C241" s="58" t="s">
        <v>180</v>
      </c>
      <c r="D241" s="26">
        <f>(3.5*2.75+2.75*2+1.85*2.75+0.9*1.1+1.65*1.1+2.75*0.9*2+(2.75+2+2.75)*0.75)*10.764</f>
        <v>361.58967000000001</v>
      </c>
      <c r="E241" s="26">
        <v>0</v>
      </c>
      <c r="F241" s="26">
        <f t="shared" si="75"/>
        <v>524.30502149999995</v>
      </c>
      <c r="G241" s="81"/>
      <c r="H241" s="82"/>
      <c r="I241" s="51"/>
      <c r="L241" s="58">
        <f>(23.03+2.75*0.9*2+(2.75+2+2.75)*0.75)*10.764</f>
        <v>361.72422</v>
      </c>
      <c r="S241" s="85">
        <f t="shared" ca="1" si="74"/>
        <v>104</v>
      </c>
      <c r="T241" s="85"/>
      <c r="U241" s="51">
        <f t="shared" ref="U241:V241" si="76">U240+1</f>
        <v>4</v>
      </c>
      <c r="V241" s="50">
        <f t="shared" ca="1" si="76"/>
        <v>104</v>
      </c>
    </row>
    <row r="242" spans="1:22" s="50" customFormat="1" ht="15.75" customHeight="1" x14ac:dyDescent="0.35">
      <c r="A242" s="93">
        <v>5</v>
      </c>
      <c r="B242" s="94"/>
      <c r="C242" s="26" t="s">
        <v>180</v>
      </c>
      <c r="D242" s="26">
        <f>(2.75*3.5+1.2*1.75+2.5*2.3+1.35*0.95+3.2*2.75+2.5*0.9+1.2*0.3+2.75*0.9+(2.75+2.5+2.75)*0.75)*10.764</f>
        <v>415.94786999999997</v>
      </c>
      <c r="E242" s="26">
        <v>0</v>
      </c>
      <c r="F242" s="26">
        <f t="shared" si="75"/>
        <v>603.12441149999995</v>
      </c>
      <c r="G242" s="81"/>
      <c r="H242" s="82"/>
      <c r="I242" s="51"/>
      <c r="J242" s="50">
        <f>2.75*3.5+1.2*1.75+2.5*2.3+1.35*0.95+3.2*2.75+2.5*0.9+1.2*0.3</f>
        <v>30.1675</v>
      </c>
      <c r="L242" s="58">
        <f>(30.92+2.75*0.9+(2.75+2.5+2.75)*0.75)*10.764</f>
        <v>424.04777999999999</v>
      </c>
      <c r="S242" s="85">
        <f t="shared" ca="1" si="74"/>
        <v>105</v>
      </c>
      <c r="T242" s="85"/>
      <c r="U242" s="51">
        <f t="shared" ref="U242:V242" si="77">U241+1</f>
        <v>5</v>
      </c>
      <c r="V242" s="50">
        <f t="shared" ca="1" si="77"/>
        <v>105</v>
      </c>
    </row>
    <row r="243" spans="1:22" s="50" customFormat="1" ht="15.75" customHeight="1" x14ac:dyDescent="0.35">
      <c r="A243" s="93">
        <v>6</v>
      </c>
      <c r="B243" s="94"/>
      <c r="C243" s="26" t="s">
        <v>180</v>
      </c>
      <c r="D243" s="26">
        <f>(2.75*3.5+1.2*1.75+2.5*2.3+1.35*0.95+3.2*2.75+2.5*0.9+1.2*0.3+2.75*0.9+(2.75+2.5+2.75)*0.75)*10.764</f>
        <v>415.94786999999997</v>
      </c>
      <c r="E243" s="26">
        <v>0</v>
      </c>
      <c r="F243" s="26">
        <f t="shared" si="75"/>
        <v>603.12441149999995</v>
      </c>
      <c r="G243" s="81"/>
      <c r="H243" s="82"/>
      <c r="I243" s="51"/>
      <c r="L243" s="58">
        <f>(33.7+2.75*0.9+(2.75+2.75+2.5)*0.75)*10.764</f>
        <v>453.9717</v>
      </c>
      <c r="S243" s="85">
        <f t="shared" ca="1" si="74"/>
        <v>106</v>
      </c>
      <c r="T243" s="85"/>
      <c r="U243" s="51">
        <f>U242+1</f>
        <v>6</v>
      </c>
      <c r="V243" s="50">
        <f t="shared" ref="V243" ca="1" si="78">V242+1</f>
        <v>106</v>
      </c>
    </row>
    <row r="244" spans="1:22" s="50" customFormat="1" ht="15.75" customHeight="1" x14ac:dyDescent="0.35">
      <c r="A244" s="93">
        <v>7</v>
      </c>
      <c r="B244" s="94"/>
      <c r="C244" s="58" t="s">
        <v>180</v>
      </c>
      <c r="D244" s="26">
        <f>(3.5*2.75+2.75*2+1.85*2.75+0.9*1.1+1.65*1.1+2.75*0.9*2+(2.75+2+2.75)*0.75)*10.764</f>
        <v>361.58967000000001</v>
      </c>
      <c r="E244" s="26">
        <v>0</v>
      </c>
      <c r="F244" s="26">
        <f t="shared" si="75"/>
        <v>524.30502149999995</v>
      </c>
      <c r="G244" s="81"/>
      <c r="H244" s="82"/>
      <c r="I244" s="51"/>
      <c r="J244" s="50">
        <f>3.5*2.75+2.75*2+1.85*2.75+0.9*1.1+1.65*1.1</f>
        <v>23.017499999999998</v>
      </c>
      <c r="L244" s="58">
        <f>(23.03+2.75*0.9*2+(2.75+2+2.75)*0.75)*10.764</f>
        <v>361.72422</v>
      </c>
      <c r="S244" s="85">
        <f t="shared" ca="1" si="74"/>
        <v>107</v>
      </c>
      <c r="T244" s="85"/>
      <c r="U244" s="51">
        <f>U243+1</f>
        <v>7</v>
      </c>
      <c r="V244" s="50">
        <f t="shared" ref="V244:V245" ca="1" si="79">V243+1</f>
        <v>107</v>
      </c>
    </row>
    <row r="245" spans="1:22" s="50" customFormat="1" ht="15.75" customHeight="1" x14ac:dyDescent="0.35">
      <c r="A245" s="93">
        <v>8</v>
      </c>
      <c r="B245" s="94"/>
      <c r="C245" s="58" t="s">
        <v>180</v>
      </c>
      <c r="D245" s="26">
        <f>(3.5*2.75+2.75*2+1.85*2.75+0.9*1.1+1.65*1.1+2.75*0.9*2+(2.75+2+2.75)*0.75)*10.764</f>
        <v>361.58967000000001</v>
      </c>
      <c r="E245" s="26">
        <v>0</v>
      </c>
      <c r="F245" s="26">
        <f t="shared" ref="F245" si="80">D245*(($F$139)+1)+E245</f>
        <v>524.30502149999995</v>
      </c>
      <c r="G245" s="83"/>
      <c r="H245" s="84"/>
      <c r="I245" s="51"/>
      <c r="L245" s="62">
        <f>(23.03+2.75*0.9*2+(2.75+2+2.75)*0.75)*10.764</f>
        <v>361.72422</v>
      </c>
      <c r="S245" s="85">
        <f t="shared" ref="S245" ca="1" si="81">V245</f>
        <v>108</v>
      </c>
      <c r="T245" s="85"/>
      <c r="U245" s="51">
        <f>U244+1</f>
        <v>8</v>
      </c>
      <c r="V245" s="50">
        <f t="shared" ca="1" si="79"/>
        <v>108</v>
      </c>
    </row>
    <row r="246" spans="1:22" s="59" customFormat="1" x14ac:dyDescent="0.35">
      <c r="A246" s="92" t="s">
        <v>227</v>
      </c>
      <c r="B246" s="92"/>
      <c r="C246" s="92"/>
      <c r="D246" s="92"/>
      <c r="E246" s="92"/>
      <c r="F246" s="92"/>
      <c r="G246" s="92"/>
      <c r="H246" s="92"/>
      <c r="I246" s="51"/>
      <c r="J246" s="63"/>
      <c r="K246" s="63"/>
      <c r="L246" s="63"/>
      <c r="M246" s="63"/>
      <c r="S246" s="85"/>
      <c r="T246" s="85"/>
      <c r="V246" s="59" t="str">
        <f>LEFT(A246,SUM(LEN(A246)-LEN(SUBSTITUTE(A246,{"0","1","2","3","4","5","6","7","8","9"},""))))</f>
        <v>5th</v>
      </c>
    </row>
    <row r="247" spans="1:22" s="59" customFormat="1" ht="15.75" customHeight="1" x14ac:dyDescent="0.35">
      <c r="A247" s="78">
        <v>1</v>
      </c>
      <c r="B247" s="78"/>
      <c r="C247" s="72" t="s">
        <v>230</v>
      </c>
      <c r="D247" s="72">
        <f>(3.5*2.75+1.55*3.1+1.2*2+1.15*0.95+1.2*0.9+2.75*0.9+3.1*0.9+(2.75+3.1)*0.75)*10.764</f>
        <v>308.44241999999997</v>
      </c>
      <c r="E247" s="72">
        <v>0</v>
      </c>
      <c r="F247" s="72">
        <f>D247*(($F$139)+1)+E247</f>
        <v>447.24150899999995</v>
      </c>
      <c r="G247" s="78" t="str">
        <f>A246</f>
        <v>5th to 7th &amp; 9th Floor</v>
      </c>
      <c r="H247" s="78"/>
      <c r="I247" s="51"/>
      <c r="J247" s="63"/>
      <c r="K247" s="63"/>
      <c r="L247" s="61"/>
      <c r="M247" s="63"/>
      <c r="S247" s="85">
        <f t="shared" ref="S247:S254" ca="1" si="82">V247</f>
        <v>501</v>
      </c>
      <c r="T247" s="85"/>
      <c r="U247" s="51">
        <v>1</v>
      </c>
      <c r="V247" s="59">
        <f ca="1">(SUMPRODUCT(MID(0&amp;V246, LARGE(INDEX(ISNUMBER(--MID(V246, ROW(INDIRECT("1:"&amp;LEN(V246))), 1)) * ROW(INDIRECT("1:"&amp;LEN(V246))), 0), ROW(INDIRECT("1:"&amp;LEN(V246))))+1, 1) * 10^ROW(INDIRECT("1:"&amp;LEN(V246)))/10))*U247*100+1</f>
        <v>501</v>
      </c>
    </row>
    <row r="248" spans="1:22" s="59" customFormat="1" ht="15.75" customHeight="1" x14ac:dyDescent="0.35">
      <c r="A248" s="78">
        <v>2</v>
      </c>
      <c r="B248" s="78"/>
      <c r="C248" s="72" t="s">
        <v>230</v>
      </c>
      <c r="D248" s="72">
        <f>(3.5*2.75+1.55*3.1+1.2*2+1.15*0.95+1.2*0.9+2.75*0.9+3.1*0.9+(2.75+3.1)*0.75)*10.764</f>
        <v>308.44241999999997</v>
      </c>
      <c r="E248" s="72">
        <v>0</v>
      </c>
      <c r="F248" s="72">
        <f t="shared" ref="F248:F254" si="83">D248*(($F$139)+1)+E248</f>
        <v>447.24150899999995</v>
      </c>
      <c r="G248" s="78"/>
      <c r="H248" s="78"/>
      <c r="I248" s="51"/>
      <c r="J248" s="63"/>
      <c r="K248" s="63"/>
      <c r="L248" s="61"/>
      <c r="M248" s="63"/>
      <c r="S248" s="85">
        <f t="shared" ca="1" si="82"/>
        <v>502</v>
      </c>
      <c r="T248" s="85"/>
      <c r="U248" s="51">
        <f>U247+1</f>
        <v>2</v>
      </c>
      <c r="V248" s="59">
        <f ca="1">V247+1</f>
        <v>502</v>
      </c>
    </row>
    <row r="249" spans="1:22" s="59" customFormat="1" ht="15.75" customHeight="1" x14ac:dyDescent="0.35">
      <c r="A249" s="78">
        <v>3</v>
      </c>
      <c r="B249" s="78"/>
      <c r="C249" s="72" t="s">
        <v>180</v>
      </c>
      <c r="D249" s="72">
        <f>(3.5*2.75+2.75*2+1.85*2.75+0.9*1.1+1.65*1.1+2.75*0.9*2+(2.75+2+2.75)*0.75)*10.764</f>
        <v>361.58967000000001</v>
      </c>
      <c r="E249" s="72">
        <v>0</v>
      </c>
      <c r="F249" s="72">
        <f t="shared" si="83"/>
        <v>524.30502149999995</v>
      </c>
      <c r="G249" s="78"/>
      <c r="H249" s="78"/>
      <c r="I249" s="51"/>
      <c r="J249" s="63"/>
      <c r="K249" s="63"/>
      <c r="L249" s="61"/>
      <c r="M249" s="63"/>
      <c r="S249" s="85">
        <f t="shared" ca="1" si="82"/>
        <v>503</v>
      </c>
      <c r="T249" s="85"/>
      <c r="U249" s="51">
        <f>U248+1</f>
        <v>3</v>
      </c>
      <c r="V249" s="59">
        <f ca="1">V248+1</f>
        <v>503</v>
      </c>
    </row>
    <row r="250" spans="1:22" s="59" customFormat="1" ht="15.75" customHeight="1" x14ac:dyDescent="0.35">
      <c r="A250" s="78">
        <v>4</v>
      </c>
      <c r="B250" s="78"/>
      <c r="C250" s="72" t="s">
        <v>180</v>
      </c>
      <c r="D250" s="72">
        <f>(3.5*2.75+2.75*2+1.85*2.75+0.9*1.1+1.65*1.1+2.75*0.9*2+(2.75+2+2.75)*0.75)*10.764</f>
        <v>361.58967000000001</v>
      </c>
      <c r="E250" s="72">
        <v>0</v>
      </c>
      <c r="F250" s="72">
        <f t="shared" si="83"/>
        <v>524.30502149999995</v>
      </c>
      <c r="G250" s="78"/>
      <c r="H250" s="78"/>
      <c r="I250" s="51"/>
      <c r="J250" s="63"/>
      <c r="K250" s="63"/>
      <c r="L250" s="61"/>
      <c r="M250" s="63"/>
      <c r="S250" s="85">
        <f t="shared" ca="1" si="82"/>
        <v>504</v>
      </c>
      <c r="T250" s="85"/>
      <c r="U250" s="51">
        <f t="shared" ref="U250:V250" si="84">U249+1</f>
        <v>4</v>
      </c>
      <c r="V250" s="59">
        <f t="shared" ca="1" si="84"/>
        <v>504</v>
      </c>
    </row>
    <row r="251" spans="1:22" s="59" customFormat="1" ht="15.75" customHeight="1" x14ac:dyDescent="0.35">
      <c r="A251" s="78">
        <v>5</v>
      </c>
      <c r="B251" s="78"/>
      <c r="C251" s="72" t="s">
        <v>180</v>
      </c>
      <c r="D251" s="72">
        <f>(2.75*3.5+1.2*1.75+2.5*2.3+1.35*0.95+3.2*2.75+2.5*0.9+1.2*0.3+2.75*0.9+(2.75+2.5+2.75)*0.75)*10.764</f>
        <v>415.94786999999997</v>
      </c>
      <c r="E251" s="72">
        <v>0</v>
      </c>
      <c r="F251" s="72">
        <f t="shared" si="83"/>
        <v>603.12441149999995</v>
      </c>
      <c r="G251" s="78"/>
      <c r="H251" s="78"/>
      <c r="I251" s="51"/>
      <c r="J251" s="63"/>
      <c r="K251" s="63"/>
      <c r="L251" s="61"/>
      <c r="M251" s="63"/>
      <c r="S251" s="85">
        <f t="shared" ca="1" si="82"/>
        <v>505</v>
      </c>
      <c r="T251" s="85"/>
      <c r="U251" s="51">
        <f t="shared" ref="U251:V254" si="85">U250+1</f>
        <v>5</v>
      </c>
      <c r="V251" s="59">
        <f t="shared" ca="1" si="85"/>
        <v>505</v>
      </c>
    </row>
    <row r="252" spans="1:22" s="59" customFormat="1" ht="15.75" customHeight="1" x14ac:dyDescent="0.35">
      <c r="A252" s="78">
        <v>6</v>
      </c>
      <c r="B252" s="78"/>
      <c r="C252" s="72" t="s">
        <v>180</v>
      </c>
      <c r="D252" s="72">
        <f>(2.75*3.5+1.2*1.75+2.5*2.3+1.35*0.95+3.2*2.75+2.5*0.9+1.2*0.3+2.75*0.9+(2.75+2.5+2.75)*0.75)*10.764</f>
        <v>415.94786999999997</v>
      </c>
      <c r="E252" s="72">
        <v>0</v>
      </c>
      <c r="F252" s="72">
        <f t="shared" si="83"/>
        <v>603.12441149999995</v>
      </c>
      <c r="G252" s="78"/>
      <c r="H252" s="78"/>
      <c r="I252" s="51"/>
      <c r="J252" s="63"/>
      <c r="K252" s="63"/>
      <c r="L252" s="61"/>
      <c r="M252" s="63"/>
      <c r="S252" s="85">
        <f t="shared" ca="1" si="82"/>
        <v>506</v>
      </c>
      <c r="T252" s="85"/>
      <c r="U252" s="51">
        <f>U251+1</f>
        <v>6</v>
      </c>
      <c r="V252" s="59">
        <f t="shared" ca="1" si="85"/>
        <v>506</v>
      </c>
    </row>
    <row r="253" spans="1:22" s="59" customFormat="1" ht="15.75" customHeight="1" x14ac:dyDescent="0.35">
      <c r="A253" s="78">
        <v>7</v>
      </c>
      <c r="B253" s="78"/>
      <c r="C253" s="72" t="s">
        <v>180</v>
      </c>
      <c r="D253" s="72">
        <f>(3.5*2.75+2.75*2+1.85*2.75+0.9*1.1+1.65*1.1+2.75*0.9*2+(2.75+2+2.75)*0.75)*10.764</f>
        <v>361.58967000000001</v>
      </c>
      <c r="E253" s="72">
        <v>0</v>
      </c>
      <c r="F253" s="72">
        <f t="shared" si="83"/>
        <v>524.30502149999995</v>
      </c>
      <c r="G253" s="78"/>
      <c r="H253" s="78"/>
      <c r="I253" s="51"/>
      <c r="J253" s="63"/>
      <c r="K253" s="63"/>
      <c r="L253" s="61"/>
      <c r="M253" s="63"/>
      <c r="S253" s="85">
        <f t="shared" ca="1" si="82"/>
        <v>507</v>
      </c>
      <c r="T253" s="85"/>
      <c r="U253" s="51">
        <f>U252+1</f>
        <v>7</v>
      </c>
      <c r="V253" s="59">
        <f t="shared" ca="1" si="85"/>
        <v>507</v>
      </c>
    </row>
    <row r="254" spans="1:22" s="59" customFormat="1" ht="15.75" customHeight="1" x14ac:dyDescent="0.35">
      <c r="A254" s="78">
        <v>8</v>
      </c>
      <c r="B254" s="78"/>
      <c r="C254" s="72" t="s">
        <v>180</v>
      </c>
      <c r="D254" s="72">
        <f>(3.5*2.75+2.75*2+1.85*2.75+0.9*1.1+1.65*1.1+2.75*0.9*2+(2.75+2+2.75)*0.75)*10.764</f>
        <v>361.58967000000001</v>
      </c>
      <c r="E254" s="72">
        <v>0</v>
      </c>
      <c r="F254" s="72">
        <f t="shared" si="83"/>
        <v>524.30502149999995</v>
      </c>
      <c r="G254" s="78"/>
      <c r="H254" s="78"/>
      <c r="I254" s="51"/>
      <c r="J254" s="63"/>
      <c r="K254" s="63"/>
      <c r="L254" s="61"/>
      <c r="M254" s="63"/>
      <c r="S254" s="85">
        <f t="shared" ca="1" si="82"/>
        <v>508</v>
      </c>
      <c r="T254" s="85"/>
      <c r="U254" s="51">
        <f>U253+1</f>
        <v>8</v>
      </c>
      <c r="V254" s="59">
        <f t="shared" ca="1" si="85"/>
        <v>508</v>
      </c>
    </row>
    <row r="255" spans="1:22" s="59" customFormat="1" x14ac:dyDescent="0.35">
      <c r="A255" s="92" t="s">
        <v>229</v>
      </c>
      <c r="B255" s="92"/>
      <c r="C255" s="92"/>
      <c r="D255" s="92"/>
      <c r="E255" s="92"/>
      <c r="F255" s="92"/>
      <c r="G255" s="92"/>
      <c r="H255" s="92"/>
      <c r="I255" s="51"/>
      <c r="J255" s="63"/>
      <c r="K255" s="63"/>
      <c r="L255" s="63"/>
      <c r="M255" s="63"/>
      <c r="S255" s="85"/>
      <c r="T255" s="85"/>
      <c r="V255" s="59" t="str">
        <f>LEFT(A255,SUM(LEN(A255)-LEN(SUBSTITUTE(A255,{"0","1","2","3","4","5","6","7","8","9"},""))))</f>
        <v>8</v>
      </c>
    </row>
    <row r="256" spans="1:22" s="59" customFormat="1" ht="15.75" customHeight="1" x14ac:dyDescent="0.35">
      <c r="A256" s="78">
        <v>1</v>
      </c>
      <c r="B256" s="78"/>
      <c r="C256" s="58" t="s">
        <v>230</v>
      </c>
      <c r="D256" s="58">
        <f>(3.5*2.75+1.55*3.1+1.2*2+1.15*0.95+1.2*0.9+2.75*0.9+3.1*0.9+(2.75+3.1)*0.75)*10.764</f>
        <v>308.44241999999997</v>
      </c>
      <c r="E256" s="58">
        <v>0</v>
      </c>
      <c r="F256" s="58">
        <f t="shared" ref="F256:F262" si="86">D256*(($F$139)+1)+E256</f>
        <v>447.24150899999995</v>
      </c>
      <c r="G256" s="79" t="str">
        <f>A255</f>
        <v>8th Floor (Part Refuge Area)</v>
      </c>
      <c r="H256" s="80"/>
      <c r="I256" s="51"/>
      <c r="J256" s="63"/>
      <c r="K256" s="63"/>
      <c r="L256" s="61"/>
      <c r="M256" s="63"/>
      <c r="S256" s="85">
        <f t="shared" ref="S256:S263" ca="1" si="87">V256</f>
        <v>801</v>
      </c>
      <c r="T256" s="85"/>
      <c r="U256" s="51">
        <v>1</v>
      </c>
      <c r="V256" s="59">
        <f ca="1">(SUMPRODUCT(MID(0&amp;V255, LARGE(INDEX(ISNUMBER(--MID(V255, ROW(INDIRECT("1:"&amp;LEN(V255))), 1)) * ROW(INDIRECT("1:"&amp;LEN(V255))), 0), ROW(INDIRECT("1:"&amp;LEN(V255))))+1, 1) * 10^ROW(INDIRECT("1:"&amp;LEN(V255)))/10))*U256*100+1</f>
        <v>801</v>
      </c>
    </row>
    <row r="257" spans="1:22" s="59" customFormat="1" ht="15.75" customHeight="1" x14ac:dyDescent="0.35">
      <c r="A257" s="78">
        <v>2</v>
      </c>
      <c r="B257" s="78"/>
      <c r="C257" s="58" t="s">
        <v>230</v>
      </c>
      <c r="D257" s="58">
        <f>(3.5*2.75+1.55*3.1+1.2*2+1.15*0.95+1.2*0.9+2.75*0.9+3.1*0.9+(2.75+3.1)*0.75)*10.764</f>
        <v>308.44241999999997</v>
      </c>
      <c r="E257" s="58">
        <v>0</v>
      </c>
      <c r="F257" s="58">
        <f t="shared" si="86"/>
        <v>447.24150899999995</v>
      </c>
      <c r="G257" s="81"/>
      <c r="H257" s="82"/>
      <c r="I257" s="51"/>
      <c r="J257" s="63"/>
      <c r="K257" s="63"/>
      <c r="L257" s="61"/>
      <c r="M257" s="63"/>
      <c r="S257" s="85">
        <f t="shared" ca="1" si="87"/>
        <v>802</v>
      </c>
      <c r="T257" s="85"/>
      <c r="U257" s="51">
        <f>U256+1</f>
        <v>2</v>
      </c>
      <c r="V257" s="59">
        <f ca="1">V256+1</f>
        <v>802</v>
      </c>
    </row>
    <row r="258" spans="1:22" s="59" customFormat="1" ht="15.75" customHeight="1" x14ac:dyDescent="0.35">
      <c r="A258" s="93">
        <v>3</v>
      </c>
      <c r="B258" s="94"/>
      <c r="C258" s="58" t="s">
        <v>180</v>
      </c>
      <c r="D258" s="58">
        <f>(3.5*2.75+2.75*2+1.85*2.75+0.9*1.1+1.65*1.1+2.75*0.9*2+(2.75+2+2.75)*0.75)*10.764</f>
        <v>361.58967000000001</v>
      </c>
      <c r="E258" s="58">
        <v>0</v>
      </c>
      <c r="F258" s="58">
        <f t="shared" si="86"/>
        <v>524.30502149999995</v>
      </c>
      <c r="G258" s="81"/>
      <c r="H258" s="82"/>
      <c r="I258" s="51"/>
      <c r="J258" s="63"/>
      <c r="K258" s="63"/>
      <c r="L258" s="61"/>
      <c r="M258" s="63"/>
      <c r="S258" s="85">
        <f t="shared" ca="1" si="87"/>
        <v>803</v>
      </c>
      <c r="T258" s="85"/>
      <c r="U258" s="51">
        <f>U257+1</f>
        <v>3</v>
      </c>
      <c r="V258" s="59">
        <f ca="1">V257+1</f>
        <v>803</v>
      </c>
    </row>
    <row r="259" spans="1:22" s="59" customFormat="1" ht="15.75" customHeight="1" x14ac:dyDescent="0.35">
      <c r="A259" s="93">
        <v>4</v>
      </c>
      <c r="B259" s="94"/>
      <c r="C259" s="58" t="s">
        <v>180</v>
      </c>
      <c r="D259" s="58">
        <f>(3.5*2.75+2.75*2+1.85*2.75+0.9*1.1+1.65*1.1+2.75*0.9*2+(2.75+2+2.75)*0.75)*10.764</f>
        <v>361.58967000000001</v>
      </c>
      <c r="E259" s="58">
        <v>0</v>
      </c>
      <c r="F259" s="58">
        <f t="shared" si="86"/>
        <v>524.30502149999995</v>
      </c>
      <c r="G259" s="81"/>
      <c r="H259" s="82"/>
      <c r="I259" s="51"/>
      <c r="J259" s="63"/>
      <c r="K259" s="63"/>
      <c r="L259" s="61"/>
      <c r="M259" s="63"/>
      <c r="S259" s="85">
        <f t="shared" ca="1" si="87"/>
        <v>804</v>
      </c>
      <c r="T259" s="85"/>
      <c r="U259" s="51">
        <f t="shared" ref="U259:V259" si="88">U258+1</f>
        <v>4</v>
      </c>
      <c r="V259" s="59">
        <f t="shared" ca="1" si="88"/>
        <v>804</v>
      </c>
    </row>
    <row r="260" spans="1:22" s="59" customFormat="1" ht="15.75" customHeight="1" x14ac:dyDescent="0.35">
      <c r="A260" s="93">
        <v>5</v>
      </c>
      <c r="B260" s="94"/>
      <c r="C260" s="58" t="s">
        <v>180</v>
      </c>
      <c r="D260" s="58">
        <f>(2.75*3.5+1.2*1.75+2.5*2.3+1.35*0.95+3.2*2.75+2.5*0.9+1.2*0.3+2.75*0.9+(2.75+2.5+2.75)*0.75)*10.764</f>
        <v>415.94786999999997</v>
      </c>
      <c r="E260" s="58">
        <v>0</v>
      </c>
      <c r="F260" s="58">
        <f t="shared" si="86"/>
        <v>603.12441149999995</v>
      </c>
      <c r="G260" s="81"/>
      <c r="H260" s="82"/>
      <c r="I260" s="51"/>
      <c r="J260" s="63"/>
      <c r="K260" s="63"/>
      <c r="L260" s="61"/>
      <c r="M260" s="63"/>
      <c r="S260" s="85">
        <f t="shared" ca="1" si="87"/>
        <v>805</v>
      </c>
      <c r="T260" s="85"/>
      <c r="U260" s="51">
        <f t="shared" ref="U260:V260" si="89">U259+1</f>
        <v>5</v>
      </c>
      <c r="V260" s="59">
        <f t="shared" ca="1" si="89"/>
        <v>805</v>
      </c>
    </row>
    <row r="261" spans="1:22" s="59" customFormat="1" ht="15.75" customHeight="1" x14ac:dyDescent="0.35">
      <c r="A261" s="93">
        <v>6</v>
      </c>
      <c r="B261" s="94"/>
      <c r="C261" s="58" t="s">
        <v>180</v>
      </c>
      <c r="D261" s="58">
        <f>(2.75*3.5+1.2*1.75+2.5*2.3+1.35*0.95+3.2*2.75+2.5*0.9+1.2*0.3+2.75*0.9+(2.75+2.5+2.75)*0.75)*10.764</f>
        <v>415.94786999999997</v>
      </c>
      <c r="E261" s="58">
        <v>0</v>
      </c>
      <c r="F261" s="58">
        <f t="shared" si="86"/>
        <v>603.12441149999995</v>
      </c>
      <c r="G261" s="81"/>
      <c r="H261" s="82"/>
      <c r="I261" s="51"/>
      <c r="J261" s="63"/>
      <c r="K261" s="63"/>
      <c r="L261" s="61"/>
      <c r="M261" s="63"/>
      <c r="S261" s="85">
        <f t="shared" ca="1" si="87"/>
        <v>806</v>
      </c>
      <c r="T261" s="85"/>
      <c r="U261" s="51">
        <f>U260+1</f>
        <v>6</v>
      </c>
      <c r="V261" s="59">
        <f t="shared" ref="V261" ca="1" si="90">V260+1</f>
        <v>806</v>
      </c>
    </row>
    <row r="262" spans="1:22" s="59" customFormat="1" ht="15.75" customHeight="1" x14ac:dyDescent="0.35">
      <c r="A262" s="93">
        <v>7</v>
      </c>
      <c r="B262" s="94"/>
      <c r="C262" s="58" t="s">
        <v>180</v>
      </c>
      <c r="D262" s="58">
        <f>(3.5*2.75+2.75*2+1.85*2.75+0.9*1.1+1.65*1.1+2.75*0.9*2+(2.75+2+2.75)*0.75)*10.764</f>
        <v>361.58967000000001</v>
      </c>
      <c r="E262" s="58">
        <v>0</v>
      </c>
      <c r="F262" s="58">
        <f t="shared" si="86"/>
        <v>524.30502149999995</v>
      </c>
      <c r="G262" s="81"/>
      <c r="H262" s="82"/>
      <c r="I262" s="51"/>
      <c r="J262" s="63"/>
      <c r="K262" s="63"/>
      <c r="L262" s="61"/>
      <c r="M262" s="63"/>
      <c r="S262" s="85">
        <f t="shared" ca="1" si="87"/>
        <v>807</v>
      </c>
      <c r="T262" s="85"/>
      <c r="U262" s="51">
        <f>U261+1</f>
        <v>7</v>
      </c>
      <c r="V262" s="59">
        <f t="shared" ref="V262" ca="1" si="91">V261+1</f>
        <v>807</v>
      </c>
    </row>
    <row r="263" spans="1:22" s="59" customFormat="1" ht="15.75" customHeight="1" x14ac:dyDescent="0.35">
      <c r="A263" s="93">
        <v>8</v>
      </c>
      <c r="B263" s="94"/>
      <c r="C263" s="93" t="s">
        <v>183</v>
      </c>
      <c r="D263" s="95"/>
      <c r="E263" s="95"/>
      <c r="F263" s="94"/>
      <c r="G263" s="83"/>
      <c r="H263" s="84"/>
      <c r="I263" s="51"/>
      <c r="J263" s="63"/>
      <c r="K263" s="63"/>
      <c r="L263" s="61"/>
      <c r="M263" s="63"/>
      <c r="S263" s="85">
        <f t="shared" ca="1" si="87"/>
        <v>808</v>
      </c>
      <c r="T263" s="85"/>
      <c r="U263" s="51">
        <f>U262+1</f>
        <v>8</v>
      </c>
      <c r="V263" s="59">
        <f t="shared" ref="V263" ca="1" si="92">V262+1</f>
        <v>808</v>
      </c>
    </row>
    <row r="264" spans="1:22" s="49" customFormat="1" x14ac:dyDescent="0.35">
      <c r="A264" s="142" t="s">
        <v>77</v>
      </c>
      <c r="B264" s="142"/>
      <c r="C264" s="142"/>
      <c r="D264" s="142"/>
      <c r="E264" s="142"/>
      <c r="F264" s="142"/>
      <c r="G264" s="142"/>
      <c r="H264" s="142"/>
      <c r="J264" s="64"/>
      <c r="K264" s="64"/>
      <c r="L264" s="64"/>
      <c r="M264" s="64"/>
    </row>
    <row r="265" spans="1:22" s="53" customFormat="1" ht="199" customHeight="1" x14ac:dyDescent="0.35">
      <c r="A265" s="143" t="s">
        <v>256</v>
      </c>
      <c r="B265" s="143"/>
      <c r="C265" s="143"/>
      <c r="D265" s="143"/>
      <c r="E265" s="143"/>
      <c r="F265" s="143"/>
      <c r="G265" s="143"/>
      <c r="H265" s="143"/>
    </row>
    <row r="266" spans="1:22" x14ac:dyDescent="0.35">
      <c r="A266" s="138" t="s">
        <v>68</v>
      </c>
      <c r="B266" s="138"/>
      <c r="C266" s="138"/>
      <c r="D266" s="138"/>
      <c r="E266" s="138"/>
      <c r="F266" s="138"/>
      <c r="G266" s="138"/>
      <c r="H266" s="138"/>
    </row>
    <row r="267" spans="1:22" x14ac:dyDescent="0.35">
      <c r="A267" s="110" t="s">
        <v>69</v>
      </c>
      <c r="B267" s="110"/>
      <c r="C267" s="110"/>
      <c r="D267" s="110"/>
      <c r="E267" s="110"/>
      <c r="F267" s="110"/>
      <c r="G267" s="110"/>
      <c r="H267" s="110"/>
    </row>
    <row r="268" spans="1:22" ht="15.75" customHeight="1" x14ac:dyDescent="0.35">
      <c r="A268" s="138" t="s">
        <v>70</v>
      </c>
      <c r="B268" s="138"/>
      <c r="C268" s="138"/>
      <c r="D268" s="138"/>
      <c r="E268" s="138"/>
      <c r="F268" s="138"/>
      <c r="G268" s="138"/>
      <c r="H268" s="138"/>
    </row>
    <row r="269" spans="1:22" x14ac:dyDescent="0.35">
      <c r="A269" s="110" t="s">
        <v>71</v>
      </c>
      <c r="B269" s="110"/>
      <c r="C269" s="110"/>
      <c r="D269" s="110"/>
      <c r="E269" s="110"/>
      <c r="F269" s="110"/>
      <c r="G269" s="110"/>
      <c r="H269" s="110"/>
    </row>
    <row r="270" spans="1:22" x14ac:dyDescent="0.35">
      <c r="A270" s="110" t="s">
        <v>72</v>
      </c>
      <c r="B270" s="110"/>
      <c r="C270" s="110"/>
      <c r="D270" s="110"/>
      <c r="E270" s="110"/>
      <c r="F270" s="110"/>
      <c r="G270" s="110"/>
      <c r="H270" s="110"/>
    </row>
    <row r="271" spans="1:22" x14ac:dyDescent="0.35">
      <c r="A271" s="110" t="s">
        <v>73</v>
      </c>
      <c r="B271" s="110"/>
      <c r="C271" s="110"/>
      <c r="D271" s="110"/>
      <c r="E271" s="110"/>
      <c r="F271" s="110"/>
      <c r="G271" s="110"/>
      <c r="H271" s="110"/>
    </row>
    <row r="272" spans="1:22" ht="35.25" hidden="1" customHeight="1" x14ac:dyDescent="0.35">
      <c r="A272" s="128" t="s">
        <v>74</v>
      </c>
      <c r="B272" s="128"/>
      <c r="C272" s="128"/>
      <c r="D272" s="128"/>
      <c r="E272" s="128"/>
      <c r="F272" s="128"/>
      <c r="G272" s="128"/>
      <c r="H272" s="128"/>
    </row>
    <row r="273" spans="1:8" x14ac:dyDescent="0.35">
      <c r="A273" s="130" t="s">
        <v>110</v>
      </c>
      <c r="B273" s="130"/>
      <c r="C273" s="130" t="s">
        <v>185</v>
      </c>
      <c r="D273" s="130"/>
      <c r="E273" s="130" t="s">
        <v>143</v>
      </c>
      <c r="F273" s="130"/>
      <c r="G273" s="130" t="s">
        <v>254</v>
      </c>
      <c r="H273" s="130"/>
    </row>
    <row r="274" spans="1:8" x14ac:dyDescent="0.35">
      <c r="A274" s="129" t="s">
        <v>112</v>
      </c>
      <c r="B274" s="129"/>
      <c r="C274" s="129"/>
      <c r="D274" s="129"/>
      <c r="E274" s="129"/>
      <c r="F274" s="129"/>
      <c r="G274" s="129"/>
      <c r="H274" s="129"/>
    </row>
    <row r="275" spans="1:8" x14ac:dyDescent="0.35">
      <c r="A275" s="129"/>
      <c r="B275" s="129"/>
      <c r="C275" s="129"/>
      <c r="D275" s="129"/>
      <c r="E275" s="129"/>
      <c r="F275" s="129"/>
      <c r="G275" s="129"/>
      <c r="H275" s="129"/>
    </row>
    <row r="276" spans="1:8" x14ac:dyDescent="0.35">
      <c r="A276" s="129"/>
      <c r="B276" s="129"/>
      <c r="C276" s="129"/>
      <c r="D276" s="129"/>
      <c r="E276" s="129"/>
      <c r="F276" s="129"/>
      <c r="G276" s="129"/>
      <c r="H276" s="129"/>
    </row>
    <row r="277" spans="1:8" x14ac:dyDescent="0.35">
      <c r="A277" s="129"/>
      <c r="B277" s="129"/>
      <c r="C277" s="129"/>
      <c r="D277" s="129"/>
      <c r="E277" s="129"/>
      <c r="F277" s="129"/>
      <c r="G277" s="129"/>
      <c r="H277" s="129"/>
    </row>
    <row r="278" spans="1:8" x14ac:dyDescent="0.35">
      <c r="A278" s="54" t="s">
        <v>75</v>
      </c>
      <c r="B278" s="55"/>
      <c r="C278" s="55"/>
      <c r="D278" s="54" t="str">
        <f>E8</f>
        <v>Trinetra Apartment</v>
      </c>
      <c r="F278" s="55"/>
      <c r="G278" s="55"/>
      <c r="H278" s="55"/>
    </row>
    <row r="279" spans="1:8" x14ac:dyDescent="0.35">
      <c r="A279" s="55"/>
      <c r="B279" s="55"/>
      <c r="C279" s="55"/>
      <c r="D279" s="55"/>
      <c r="E279" s="55"/>
      <c r="F279" s="55"/>
      <c r="G279" s="55"/>
      <c r="H279" s="55"/>
    </row>
    <row r="280" spans="1:8" x14ac:dyDescent="0.35">
      <c r="A280" s="55"/>
      <c r="B280" s="55"/>
      <c r="C280" s="55"/>
      <c r="D280" s="55"/>
      <c r="E280" s="55"/>
      <c r="F280" s="55"/>
      <c r="G280" s="55"/>
      <c r="H280" s="55"/>
    </row>
    <row r="281" spans="1:8" ht="15" customHeight="1" x14ac:dyDescent="0.35"/>
    <row r="323" spans="1:1" x14ac:dyDescent="0.35">
      <c r="A323" s="57" t="s">
        <v>239</v>
      </c>
    </row>
    <row r="363" spans="1:1" x14ac:dyDescent="0.35">
      <c r="A363" s="57" t="s">
        <v>76</v>
      </c>
    </row>
  </sheetData>
  <mergeCells count="549">
    <mergeCell ref="A190:B190"/>
    <mergeCell ref="S190:T190"/>
    <mergeCell ref="A191:B191"/>
    <mergeCell ref="S191:T191"/>
    <mergeCell ref="C190:F190"/>
    <mergeCell ref="A192:H192"/>
    <mergeCell ref="S192:T192"/>
    <mergeCell ref="A193:B193"/>
    <mergeCell ref="G193:H200"/>
    <mergeCell ref="S193:T193"/>
    <mergeCell ref="A194:B194"/>
    <mergeCell ref="S194:T194"/>
    <mergeCell ref="A195:B195"/>
    <mergeCell ref="S195:T195"/>
    <mergeCell ref="A196:B196"/>
    <mergeCell ref="S196:T196"/>
    <mergeCell ref="A197:B197"/>
    <mergeCell ref="S197:T197"/>
    <mergeCell ref="A198:B198"/>
    <mergeCell ref="S198:T198"/>
    <mergeCell ref="A199:B199"/>
    <mergeCell ref="S199:T199"/>
    <mergeCell ref="A200:B200"/>
    <mergeCell ref="S200:T200"/>
    <mergeCell ref="A185:B185"/>
    <mergeCell ref="S185:T185"/>
    <mergeCell ref="A186:B186"/>
    <mergeCell ref="S186:T186"/>
    <mergeCell ref="A187:B187"/>
    <mergeCell ref="S187:T187"/>
    <mergeCell ref="A188:B188"/>
    <mergeCell ref="S188:T188"/>
    <mergeCell ref="A189:B189"/>
    <mergeCell ref="S189:T189"/>
    <mergeCell ref="S156:T156"/>
    <mergeCell ref="A157:B157"/>
    <mergeCell ref="S157:T157"/>
    <mergeCell ref="A158:H158"/>
    <mergeCell ref="S158:T158"/>
    <mergeCell ref="A159:B159"/>
    <mergeCell ref="G159:H162"/>
    <mergeCell ref="S159:T159"/>
    <mergeCell ref="A160:B160"/>
    <mergeCell ref="S160:T160"/>
    <mergeCell ref="A161:B161"/>
    <mergeCell ref="S161:T161"/>
    <mergeCell ref="A162:B162"/>
    <mergeCell ref="S162:T162"/>
    <mergeCell ref="A219:H219"/>
    <mergeCell ref="S219:T219"/>
    <mergeCell ref="A220:B220"/>
    <mergeCell ref="S220:T220"/>
    <mergeCell ref="A221:B221"/>
    <mergeCell ref="A59:B59"/>
    <mergeCell ref="C59:H59"/>
    <mergeCell ref="A65:B65"/>
    <mergeCell ref="E62:F62"/>
    <mergeCell ref="A62:B62"/>
    <mergeCell ref="A87:B87"/>
    <mergeCell ref="C87:H87"/>
    <mergeCell ref="A89:B89"/>
    <mergeCell ref="C89:H89"/>
    <mergeCell ref="A207:B207"/>
    <mergeCell ref="S207:T207"/>
    <mergeCell ref="S182:T182"/>
    <mergeCell ref="G175:H182"/>
    <mergeCell ref="A203:H203"/>
    <mergeCell ref="S178:T178"/>
    <mergeCell ref="A179:B179"/>
    <mergeCell ref="S179:T179"/>
    <mergeCell ref="A178:B178"/>
    <mergeCell ref="A156:B156"/>
    <mergeCell ref="A180:B180"/>
    <mergeCell ref="S180:T180"/>
    <mergeCell ref="A181:B181"/>
    <mergeCell ref="S181:T181"/>
    <mergeCell ref="G204:H210"/>
    <mergeCell ref="A205:B205"/>
    <mergeCell ref="S205:T205"/>
    <mergeCell ref="A206:B206"/>
    <mergeCell ref="S206:T206"/>
    <mergeCell ref="A183:H183"/>
    <mergeCell ref="S183:T183"/>
    <mergeCell ref="A184:B184"/>
    <mergeCell ref="G184:H191"/>
    <mergeCell ref="A182:B182"/>
    <mergeCell ref="A210:B210"/>
    <mergeCell ref="S210:T210"/>
    <mergeCell ref="S209:T209"/>
    <mergeCell ref="S203:T203"/>
    <mergeCell ref="A204:B204"/>
    <mergeCell ref="S204:T204"/>
    <mergeCell ref="A208:B208"/>
    <mergeCell ref="S208:T208"/>
    <mergeCell ref="A209:B209"/>
    <mergeCell ref="S184:T184"/>
    <mergeCell ref="S174:T174"/>
    <mergeCell ref="A175:B175"/>
    <mergeCell ref="S175:T175"/>
    <mergeCell ref="A176:B176"/>
    <mergeCell ref="S176:T176"/>
    <mergeCell ref="A177:B177"/>
    <mergeCell ref="S177:T177"/>
    <mergeCell ref="S172:T172"/>
    <mergeCell ref="A173:B173"/>
    <mergeCell ref="S173:T173"/>
    <mergeCell ref="G166:H173"/>
    <mergeCell ref="A171:B171"/>
    <mergeCell ref="S171:T171"/>
    <mergeCell ref="S168:T168"/>
    <mergeCell ref="A169:B169"/>
    <mergeCell ref="S169:T169"/>
    <mergeCell ref="A170:B170"/>
    <mergeCell ref="S170:T170"/>
    <mergeCell ref="A168:B168"/>
    <mergeCell ref="A172:B172"/>
    <mergeCell ref="A174:H174"/>
    <mergeCell ref="A165:H165"/>
    <mergeCell ref="S165:T165"/>
    <mergeCell ref="A166:B166"/>
    <mergeCell ref="S166:T166"/>
    <mergeCell ref="A167:B167"/>
    <mergeCell ref="S167:T167"/>
    <mergeCell ref="A152:B152"/>
    <mergeCell ref="S152:T152"/>
    <mergeCell ref="A148:H148"/>
    <mergeCell ref="S148:T148"/>
    <mergeCell ref="A149:B149"/>
    <mergeCell ref="S149:T149"/>
    <mergeCell ref="A150:B150"/>
    <mergeCell ref="S150:T150"/>
    <mergeCell ref="A151:B151"/>
    <mergeCell ref="S151:T151"/>
    <mergeCell ref="G149:H152"/>
    <mergeCell ref="A153:H153"/>
    <mergeCell ref="S153:T153"/>
    <mergeCell ref="A154:B154"/>
    <mergeCell ref="G154:H157"/>
    <mergeCell ref="S154:T154"/>
    <mergeCell ref="A155:B155"/>
    <mergeCell ref="S155:T155"/>
    <mergeCell ref="S143:T143"/>
    <mergeCell ref="A144:B144"/>
    <mergeCell ref="S144:T144"/>
    <mergeCell ref="A145:B145"/>
    <mergeCell ref="S145:T145"/>
    <mergeCell ref="A146:B146"/>
    <mergeCell ref="S146:T146"/>
    <mergeCell ref="G144:H147"/>
    <mergeCell ref="S147:T147"/>
    <mergeCell ref="C138:C139"/>
    <mergeCell ref="D138:D139"/>
    <mergeCell ref="E138:E139"/>
    <mergeCell ref="G138:H139"/>
    <mergeCell ref="S134:T134"/>
    <mergeCell ref="S133:T133"/>
    <mergeCell ref="S132:T132"/>
    <mergeCell ref="S131:T131"/>
    <mergeCell ref="S130:T130"/>
    <mergeCell ref="S136:T136"/>
    <mergeCell ref="S135:T135"/>
    <mergeCell ref="G132:H132"/>
    <mergeCell ref="G130:H130"/>
    <mergeCell ref="G136:H136"/>
    <mergeCell ref="G135:H135"/>
    <mergeCell ref="G131:H131"/>
    <mergeCell ref="G134:H134"/>
    <mergeCell ref="G133:H133"/>
    <mergeCell ref="A24:D24"/>
    <mergeCell ref="E24:H24"/>
    <mergeCell ref="E23:H23"/>
    <mergeCell ref="A25:D25"/>
    <mergeCell ref="E25:H25"/>
    <mergeCell ref="A22:D22"/>
    <mergeCell ref="E22:H22"/>
    <mergeCell ref="A26:D26"/>
    <mergeCell ref="E26:H26"/>
    <mergeCell ref="E39:H39"/>
    <mergeCell ref="A27:D27"/>
    <mergeCell ref="E27:H27"/>
    <mergeCell ref="A34:H34"/>
    <mergeCell ref="A33:B33"/>
    <mergeCell ref="A28:D28"/>
    <mergeCell ref="E28:H28"/>
    <mergeCell ref="A37:H37"/>
    <mergeCell ref="A38:D38"/>
    <mergeCell ref="E38:H38"/>
    <mergeCell ref="F30:H30"/>
    <mergeCell ref="F31:H31"/>
    <mergeCell ref="C29:E29"/>
    <mergeCell ref="F32:H32"/>
    <mergeCell ref="F33:H33"/>
    <mergeCell ref="A35:B35"/>
    <mergeCell ref="F29:H29"/>
    <mergeCell ref="A30:B30"/>
    <mergeCell ref="A29:B29"/>
    <mergeCell ref="A39:D39"/>
    <mergeCell ref="C30:E30"/>
    <mergeCell ref="C35:H35"/>
    <mergeCell ref="A36:B36"/>
    <mergeCell ref="C36:H36"/>
    <mergeCell ref="A21:D21"/>
    <mergeCell ref="E21:H21"/>
    <mergeCell ref="A16:B16"/>
    <mergeCell ref="C16:D16"/>
    <mergeCell ref="E16:F16"/>
    <mergeCell ref="G16:H16"/>
    <mergeCell ref="A23:D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D20"/>
    <mergeCell ref="E20:H20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E13:H13"/>
    <mergeCell ref="A14:B14"/>
    <mergeCell ref="C14:H14"/>
    <mergeCell ref="C15:H15"/>
    <mergeCell ref="A9:D9"/>
    <mergeCell ref="E9:H9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264:H264"/>
    <mergeCell ref="A265:H265"/>
    <mergeCell ref="A266:H266"/>
    <mergeCell ref="A267:H267"/>
    <mergeCell ref="A126:H126"/>
    <mergeCell ref="A119:B119"/>
    <mergeCell ref="A63:B63"/>
    <mergeCell ref="A125:H125"/>
    <mergeCell ref="A113:E113"/>
    <mergeCell ref="A115:E115"/>
    <mergeCell ref="F115:H115"/>
    <mergeCell ref="F113:H113"/>
    <mergeCell ref="A114:E114"/>
    <mergeCell ref="A141:H141"/>
    <mergeCell ref="A163:H163"/>
    <mergeCell ref="A201:H201"/>
    <mergeCell ref="A235:H235"/>
    <mergeCell ref="C119:D119"/>
    <mergeCell ref="G127:H128"/>
    <mergeCell ref="A142:H142"/>
    <mergeCell ref="A164:H164"/>
    <mergeCell ref="A202:H202"/>
    <mergeCell ref="A143:H143"/>
    <mergeCell ref="A133:B133"/>
    <mergeCell ref="E119:F119"/>
    <mergeCell ref="E40:H40"/>
    <mergeCell ref="E41:H41"/>
    <mergeCell ref="E42:H42"/>
    <mergeCell ref="E43:H43"/>
    <mergeCell ref="A41:D41"/>
    <mergeCell ref="A42:D42"/>
    <mergeCell ref="A43:D43"/>
    <mergeCell ref="A44:H44"/>
    <mergeCell ref="D53:H53"/>
    <mergeCell ref="G91:H100"/>
    <mergeCell ref="A92:B92"/>
    <mergeCell ref="A99:B99"/>
    <mergeCell ref="A100:B100"/>
    <mergeCell ref="A108:E108"/>
    <mergeCell ref="F108:H108"/>
    <mergeCell ref="A76:B76"/>
    <mergeCell ref="E76:F76"/>
    <mergeCell ref="G76:H76"/>
    <mergeCell ref="A77:B77"/>
    <mergeCell ref="E77:F86"/>
    <mergeCell ref="G77:H86"/>
    <mergeCell ref="A78:B78"/>
    <mergeCell ref="A79:B79"/>
    <mergeCell ref="A274:H277"/>
    <mergeCell ref="A273:B273"/>
    <mergeCell ref="E273:F273"/>
    <mergeCell ref="C273:D273"/>
    <mergeCell ref="G273:H273"/>
    <mergeCell ref="A116:E116"/>
    <mergeCell ref="F116:H116"/>
    <mergeCell ref="A117:E117"/>
    <mergeCell ref="F117:H117"/>
    <mergeCell ref="A124:B124"/>
    <mergeCell ref="A269:H269"/>
    <mergeCell ref="A118:H118"/>
    <mergeCell ref="C124:D124"/>
    <mergeCell ref="E124:F124"/>
    <mergeCell ref="G124:H124"/>
    <mergeCell ref="A121:B121"/>
    <mergeCell ref="C121:D121"/>
    <mergeCell ref="E121:F121"/>
    <mergeCell ref="G121:H121"/>
    <mergeCell ref="A270:H270"/>
    <mergeCell ref="A271:H271"/>
    <mergeCell ref="A272:H272"/>
    <mergeCell ref="A268:H268"/>
    <mergeCell ref="A122:B122"/>
    <mergeCell ref="A31:B31"/>
    <mergeCell ref="C31:E31"/>
    <mergeCell ref="A32:B32"/>
    <mergeCell ref="C32:E32"/>
    <mergeCell ref="C33:E33"/>
    <mergeCell ref="D56:H56"/>
    <mergeCell ref="A49:B49"/>
    <mergeCell ref="C49:E49"/>
    <mergeCell ref="A50:H50"/>
    <mergeCell ref="A51:C51"/>
    <mergeCell ref="A54:C54"/>
    <mergeCell ref="D54:H54"/>
    <mergeCell ref="A52:C52"/>
    <mergeCell ref="D52:H52"/>
    <mergeCell ref="D51:H51"/>
    <mergeCell ref="A45:B45"/>
    <mergeCell ref="C45:E45"/>
    <mergeCell ref="G45:H45"/>
    <mergeCell ref="A40:D40"/>
    <mergeCell ref="A46:B46"/>
    <mergeCell ref="C46:E46"/>
    <mergeCell ref="G46:H46"/>
    <mergeCell ref="A47:B48"/>
    <mergeCell ref="C47:E47"/>
    <mergeCell ref="G90:H90"/>
    <mergeCell ref="A91:B91"/>
    <mergeCell ref="E91:F100"/>
    <mergeCell ref="A55:C55"/>
    <mergeCell ref="A56:C56"/>
    <mergeCell ref="D55:H55"/>
    <mergeCell ref="A72:B72"/>
    <mergeCell ref="A57:C57"/>
    <mergeCell ref="D57:H57"/>
    <mergeCell ref="G62:H62"/>
    <mergeCell ref="A61:B61"/>
    <mergeCell ref="C61:H61"/>
    <mergeCell ref="A64:B64"/>
    <mergeCell ref="A80:B80"/>
    <mergeCell ref="A81:B81"/>
    <mergeCell ref="A82:B82"/>
    <mergeCell ref="A83:B83"/>
    <mergeCell ref="A84:B84"/>
    <mergeCell ref="A85:B85"/>
    <mergeCell ref="A86:B86"/>
    <mergeCell ref="A90:B90"/>
    <mergeCell ref="E90:F90"/>
    <mergeCell ref="A110:E110"/>
    <mergeCell ref="F110:H110"/>
    <mergeCell ref="F111:H111"/>
    <mergeCell ref="A109:E109"/>
    <mergeCell ref="F109:H109"/>
    <mergeCell ref="E63:F72"/>
    <mergeCell ref="A101:E101"/>
    <mergeCell ref="F101:H101"/>
    <mergeCell ref="A68:B68"/>
    <mergeCell ref="A69:B69"/>
    <mergeCell ref="A70:B70"/>
    <mergeCell ref="A73:B73"/>
    <mergeCell ref="C73:H73"/>
    <mergeCell ref="A75:B75"/>
    <mergeCell ref="C75:H75"/>
    <mergeCell ref="A107:E107"/>
    <mergeCell ref="A104:H104"/>
    <mergeCell ref="A105:E105"/>
    <mergeCell ref="A93:B93"/>
    <mergeCell ref="A94:B94"/>
    <mergeCell ref="A95:B95"/>
    <mergeCell ref="A96:B96"/>
    <mergeCell ref="A97:B97"/>
    <mergeCell ref="A98:B98"/>
    <mergeCell ref="A111:E111"/>
    <mergeCell ref="A112:E112"/>
    <mergeCell ref="F112:H112"/>
    <mergeCell ref="G119:H119"/>
    <mergeCell ref="A53:C53"/>
    <mergeCell ref="G49:H49"/>
    <mergeCell ref="G63:H72"/>
    <mergeCell ref="A120:B120"/>
    <mergeCell ref="C120:D120"/>
    <mergeCell ref="E120:F120"/>
    <mergeCell ref="G120:H120"/>
    <mergeCell ref="F105:H105"/>
    <mergeCell ref="A102:H102"/>
    <mergeCell ref="A103:B103"/>
    <mergeCell ref="C103:H103"/>
    <mergeCell ref="F106:H106"/>
    <mergeCell ref="A106:E106"/>
    <mergeCell ref="F107:H107"/>
    <mergeCell ref="A66:B66"/>
    <mergeCell ref="A67:B67"/>
    <mergeCell ref="A71:B71"/>
    <mergeCell ref="A58:C58"/>
    <mergeCell ref="D58:H58"/>
    <mergeCell ref="F114:H114"/>
    <mergeCell ref="C122:D122"/>
    <mergeCell ref="E122:F122"/>
    <mergeCell ref="G122:H122"/>
    <mergeCell ref="A123:B123"/>
    <mergeCell ref="C123:D123"/>
    <mergeCell ref="E123:F123"/>
    <mergeCell ref="G123:H123"/>
    <mergeCell ref="A147:B147"/>
    <mergeCell ref="B127:B128"/>
    <mergeCell ref="A127:A128"/>
    <mergeCell ref="A135:B135"/>
    <mergeCell ref="A136:B136"/>
    <mergeCell ref="A130:B130"/>
    <mergeCell ref="A131:B131"/>
    <mergeCell ref="A132:B132"/>
    <mergeCell ref="A140:H140"/>
    <mergeCell ref="B138:B139"/>
    <mergeCell ref="A134:B134"/>
    <mergeCell ref="A129:H129"/>
    <mergeCell ref="E127:E128"/>
    <mergeCell ref="D127:D128"/>
    <mergeCell ref="C127:C128"/>
    <mergeCell ref="A137:H137"/>
    <mergeCell ref="A138:A139"/>
    <mergeCell ref="A216:B216"/>
    <mergeCell ref="S216:T216"/>
    <mergeCell ref="A217:B217"/>
    <mergeCell ref="S217:T217"/>
    <mergeCell ref="A211:H211"/>
    <mergeCell ref="S211:T211"/>
    <mergeCell ref="A212:B212"/>
    <mergeCell ref="S212:T212"/>
    <mergeCell ref="A213:B213"/>
    <mergeCell ref="S213:T213"/>
    <mergeCell ref="A214:B214"/>
    <mergeCell ref="S214:T214"/>
    <mergeCell ref="G212:H218"/>
    <mergeCell ref="A218:B218"/>
    <mergeCell ref="S218:T218"/>
    <mergeCell ref="A215:B215"/>
    <mergeCell ref="S215:T215"/>
    <mergeCell ref="G238:H245"/>
    <mergeCell ref="A224:B224"/>
    <mergeCell ref="S224:T224"/>
    <mergeCell ref="A245:B245"/>
    <mergeCell ref="S245:T245"/>
    <mergeCell ref="A240:B240"/>
    <mergeCell ref="S240:T240"/>
    <mergeCell ref="A241:B241"/>
    <mergeCell ref="S241:T241"/>
    <mergeCell ref="A242:B242"/>
    <mergeCell ref="S242:T242"/>
    <mergeCell ref="A243:B243"/>
    <mergeCell ref="S243:T243"/>
    <mergeCell ref="A244:B244"/>
    <mergeCell ref="S244:T244"/>
    <mergeCell ref="A237:H237"/>
    <mergeCell ref="S237:T237"/>
    <mergeCell ref="A238:B238"/>
    <mergeCell ref="S238:T238"/>
    <mergeCell ref="A239:B239"/>
    <mergeCell ref="S239:T239"/>
    <mergeCell ref="A236:H236"/>
    <mergeCell ref="A227:H227"/>
    <mergeCell ref="S227:T227"/>
    <mergeCell ref="S221:T221"/>
    <mergeCell ref="A222:B222"/>
    <mergeCell ref="S222:T222"/>
    <mergeCell ref="A223:B223"/>
    <mergeCell ref="S223:T223"/>
    <mergeCell ref="A225:B225"/>
    <mergeCell ref="S225:T225"/>
    <mergeCell ref="A226:B226"/>
    <mergeCell ref="S226:T226"/>
    <mergeCell ref="C222:F222"/>
    <mergeCell ref="A256:B256"/>
    <mergeCell ref="G256:H263"/>
    <mergeCell ref="S256:T256"/>
    <mergeCell ref="A257:B257"/>
    <mergeCell ref="S257:T257"/>
    <mergeCell ref="A258:B258"/>
    <mergeCell ref="S258:T258"/>
    <mergeCell ref="A259:B259"/>
    <mergeCell ref="S259:T259"/>
    <mergeCell ref="A260:B260"/>
    <mergeCell ref="S260:T260"/>
    <mergeCell ref="A261:B261"/>
    <mergeCell ref="S261:T261"/>
    <mergeCell ref="A262:B262"/>
    <mergeCell ref="S262:T262"/>
    <mergeCell ref="A263:B263"/>
    <mergeCell ref="S263:T263"/>
    <mergeCell ref="C263:F263"/>
    <mergeCell ref="G47:H47"/>
    <mergeCell ref="C48:H48"/>
    <mergeCell ref="A255:H255"/>
    <mergeCell ref="S255:T255"/>
    <mergeCell ref="A246:H246"/>
    <mergeCell ref="S246:T246"/>
    <mergeCell ref="A247:B247"/>
    <mergeCell ref="G247:H254"/>
    <mergeCell ref="S247:T247"/>
    <mergeCell ref="A248:B248"/>
    <mergeCell ref="S248:T248"/>
    <mergeCell ref="A249:B249"/>
    <mergeCell ref="S249:T249"/>
    <mergeCell ref="A250:B250"/>
    <mergeCell ref="S250:T250"/>
    <mergeCell ref="A251:B251"/>
    <mergeCell ref="S251:T251"/>
    <mergeCell ref="A252:B252"/>
    <mergeCell ref="S252:T252"/>
    <mergeCell ref="A253:B253"/>
    <mergeCell ref="S253:T253"/>
    <mergeCell ref="A254:B254"/>
    <mergeCell ref="S254:T254"/>
    <mergeCell ref="G220:H226"/>
    <mergeCell ref="A228:B228"/>
    <mergeCell ref="G228:H234"/>
    <mergeCell ref="S228:T228"/>
    <mergeCell ref="A229:B229"/>
    <mergeCell ref="S229:T229"/>
    <mergeCell ref="A230:B230"/>
    <mergeCell ref="S230:T230"/>
    <mergeCell ref="A231:B231"/>
    <mergeCell ref="S231:T231"/>
    <mergeCell ref="A232:B232"/>
    <mergeCell ref="S232:T232"/>
    <mergeCell ref="A233:B233"/>
    <mergeCell ref="S233:T233"/>
    <mergeCell ref="A234:B234"/>
    <mergeCell ref="S234:T234"/>
    <mergeCell ref="I234:M234"/>
  </mergeCells>
  <hyperlinks>
    <hyperlink ref="C36" r:id="rId1"/>
  </hyperlinks>
  <printOptions horizontalCentered="1"/>
  <pageMargins left="0.39370078740157483" right="0.39370078740157483" top="0.78740157480314965" bottom="0.78740157480314965" header="0.19685039370078741" footer="0.19685039370078741"/>
  <pageSetup paperSize="2" scale="95"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   &amp;P</oddFooter>
  </headerFooter>
  <rowBreaks count="4" manualBreakCount="4">
    <brk id="72" max="7" man="1"/>
    <brk id="277" max="16383" man="1"/>
    <brk id="322" max="16383" man="1"/>
    <brk id="36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workbookViewId="0">
      <selection activeCell="M197" sqref="M197"/>
    </sheetView>
  </sheetViews>
  <sheetFormatPr defaultRowHeight="14.5" x14ac:dyDescent="0.35"/>
  <cols>
    <col min="2" max="2" width="12.26953125" customWidth="1"/>
  </cols>
  <sheetData>
    <row r="2" spans="1:12" x14ac:dyDescent="0.35">
      <c r="B2" s="1" t="s">
        <v>78</v>
      </c>
      <c r="C2" s="162"/>
      <c r="D2" s="162"/>
    </row>
    <row r="3" spans="1:12" x14ac:dyDescent="0.35">
      <c r="D3" s="2"/>
      <c r="E3" s="2"/>
      <c r="F3" s="2"/>
      <c r="G3" s="2"/>
      <c r="H3" s="2"/>
      <c r="I3" s="2"/>
    </row>
    <row r="4" spans="1:12" x14ac:dyDescent="0.35">
      <c r="A4" s="1" t="s">
        <v>79</v>
      </c>
      <c r="B4" s="3" t="s">
        <v>80</v>
      </c>
      <c r="C4" s="163" t="s">
        <v>81</v>
      </c>
      <c r="D4" s="163"/>
      <c r="E4" s="163"/>
      <c r="F4" s="4"/>
      <c r="G4" s="163" t="s">
        <v>82</v>
      </c>
      <c r="H4" s="163"/>
      <c r="I4" s="163"/>
      <c r="J4" s="163" t="s">
        <v>83</v>
      </c>
      <c r="K4" s="163"/>
      <c r="L4" s="163"/>
    </row>
    <row r="5" spans="1:12" x14ac:dyDescent="0.35">
      <c r="A5" s="1">
        <v>202</v>
      </c>
      <c r="B5" s="3"/>
      <c r="C5" s="3" t="s">
        <v>84</v>
      </c>
      <c r="D5" s="3" t="s">
        <v>85</v>
      </c>
      <c r="E5" s="3" t="s">
        <v>60</v>
      </c>
      <c r="F5" s="3"/>
      <c r="G5" s="3" t="s">
        <v>84</v>
      </c>
      <c r="H5" s="3" t="s">
        <v>85</v>
      </c>
      <c r="I5" s="3" t="s">
        <v>60</v>
      </c>
      <c r="J5" s="3" t="s">
        <v>84</v>
      </c>
      <c r="K5" s="3" t="s">
        <v>85</v>
      </c>
      <c r="L5" s="3" t="s">
        <v>60</v>
      </c>
    </row>
    <row r="6" spans="1:12" x14ac:dyDescent="0.35">
      <c r="B6" s="5" t="s">
        <v>86</v>
      </c>
      <c r="C6" s="5">
        <v>4.5</v>
      </c>
      <c r="D6" s="5">
        <v>2.9</v>
      </c>
      <c r="E6" s="5">
        <f>C6*D6</f>
        <v>13.049999999999999</v>
      </c>
      <c r="F6" s="5" t="s">
        <v>87</v>
      </c>
      <c r="G6" s="5"/>
      <c r="H6" s="5"/>
      <c r="I6" s="5">
        <f>G6*H6</f>
        <v>0</v>
      </c>
      <c r="J6" s="5"/>
      <c r="K6" s="5"/>
      <c r="L6" s="5">
        <f>J6*K6</f>
        <v>0</v>
      </c>
    </row>
    <row r="7" spans="1:12" x14ac:dyDescent="0.35">
      <c r="B7" s="5"/>
      <c r="C7" s="5"/>
      <c r="D7" s="5"/>
      <c r="E7" s="5">
        <f t="shared" ref="E7:E33" si="0">C7*D7</f>
        <v>0</v>
      </c>
      <c r="F7" s="5" t="s">
        <v>88</v>
      </c>
      <c r="G7" s="5"/>
      <c r="H7" s="5"/>
      <c r="I7" s="5">
        <f t="shared" ref="I7:I29" si="1">G7*H7</f>
        <v>0</v>
      </c>
      <c r="J7" s="5"/>
      <c r="K7" s="5"/>
      <c r="L7" s="5">
        <f t="shared" ref="L7:L29" si="2">J7*K7</f>
        <v>0</v>
      </c>
    </row>
    <row r="8" spans="1:12" x14ac:dyDescent="0.35">
      <c r="B8" s="5"/>
      <c r="C8" s="5"/>
      <c r="D8" s="5"/>
      <c r="E8" s="5">
        <f t="shared" si="0"/>
        <v>0</v>
      </c>
      <c r="F8" s="5"/>
      <c r="G8" s="5"/>
      <c r="H8" s="5"/>
      <c r="I8" s="5">
        <f t="shared" si="1"/>
        <v>0</v>
      </c>
      <c r="J8" s="5"/>
      <c r="K8" s="5"/>
      <c r="L8" s="5">
        <f t="shared" si="2"/>
        <v>0</v>
      </c>
    </row>
    <row r="9" spans="1:12" x14ac:dyDescent="0.35">
      <c r="B9" s="5" t="s">
        <v>89</v>
      </c>
      <c r="C9" s="5">
        <v>1.88</v>
      </c>
      <c r="D9" s="5">
        <v>2.13</v>
      </c>
      <c r="E9" s="5">
        <f t="shared" si="0"/>
        <v>4.0043999999999995</v>
      </c>
      <c r="F9" s="5" t="s">
        <v>87</v>
      </c>
      <c r="G9" s="5"/>
      <c r="H9" s="5"/>
      <c r="I9" s="5">
        <f t="shared" si="1"/>
        <v>0</v>
      </c>
      <c r="J9" s="5"/>
      <c r="K9" s="5"/>
      <c r="L9" s="5">
        <f t="shared" si="2"/>
        <v>0</v>
      </c>
    </row>
    <row r="10" spans="1:12" x14ac:dyDescent="0.35">
      <c r="B10" s="5"/>
      <c r="C10" s="5"/>
      <c r="D10" s="5"/>
      <c r="E10" s="5">
        <f t="shared" si="0"/>
        <v>0</v>
      </c>
      <c r="F10" s="5" t="s">
        <v>88</v>
      </c>
      <c r="G10" s="5"/>
      <c r="H10" s="5"/>
      <c r="I10" s="5">
        <f t="shared" si="1"/>
        <v>0</v>
      </c>
      <c r="J10" s="5"/>
      <c r="K10" s="5"/>
      <c r="L10" s="5">
        <f t="shared" si="2"/>
        <v>0</v>
      </c>
    </row>
    <row r="11" spans="1:12" x14ac:dyDescent="0.35">
      <c r="B11" s="5"/>
      <c r="C11" s="5"/>
      <c r="D11" s="5"/>
      <c r="E11" s="5">
        <f t="shared" si="0"/>
        <v>0</v>
      </c>
      <c r="F11" s="5"/>
      <c r="G11" s="5"/>
      <c r="H11" s="5"/>
      <c r="I11" s="5">
        <f t="shared" si="1"/>
        <v>0</v>
      </c>
      <c r="J11" s="5"/>
      <c r="K11" s="5"/>
      <c r="L11" s="5">
        <f t="shared" si="2"/>
        <v>0</v>
      </c>
    </row>
    <row r="12" spans="1:12" x14ac:dyDescent="0.35">
      <c r="B12" s="5"/>
      <c r="C12" s="5"/>
      <c r="D12" s="5"/>
      <c r="E12" s="5">
        <f t="shared" si="0"/>
        <v>0</v>
      </c>
      <c r="F12" s="5"/>
      <c r="G12" s="5"/>
      <c r="H12" s="5"/>
      <c r="I12" s="5">
        <f t="shared" si="1"/>
        <v>0</v>
      </c>
      <c r="J12" s="5"/>
      <c r="K12" s="5"/>
      <c r="L12" s="5">
        <f t="shared" si="2"/>
        <v>0</v>
      </c>
    </row>
    <row r="13" spans="1:12" x14ac:dyDescent="0.35">
      <c r="B13" s="5" t="s">
        <v>90</v>
      </c>
      <c r="C13" s="5"/>
      <c r="D13" s="5"/>
      <c r="E13" s="5">
        <f t="shared" si="0"/>
        <v>0</v>
      </c>
      <c r="F13" s="5" t="s">
        <v>87</v>
      </c>
      <c r="G13" s="5"/>
      <c r="H13" s="5"/>
      <c r="I13" s="5">
        <f t="shared" si="1"/>
        <v>0</v>
      </c>
      <c r="J13" s="5"/>
      <c r="K13" s="5"/>
      <c r="L13" s="5">
        <f t="shared" si="2"/>
        <v>0</v>
      </c>
    </row>
    <row r="14" spans="1:12" x14ac:dyDescent="0.35">
      <c r="B14" s="5"/>
      <c r="C14" s="5"/>
      <c r="D14" s="5"/>
      <c r="E14" s="5">
        <f t="shared" si="0"/>
        <v>0</v>
      </c>
      <c r="F14" s="5" t="s">
        <v>88</v>
      </c>
      <c r="G14" s="5"/>
      <c r="H14" s="5"/>
      <c r="I14" s="5">
        <f t="shared" si="1"/>
        <v>0</v>
      </c>
      <c r="J14" s="5"/>
      <c r="K14" s="5"/>
      <c r="L14" s="5">
        <f t="shared" si="2"/>
        <v>0</v>
      </c>
    </row>
    <row r="15" spans="1:12" x14ac:dyDescent="0.35">
      <c r="B15" s="5"/>
      <c r="C15" s="5"/>
      <c r="D15" s="5"/>
      <c r="E15" s="5">
        <f t="shared" si="0"/>
        <v>0</v>
      </c>
      <c r="F15" s="5"/>
      <c r="G15" s="5"/>
      <c r="H15" s="5"/>
      <c r="I15" s="5">
        <f t="shared" si="1"/>
        <v>0</v>
      </c>
      <c r="J15" s="5"/>
      <c r="K15" s="5"/>
      <c r="L15" s="5">
        <f t="shared" si="2"/>
        <v>0</v>
      </c>
    </row>
    <row r="16" spans="1:12" x14ac:dyDescent="0.35">
      <c r="B16" s="5"/>
      <c r="C16" s="5"/>
      <c r="D16" s="5"/>
      <c r="E16" s="5">
        <f t="shared" si="0"/>
        <v>0</v>
      </c>
      <c r="F16" s="5"/>
      <c r="G16" s="5"/>
      <c r="H16" s="5"/>
      <c r="I16" s="5">
        <f t="shared" si="1"/>
        <v>0</v>
      </c>
      <c r="J16" s="5"/>
      <c r="K16" s="5"/>
      <c r="L16" s="5">
        <f t="shared" si="2"/>
        <v>0</v>
      </c>
    </row>
    <row r="17" spans="2:12" x14ac:dyDescent="0.35">
      <c r="B17" s="5" t="s">
        <v>91</v>
      </c>
      <c r="C17" s="5"/>
      <c r="D17" s="5"/>
      <c r="E17" s="5">
        <f t="shared" si="0"/>
        <v>0</v>
      </c>
      <c r="F17" s="5" t="s">
        <v>87</v>
      </c>
      <c r="G17" s="5"/>
      <c r="H17" s="5"/>
      <c r="I17" s="5">
        <f t="shared" si="1"/>
        <v>0</v>
      </c>
      <c r="J17" s="5"/>
      <c r="K17" s="5"/>
      <c r="L17" s="5">
        <f t="shared" si="2"/>
        <v>0</v>
      </c>
    </row>
    <row r="18" spans="2:12" x14ac:dyDescent="0.35">
      <c r="B18" s="5"/>
      <c r="C18" s="5"/>
      <c r="D18" s="5"/>
      <c r="E18" s="5">
        <f t="shared" si="0"/>
        <v>0</v>
      </c>
      <c r="F18" s="5" t="s">
        <v>88</v>
      </c>
      <c r="G18" s="5"/>
      <c r="H18" s="5"/>
      <c r="I18" s="5">
        <f t="shared" si="1"/>
        <v>0</v>
      </c>
      <c r="J18" s="5"/>
      <c r="K18" s="5"/>
      <c r="L18" s="5">
        <f t="shared" si="2"/>
        <v>0</v>
      </c>
    </row>
    <row r="19" spans="2:12" x14ac:dyDescent="0.35">
      <c r="B19" s="5"/>
      <c r="C19" s="5"/>
      <c r="D19" s="5"/>
      <c r="E19" s="5">
        <f t="shared" si="0"/>
        <v>0</v>
      </c>
      <c r="F19" s="5"/>
      <c r="G19" s="5"/>
      <c r="H19" s="5"/>
      <c r="I19" s="5">
        <f t="shared" si="1"/>
        <v>0</v>
      </c>
      <c r="J19" s="5"/>
      <c r="K19" s="5"/>
      <c r="L19" s="5">
        <f t="shared" si="2"/>
        <v>0</v>
      </c>
    </row>
    <row r="20" spans="2:12" x14ac:dyDescent="0.35">
      <c r="B20" s="5" t="s">
        <v>91</v>
      </c>
      <c r="C20" s="5"/>
      <c r="D20" s="5"/>
      <c r="E20" s="5">
        <f t="shared" si="0"/>
        <v>0</v>
      </c>
      <c r="F20" s="5" t="s">
        <v>87</v>
      </c>
      <c r="G20" s="5"/>
      <c r="H20" s="5"/>
      <c r="I20" s="5">
        <f t="shared" si="1"/>
        <v>0</v>
      </c>
      <c r="J20" s="5"/>
      <c r="K20" s="5"/>
      <c r="L20" s="5">
        <f t="shared" si="2"/>
        <v>0</v>
      </c>
    </row>
    <row r="21" spans="2:12" x14ac:dyDescent="0.35">
      <c r="B21" s="5"/>
      <c r="C21" s="5"/>
      <c r="D21" s="5"/>
      <c r="E21" s="5">
        <f t="shared" si="0"/>
        <v>0</v>
      </c>
      <c r="F21" s="5" t="s">
        <v>88</v>
      </c>
      <c r="G21" s="5"/>
      <c r="H21" s="5"/>
      <c r="I21" s="5">
        <f t="shared" si="1"/>
        <v>0</v>
      </c>
      <c r="J21" s="5"/>
      <c r="K21" s="5"/>
      <c r="L21" s="5">
        <f t="shared" si="2"/>
        <v>0</v>
      </c>
    </row>
    <row r="22" spans="2:12" x14ac:dyDescent="0.35">
      <c r="B22" s="5"/>
      <c r="C22" s="5"/>
      <c r="D22" s="5"/>
      <c r="E22" s="5">
        <f t="shared" si="0"/>
        <v>0</v>
      </c>
      <c r="F22" s="5"/>
      <c r="G22" s="5"/>
      <c r="H22" s="5"/>
      <c r="I22" s="5">
        <f t="shared" si="1"/>
        <v>0</v>
      </c>
      <c r="J22" s="5"/>
      <c r="K22" s="5"/>
      <c r="L22" s="5">
        <f t="shared" si="2"/>
        <v>0</v>
      </c>
    </row>
    <row r="23" spans="2:12" x14ac:dyDescent="0.35">
      <c r="B23" s="5" t="s">
        <v>92</v>
      </c>
      <c r="C23" s="5">
        <v>1.9</v>
      </c>
      <c r="D23" s="5">
        <v>1.07</v>
      </c>
      <c r="E23" s="5">
        <f t="shared" si="0"/>
        <v>2.0329999999999999</v>
      </c>
      <c r="F23" s="5" t="s">
        <v>93</v>
      </c>
      <c r="G23" s="5"/>
      <c r="H23" s="5"/>
      <c r="I23" s="5">
        <f t="shared" si="1"/>
        <v>0</v>
      </c>
      <c r="J23" s="5"/>
      <c r="K23" s="5"/>
      <c r="L23" s="5">
        <f t="shared" si="2"/>
        <v>0</v>
      </c>
    </row>
    <row r="24" spans="2:12" x14ac:dyDescent="0.35">
      <c r="B24" s="5" t="s">
        <v>94</v>
      </c>
      <c r="C24" s="5"/>
      <c r="D24" s="5"/>
      <c r="E24" s="5">
        <f t="shared" si="0"/>
        <v>0</v>
      </c>
      <c r="F24" s="5" t="s">
        <v>93</v>
      </c>
      <c r="G24" s="5"/>
      <c r="H24" s="5"/>
      <c r="I24" s="5">
        <f t="shared" si="1"/>
        <v>0</v>
      </c>
      <c r="J24" s="5"/>
      <c r="K24" s="5"/>
      <c r="L24" s="5">
        <f t="shared" si="2"/>
        <v>0</v>
      </c>
    </row>
    <row r="25" spans="2:12" x14ac:dyDescent="0.35">
      <c r="B25" s="5" t="s">
        <v>95</v>
      </c>
      <c r="C25" s="5"/>
      <c r="D25" s="5"/>
      <c r="E25" s="5">
        <f t="shared" si="0"/>
        <v>0</v>
      </c>
      <c r="F25" s="5" t="s">
        <v>93</v>
      </c>
      <c r="G25" s="5"/>
      <c r="H25" s="5"/>
      <c r="I25" s="5">
        <f t="shared" si="1"/>
        <v>0</v>
      </c>
      <c r="J25" s="5"/>
      <c r="K25" s="5"/>
      <c r="L25" s="5">
        <f t="shared" si="2"/>
        <v>0</v>
      </c>
    </row>
    <row r="26" spans="2:12" x14ac:dyDescent="0.35">
      <c r="B26" s="5"/>
      <c r="C26" s="5"/>
      <c r="D26" s="5"/>
      <c r="E26" s="5">
        <f t="shared" si="0"/>
        <v>0</v>
      </c>
      <c r="F26" s="5"/>
      <c r="G26" s="5"/>
      <c r="H26" s="5"/>
      <c r="I26" s="5">
        <f t="shared" si="1"/>
        <v>0</v>
      </c>
      <c r="J26" s="5"/>
      <c r="K26" s="5"/>
      <c r="L26" s="5">
        <f t="shared" si="2"/>
        <v>0</v>
      </c>
    </row>
    <row r="27" spans="2:12" x14ac:dyDescent="0.35">
      <c r="B27" s="5" t="s">
        <v>96</v>
      </c>
      <c r="C27" s="5"/>
      <c r="D27" s="5"/>
      <c r="E27" s="5">
        <f t="shared" si="0"/>
        <v>0</v>
      </c>
      <c r="F27" s="5"/>
      <c r="G27" s="5"/>
      <c r="H27" s="5"/>
      <c r="I27" s="5">
        <f t="shared" si="1"/>
        <v>0</v>
      </c>
      <c r="J27" s="5"/>
      <c r="K27" s="5"/>
      <c r="L27" s="5">
        <f t="shared" si="2"/>
        <v>0</v>
      </c>
    </row>
    <row r="28" spans="2:12" x14ac:dyDescent="0.35">
      <c r="B28" s="5" t="s">
        <v>97</v>
      </c>
      <c r="C28" s="5"/>
      <c r="D28" s="5"/>
      <c r="E28" s="5">
        <f t="shared" si="0"/>
        <v>0</v>
      </c>
      <c r="F28" s="5"/>
      <c r="G28" s="5"/>
      <c r="H28" s="5"/>
      <c r="I28" s="5">
        <f t="shared" si="1"/>
        <v>0</v>
      </c>
      <c r="J28" s="5"/>
      <c r="K28" s="5"/>
      <c r="L28" s="5">
        <f t="shared" si="2"/>
        <v>0</v>
      </c>
    </row>
    <row r="29" spans="2:12" x14ac:dyDescent="0.35">
      <c r="B29" s="5" t="s">
        <v>98</v>
      </c>
      <c r="C29" s="5"/>
      <c r="D29" s="5"/>
      <c r="E29" s="5">
        <f t="shared" si="0"/>
        <v>0</v>
      </c>
      <c r="F29" s="5"/>
      <c r="G29" s="5"/>
      <c r="H29" s="5"/>
      <c r="I29" s="5">
        <f t="shared" si="1"/>
        <v>0</v>
      </c>
      <c r="J29" s="5"/>
      <c r="K29" s="5"/>
      <c r="L29" s="5">
        <f t="shared" si="2"/>
        <v>0</v>
      </c>
    </row>
    <row r="30" spans="2:12" x14ac:dyDescent="0.35">
      <c r="B30" s="5" t="s">
        <v>99</v>
      </c>
      <c r="C30" s="5"/>
      <c r="D30" s="5"/>
      <c r="E30" s="5">
        <f t="shared" si="0"/>
        <v>0</v>
      </c>
      <c r="F30" s="5"/>
      <c r="G30" s="5"/>
      <c r="H30" s="5"/>
      <c r="I30" s="5">
        <f>G30*H30</f>
        <v>0</v>
      </c>
      <c r="J30" s="5"/>
      <c r="K30" s="5"/>
      <c r="L30" s="5">
        <f>J30*K30</f>
        <v>0</v>
      </c>
    </row>
    <row r="31" spans="2:12" x14ac:dyDescent="0.35">
      <c r="B31" s="5"/>
      <c r="C31" s="5"/>
      <c r="D31" s="5"/>
      <c r="E31" s="5">
        <f t="shared" si="0"/>
        <v>0</v>
      </c>
      <c r="F31" s="5"/>
      <c r="G31" s="5"/>
      <c r="H31" s="5"/>
      <c r="I31" s="5">
        <f>G31*H31</f>
        <v>0</v>
      </c>
      <c r="J31" s="5"/>
      <c r="K31" s="5"/>
      <c r="L31" s="5">
        <f>J31*K31</f>
        <v>0</v>
      </c>
    </row>
    <row r="32" spans="2:12" x14ac:dyDescent="0.35">
      <c r="B32" s="5"/>
      <c r="C32" s="5"/>
      <c r="D32" s="5"/>
      <c r="E32" s="5">
        <f t="shared" si="0"/>
        <v>0</v>
      </c>
      <c r="F32" s="5"/>
      <c r="G32" s="5"/>
      <c r="H32" s="5"/>
      <c r="I32" s="5">
        <f>G32*H32</f>
        <v>0</v>
      </c>
      <c r="J32" s="5"/>
      <c r="K32" s="5"/>
      <c r="L32" s="5">
        <f>J32*K32</f>
        <v>0</v>
      </c>
    </row>
    <row r="33" spans="2:12" x14ac:dyDescent="0.35">
      <c r="B33" s="5"/>
      <c r="C33" s="5"/>
      <c r="D33" s="5"/>
      <c r="E33" s="5">
        <f t="shared" si="0"/>
        <v>0</v>
      </c>
      <c r="F33" s="5"/>
      <c r="G33" s="5"/>
      <c r="H33" s="5"/>
      <c r="I33" s="5">
        <f>G33*H33</f>
        <v>0</v>
      </c>
      <c r="J33" s="5"/>
      <c r="K33" s="5"/>
      <c r="L33" s="5">
        <f>J33*K33</f>
        <v>0</v>
      </c>
    </row>
    <row r="34" spans="2:12" x14ac:dyDescent="0.35">
      <c r="B34" s="5" t="s">
        <v>61</v>
      </c>
      <c r="C34" s="5"/>
      <c r="D34" s="5">
        <f>E34*10.764</f>
        <v>205.45677359999996</v>
      </c>
      <c r="E34" s="5">
        <f>SUM(E6:E33)</f>
        <v>19.087399999999999</v>
      </c>
      <c r="F34" s="5"/>
      <c r="G34" s="5"/>
      <c r="H34" s="5">
        <f>I34*10.764</f>
        <v>0</v>
      </c>
      <c r="I34" s="5">
        <f>SUM(I6:I33)</f>
        <v>0</v>
      </c>
      <c r="J34" s="5"/>
      <c r="K34" s="5">
        <f>L34*10.764</f>
        <v>0</v>
      </c>
      <c r="L34" s="5">
        <f>SUM(L6:L33)</f>
        <v>0</v>
      </c>
    </row>
    <row r="36" spans="2:12" x14ac:dyDescent="0.35">
      <c r="D36">
        <f>D34+H34</f>
        <v>205.45677359999996</v>
      </c>
      <c r="E36">
        <f>E34+I34</f>
        <v>19.087399999999999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H2"/>
  <sheetViews>
    <sheetView workbookViewId="0">
      <selection activeCell="J9" sqref="J9"/>
    </sheetView>
  </sheetViews>
  <sheetFormatPr defaultRowHeight="14.5" x14ac:dyDescent="0.35"/>
  <sheetData>
    <row r="2" spans="2:8" x14ac:dyDescent="0.35">
      <c r="B2" s="71" t="s">
        <v>248</v>
      </c>
      <c r="C2" s="71"/>
      <c r="D2" s="71"/>
      <c r="E2" s="71"/>
      <c r="F2" s="71"/>
      <c r="G2" s="71"/>
      <c r="H2" s="7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115" zoomScaleNormal="115" workbookViewId="0"/>
  </sheetViews>
  <sheetFormatPr defaultColWidth="8.7265625" defaultRowHeight="14.5" x14ac:dyDescent="0.35"/>
  <cols>
    <col min="1" max="1" width="8.7265625" style="7"/>
    <col min="2" max="2" width="22.1796875" style="7" customWidth="1"/>
    <col min="3" max="3" width="37" style="7" customWidth="1"/>
    <col min="4" max="5" width="11.453125" style="7" customWidth="1"/>
    <col min="6" max="6" width="14" style="7" customWidth="1"/>
    <col min="7" max="7" width="20" style="7" customWidth="1"/>
    <col min="8" max="8" width="16.453125" style="7" customWidth="1"/>
    <col min="9" max="16384" width="8.7265625" style="7"/>
  </cols>
  <sheetData>
    <row r="1" spans="1:9" ht="15" customHeight="1" x14ac:dyDescent="0.35">
      <c r="A1" s="6"/>
      <c r="B1" s="6"/>
      <c r="C1" s="6"/>
      <c r="D1" s="6"/>
      <c r="E1" s="6"/>
      <c r="F1" s="6"/>
      <c r="G1" s="6"/>
      <c r="H1" s="6"/>
    </row>
    <row r="2" spans="1:9" ht="15" customHeight="1" x14ac:dyDescent="0.35">
      <c r="A2" s="8"/>
      <c r="B2" s="8"/>
      <c r="C2" s="8"/>
      <c r="D2" s="8"/>
      <c r="E2" s="8"/>
      <c r="F2" s="8"/>
      <c r="G2" s="8"/>
      <c r="H2" s="8"/>
    </row>
    <row r="3" spans="1:9" ht="15.75" customHeight="1" x14ac:dyDescent="0.35">
      <c r="A3" s="8"/>
      <c r="B3" s="164" t="s">
        <v>144</v>
      </c>
      <c r="C3" s="164"/>
      <c r="D3" s="164"/>
      <c r="E3" s="164"/>
      <c r="F3" s="164"/>
      <c r="G3" s="164"/>
      <c r="H3" s="164"/>
    </row>
    <row r="4" spans="1:9" x14ac:dyDescent="0.35">
      <c r="A4" s="8"/>
      <c r="B4" s="9" t="s">
        <v>145</v>
      </c>
      <c r="C4" s="9" t="s">
        <v>146</v>
      </c>
      <c r="D4" s="9" t="s">
        <v>79</v>
      </c>
      <c r="E4" s="9" t="s">
        <v>147</v>
      </c>
      <c r="F4" s="9" t="s">
        <v>154</v>
      </c>
      <c r="G4" s="9" t="s">
        <v>155</v>
      </c>
      <c r="H4" s="9" t="s">
        <v>148</v>
      </c>
    </row>
    <row r="5" spans="1:9" ht="15" customHeight="1" x14ac:dyDescent="0.35">
      <c r="A5" s="8"/>
      <c r="B5" s="11" t="s">
        <v>149</v>
      </c>
      <c r="C5" s="12"/>
      <c r="D5" s="11" t="s">
        <v>150</v>
      </c>
      <c r="E5" s="11">
        <v>1106</v>
      </c>
      <c r="F5" s="13">
        <f>E5*1.6</f>
        <v>1769.6000000000001</v>
      </c>
      <c r="G5" s="13">
        <f>H5/F5</f>
        <v>31532.549728752259</v>
      </c>
      <c r="H5" s="14">
        <v>55800000</v>
      </c>
    </row>
    <row r="6" spans="1:9" x14ac:dyDescent="0.35">
      <c r="A6" s="8"/>
      <c r="B6" s="11" t="s">
        <v>149</v>
      </c>
      <c r="C6" s="15"/>
      <c r="D6" s="11"/>
      <c r="E6" s="11"/>
      <c r="F6" s="13">
        <f t="shared" ref="F6:F11" si="0">E6*1.6</f>
        <v>0</v>
      </c>
      <c r="G6" s="13" t="e">
        <f t="shared" ref="G6:G11" si="1">H6/F6</f>
        <v>#DIV/0!</v>
      </c>
      <c r="H6" s="14"/>
    </row>
    <row r="7" spans="1:9" ht="15" customHeight="1" x14ac:dyDescent="0.35">
      <c r="A7" s="8"/>
      <c r="B7" s="11" t="s">
        <v>149</v>
      </c>
      <c r="C7" s="12"/>
      <c r="D7" s="11"/>
      <c r="E7" s="11"/>
      <c r="F7" s="13">
        <f t="shared" si="0"/>
        <v>0</v>
      </c>
      <c r="G7" s="13" t="e">
        <f t="shared" si="1"/>
        <v>#DIV/0!</v>
      </c>
      <c r="H7" s="14"/>
    </row>
    <row r="8" spans="1:9" x14ac:dyDescent="0.35">
      <c r="A8" s="8"/>
      <c r="B8" s="11" t="s">
        <v>149</v>
      </c>
      <c r="C8" s="15"/>
      <c r="D8" s="11"/>
      <c r="E8" s="11"/>
      <c r="F8" s="13">
        <f t="shared" si="0"/>
        <v>0</v>
      </c>
      <c r="G8" s="13" t="e">
        <f t="shared" si="1"/>
        <v>#DIV/0!</v>
      </c>
      <c r="H8" s="14"/>
    </row>
    <row r="9" spans="1:9" ht="15" customHeight="1" x14ac:dyDescent="0.35">
      <c r="A9" s="8"/>
      <c r="B9" s="11" t="s">
        <v>149</v>
      </c>
      <c r="C9" s="15"/>
      <c r="D9" s="11"/>
      <c r="E9" s="11"/>
      <c r="F9" s="13">
        <f t="shared" si="0"/>
        <v>0</v>
      </c>
      <c r="G9" s="13" t="e">
        <f t="shared" si="1"/>
        <v>#DIV/0!</v>
      </c>
      <c r="H9" s="14"/>
    </row>
    <row r="10" spans="1:9" ht="15" customHeight="1" x14ac:dyDescent="0.35">
      <c r="A10" s="8"/>
      <c r="B10" s="11" t="s">
        <v>151</v>
      </c>
      <c r="C10" s="12"/>
      <c r="D10" s="11"/>
      <c r="E10" s="11"/>
      <c r="F10" s="13">
        <f t="shared" si="0"/>
        <v>0</v>
      </c>
      <c r="G10" s="13" t="e">
        <f t="shared" si="1"/>
        <v>#DIV/0!</v>
      </c>
      <c r="H10" s="14"/>
    </row>
    <row r="11" spans="1:9" ht="15" customHeight="1" x14ac:dyDescent="0.35">
      <c r="A11" s="8"/>
      <c r="B11" s="11" t="s">
        <v>151</v>
      </c>
      <c r="C11" s="12"/>
      <c r="D11" s="11"/>
      <c r="E11" s="11"/>
      <c r="F11" s="13">
        <f t="shared" si="0"/>
        <v>0</v>
      </c>
      <c r="G11" s="13" t="e">
        <f t="shared" si="1"/>
        <v>#DIV/0!</v>
      </c>
      <c r="H11" s="14"/>
    </row>
    <row r="12" spans="1:9" ht="15" customHeight="1" x14ac:dyDescent="0.35">
      <c r="A12" s="8"/>
      <c r="B12" s="16" t="s">
        <v>152</v>
      </c>
      <c r="C12" s="11"/>
      <c r="D12" s="11"/>
      <c r="E12" s="11"/>
      <c r="F12" s="11"/>
      <c r="G12" s="17" t="e">
        <f>AVERAGE(G5:G11)</f>
        <v>#DIV/0!</v>
      </c>
      <c r="H12" s="11"/>
    </row>
    <row r="13" spans="1:9" ht="15" customHeight="1" x14ac:dyDescent="0.35">
      <c r="A13" s="6"/>
      <c r="B13" s="16" t="s">
        <v>153</v>
      </c>
      <c r="C13" s="18"/>
      <c r="D13" s="18"/>
      <c r="E13" s="18"/>
      <c r="F13" s="19"/>
      <c r="G13" s="16"/>
      <c r="H13" s="16"/>
      <c r="I13" s="10"/>
    </row>
    <row r="14" spans="1:9" ht="15" customHeight="1" x14ac:dyDescent="0.35">
      <c r="B14" s="6"/>
      <c r="C14" s="6"/>
      <c r="D14" s="6"/>
      <c r="E14" s="6"/>
    </row>
    <row r="15" spans="1:9" ht="15" customHeight="1" x14ac:dyDescent="0.35">
      <c r="B15" s="6"/>
      <c r="C15" s="6"/>
      <c r="D15" s="6"/>
      <c r="E15" s="6"/>
    </row>
    <row r="16" spans="1:9" ht="15" customHeight="1" x14ac:dyDescent="0.35">
      <c r="B16" s="6"/>
      <c r="C16" s="6"/>
      <c r="D16" s="6"/>
      <c r="E16" s="6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Note</vt:lpstr>
      <vt:lpstr>valuation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2025-09-15T15:09:18Z</cp:lastPrinted>
  <dcterms:created xsi:type="dcterms:W3CDTF">2019-07-16T09:29:46Z</dcterms:created>
  <dcterms:modified xsi:type="dcterms:W3CDTF">2025-09-15T15:09:24Z</dcterms:modified>
</cp:coreProperties>
</file>