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16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Report!$A$1:$H$662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7" i="1" l="1"/>
  <c r="J156" i="1"/>
  <c r="J155" i="1"/>
  <c r="J154" i="1"/>
  <c r="H147" i="1"/>
  <c r="J150" i="1" l="1"/>
  <c r="D158" i="1"/>
  <c r="D154" i="1"/>
  <c r="G150" i="1"/>
  <c r="E150" i="1"/>
  <c r="D157" i="1"/>
  <c r="D153" i="1"/>
  <c r="D150" i="1"/>
  <c r="J146" i="1"/>
  <c r="J148" i="1" s="1"/>
  <c r="J151" i="1"/>
  <c r="D159" i="1"/>
  <c r="D151" i="1"/>
  <c r="J152" i="1"/>
  <c r="J153" i="1" s="1"/>
  <c r="J158" i="1" s="1"/>
  <c r="J159" i="1" s="1"/>
  <c r="J149" i="1"/>
  <c r="D156" i="1"/>
  <c r="D152" i="1"/>
  <c r="D155" i="1"/>
  <c r="C161" i="1"/>
  <c r="J143" i="1"/>
  <c r="J142" i="1"/>
  <c r="J141" i="1"/>
  <c r="J140" i="1"/>
  <c r="H133" i="1"/>
  <c r="J147" i="1" l="1"/>
  <c r="I147" i="1"/>
  <c r="I148" i="1" s="1"/>
  <c r="D145" i="1"/>
  <c r="D143" i="1"/>
  <c r="D141" i="1"/>
  <c r="D139" i="1"/>
  <c r="J138" i="1"/>
  <c r="J139" i="1" s="1"/>
  <c r="J144" i="1" s="1"/>
  <c r="D136" i="1"/>
  <c r="J132" i="1"/>
  <c r="J134" i="1" s="1"/>
  <c r="D144" i="1"/>
  <c r="D142" i="1"/>
  <c r="D140" i="1"/>
  <c r="D138" i="1"/>
  <c r="J136" i="1"/>
  <c r="J135" i="1"/>
  <c r="J137" i="1"/>
  <c r="C76" i="1"/>
  <c r="J87" i="1"/>
  <c r="J86" i="1"/>
  <c r="J85" i="1"/>
  <c r="J84" i="1"/>
  <c r="H77" i="1"/>
  <c r="I146" i="1" l="1"/>
  <c r="C148" i="1" s="1"/>
  <c r="E136" i="1"/>
  <c r="C160" i="1" s="1"/>
  <c r="D137" i="1"/>
  <c r="I133" i="1" s="1"/>
  <c r="I134" i="1" s="1"/>
  <c r="J145" i="1"/>
  <c r="J133" i="1" s="1"/>
  <c r="G136" i="1"/>
  <c r="G160" i="1" s="1"/>
  <c r="J76" i="1"/>
  <c r="J78" i="1" s="1"/>
  <c r="D89" i="1"/>
  <c r="D85" i="1"/>
  <c r="J81" i="1"/>
  <c r="D80" i="1" s="1"/>
  <c r="J79" i="1"/>
  <c r="D88" i="1"/>
  <c r="D84" i="1"/>
  <c r="J80" i="1"/>
  <c r="D87" i="1"/>
  <c r="D83" i="1"/>
  <c r="J82" i="1"/>
  <c r="J83" i="1" s="1"/>
  <c r="D86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578" i="1"/>
  <c r="B555" i="1"/>
  <c r="B554" i="1"/>
  <c r="D551" i="1"/>
  <c r="F551" i="1" s="1"/>
  <c r="D550" i="1"/>
  <c r="F550" i="1" s="1"/>
  <c r="D549" i="1"/>
  <c r="F549" i="1" s="1"/>
  <c r="D548" i="1"/>
  <c r="F548" i="1" s="1"/>
  <c r="A547" i="1"/>
  <c r="A548" i="1" s="1"/>
  <c r="A549" i="1" s="1"/>
  <c r="A550" i="1" s="1"/>
  <c r="A551" i="1" s="1"/>
  <c r="D545" i="1"/>
  <c r="F545" i="1" s="1"/>
  <c r="D544" i="1"/>
  <c r="F544" i="1" s="1"/>
  <c r="D543" i="1"/>
  <c r="F543" i="1" s="1"/>
  <c r="D542" i="1"/>
  <c r="F542" i="1" s="1"/>
  <c r="D541" i="1"/>
  <c r="F541" i="1" s="1"/>
  <c r="D540" i="1"/>
  <c r="F540" i="1" s="1"/>
  <c r="D539" i="1"/>
  <c r="F539" i="1" s="1"/>
  <c r="D538" i="1"/>
  <c r="F538" i="1" s="1"/>
  <c r="D537" i="1"/>
  <c r="F537" i="1" s="1"/>
  <c r="D536" i="1"/>
  <c r="F536" i="1" s="1"/>
  <c r="D535" i="1"/>
  <c r="F535" i="1" s="1"/>
  <c r="D534" i="1"/>
  <c r="F534" i="1" s="1"/>
  <c r="D533" i="1"/>
  <c r="F533" i="1" s="1"/>
  <c r="D532" i="1"/>
  <c r="F532" i="1" s="1"/>
  <c r="D531" i="1"/>
  <c r="F531" i="1" s="1"/>
  <c r="D530" i="1"/>
  <c r="F530" i="1" s="1"/>
  <c r="D529" i="1"/>
  <c r="F529" i="1" s="1"/>
  <c r="G528" i="1"/>
  <c r="D528" i="1"/>
  <c r="F528" i="1" s="1"/>
  <c r="D526" i="1"/>
  <c r="F526" i="1" s="1"/>
  <c r="D525" i="1"/>
  <c r="F525" i="1" s="1"/>
  <c r="D524" i="1"/>
  <c r="F524" i="1" s="1"/>
  <c r="D523" i="1"/>
  <c r="F523" i="1" s="1"/>
  <c r="D522" i="1"/>
  <c r="F522" i="1" s="1"/>
  <c r="A522" i="1"/>
  <c r="A523" i="1" s="1"/>
  <c r="A524" i="1" s="1"/>
  <c r="A525" i="1" s="1"/>
  <c r="A526" i="1" s="1"/>
  <c r="D521" i="1"/>
  <c r="F521" i="1" s="1"/>
  <c r="D520" i="1"/>
  <c r="F520" i="1" s="1"/>
  <c r="D519" i="1"/>
  <c r="F519" i="1" s="1"/>
  <c r="D518" i="1"/>
  <c r="F518" i="1" s="1"/>
  <c r="D517" i="1"/>
  <c r="F517" i="1" s="1"/>
  <c r="D516" i="1"/>
  <c r="F516" i="1" s="1"/>
  <c r="D515" i="1"/>
  <c r="F515" i="1" s="1"/>
  <c r="D514" i="1"/>
  <c r="F514" i="1" s="1"/>
  <c r="D513" i="1"/>
  <c r="F513" i="1" s="1"/>
  <c r="D512" i="1"/>
  <c r="F512" i="1" s="1"/>
  <c r="D511" i="1"/>
  <c r="F511" i="1" s="1"/>
  <c r="D510" i="1"/>
  <c r="F510" i="1" s="1"/>
  <c r="D509" i="1"/>
  <c r="F509" i="1" s="1"/>
  <c r="D508" i="1"/>
  <c r="F508" i="1" s="1"/>
  <c r="D507" i="1"/>
  <c r="F507" i="1" s="1"/>
  <c r="D506" i="1"/>
  <c r="F506" i="1" s="1"/>
  <c r="D505" i="1"/>
  <c r="F505" i="1" s="1"/>
  <c r="D504" i="1"/>
  <c r="F504" i="1" s="1"/>
  <c r="G503" i="1"/>
  <c r="D503" i="1"/>
  <c r="F503" i="1" s="1"/>
  <c r="D501" i="1"/>
  <c r="F501" i="1" s="1"/>
  <c r="D500" i="1"/>
  <c r="F500" i="1" s="1"/>
  <c r="D499" i="1"/>
  <c r="F499" i="1" s="1"/>
  <c r="D498" i="1"/>
  <c r="F498" i="1" s="1"/>
  <c r="D497" i="1"/>
  <c r="F497" i="1" s="1"/>
  <c r="A497" i="1"/>
  <c r="A498" i="1" s="1"/>
  <c r="A499" i="1" s="1"/>
  <c r="A500" i="1" s="1"/>
  <c r="A501" i="1" s="1"/>
  <c r="D496" i="1"/>
  <c r="F496" i="1" s="1"/>
  <c r="D495" i="1"/>
  <c r="F495" i="1" s="1"/>
  <c r="D494" i="1"/>
  <c r="F494" i="1" s="1"/>
  <c r="D493" i="1"/>
  <c r="F493" i="1" s="1"/>
  <c r="D492" i="1"/>
  <c r="F492" i="1" s="1"/>
  <c r="D491" i="1"/>
  <c r="F491" i="1" s="1"/>
  <c r="D490" i="1"/>
  <c r="F490" i="1" s="1"/>
  <c r="D489" i="1"/>
  <c r="F489" i="1" s="1"/>
  <c r="D488" i="1"/>
  <c r="F488" i="1" s="1"/>
  <c r="D487" i="1"/>
  <c r="F487" i="1" s="1"/>
  <c r="D486" i="1"/>
  <c r="F486" i="1" s="1"/>
  <c r="D485" i="1"/>
  <c r="F485" i="1" s="1"/>
  <c r="D484" i="1"/>
  <c r="F484" i="1" s="1"/>
  <c r="D483" i="1"/>
  <c r="F483" i="1" s="1"/>
  <c r="D482" i="1"/>
  <c r="F482" i="1" s="1"/>
  <c r="D481" i="1"/>
  <c r="F481" i="1" s="1"/>
  <c r="D480" i="1"/>
  <c r="D479" i="1"/>
  <c r="F479" i="1" s="1"/>
  <c r="G478" i="1"/>
  <c r="D478" i="1"/>
  <c r="F478" i="1" s="1"/>
  <c r="D475" i="1"/>
  <c r="F475" i="1" s="1"/>
  <c r="D474" i="1"/>
  <c r="F474" i="1" s="1"/>
  <c r="D473" i="1"/>
  <c r="F473" i="1" s="1"/>
  <c r="D472" i="1"/>
  <c r="F472" i="1" s="1"/>
  <c r="D471" i="1"/>
  <c r="F471" i="1" s="1"/>
  <c r="D470" i="1"/>
  <c r="F470" i="1" s="1"/>
  <c r="D469" i="1"/>
  <c r="F469" i="1" s="1"/>
  <c r="D468" i="1"/>
  <c r="F468" i="1" s="1"/>
  <c r="D467" i="1"/>
  <c r="F467" i="1" s="1"/>
  <c r="D466" i="1"/>
  <c r="F466" i="1" s="1"/>
  <c r="G465" i="1"/>
  <c r="D465" i="1"/>
  <c r="F465" i="1" s="1"/>
  <c r="D463" i="1"/>
  <c r="F463" i="1" s="1"/>
  <c r="D462" i="1"/>
  <c r="F462" i="1" s="1"/>
  <c r="D461" i="1"/>
  <c r="F461" i="1" s="1"/>
  <c r="D460" i="1"/>
  <c r="F460" i="1" s="1"/>
  <c r="D459" i="1"/>
  <c r="F459" i="1" s="1"/>
  <c r="D458" i="1"/>
  <c r="F458" i="1" s="1"/>
  <c r="D457" i="1"/>
  <c r="F457" i="1" s="1"/>
  <c r="D456" i="1"/>
  <c r="F456" i="1" s="1"/>
  <c r="D455" i="1"/>
  <c r="F455" i="1" s="1"/>
  <c r="D454" i="1"/>
  <c r="F454" i="1" s="1"/>
  <c r="G453" i="1"/>
  <c r="D453" i="1"/>
  <c r="F453" i="1" s="1"/>
  <c r="D451" i="1"/>
  <c r="F451" i="1" s="1"/>
  <c r="D450" i="1"/>
  <c r="F450" i="1" s="1"/>
  <c r="D449" i="1"/>
  <c r="F449" i="1" s="1"/>
  <c r="D448" i="1"/>
  <c r="F448" i="1" s="1"/>
  <c r="D447" i="1"/>
  <c r="F447" i="1" s="1"/>
  <c r="D446" i="1"/>
  <c r="F446" i="1" s="1"/>
  <c r="D445" i="1"/>
  <c r="F445" i="1" s="1"/>
  <c r="D444" i="1"/>
  <c r="D443" i="1"/>
  <c r="F443" i="1" s="1"/>
  <c r="D442" i="1"/>
  <c r="F442" i="1" s="1"/>
  <c r="G441" i="1"/>
  <c r="D441" i="1"/>
  <c r="F441" i="1" s="1"/>
  <c r="D438" i="1"/>
  <c r="F438" i="1" s="1"/>
  <c r="D437" i="1"/>
  <c r="F437" i="1" s="1"/>
  <c r="D436" i="1"/>
  <c r="F436" i="1" s="1"/>
  <c r="D433" i="1"/>
  <c r="F433" i="1" s="1"/>
  <c r="D432" i="1"/>
  <c r="F432" i="1" s="1"/>
  <c r="D431" i="1"/>
  <c r="F431" i="1" s="1"/>
  <c r="A431" i="1"/>
  <c r="A432" i="1" s="1"/>
  <c r="A433" i="1" s="1"/>
  <c r="A434" i="1" s="1"/>
  <c r="A435" i="1" s="1"/>
  <c r="A436" i="1" s="1"/>
  <c r="A437" i="1" s="1"/>
  <c r="A438" i="1" s="1"/>
  <c r="D430" i="1"/>
  <c r="F430" i="1" s="1"/>
  <c r="D429" i="1"/>
  <c r="F429" i="1" s="1"/>
  <c r="D428" i="1"/>
  <c r="F428" i="1" s="1"/>
  <c r="D427" i="1"/>
  <c r="F427" i="1" s="1"/>
  <c r="D426" i="1"/>
  <c r="F426" i="1" s="1"/>
  <c r="D425" i="1"/>
  <c r="F425" i="1" s="1"/>
  <c r="D424" i="1"/>
  <c r="F424" i="1" s="1"/>
  <c r="D423" i="1"/>
  <c r="F423" i="1" s="1"/>
  <c r="D422" i="1"/>
  <c r="F422" i="1" s="1"/>
  <c r="D421" i="1"/>
  <c r="F421" i="1" s="1"/>
  <c r="D420" i="1"/>
  <c r="F420" i="1" s="1"/>
  <c r="D419" i="1"/>
  <c r="F419" i="1" s="1"/>
  <c r="D418" i="1"/>
  <c r="F418" i="1" s="1"/>
  <c r="D417" i="1"/>
  <c r="F417" i="1" s="1"/>
  <c r="D416" i="1"/>
  <c r="F416" i="1" s="1"/>
  <c r="D415" i="1"/>
  <c r="F415" i="1" s="1"/>
  <c r="D414" i="1"/>
  <c r="F414" i="1" s="1"/>
  <c r="D413" i="1"/>
  <c r="F413" i="1" s="1"/>
  <c r="G412" i="1"/>
  <c r="D412" i="1"/>
  <c r="F412" i="1" s="1"/>
  <c r="D410" i="1"/>
  <c r="F410" i="1" s="1"/>
  <c r="D409" i="1"/>
  <c r="F409" i="1" s="1"/>
  <c r="D408" i="1"/>
  <c r="F408" i="1" s="1"/>
  <c r="D407" i="1"/>
  <c r="F407" i="1" s="1"/>
  <c r="D406" i="1"/>
  <c r="F406" i="1" s="1"/>
  <c r="D405" i="1"/>
  <c r="F405" i="1" s="1"/>
  <c r="D404" i="1"/>
  <c r="F404" i="1" s="1"/>
  <c r="D403" i="1"/>
  <c r="F403" i="1" s="1"/>
  <c r="A403" i="1"/>
  <c r="A404" i="1" s="1"/>
  <c r="A405" i="1" s="1"/>
  <c r="A406" i="1" s="1"/>
  <c r="A407" i="1" s="1"/>
  <c r="A408" i="1" s="1"/>
  <c r="A409" i="1" s="1"/>
  <c r="A410" i="1" s="1"/>
  <c r="D402" i="1"/>
  <c r="F402" i="1" s="1"/>
  <c r="D401" i="1"/>
  <c r="F401" i="1" s="1"/>
  <c r="D400" i="1"/>
  <c r="F400" i="1" s="1"/>
  <c r="D399" i="1"/>
  <c r="F399" i="1" s="1"/>
  <c r="D398" i="1"/>
  <c r="F398" i="1" s="1"/>
  <c r="D397" i="1"/>
  <c r="F397" i="1" s="1"/>
  <c r="D396" i="1"/>
  <c r="F396" i="1" s="1"/>
  <c r="D395" i="1"/>
  <c r="F395" i="1" s="1"/>
  <c r="D394" i="1"/>
  <c r="F394" i="1" s="1"/>
  <c r="D393" i="1"/>
  <c r="F393" i="1" s="1"/>
  <c r="D392" i="1"/>
  <c r="F392" i="1" s="1"/>
  <c r="D391" i="1"/>
  <c r="F391" i="1" s="1"/>
  <c r="D390" i="1"/>
  <c r="F390" i="1" s="1"/>
  <c r="D389" i="1"/>
  <c r="F389" i="1" s="1"/>
  <c r="D388" i="1"/>
  <c r="F388" i="1" s="1"/>
  <c r="D387" i="1"/>
  <c r="F387" i="1" s="1"/>
  <c r="D386" i="1"/>
  <c r="F386" i="1" s="1"/>
  <c r="D385" i="1"/>
  <c r="F385" i="1" s="1"/>
  <c r="G384" i="1"/>
  <c r="D384" i="1"/>
  <c r="F384" i="1" s="1"/>
  <c r="D382" i="1"/>
  <c r="F382" i="1" s="1"/>
  <c r="D381" i="1"/>
  <c r="F381" i="1" s="1"/>
  <c r="D380" i="1"/>
  <c r="F380" i="1" s="1"/>
  <c r="D379" i="1"/>
  <c r="F379" i="1" s="1"/>
  <c r="D378" i="1"/>
  <c r="F378" i="1" s="1"/>
  <c r="D377" i="1"/>
  <c r="F377" i="1" s="1"/>
  <c r="D376" i="1"/>
  <c r="F376" i="1" s="1"/>
  <c r="D375" i="1"/>
  <c r="F375" i="1" s="1"/>
  <c r="A375" i="1"/>
  <c r="A376" i="1" s="1"/>
  <c r="A377" i="1" s="1"/>
  <c r="A378" i="1" s="1"/>
  <c r="A379" i="1" s="1"/>
  <c r="A380" i="1" s="1"/>
  <c r="A381" i="1" s="1"/>
  <c r="A382" i="1" s="1"/>
  <c r="D374" i="1"/>
  <c r="F374" i="1" s="1"/>
  <c r="D373" i="1"/>
  <c r="F373" i="1" s="1"/>
  <c r="D372" i="1"/>
  <c r="F372" i="1" s="1"/>
  <c r="D371" i="1"/>
  <c r="F371" i="1" s="1"/>
  <c r="D370" i="1"/>
  <c r="F370" i="1" s="1"/>
  <c r="D369" i="1"/>
  <c r="F369" i="1" s="1"/>
  <c r="D368" i="1"/>
  <c r="F368" i="1" s="1"/>
  <c r="D367" i="1"/>
  <c r="F367" i="1" s="1"/>
  <c r="D366" i="1"/>
  <c r="F366" i="1" s="1"/>
  <c r="D365" i="1"/>
  <c r="F365" i="1" s="1"/>
  <c r="D364" i="1"/>
  <c r="F364" i="1" s="1"/>
  <c r="D363" i="1"/>
  <c r="F363" i="1" s="1"/>
  <c r="D362" i="1"/>
  <c r="F362" i="1" s="1"/>
  <c r="D361" i="1"/>
  <c r="F361" i="1" s="1"/>
  <c r="D360" i="1"/>
  <c r="F360" i="1" s="1"/>
  <c r="D359" i="1"/>
  <c r="F359" i="1" s="1"/>
  <c r="D358" i="1"/>
  <c r="F358" i="1" s="1"/>
  <c r="D357" i="1"/>
  <c r="F357" i="1" s="1"/>
  <c r="G356" i="1"/>
  <c r="D356" i="1"/>
  <c r="D353" i="1"/>
  <c r="F353" i="1" s="1"/>
  <c r="A353" i="1"/>
  <c r="D352" i="1"/>
  <c r="F352" i="1" s="1"/>
  <c r="D351" i="1"/>
  <c r="F351" i="1" s="1"/>
  <c r="D348" i="1"/>
  <c r="F348" i="1" s="1"/>
  <c r="D347" i="1"/>
  <c r="F347" i="1" s="1"/>
  <c r="D346" i="1"/>
  <c r="F346" i="1" s="1"/>
  <c r="D345" i="1"/>
  <c r="F345" i="1" s="1"/>
  <c r="D344" i="1"/>
  <c r="F344" i="1" s="1"/>
  <c r="D343" i="1"/>
  <c r="F343" i="1" s="1"/>
  <c r="D342" i="1"/>
  <c r="F342" i="1" s="1"/>
  <c r="D341" i="1"/>
  <c r="F341" i="1" s="1"/>
  <c r="D340" i="1"/>
  <c r="F340" i="1" s="1"/>
  <c r="D339" i="1"/>
  <c r="F339" i="1" s="1"/>
  <c r="D338" i="1"/>
  <c r="F338" i="1" s="1"/>
  <c r="D337" i="1"/>
  <c r="F337" i="1" s="1"/>
  <c r="D336" i="1"/>
  <c r="F336" i="1" s="1"/>
  <c r="D335" i="1"/>
  <c r="F335" i="1" s="1"/>
  <c r="G334" i="1"/>
  <c r="D334" i="1"/>
  <c r="F334" i="1" s="1"/>
  <c r="D332" i="1"/>
  <c r="F332" i="1" s="1"/>
  <c r="A332" i="1"/>
  <c r="D331" i="1"/>
  <c r="F331" i="1" s="1"/>
  <c r="D330" i="1"/>
  <c r="F330" i="1" s="1"/>
  <c r="D329" i="1"/>
  <c r="F329" i="1" s="1"/>
  <c r="D328" i="1"/>
  <c r="F328" i="1" s="1"/>
  <c r="D327" i="1"/>
  <c r="F327" i="1" s="1"/>
  <c r="D326" i="1"/>
  <c r="F326" i="1" s="1"/>
  <c r="D325" i="1"/>
  <c r="F325" i="1" s="1"/>
  <c r="D324" i="1"/>
  <c r="F324" i="1" s="1"/>
  <c r="D323" i="1"/>
  <c r="F323" i="1" s="1"/>
  <c r="D322" i="1"/>
  <c r="F322" i="1" s="1"/>
  <c r="D321" i="1"/>
  <c r="F321" i="1" s="1"/>
  <c r="D320" i="1"/>
  <c r="F320" i="1" s="1"/>
  <c r="D319" i="1"/>
  <c r="F319" i="1" s="1"/>
  <c r="D318" i="1"/>
  <c r="F318" i="1" s="1"/>
  <c r="D317" i="1"/>
  <c r="F317" i="1" s="1"/>
  <c r="D316" i="1"/>
  <c r="F316" i="1" s="1"/>
  <c r="D315" i="1"/>
  <c r="F315" i="1" s="1"/>
  <c r="D314" i="1"/>
  <c r="F314" i="1" s="1"/>
  <c r="G313" i="1"/>
  <c r="D313" i="1"/>
  <c r="F313" i="1" s="1"/>
  <c r="D311" i="1"/>
  <c r="F311" i="1" s="1"/>
  <c r="A311" i="1"/>
  <c r="D310" i="1"/>
  <c r="F310" i="1" s="1"/>
  <c r="D309" i="1"/>
  <c r="F309" i="1" s="1"/>
  <c r="D308" i="1"/>
  <c r="F308" i="1" s="1"/>
  <c r="D307" i="1"/>
  <c r="F307" i="1" s="1"/>
  <c r="D306" i="1"/>
  <c r="F306" i="1" s="1"/>
  <c r="D305" i="1"/>
  <c r="F305" i="1" s="1"/>
  <c r="D304" i="1"/>
  <c r="F304" i="1" s="1"/>
  <c r="D303" i="1"/>
  <c r="F303" i="1" s="1"/>
  <c r="D302" i="1"/>
  <c r="F302" i="1" s="1"/>
  <c r="D301" i="1"/>
  <c r="F301" i="1" s="1"/>
  <c r="D300" i="1"/>
  <c r="F300" i="1" s="1"/>
  <c r="D299" i="1"/>
  <c r="F299" i="1" s="1"/>
  <c r="D298" i="1"/>
  <c r="F298" i="1" s="1"/>
  <c r="D297" i="1"/>
  <c r="F297" i="1" s="1"/>
  <c r="D296" i="1"/>
  <c r="F296" i="1" s="1"/>
  <c r="D295" i="1"/>
  <c r="F295" i="1" s="1"/>
  <c r="D294" i="1"/>
  <c r="F294" i="1" s="1"/>
  <c r="D293" i="1"/>
  <c r="F293" i="1" s="1"/>
  <c r="G292" i="1"/>
  <c r="D292" i="1"/>
  <c r="D289" i="1"/>
  <c r="F289" i="1" s="1"/>
  <c r="D288" i="1"/>
  <c r="F288" i="1" s="1"/>
  <c r="D287" i="1"/>
  <c r="F287" i="1" s="1"/>
  <c r="D286" i="1"/>
  <c r="F286" i="1" s="1"/>
  <c r="D285" i="1"/>
  <c r="F285" i="1" s="1"/>
  <c r="D284" i="1"/>
  <c r="F284" i="1" s="1"/>
  <c r="D283" i="1"/>
  <c r="F283" i="1" s="1"/>
  <c r="D282" i="1"/>
  <c r="F282" i="1" s="1"/>
  <c r="D280" i="1"/>
  <c r="F280" i="1" s="1"/>
  <c r="D279" i="1"/>
  <c r="F279" i="1" s="1"/>
  <c r="A279" i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G278" i="1"/>
  <c r="D278" i="1"/>
  <c r="F278" i="1" s="1"/>
  <c r="D276" i="1"/>
  <c r="F276" i="1" s="1"/>
  <c r="D275" i="1"/>
  <c r="F275" i="1" s="1"/>
  <c r="D274" i="1"/>
  <c r="F274" i="1" s="1"/>
  <c r="D273" i="1"/>
  <c r="F273" i="1" s="1"/>
  <c r="D272" i="1"/>
  <c r="F272" i="1" s="1"/>
  <c r="D271" i="1"/>
  <c r="F271" i="1" s="1"/>
  <c r="D270" i="1"/>
  <c r="F270" i="1" s="1"/>
  <c r="D269" i="1"/>
  <c r="F269" i="1" s="1"/>
  <c r="D268" i="1"/>
  <c r="F268" i="1" s="1"/>
  <c r="D267" i="1"/>
  <c r="F267" i="1" s="1"/>
  <c r="D266" i="1"/>
  <c r="F266" i="1" s="1"/>
  <c r="A266" i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G265" i="1"/>
  <c r="D265" i="1"/>
  <c r="F265" i="1" s="1"/>
  <c r="D263" i="1"/>
  <c r="F263" i="1" s="1"/>
  <c r="D262" i="1"/>
  <c r="F262" i="1" s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A253" i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G252" i="1"/>
  <c r="D252" i="1"/>
  <c r="F246" i="1"/>
  <c r="F245" i="1"/>
  <c r="F244" i="1"/>
  <c r="F243" i="1"/>
  <c r="F242" i="1"/>
  <c r="F241" i="1"/>
  <c r="F240" i="1"/>
  <c r="F239" i="1"/>
  <c r="F238" i="1"/>
  <c r="F237" i="1"/>
  <c r="F236" i="1"/>
  <c r="A236" i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G235" i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F235" i="1"/>
  <c r="F216" i="1"/>
  <c r="J200" i="1"/>
  <c r="J199" i="1"/>
  <c r="J198" i="1"/>
  <c r="J197" i="1"/>
  <c r="C189" i="1"/>
  <c r="J186" i="1"/>
  <c r="J185" i="1"/>
  <c r="J184" i="1"/>
  <c r="J183" i="1"/>
  <c r="C175" i="1"/>
  <c r="J172" i="1"/>
  <c r="J171" i="1"/>
  <c r="J170" i="1"/>
  <c r="J169" i="1"/>
  <c r="J129" i="1"/>
  <c r="J128" i="1"/>
  <c r="J127" i="1"/>
  <c r="J126" i="1"/>
  <c r="C118" i="1"/>
  <c r="J115" i="1"/>
  <c r="J114" i="1"/>
  <c r="J113" i="1"/>
  <c r="J112" i="1"/>
  <c r="C104" i="1"/>
  <c r="J101" i="1"/>
  <c r="J100" i="1"/>
  <c r="J99" i="1"/>
  <c r="J98" i="1"/>
  <c r="D70" i="1"/>
  <c r="D58" i="1"/>
  <c r="C48" i="1"/>
  <c r="E41" i="1"/>
  <c r="E42" i="1" s="1"/>
  <c r="E28" i="1"/>
  <c r="E25" i="1"/>
  <c r="E23" i="1"/>
  <c r="E7" i="1"/>
  <c r="E3" i="1"/>
  <c r="H162" i="1"/>
  <c r="H105" i="1"/>
  <c r="H176" i="1"/>
  <c r="H119" i="1"/>
  <c r="H91" i="1"/>
  <c r="I132" i="1" l="1"/>
  <c r="C134" i="1" s="1"/>
  <c r="J88" i="1"/>
  <c r="D82" i="1"/>
  <c r="D114" i="1"/>
  <c r="D113" i="1"/>
  <c r="J107" i="1"/>
  <c r="J104" i="1"/>
  <c r="J106" i="1" s="1"/>
  <c r="D117" i="1"/>
  <c r="J109" i="1"/>
  <c r="C108" i="1" s="1"/>
  <c r="D108" i="1" s="1"/>
  <c r="D116" i="1"/>
  <c r="D112" i="1"/>
  <c r="J108" i="1"/>
  <c r="J110" i="1"/>
  <c r="J111" i="1" s="1"/>
  <c r="J116" i="1" s="1"/>
  <c r="D115" i="1"/>
  <c r="D111" i="1"/>
  <c r="D131" i="1"/>
  <c r="D130" i="1"/>
  <c r="D126" i="1"/>
  <c r="D125" i="1"/>
  <c r="J122" i="1"/>
  <c r="D129" i="1"/>
  <c r="J124" i="1"/>
  <c r="D128" i="1"/>
  <c r="J123" i="1"/>
  <c r="C122" i="1" s="1"/>
  <c r="J118" i="1"/>
  <c r="J120" i="1" s="1"/>
  <c r="D127" i="1"/>
  <c r="J121" i="1"/>
  <c r="D172" i="1"/>
  <c r="D168" i="1"/>
  <c r="J167" i="1"/>
  <c r="J168" i="1" s="1"/>
  <c r="J173" i="1" s="1"/>
  <c r="D171" i="1"/>
  <c r="J161" i="1"/>
  <c r="J163" i="1" s="1"/>
  <c r="D174" i="1"/>
  <c r="D170" i="1"/>
  <c r="J166" i="1"/>
  <c r="D165" i="1" s="1"/>
  <c r="J164" i="1"/>
  <c r="J165" i="1"/>
  <c r="D173" i="1"/>
  <c r="D169" i="1"/>
  <c r="J175" i="1"/>
  <c r="J177" i="1" s="1"/>
  <c r="D188" i="1"/>
  <c r="D184" i="1"/>
  <c r="J180" i="1"/>
  <c r="D179" i="1" s="1"/>
  <c r="J178" i="1"/>
  <c r="D185" i="1"/>
  <c r="D187" i="1"/>
  <c r="D183" i="1"/>
  <c r="J179" i="1"/>
  <c r="D186" i="1"/>
  <c r="D182" i="1"/>
  <c r="J181" i="1"/>
  <c r="J94" i="1"/>
  <c r="D100" i="1"/>
  <c r="D102" i="1"/>
  <c r="D101" i="1"/>
  <c r="D97" i="1"/>
  <c r="J96" i="1"/>
  <c r="J90" i="1"/>
  <c r="J92" i="1" s="1"/>
  <c r="J95" i="1"/>
  <c r="C94" i="1" s="1"/>
  <c r="D94" i="1" s="1"/>
  <c r="D98" i="1"/>
  <c r="D103" i="1"/>
  <c r="D99" i="1"/>
  <c r="J93" i="1"/>
  <c r="C226" i="1"/>
  <c r="F292" i="1"/>
  <c r="G225" i="1" s="1"/>
  <c r="E225" i="1"/>
  <c r="F480" i="1"/>
  <c r="G228" i="1" s="1"/>
  <c r="C228" i="1"/>
  <c r="E227" i="1"/>
  <c r="C227" i="1"/>
  <c r="F444" i="1"/>
  <c r="G227" i="1" s="1"/>
  <c r="E228" i="1"/>
  <c r="C224" i="1"/>
  <c r="E224" i="1"/>
  <c r="E226" i="1"/>
  <c r="F356" i="1"/>
  <c r="G226" i="1" s="1"/>
  <c r="C225" i="1"/>
  <c r="F252" i="1"/>
  <c r="G224" i="1" s="1"/>
  <c r="H190" i="1"/>
  <c r="J89" i="1" l="1"/>
  <c r="G80" i="1"/>
  <c r="J174" i="1"/>
  <c r="C166" i="1" s="1"/>
  <c r="E165" i="1" s="1"/>
  <c r="J182" i="1"/>
  <c r="J97" i="1"/>
  <c r="J102" i="1" s="1"/>
  <c r="J125" i="1"/>
  <c r="J130" i="1" s="1"/>
  <c r="J117" i="1"/>
  <c r="E108" i="1"/>
  <c r="D124" i="1"/>
  <c r="J193" i="1"/>
  <c r="D200" i="1"/>
  <c r="D199" i="1"/>
  <c r="D198" i="1"/>
  <c r="D197" i="1"/>
  <c r="D202" i="1"/>
  <c r="D196" i="1"/>
  <c r="D201" i="1"/>
  <c r="J195" i="1"/>
  <c r="J194" i="1"/>
  <c r="C193" i="1" s="1"/>
  <c r="J189" i="1"/>
  <c r="J191" i="1" s="1"/>
  <c r="J192" i="1"/>
  <c r="D122" i="1"/>
  <c r="G229" i="1"/>
  <c r="D181" i="1"/>
  <c r="E229" i="1"/>
  <c r="D110" i="1"/>
  <c r="C229" i="1"/>
  <c r="D96" i="1"/>
  <c r="D167" i="1"/>
  <c r="J196" i="1" l="1"/>
  <c r="J201" i="1" s="1"/>
  <c r="J202" i="1" s="1"/>
  <c r="C194" i="1"/>
  <c r="E80" i="1"/>
  <c r="D81" i="1"/>
  <c r="I77" i="1" s="1"/>
  <c r="I78" i="1" s="1"/>
  <c r="J187" i="1"/>
  <c r="J188" i="1" s="1"/>
  <c r="C180" i="1" s="1"/>
  <c r="G179" i="1" s="1"/>
  <c r="J77" i="1"/>
  <c r="J103" i="1"/>
  <c r="J91" i="1" s="1"/>
  <c r="G94" i="1"/>
  <c r="D74" i="1" s="1"/>
  <c r="F75" i="1" s="1"/>
  <c r="J162" i="1"/>
  <c r="D166" i="1"/>
  <c r="I162" i="1" s="1"/>
  <c r="I163" i="1" s="1"/>
  <c r="J131" i="1"/>
  <c r="E122" i="1"/>
  <c r="G165" i="1"/>
  <c r="D95" i="1"/>
  <c r="I91" i="1" s="1"/>
  <c r="I92" i="1" s="1"/>
  <c r="E94" i="1"/>
  <c r="G108" i="1"/>
  <c r="J105" i="1"/>
  <c r="D109" i="1"/>
  <c r="I105" i="1" s="1"/>
  <c r="I106" i="1" s="1"/>
  <c r="D195" i="1"/>
  <c r="E193" i="1"/>
  <c r="D194" i="1"/>
  <c r="G193" i="1"/>
  <c r="D193" i="1"/>
  <c r="D180" i="1" l="1"/>
  <c r="I176" i="1" s="1"/>
  <c r="I177" i="1" s="1"/>
  <c r="E179" i="1"/>
  <c r="J176" i="1"/>
  <c r="I76" i="1"/>
  <c r="C78" i="1" s="1"/>
  <c r="D75" i="1"/>
  <c r="I161" i="1"/>
  <c r="C163" i="1" s="1"/>
  <c r="D123" i="1"/>
  <c r="I119" i="1" s="1"/>
  <c r="I120" i="1" s="1"/>
  <c r="J119" i="1"/>
  <c r="G122" i="1"/>
  <c r="I190" i="1"/>
  <c r="I191" i="1" s="1"/>
  <c r="I90" i="1"/>
  <c r="C92" i="1" s="1"/>
  <c r="I104" i="1"/>
  <c r="C106" i="1" s="1"/>
  <c r="J190" i="1"/>
  <c r="I175" i="1" l="1"/>
  <c r="C177" i="1" s="1"/>
  <c r="I118" i="1"/>
  <c r="C120" i="1" s="1"/>
  <c r="I189" i="1"/>
  <c r="C191" i="1" s="1"/>
</calcChain>
</file>

<file path=xl/sharedStrings.xml><?xml version="1.0" encoding="utf-8"?>
<sst xmlns="http://schemas.openxmlformats.org/spreadsheetml/2006/main" count="884" uniqueCount="248">
  <si>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</si>
  <si>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</si>
  <si>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</si>
  <si>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</si>
  <si>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</si>
  <si>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</si>
  <si>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</si>
  <si>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</si>
  <si>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</si>
  <si>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</si>
  <si>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</si>
  <si>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</si>
  <si>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</si>
  <si>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</si>
  <si>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</si>
  <si>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</si>
  <si>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</si>
  <si>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</si>
  <si>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</si>
  <si>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</si>
  <si>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</si>
  <si>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</si>
  <si>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</si>
  <si>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</si>
  <si>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</si>
  <si>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</si>
  <si>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</si>
  <si>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</si>
  <si>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</si>
  <si>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</si>
  <si>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</si>
  <si>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</si>
  <si>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</si>
  <si>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</si>
  <si>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</si>
  <si>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</si>
  <si>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</si>
  <si>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</si>
  <si>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</si>
  <si>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</si>
  <si>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</si>
  <si>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</si>
  <si>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</si>
  <si>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</si>
  <si>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</si>
  <si>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</si>
  <si>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</si>
  <si>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</si>
  <si>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</si>
  <si>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</si>
  <si>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</si>
  <si>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</si>
  <si>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</si>
  <si>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</si>
  <si>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</si>
  <si>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</si>
  <si>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</si>
  <si>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</si>
  <si>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</si>
  <si>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</si>
  <si>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</si>
  <si>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</si>
  <si>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</si>
  <si>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</si>
  <si>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</si>
  <si>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</si>
  <si>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</si>
  <si>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</si>
  <si>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</si>
  <si>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</si>
  <si>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</si>
  <si>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</si>
  <si>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</si>
  <si>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</si>
  <si>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</si>
  <si>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</si>
  <si>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</si>
  <si>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</si>
  <si>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</si>
  <si>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</si>
  <si>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</si>
  <si>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</si>
  <si>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</si>
  <si>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</si>
  <si>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</si>
  <si>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</si>
  <si>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</si>
  <si>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</si>
  <si>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</si>
  <si>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</si>
  <si>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</si>
  <si>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</si>
  <si>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</si>
  <si>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</si>
  <si>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</si>
  <si>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</si>
  <si>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</si>
  <si>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</si>
  <si>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</si>
  <si>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</si>
  <si>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</si>
  <si>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</si>
  <si>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</si>
  <si>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</si>
  <si>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</si>
  <si>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</si>
  <si>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</si>
  <si>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</si>
  <si>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</si>
  <si>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</si>
  <si>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</si>
  <si>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</si>
  <si>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</si>
  <si>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</si>
  <si>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</si>
  <si>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</si>
  <si>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</si>
  <si>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</si>
  <si>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</si>
  <si>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</si>
  <si>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</si>
  <si>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</si>
  <si>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</si>
  <si>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</si>
  <si>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</si>
  <si>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</si>
  <si>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</si>
  <si>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</si>
  <si>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</si>
  <si>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</si>
  <si>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</si>
  <si>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</si>
  <si>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</si>
  <si>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</si>
  <si>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</si>
  <si>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</si>
  <si>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</si>
  <si>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</si>
  <si>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</si>
  <si>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</si>
  <si>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</si>
  <si>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</si>
  <si>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</si>
  <si>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</si>
  <si>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</si>
  <si>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</si>
  <si>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</si>
  <si>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</si>
  <si>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</si>
  <si>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</si>
  <si>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</si>
  <si>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</si>
  <si>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</si>
  <si>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</si>
  <si>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</si>
  <si>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</si>
  <si>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</si>
  <si>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</si>
  <si>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</si>
  <si>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</si>
  <si>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</si>
  <si>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</si>
  <si>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</si>
  <si>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</si>
  <si>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</si>
  <si>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</si>
  <si>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</si>
  <si>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</si>
  <si>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</si>
  <si>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</si>
  <si>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</si>
  <si>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 xml:space="preserve">Ground Floor </t>
  </si>
  <si>
    <t>P51700034000</t>
  </si>
  <si>
    <t>As per RERA - 31/12/2026</t>
  </si>
  <si>
    <t>M/s. Jay Ganesh Developers</t>
  </si>
  <si>
    <t>Axis Thane</t>
  </si>
  <si>
    <t>Kalas Darshan</t>
  </si>
  <si>
    <t>Gut No</t>
  </si>
  <si>
    <t>7/1, 7/2, 7/3, 73/2/A, 73/4/A, 73/4/B, 73/4/C, 73/5/A</t>
  </si>
  <si>
    <t>Titwala</t>
  </si>
  <si>
    <t>Thane</t>
  </si>
  <si>
    <t>Kalyan</t>
  </si>
  <si>
    <t>MTDC Titwala East</t>
  </si>
  <si>
    <t>Internal Rd</t>
  </si>
  <si>
    <t>2.7KM from Titwala Railway Station</t>
  </si>
  <si>
    <t>Open Plot</t>
  </si>
  <si>
    <t>Internal Road</t>
  </si>
  <si>
    <t>MTDC titwala</t>
  </si>
  <si>
    <t>https://goo.gl/maps/y1gcZ3bGDV2buCSM7</t>
  </si>
  <si>
    <t>MHADA</t>
  </si>
  <si>
    <t>EE/BP/PMAY/A/MHADA/117/2022</t>
  </si>
  <si>
    <t>Tower 1, 2 &amp; 3</t>
  </si>
  <si>
    <t>1BHK</t>
  </si>
  <si>
    <t>1st to 6th &amp; 8th Floor</t>
  </si>
  <si>
    <t>Ground Floor For Residential</t>
  </si>
  <si>
    <t>7th Floor (Part Refuge Area)</t>
  </si>
  <si>
    <t>Refuge Area</t>
  </si>
  <si>
    <t>Tower 4</t>
  </si>
  <si>
    <t>1st to 7th &amp; 9th Floor</t>
  </si>
  <si>
    <t>8th Floor (Part Refuge Area)</t>
  </si>
  <si>
    <t>Tower 5, 6</t>
  </si>
  <si>
    <t>Tower 7</t>
  </si>
  <si>
    <t>1st Floor (Part Terrace Area)</t>
  </si>
  <si>
    <t>2nd to 7th Floor</t>
  </si>
  <si>
    <t>Tower 8</t>
  </si>
  <si>
    <t xml:space="preserve">Tower 1, 2, 3 - Gr + 1st to 8th Floor
Tower 4, 5, 6 &amp; 8 - Gr + 1st to 9th Floor
Tower 7  - Gr + 1st to 7th Floor
</t>
  </si>
  <si>
    <t>We considered Gross carpet area = Net carpet + Enclose balcony.</t>
  </si>
  <si>
    <t>Tower 3  = Gr + 1st to 8th Floor</t>
  </si>
  <si>
    <t>Tower 1 = Gr + 1st to 8th Floor</t>
  </si>
  <si>
    <t>Tower 2 = Gr + 1st to 8th Floor</t>
  </si>
  <si>
    <t>Flats -1381</t>
  </si>
  <si>
    <t>Approved Plans, CC, Sale Plans, Cost Sheet.</t>
  </si>
  <si>
    <t>Kalash Darshan, Proposed affordable housing under pradhan mantri awas yojna on private land bearing Gut No.7/1, 7/2, 7/3, 73/2/A, 73/4/A, 73/4/B, 73/4/C, 73/5/A at Titwala East, Mumbai, Maharashtra.</t>
  </si>
  <si>
    <t>AMVBPK/PMAY/207/2022</t>
  </si>
  <si>
    <t>Plinth Level</t>
  </si>
  <si>
    <t>08 Building</t>
  </si>
  <si>
    <t>Tower 1 To 8</t>
  </si>
  <si>
    <t>Water, Electricity, Drainages, Sewerage Connection &amp; Development Charges</t>
  </si>
  <si>
    <t xml:space="preserve">1.Vitrified tiles flooring 2. Granite Kitchen Platform  3. Decorative Enternace  etc. 
</t>
  </si>
  <si>
    <t>Tower 5 &amp; 6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</si>
  <si>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</si>
  <si>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Validity of CC is expired on 08/06/2023. Please provide latest CC.</t>
  </si>
  <si>
    <t>EE/BP/PMAY/A/MHADA/602/2023</t>
  </si>
  <si>
    <t>Commencement-CC No</t>
  </si>
  <si>
    <t>Building No.2 &amp; 3 = Gr + 1st to 8th Floor
Building No.4, 5 &amp; 6 = Gr + 1st to 9th Floor
Building No.7 = Gr + 1st to 7th Floor</t>
  </si>
  <si>
    <t>Commencement-CC No
(For Building No. 1 &amp; 8)
Valid Upto:</t>
  </si>
  <si>
    <t>3400 to 3600</t>
  </si>
  <si>
    <t>OC Charges</t>
  </si>
  <si>
    <t>Rushikesh</t>
  </si>
  <si>
    <t>Tower  4 = Gr + 1st to 9th Floor</t>
  </si>
  <si>
    <t>Tower  5 = Gr + 1st to 9th Floor</t>
  </si>
  <si>
    <t>Tower  6 = Gr + 1st to 9th Floor</t>
  </si>
  <si>
    <t>Tower  7 = Gr + 1st to 7th Floor</t>
  </si>
  <si>
    <t>Tower 8 = Gr + 1st to 9th Floor</t>
  </si>
  <si>
    <t>Part II = Tower  5 = Gr + 1st to 9th Floor</t>
  </si>
  <si>
    <t>Average Progress %</t>
  </si>
  <si>
    <t>Average Disbursement %</t>
  </si>
  <si>
    <t>Please provide latest CC for Tower 1.</t>
  </si>
  <si>
    <t>Since Tower 8 have received CC on 28/04/2022, but as of construction work is not started.</t>
  </si>
  <si>
    <t>Building No. 1 = Gr + 1st to 8th Floor</t>
  </si>
  <si>
    <t>EE/BP/PMAY/A/MHADA/830/2023</t>
  </si>
  <si>
    <t>Tower 2 &amp; 3 = Gr + 1st to 8th Floor</t>
  </si>
  <si>
    <t xml:space="preserve">Mr. Samir Lohi 9225220555 </t>
  </si>
  <si>
    <t>Tower 1 to 8 = Construction work is in process at the time of Visit.</t>
  </si>
  <si>
    <t>On Site, we meet Mr. Avinash : 9136396678</t>
  </si>
  <si>
    <t>Pooja</t>
  </si>
  <si>
    <t>T5 DISBURSEMENT 93 % by AKASH MOTE on 31/07/2025</t>
  </si>
  <si>
    <t>Mangesh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</si>
</sst>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Border="1"/>
    <xf numFmtId="0" fontId="12" fillId="0" borderId="3" xfId="1" applyFont="1" applyBorder="1" applyAlignment="1" applyProtection="1">
      <alignment horizontal="center" vertical="top" wrapText="1"/>
      <protection locked="0"/>
    </xf>
    <xf numFmtId="9" fontId="12" fillId="0" borderId="3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3" borderId="1" xfId="1" applyFont="1" applyFill="1" applyBorder="1" applyAlignment="1" applyProtection="1">
      <alignment horizontal="center" vertical="center" wrapText="1"/>
      <protection locked="0"/>
    </xf>
    <xf numFmtId="9" fontId="13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3" fillId="0" borderId="32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3" xfId="1" applyFont="1" applyBorder="1" applyAlignment="1" applyProtection="1">
      <alignment horizontal="left" vertical="top" wrapText="1"/>
      <protection locked="0"/>
    </xf>
    <xf numFmtId="0" fontId="12" fillId="0" borderId="34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24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68" fontId="6" fillId="0" borderId="2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" fontId="27" fillId="0" borderId="8" xfId="0" applyNumberFormat="1" applyFont="1" applyBorder="1" applyAlignment="1" applyProtection="1">
      <alignment vertical="top" wrapText="1"/>
      <protection locked="0"/>
    </xf>
    <xf numFmtId="1" fontId="27" fillId="0" borderId="21" xfId="0" applyNumberFormat="1" applyFont="1" applyBorder="1" applyAlignment="1" applyProtection="1">
      <alignment vertical="top" wrapText="1"/>
      <protection locked="0"/>
    </xf>
    <xf numFmtId="1" fontId="27" fillId="0" borderId="9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622</xdr:row>
      <xdr:rowOff>19050</xdr:rowOff>
    </xdr:from>
    <xdr:to>
      <xdr:col>6</xdr:col>
      <xdr:colOff>289588</xdr:colOff>
      <xdr:row>640</xdr:row>
      <xdr:rowOff>18600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51" y="54892575"/>
          <a:ext cx="470918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38100</xdr:colOff>
      <xdr:row>640</xdr:row>
      <xdr:rowOff>151055</xdr:rowOff>
    </xdr:from>
    <xdr:to>
      <xdr:col>6</xdr:col>
      <xdr:colOff>289587</xdr:colOff>
      <xdr:row>658</xdr:row>
      <xdr:rowOff>150605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50" y="58625030"/>
          <a:ext cx="470918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0</xdr:colOff>
      <xdr:row>576</xdr:row>
      <xdr:rowOff>0</xdr:rowOff>
    </xdr:from>
    <xdr:to>
      <xdr:col>8</xdr:col>
      <xdr:colOff>361950</xdr:colOff>
      <xdr:row>577</xdr:row>
      <xdr:rowOff>114646</xdr:rowOff>
    </xdr:to>
    <xdr:sp macro="" textlink="">
      <xdr:nvSpPr>
        <xdr:cNvPr id="29" name="Rectangle 28"/>
        <xdr:cNvSpPr/>
      </xdr:nvSpPr>
      <xdr:spPr>
        <a:xfrm>
          <a:off x="6845300" y="112172750"/>
          <a:ext cx="361950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T1</a:t>
          </a:r>
        </a:p>
      </xdr:txBody>
    </xdr:sp>
    <xdr:clientData/>
  </xdr:twoCellAnchor>
  <xdr:twoCellAnchor>
    <xdr:from>
      <xdr:col>11</xdr:col>
      <xdr:colOff>236132</xdr:colOff>
      <xdr:row>576</xdr:row>
      <xdr:rowOff>0</xdr:rowOff>
    </xdr:from>
    <xdr:to>
      <xdr:col>11</xdr:col>
      <xdr:colOff>598082</xdr:colOff>
      <xdr:row>577</xdr:row>
      <xdr:rowOff>114646</xdr:rowOff>
    </xdr:to>
    <xdr:sp macro="" textlink="">
      <xdr:nvSpPr>
        <xdr:cNvPr id="30" name="Rectangle 29"/>
        <xdr:cNvSpPr/>
      </xdr:nvSpPr>
      <xdr:spPr>
        <a:xfrm>
          <a:off x="9837332" y="112172750"/>
          <a:ext cx="361950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T2</a:t>
          </a:r>
        </a:p>
      </xdr:txBody>
    </xdr:sp>
    <xdr:clientData/>
  </xdr:twoCellAnchor>
  <xdr:twoCellAnchor>
    <xdr:from>
      <xdr:col>13</xdr:col>
      <xdr:colOff>229981</xdr:colOff>
      <xdr:row>576</xdr:row>
      <xdr:rowOff>0</xdr:rowOff>
    </xdr:from>
    <xdr:to>
      <xdr:col>13</xdr:col>
      <xdr:colOff>591931</xdr:colOff>
      <xdr:row>577</xdr:row>
      <xdr:rowOff>114646</xdr:rowOff>
    </xdr:to>
    <xdr:sp macro="" textlink="">
      <xdr:nvSpPr>
        <xdr:cNvPr id="31" name="Rectangle 30"/>
        <xdr:cNvSpPr/>
      </xdr:nvSpPr>
      <xdr:spPr>
        <a:xfrm>
          <a:off x="11577431" y="112172750"/>
          <a:ext cx="361950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T3</a:t>
          </a:r>
        </a:p>
      </xdr:txBody>
    </xdr:sp>
    <xdr:clientData/>
  </xdr:twoCellAnchor>
  <xdr:twoCellAnchor>
    <xdr:from>
      <xdr:col>8</xdr:col>
      <xdr:colOff>194997</xdr:colOff>
      <xdr:row>587</xdr:row>
      <xdr:rowOff>104538</xdr:rowOff>
    </xdr:from>
    <xdr:to>
      <xdr:col>8</xdr:col>
      <xdr:colOff>556947</xdr:colOff>
      <xdr:row>589</xdr:row>
      <xdr:rowOff>22334</xdr:rowOff>
    </xdr:to>
    <xdr:sp macro="" textlink="">
      <xdr:nvSpPr>
        <xdr:cNvPr id="32" name="Rectangle 31"/>
        <xdr:cNvSpPr/>
      </xdr:nvSpPr>
      <xdr:spPr>
        <a:xfrm>
          <a:off x="7040297" y="114436288"/>
          <a:ext cx="361950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T5</a:t>
          </a:r>
        </a:p>
      </xdr:txBody>
    </xdr:sp>
    <xdr:clientData/>
  </xdr:twoCellAnchor>
  <xdr:twoCellAnchor>
    <xdr:from>
      <xdr:col>11</xdr:col>
      <xdr:colOff>431129</xdr:colOff>
      <xdr:row>587</xdr:row>
      <xdr:rowOff>104538</xdr:rowOff>
    </xdr:from>
    <xdr:to>
      <xdr:col>11</xdr:col>
      <xdr:colOff>793079</xdr:colOff>
      <xdr:row>589</xdr:row>
      <xdr:rowOff>22334</xdr:rowOff>
    </xdr:to>
    <xdr:sp macro="" textlink="">
      <xdr:nvSpPr>
        <xdr:cNvPr id="33" name="Rectangle 32"/>
        <xdr:cNvSpPr/>
      </xdr:nvSpPr>
      <xdr:spPr>
        <a:xfrm>
          <a:off x="10032329" y="114436288"/>
          <a:ext cx="361950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T5</a:t>
          </a:r>
        </a:p>
      </xdr:txBody>
    </xdr:sp>
    <xdr:clientData/>
  </xdr:twoCellAnchor>
  <xdr:twoCellAnchor>
    <xdr:from>
      <xdr:col>8</xdr:col>
      <xdr:colOff>194997</xdr:colOff>
      <xdr:row>599</xdr:row>
      <xdr:rowOff>5876</xdr:rowOff>
    </xdr:from>
    <xdr:to>
      <xdr:col>8</xdr:col>
      <xdr:colOff>556947</xdr:colOff>
      <xdr:row>600</xdr:row>
      <xdr:rowOff>120522</xdr:rowOff>
    </xdr:to>
    <xdr:sp macro="" textlink="">
      <xdr:nvSpPr>
        <xdr:cNvPr id="40" name="Rectangle 39"/>
        <xdr:cNvSpPr/>
      </xdr:nvSpPr>
      <xdr:spPr>
        <a:xfrm>
          <a:off x="7040297" y="116699826"/>
          <a:ext cx="361950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T6</a:t>
          </a:r>
        </a:p>
      </xdr:txBody>
    </xdr:sp>
    <xdr:clientData/>
  </xdr:twoCellAnchor>
  <xdr:twoCellAnchor>
    <xdr:from>
      <xdr:col>11</xdr:col>
      <xdr:colOff>431129</xdr:colOff>
      <xdr:row>599</xdr:row>
      <xdr:rowOff>5876</xdr:rowOff>
    </xdr:from>
    <xdr:to>
      <xdr:col>11</xdr:col>
      <xdr:colOff>793079</xdr:colOff>
      <xdr:row>600</xdr:row>
      <xdr:rowOff>120522</xdr:rowOff>
    </xdr:to>
    <xdr:sp macro="" textlink="">
      <xdr:nvSpPr>
        <xdr:cNvPr id="41" name="Rectangle 40"/>
        <xdr:cNvSpPr/>
      </xdr:nvSpPr>
      <xdr:spPr>
        <a:xfrm>
          <a:off x="10032329" y="116699826"/>
          <a:ext cx="361950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T6</a:t>
          </a:r>
        </a:p>
      </xdr:txBody>
    </xdr:sp>
    <xdr:clientData/>
  </xdr:twoCellAnchor>
  <xdr:twoCellAnchor>
    <xdr:from>
      <xdr:col>8</xdr:col>
      <xdr:colOff>906196</xdr:colOff>
      <xdr:row>610</xdr:row>
      <xdr:rowOff>104064</xdr:rowOff>
    </xdr:from>
    <xdr:to>
      <xdr:col>9</xdr:col>
      <xdr:colOff>48946</xdr:colOff>
      <xdr:row>612</xdr:row>
      <xdr:rowOff>21860</xdr:rowOff>
    </xdr:to>
    <xdr:sp macro="" textlink="">
      <xdr:nvSpPr>
        <xdr:cNvPr id="42" name="Rectangle 41"/>
        <xdr:cNvSpPr/>
      </xdr:nvSpPr>
      <xdr:spPr>
        <a:xfrm>
          <a:off x="7751496" y="118963364"/>
          <a:ext cx="361950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T7</a:t>
          </a:r>
        </a:p>
      </xdr:txBody>
    </xdr:sp>
    <xdr:clientData/>
  </xdr:twoCellAnchor>
  <xdr:twoCellAnchor>
    <xdr:from>
      <xdr:col>9</xdr:col>
      <xdr:colOff>0</xdr:colOff>
      <xdr:row>578</xdr:row>
      <xdr:rowOff>0</xdr:rowOff>
    </xdr:from>
    <xdr:to>
      <xdr:col>10</xdr:col>
      <xdr:colOff>88900</xdr:colOff>
      <xdr:row>579</xdr:row>
      <xdr:rowOff>83264</xdr:rowOff>
    </xdr:to>
    <xdr:sp macro="" textlink="">
      <xdr:nvSpPr>
        <xdr:cNvPr id="34" name="Rectangle 33"/>
        <xdr:cNvSpPr/>
      </xdr:nvSpPr>
      <xdr:spPr>
        <a:xfrm>
          <a:off x="8064500" y="106953050"/>
          <a:ext cx="889000" cy="280114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No.2</a:t>
          </a:r>
        </a:p>
      </xdr:txBody>
    </xdr:sp>
    <xdr:clientData/>
  </xdr:twoCellAnchor>
  <xdr:twoCellAnchor>
    <xdr:from>
      <xdr:col>0</xdr:col>
      <xdr:colOff>95250</xdr:colOff>
      <xdr:row>578</xdr:row>
      <xdr:rowOff>69850</xdr:rowOff>
    </xdr:from>
    <xdr:to>
      <xdr:col>7</xdr:col>
      <xdr:colOff>768875</xdr:colOff>
      <xdr:row>619</xdr:row>
      <xdr:rowOff>63500</xdr:rowOff>
    </xdr:to>
    <xdr:grpSp>
      <xdr:nvGrpSpPr>
        <xdr:cNvPr id="2" name="Group 1"/>
        <xdr:cNvGrpSpPr/>
      </xdr:nvGrpSpPr>
      <xdr:grpSpPr>
        <a:xfrm>
          <a:off x="95250" y="107022900"/>
          <a:ext cx="6648975" cy="8058150"/>
          <a:chOff x="95250" y="107022900"/>
          <a:chExt cx="6648975" cy="8058150"/>
        </a:xfrm>
      </xdr:grpSpPr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26598" y="114146067"/>
            <a:ext cx="1078876" cy="93498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25600" y="114146067"/>
            <a:ext cx="1667754" cy="93498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0937" y="10702290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250" y="109271409"/>
            <a:ext cx="1334260" cy="16313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0993" y="10702290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6820" y="109271409"/>
            <a:ext cx="2541981" cy="16313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02244" y="109271409"/>
            <a:ext cx="2541981" cy="16313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597" y="110969468"/>
            <a:ext cx="2541981" cy="170343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20888" y="110969468"/>
            <a:ext cx="1429510" cy="170343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53568" y="112767758"/>
            <a:ext cx="1213735" cy="129094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12404" y="112767758"/>
            <a:ext cx="1213735" cy="129094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32986" y="112767758"/>
            <a:ext cx="1213735" cy="129094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0538" y="114146067"/>
            <a:ext cx="1078876" cy="93498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63841" y="110969468"/>
            <a:ext cx="1528785" cy="170343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690" y="112767758"/>
            <a:ext cx="2494530" cy="129094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6" name="Rectangle 35"/>
          <xdr:cNvSpPr/>
        </xdr:nvSpPr>
        <xdr:spPr>
          <a:xfrm>
            <a:off x="495300" y="109271409"/>
            <a:ext cx="889000" cy="280114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</a:t>
            </a:r>
          </a:p>
        </xdr:txBody>
      </xdr:sp>
      <xdr:sp macro="" textlink="">
        <xdr:nvSpPr>
          <xdr:cNvPr id="37" name="Rectangle 36"/>
          <xdr:cNvSpPr/>
        </xdr:nvSpPr>
        <xdr:spPr>
          <a:xfrm>
            <a:off x="3743188" y="111102818"/>
            <a:ext cx="889000" cy="280114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No.7</a:t>
            </a:r>
          </a:p>
        </xdr:txBody>
      </xdr:sp>
      <xdr:sp macro="" textlink="">
        <xdr:nvSpPr>
          <xdr:cNvPr id="38" name="Rectangle 37"/>
          <xdr:cNvSpPr/>
        </xdr:nvSpPr>
        <xdr:spPr>
          <a:xfrm>
            <a:off x="4943241" y="111928318"/>
            <a:ext cx="889000" cy="280114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No.8</a:t>
            </a:r>
          </a:p>
        </xdr:txBody>
      </xdr:sp>
      <xdr:sp macro="" textlink="">
        <xdr:nvSpPr>
          <xdr:cNvPr id="39" name="Rectangle 38"/>
          <xdr:cNvSpPr/>
        </xdr:nvSpPr>
        <xdr:spPr>
          <a:xfrm>
            <a:off x="997140" y="113675808"/>
            <a:ext cx="889000" cy="280114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1gcZ3bGDV2buCSM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621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4.1796875" style="37" customWidth="1"/>
    <col min="5" max="7" width="11.7265625" style="37" customWidth="1"/>
    <col min="8" max="8" width="12.453125" style="37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3.17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8" ht="46.5" customHeight="1" x14ac:dyDescent="0.35">
      <c r="A1" s="146" t="s">
        <v>220</v>
      </c>
      <c r="B1" s="146"/>
      <c r="C1" s="146"/>
      <c r="D1" s="146"/>
      <c r="E1" s="146"/>
      <c r="F1" s="146"/>
      <c r="G1" s="146"/>
      <c r="H1" s="146"/>
    </row>
    <row r="2" spans="1:8" ht="16.5" customHeight="1" x14ac:dyDescent="0.35">
      <c r="A2" s="130" t="s">
        <v>0</v>
      </c>
      <c r="B2" s="130"/>
      <c r="C2" s="130"/>
      <c r="D2" s="130"/>
      <c r="E2" s="130"/>
      <c r="F2" s="130"/>
      <c r="G2" s="130"/>
      <c r="H2" s="130"/>
    </row>
    <row r="3" spans="1:8" x14ac:dyDescent="0.35">
      <c r="A3" s="107" t="s">
        <v>1</v>
      </c>
      <c r="B3" s="107"/>
      <c r="C3" s="107"/>
      <c r="D3" s="107"/>
      <c r="E3" s="107" t="str">
        <f ca="1">TEXT(TODAY(),"DD/MM/YYYY")</f>
        <v>17/09/2025</v>
      </c>
      <c r="F3" s="107"/>
      <c r="G3" s="107"/>
      <c r="H3" s="107"/>
    </row>
    <row r="4" spans="1:8" ht="15" customHeight="1" x14ac:dyDescent="0.35">
      <c r="A4" s="107" t="s">
        <v>2</v>
      </c>
      <c r="B4" s="107"/>
      <c r="C4" s="107"/>
      <c r="D4" s="107"/>
      <c r="E4" s="107" t="s">
        <v>175</v>
      </c>
      <c r="F4" s="107"/>
      <c r="G4" s="107"/>
      <c r="H4" s="107"/>
    </row>
    <row r="5" spans="1:8" x14ac:dyDescent="0.35">
      <c r="A5" s="107" t="s">
        <v>3</v>
      </c>
      <c r="B5" s="107"/>
      <c r="C5" s="107"/>
      <c r="D5" s="107"/>
      <c r="E5" s="145">
        <v>45915</v>
      </c>
      <c r="F5" s="107"/>
      <c r="G5" s="107"/>
      <c r="H5" s="107"/>
    </row>
    <row r="6" spans="1:8" ht="16.5" customHeight="1" x14ac:dyDescent="0.35">
      <c r="A6" s="107" t="s">
        <v>4</v>
      </c>
      <c r="B6" s="107"/>
      <c r="C6" s="107"/>
      <c r="D6" s="107"/>
      <c r="E6" s="107" t="s">
        <v>174</v>
      </c>
      <c r="F6" s="107"/>
      <c r="G6" s="107"/>
      <c r="H6" s="107"/>
    </row>
    <row r="7" spans="1:8" ht="15" customHeight="1" x14ac:dyDescent="0.35">
      <c r="A7" s="107" t="s">
        <v>5</v>
      </c>
      <c r="B7" s="107"/>
      <c r="C7" s="107"/>
      <c r="D7" s="107"/>
      <c r="E7" s="107" t="str">
        <f>E6</f>
        <v>M/s. Jay Ganesh Developers</v>
      </c>
      <c r="F7" s="107"/>
      <c r="G7" s="107"/>
      <c r="H7" s="107"/>
    </row>
    <row r="8" spans="1:8" x14ac:dyDescent="0.35">
      <c r="A8" s="107" t="s">
        <v>6</v>
      </c>
      <c r="B8" s="107"/>
      <c r="C8" s="107"/>
      <c r="D8" s="107"/>
      <c r="E8" s="73" t="s">
        <v>176</v>
      </c>
      <c r="F8" s="73"/>
      <c r="G8" s="73"/>
      <c r="H8" s="73"/>
    </row>
    <row r="9" spans="1:8" x14ac:dyDescent="0.35">
      <c r="A9" s="107" t="s">
        <v>125</v>
      </c>
      <c r="B9" s="107"/>
      <c r="C9" s="107"/>
      <c r="D9" s="107"/>
      <c r="E9" s="107" t="s">
        <v>242</v>
      </c>
      <c r="F9" s="107"/>
      <c r="G9" s="107"/>
      <c r="H9" s="107"/>
    </row>
    <row r="10" spans="1:8" x14ac:dyDescent="0.35">
      <c r="A10" s="107" t="s">
        <v>7</v>
      </c>
      <c r="B10" s="107"/>
      <c r="C10" s="107"/>
      <c r="D10" s="107"/>
      <c r="E10" s="107" t="s">
        <v>216</v>
      </c>
      <c r="F10" s="107"/>
      <c r="G10" s="107"/>
      <c r="H10" s="107"/>
    </row>
    <row r="11" spans="1:8" x14ac:dyDescent="0.35">
      <c r="A11" s="98" t="s">
        <v>8</v>
      </c>
      <c r="B11" s="98"/>
      <c r="C11" s="98"/>
      <c r="D11" s="98"/>
      <c r="E11" s="108" t="s">
        <v>211</v>
      </c>
      <c r="F11" s="108"/>
      <c r="G11" s="108"/>
      <c r="H11" s="108"/>
    </row>
    <row r="12" spans="1:8" x14ac:dyDescent="0.35">
      <c r="A12" s="98" t="s">
        <v>9</v>
      </c>
      <c r="B12" s="98"/>
      <c r="C12" s="98"/>
      <c r="D12" s="98"/>
      <c r="E12" s="108" t="s">
        <v>172</v>
      </c>
      <c r="F12" s="107"/>
      <c r="G12" s="107"/>
      <c r="H12" s="107"/>
    </row>
    <row r="13" spans="1:8" ht="48.75" customHeight="1" x14ac:dyDescent="0.35">
      <c r="A13" s="108" t="s">
        <v>10</v>
      </c>
      <c r="B13" s="108"/>
      <c r="C13" s="108" t="s">
        <v>212</v>
      </c>
      <c r="D13" s="108"/>
      <c r="E13" s="108"/>
      <c r="F13" s="108"/>
      <c r="G13" s="108"/>
      <c r="H13" s="108"/>
    </row>
    <row r="14" spans="1:8" x14ac:dyDescent="0.35">
      <c r="A14" s="108" t="s">
        <v>177</v>
      </c>
      <c r="B14" s="108"/>
      <c r="C14" s="108" t="s">
        <v>178</v>
      </c>
      <c r="D14" s="108"/>
      <c r="E14" s="108"/>
      <c r="F14" s="108"/>
      <c r="G14" s="108"/>
      <c r="H14" s="108"/>
    </row>
    <row r="15" spans="1:8" ht="15.75" customHeight="1" x14ac:dyDescent="0.35">
      <c r="A15" s="148" t="s">
        <v>168</v>
      </c>
      <c r="B15" s="149"/>
      <c r="C15" s="148" t="s">
        <v>179</v>
      </c>
      <c r="D15" s="150"/>
      <c r="E15" s="150"/>
      <c r="F15" s="150"/>
      <c r="G15" s="150"/>
      <c r="H15" s="149"/>
    </row>
    <row r="16" spans="1:8" ht="15.75" customHeight="1" x14ac:dyDescent="0.35">
      <c r="A16" s="116" t="s">
        <v>11</v>
      </c>
      <c r="B16" s="116"/>
      <c r="C16" s="107" t="s">
        <v>183</v>
      </c>
      <c r="D16" s="107"/>
      <c r="E16" s="116" t="s">
        <v>169</v>
      </c>
      <c r="F16" s="116"/>
      <c r="G16" s="108" t="s">
        <v>179</v>
      </c>
      <c r="H16" s="108"/>
    </row>
    <row r="17" spans="1:8" x14ac:dyDescent="0.35">
      <c r="A17" s="98" t="s">
        <v>13</v>
      </c>
      <c r="B17" s="98"/>
      <c r="C17" s="108" t="s">
        <v>181</v>
      </c>
      <c r="D17" s="108"/>
      <c r="E17" s="116" t="s">
        <v>12</v>
      </c>
      <c r="F17" s="116"/>
      <c r="G17" s="147" t="s">
        <v>180</v>
      </c>
      <c r="H17" s="147"/>
    </row>
    <row r="18" spans="1:8" x14ac:dyDescent="0.35">
      <c r="A18" s="98" t="s">
        <v>76</v>
      </c>
      <c r="B18" s="98"/>
      <c r="C18" s="108" t="s">
        <v>181</v>
      </c>
      <c r="D18" s="108"/>
      <c r="E18" s="116" t="s">
        <v>14</v>
      </c>
      <c r="F18" s="116"/>
      <c r="G18" s="108">
        <v>621605</v>
      </c>
      <c r="H18" s="108"/>
    </row>
    <row r="19" spans="1:8" ht="32.25" customHeight="1" x14ac:dyDescent="0.35">
      <c r="A19" s="98" t="s">
        <v>126</v>
      </c>
      <c r="B19" s="98"/>
      <c r="C19" s="108" t="s">
        <v>182</v>
      </c>
      <c r="D19" s="108"/>
      <c r="E19" s="116" t="s">
        <v>15</v>
      </c>
      <c r="F19" s="116"/>
      <c r="G19" s="108" t="s">
        <v>184</v>
      </c>
      <c r="H19" s="108"/>
    </row>
    <row r="20" spans="1:8" ht="15" customHeight="1" x14ac:dyDescent="0.35">
      <c r="A20" s="116" t="s">
        <v>79</v>
      </c>
      <c r="B20" s="116"/>
      <c r="C20" s="116"/>
      <c r="D20" s="116"/>
      <c r="E20" s="107" t="s">
        <v>16</v>
      </c>
      <c r="F20" s="107"/>
      <c r="G20" s="107"/>
      <c r="H20" s="107"/>
    </row>
    <row r="21" spans="1:8" ht="18.75" customHeight="1" x14ac:dyDescent="0.35">
      <c r="A21" s="116"/>
      <c r="B21" s="116"/>
      <c r="C21" s="116"/>
      <c r="D21" s="116"/>
      <c r="E21" s="107"/>
      <c r="F21" s="107"/>
      <c r="G21" s="107"/>
      <c r="H21" s="107"/>
    </row>
    <row r="22" spans="1:8" ht="15" customHeight="1" x14ac:dyDescent="0.35">
      <c r="A22" s="116" t="s">
        <v>17</v>
      </c>
      <c r="B22" s="116"/>
      <c r="C22" s="116"/>
      <c r="D22" s="116"/>
      <c r="E22" s="108" t="s">
        <v>18</v>
      </c>
      <c r="F22" s="108"/>
      <c r="G22" s="108"/>
      <c r="H22" s="108"/>
    </row>
    <row r="23" spans="1:8" ht="15" customHeight="1" x14ac:dyDescent="0.35">
      <c r="A23" s="98" t="s">
        <v>19</v>
      </c>
      <c r="B23" s="98"/>
      <c r="C23" s="98"/>
      <c r="D23" s="98"/>
      <c r="E23" s="108" t="str">
        <f>IF(AND(G17="Mumbai"),"Upper Class","Middle Class")</f>
        <v>Middle Class</v>
      </c>
      <c r="F23" s="108"/>
      <c r="G23" s="108"/>
      <c r="H23" s="108"/>
    </row>
    <row r="24" spans="1:8" x14ac:dyDescent="0.35">
      <c r="A24" s="98" t="s">
        <v>20</v>
      </c>
      <c r="B24" s="98"/>
      <c r="C24" s="98"/>
      <c r="D24" s="98"/>
      <c r="E24" s="108" t="s">
        <v>21</v>
      </c>
      <c r="F24" s="108"/>
      <c r="G24" s="108"/>
      <c r="H24" s="108"/>
    </row>
    <row r="25" spans="1:8" ht="15.75" customHeight="1" x14ac:dyDescent="0.35">
      <c r="A25" s="98" t="s">
        <v>22</v>
      </c>
      <c r="B25" s="98"/>
      <c r="C25" s="98"/>
      <c r="D25" s="98"/>
      <c r="E25" s="108" t="str">
        <f>IF(AND(G17="Mumbai"),"Developed","Developing")</f>
        <v>Developing</v>
      </c>
      <c r="F25" s="108"/>
      <c r="G25" s="108"/>
      <c r="H25" s="108"/>
    </row>
    <row r="26" spans="1:8" x14ac:dyDescent="0.35">
      <c r="A26" s="98" t="s">
        <v>23</v>
      </c>
      <c r="B26" s="98"/>
      <c r="C26" s="98"/>
      <c r="D26" s="98"/>
      <c r="E26" s="108" t="s">
        <v>24</v>
      </c>
      <c r="F26" s="108"/>
      <c r="G26" s="108"/>
      <c r="H26" s="108"/>
    </row>
    <row r="27" spans="1:8" ht="15.75" customHeight="1" x14ac:dyDescent="0.35">
      <c r="A27" s="98" t="s">
        <v>84</v>
      </c>
      <c r="B27" s="98"/>
      <c r="C27" s="98"/>
      <c r="D27" s="98"/>
      <c r="E27" s="108" t="s">
        <v>85</v>
      </c>
      <c r="F27" s="108"/>
      <c r="G27" s="108"/>
      <c r="H27" s="108"/>
    </row>
    <row r="28" spans="1:8" ht="15" customHeight="1" x14ac:dyDescent="0.35">
      <c r="A28" s="98" t="s">
        <v>35</v>
      </c>
      <c r="B28" s="98"/>
      <c r="C28" s="98"/>
      <c r="D28" s="98"/>
      <c r="E28" s="108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</v>
      </c>
      <c r="F28" s="108"/>
      <c r="G28" s="108"/>
      <c r="H28" s="108"/>
    </row>
    <row r="29" spans="1:8" ht="15.75" customHeight="1" x14ac:dyDescent="0.35">
      <c r="A29" s="98" t="s">
        <v>96</v>
      </c>
      <c r="B29" s="98"/>
      <c r="C29" s="98"/>
      <c r="D29" s="98"/>
      <c r="E29" s="108" t="s">
        <v>36</v>
      </c>
      <c r="F29" s="108"/>
      <c r="G29" s="108"/>
      <c r="H29" s="108"/>
    </row>
    <row r="30" spans="1:8" s="20" customFormat="1" x14ac:dyDescent="0.35">
      <c r="A30" s="153" t="s">
        <v>97</v>
      </c>
      <c r="B30" s="153"/>
      <c r="C30" s="151" t="s">
        <v>29</v>
      </c>
      <c r="D30" s="151"/>
      <c r="E30" s="151"/>
      <c r="F30" s="151" t="s">
        <v>31</v>
      </c>
      <c r="G30" s="151"/>
      <c r="H30" s="151"/>
    </row>
    <row r="31" spans="1:8" s="20" customFormat="1" x14ac:dyDescent="0.35">
      <c r="A31" s="152" t="s">
        <v>25</v>
      </c>
      <c r="B31" s="152" t="s">
        <v>30</v>
      </c>
      <c r="C31" s="154" t="s">
        <v>30</v>
      </c>
      <c r="D31" s="154"/>
      <c r="E31" s="154"/>
      <c r="F31" s="154" t="s">
        <v>185</v>
      </c>
      <c r="G31" s="154"/>
      <c r="H31" s="154"/>
    </row>
    <row r="32" spans="1:8" x14ac:dyDescent="0.35">
      <c r="A32" s="152" t="s">
        <v>26</v>
      </c>
      <c r="B32" s="152" t="s">
        <v>30</v>
      </c>
      <c r="C32" s="154" t="s">
        <v>30</v>
      </c>
      <c r="D32" s="154"/>
      <c r="E32" s="154"/>
      <c r="F32" s="154" t="s">
        <v>187</v>
      </c>
      <c r="G32" s="154"/>
      <c r="H32" s="154"/>
    </row>
    <row r="33" spans="1:8" s="20" customFormat="1" x14ac:dyDescent="0.35">
      <c r="A33" s="152" t="s">
        <v>28</v>
      </c>
      <c r="B33" s="152" t="s">
        <v>30</v>
      </c>
      <c r="C33" s="154" t="s">
        <v>30</v>
      </c>
      <c r="D33" s="154"/>
      <c r="E33" s="154"/>
      <c r="F33" s="154" t="s">
        <v>185</v>
      </c>
      <c r="G33" s="154"/>
      <c r="H33" s="154"/>
    </row>
    <row r="34" spans="1:8" x14ac:dyDescent="0.35">
      <c r="A34" s="152" t="s">
        <v>27</v>
      </c>
      <c r="B34" s="152" t="s">
        <v>30</v>
      </c>
      <c r="C34" s="154" t="s">
        <v>30</v>
      </c>
      <c r="D34" s="154"/>
      <c r="E34" s="154"/>
      <c r="F34" s="154" t="s">
        <v>186</v>
      </c>
      <c r="G34" s="154"/>
      <c r="H34" s="154"/>
    </row>
    <row r="35" spans="1:8" x14ac:dyDescent="0.35">
      <c r="A35" s="98" t="s">
        <v>32</v>
      </c>
      <c r="B35" s="98"/>
      <c r="C35" s="98"/>
      <c r="D35" s="98"/>
      <c r="E35" s="98"/>
      <c r="F35" s="98"/>
      <c r="G35" s="98"/>
      <c r="H35" s="98"/>
    </row>
    <row r="36" spans="1:8" ht="15.75" customHeight="1" x14ac:dyDescent="0.35">
      <c r="A36" s="130" t="s">
        <v>33</v>
      </c>
      <c r="B36" s="130"/>
      <c r="C36" s="159">
        <v>19.299203599999998</v>
      </c>
      <c r="D36" s="159"/>
      <c r="E36" s="130" t="s">
        <v>34</v>
      </c>
      <c r="F36" s="130"/>
      <c r="G36" s="160">
        <v>73.226027700000003</v>
      </c>
      <c r="H36" s="160"/>
    </row>
    <row r="37" spans="1:8" x14ac:dyDescent="0.35">
      <c r="A37" s="130" t="s">
        <v>167</v>
      </c>
      <c r="B37" s="130"/>
      <c r="C37" s="179" t="s">
        <v>188</v>
      </c>
      <c r="D37" s="108"/>
      <c r="E37" s="108"/>
      <c r="F37" s="108"/>
      <c r="G37" s="108"/>
      <c r="H37" s="108"/>
    </row>
    <row r="38" spans="1:8" x14ac:dyDescent="0.35">
      <c r="A38" s="126" t="s">
        <v>37</v>
      </c>
      <c r="B38" s="126"/>
      <c r="C38" s="126"/>
      <c r="D38" s="126"/>
      <c r="E38" s="126"/>
      <c r="F38" s="126"/>
      <c r="G38" s="126"/>
      <c r="H38" s="126"/>
    </row>
    <row r="39" spans="1:8" x14ac:dyDescent="0.35">
      <c r="A39" s="98" t="s">
        <v>38</v>
      </c>
      <c r="B39" s="98"/>
      <c r="C39" s="98"/>
      <c r="D39" s="98"/>
      <c r="E39" s="155">
        <v>38974.160000000003</v>
      </c>
      <c r="F39" s="155"/>
      <c r="G39" s="155"/>
      <c r="H39" s="155"/>
    </row>
    <row r="40" spans="1:8" x14ac:dyDescent="0.35">
      <c r="A40" s="98" t="s">
        <v>39</v>
      </c>
      <c r="B40" s="98"/>
      <c r="C40" s="98"/>
      <c r="D40" s="98"/>
      <c r="E40" s="97">
        <v>1</v>
      </c>
      <c r="F40" s="97"/>
      <c r="G40" s="97"/>
      <c r="H40" s="97"/>
    </row>
    <row r="41" spans="1:8" x14ac:dyDescent="0.35">
      <c r="A41" s="107" t="s">
        <v>40</v>
      </c>
      <c r="B41" s="107"/>
      <c r="C41" s="107"/>
      <c r="D41" s="107"/>
      <c r="E41" s="157">
        <f>E43/E39-E40</f>
        <v>0.60000010263210291</v>
      </c>
      <c r="F41" s="157"/>
      <c r="G41" s="157"/>
      <c r="H41" s="157"/>
    </row>
    <row r="42" spans="1:8" x14ac:dyDescent="0.35">
      <c r="A42" s="107" t="s">
        <v>41</v>
      </c>
      <c r="B42" s="107"/>
      <c r="C42" s="107"/>
      <c r="D42" s="107"/>
      <c r="E42" s="157">
        <f>E40+E41</f>
        <v>1.6000001026321029</v>
      </c>
      <c r="F42" s="157"/>
      <c r="G42" s="157"/>
      <c r="H42" s="157"/>
    </row>
    <row r="43" spans="1:8" x14ac:dyDescent="0.35">
      <c r="A43" s="107" t="s">
        <v>95</v>
      </c>
      <c r="B43" s="107"/>
      <c r="C43" s="107"/>
      <c r="D43" s="107"/>
      <c r="E43" s="158">
        <v>62358.66</v>
      </c>
      <c r="F43" s="158"/>
      <c r="G43" s="158"/>
      <c r="H43" s="158"/>
    </row>
    <row r="44" spans="1:8" x14ac:dyDescent="0.35">
      <c r="A44" s="107" t="s">
        <v>42</v>
      </c>
      <c r="B44" s="107"/>
      <c r="C44" s="107"/>
      <c r="D44" s="107"/>
      <c r="E44" s="107" t="s">
        <v>215</v>
      </c>
      <c r="F44" s="107"/>
      <c r="G44" s="107"/>
      <c r="H44" s="107"/>
    </row>
    <row r="45" spans="1:8" x14ac:dyDescent="0.35">
      <c r="A45" s="73" t="s">
        <v>43</v>
      </c>
      <c r="B45" s="73"/>
      <c r="C45" s="73"/>
      <c r="D45" s="73"/>
      <c r="E45" s="73"/>
      <c r="F45" s="73"/>
      <c r="G45" s="73"/>
      <c r="H45" s="73"/>
    </row>
    <row r="46" spans="1:8" ht="33.75" customHeight="1" x14ac:dyDescent="0.35">
      <c r="A46" s="148" t="s">
        <v>155</v>
      </c>
      <c r="B46" s="149"/>
      <c r="C46" s="180" t="s">
        <v>189</v>
      </c>
      <c r="D46" s="181"/>
      <c r="E46" s="181"/>
      <c r="F46" s="181"/>
      <c r="G46" s="181"/>
      <c r="H46" s="182"/>
    </row>
    <row r="47" spans="1:8" ht="15.75" customHeight="1" x14ac:dyDescent="0.35">
      <c r="A47" s="93" t="s">
        <v>44</v>
      </c>
      <c r="B47" s="95"/>
      <c r="C47" s="93" t="s">
        <v>190</v>
      </c>
      <c r="D47" s="94"/>
      <c r="E47" s="95"/>
      <c r="F47" s="18" t="s">
        <v>45</v>
      </c>
      <c r="G47" s="96">
        <v>44643</v>
      </c>
      <c r="H47" s="95"/>
    </row>
    <row r="48" spans="1:8" x14ac:dyDescent="0.35">
      <c r="A48" s="93" t="s">
        <v>46</v>
      </c>
      <c r="B48" s="95"/>
      <c r="C48" s="93" t="str">
        <f>C47</f>
        <v>EE/BP/PMAY/A/MHADA/117/2022</v>
      </c>
      <c r="D48" s="94"/>
      <c r="E48" s="95"/>
      <c r="F48" s="18" t="s">
        <v>45</v>
      </c>
      <c r="G48" s="96">
        <v>44643</v>
      </c>
      <c r="H48" s="95"/>
    </row>
    <row r="49" spans="1:9" s="21" customFormat="1" ht="15.75" customHeight="1" x14ac:dyDescent="0.35">
      <c r="A49" s="89" t="s">
        <v>223</v>
      </c>
      <c r="B49" s="90"/>
      <c r="C49" s="93" t="s">
        <v>222</v>
      </c>
      <c r="D49" s="94"/>
      <c r="E49" s="95"/>
      <c r="F49" s="18" t="s">
        <v>45</v>
      </c>
      <c r="G49" s="96">
        <v>45132</v>
      </c>
      <c r="H49" s="95"/>
    </row>
    <row r="50" spans="1:9" s="21" customFormat="1" ht="50.25" customHeight="1" x14ac:dyDescent="0.35">
      <c r="A50" s="91"/>
      <c r="B50" s="92"/>
      <c r="C50" s="93" t="s">
        <v>224</v>
      </c>
      <c r="D50" s="94"/>
      <c r="E50" s="94"/>
      <c r="F50" s="94"/>
      <c r="G50" s="94"/>
      <c r="H50" s="95"/>
    </row>
    <row r="51" spans="1:9" s="21" customFormat="1" x14ac:dyDescent="0.35">
      <c r="A51" s="89" t="s">
        <v>225</v>
      </c>
      <c r="B51" s="90"/>
      <c r="C51" s="93" t="s">
        <v>213</v>
      </c>
      <c r="D51" s="94"/>
      <c r="E51" s="95"/>
      <c r="F51" s="18" t="s">
        <v>45</v>
      </c>
      <c r="G51" s="96">
        <v>44679</v>
      </c>
      <c r="H51" s="95"/>
    </row>
    <row r="52" spans="1:9" s="21" customFormat="1" ht="32.25" customHeight="1" x14ac:dyDescent="0.35">
      <c r="A52" s="91"/>
      <c r="B52" s="92"/>
      <c r="C52" s="93" t="s">
        <v>214</v>
      </c>
      <c r="D52" s="94"/>
      <c r="E52" s="94"/>
      <c r="F52" s="94"/>
      <c r="G52" s="94"/>
      <c r="H52" s="95"/>
    </row>
    <row r="53" spans="1:9" s="21" customFormat="1" ht="15.75" customHeight="1" x14ac:dyDescent="0.35">
      <c r="A53" s="89" t="s">
        <v>223</v>
      </c>
      <c r="B53" s="90"/>
      <c r="C53" s="93" t="s">
        <v>240</v>
      </c>
      <c r="D53" s="94"/>
      <c r="E53" s="95"/>
      <c r="F53" s="18" t="s">
        <v>45</v>
      </c>
      <c r="G53" s="96">
        <v>45229</v>
      </c>
      <c r="H53" s="95"/>
    </row>
    <row r="54" spans="1:9" s="21" customFormat="1" ht="18" customHeight="1" x14ac:dyDescent="0.35">
      <c r="A54" s="91"/>
      <c r="B54" s="92"/>
      <c r="C54" s="93" t="s">
        <v>239</v>
      </c>
      <c r="D54" s="94"/>
      <c r="E54" s="94"/>
      <c r="F54" s="94"/>
      <c r="G54" s="94"/>
      <c r="H54" s="95"/>
    </row>
    <row r="55" spans="1:9" x14ac:dyDescent="0.35">
      <c r="A55" s="119" t="s">
        <v>170</v>
      </c>
      <c r="B55" s="120"/>
      <c r="C55" s="112" t="s">
        <v>30</v>
      </c>
      <c r="D55" s="113"/>
      <c r="E55" s="114"/>
      <c r="F55" s="47" t="s">
        <v>45</v>
      </c>
      <c r="G55" s="117" t="s">
        <v>30</v>
      </c>
      <c r="H55" s="118"/>
    </row>
    <row r="56" spans="1:9" x14ac:dyDescent="0.35">
      <c r="A56" s="121"/>
      <c r="B56" s="122"/>
      <c r="C56" s="112" t="s">
        <v>30</v>
      </c>
      <c r="D56" s="113"/>
      <c r="E56" s="113"/>
      <c r="F56" s="113"/>
      <c r="G56" s="113"/>
      <c r="H56" s="114"/>
    </row>
    <row r="57" spans="1:9" x14ac:dyDescent="0.35">
      <c r="A57" s="115" t="s">
        <v>48</v>
      </c>
      <c r="B57" s="115"/>
      <c r="C57" s="115"/>
      <c r="D57" s="115"/>
      <c r="E57" s="115"/>
      <c r="F57" s="115"/>
      <c r="G57" s="115"/>
      <c r="H57" s="115"/>
    </row>
    <row r="58" spans="1:9" x14ac:dyDescent="0.35">
      <c r="A58" s="116" t="s">
        <v>94</v>
      </c>
      <c r="B58" s="116"/>
      <c r="C58" s="116"/>
      <c r="D58" s="98">
        <f>E43</f>
        <v>62358.66</v>
      </c>
      <c r="E58" s="98"/>
      <c r="F58" s="98"/>
      <c r="G58" s="98"/>
      <c r="H58" s="98"/>
    </row>
    <row r="59" spans="1:9" x14ac:dyDescent="0.35">
      <c r="A59" s="108" t="s">
        <v>49</v>
      </c>
      <c r="B59" s="107"/>
      <c r="C59" s="107"/>
      <c r="D59" s="107" t="s">
        <v>210</v>
      </c>
      <c r="E59" s="107"/>
      <c r="F59" s="107"/>
      <c r="G59" s="107"/>
      <c r="H59" s="107"/>
      <c r="I59" s="22"/>
    </row>
    <row r="60" spans="1:9" ht="48.75" customHeight="1" x14ac:dyDescent="0.35">
      <c r="A60" s="163" t="s">
        <v>50</v>
      </c>
      <c r="B60" s="164"/>
      <c r="C60" s="165"/>
      <c r="D60" s="161" t="s">
        <v>205</v>
      </c>
      <c r="E60" s="162"/>
      <c r="F60" s="162"/>
      <c r="G60" s="162"/>
      <c r="H60" s="162"/>
    </row>
    <row r="61" spans="1:9" ht="15.75" customHeight="1" x14ac:dyDescent="0.35">
      <c r="A61" s="108" t="s">
        <v>92</v>
      </c>
      <c r="B61" s="108"/>
      <c r="C61" s="108"/>
      <c r="D61" s="107" t="s">
        <v>208</v>
      </c>
      <c r="E61" s="107"/>
      <c r="F61" s="107"/>
      <c r="G61" s="107"/>
      <c r="H61" s="107"/>
    </row>
    <row r="62" spans="1:9" ht="15.75" customHeight="1" x14ac:dyDescent="0.35">
      <c r="A62" s="108"/>
      <c r="B62" s="108"/>
      <c r="C62" s="108"/>
      <c r="D62" s="107" t="s">
        <v>209</v>
      </c>
      <c r="E62" s="107"/>
      <c r="F62" s="107"/>
      <c r="G62" s="107"/>
      <c r="H62" s="107"/>
    </row>
    <row r="63" spans="1:9" ht="15.75" customHeight="1" x14ac:dyDescent="0.35">
      <c r="A63" s="108"/>
      <c r="B63" s="108"/>
      <c r="C63" s="108"/>
      <c r="D63" s="107" t="s">
        <v>207</v>
      </c>
      <c r="E63" s="107"/>
      <c r="F63" s="107"/>
      <c r="G63" s="107"/>
      <c r="H63" s="107"/>
    </row>
    <row r="64" spans="1:9" ht="15.75" customHeight="1" x14ac:dyDescent="0.35">
      <c r="A64" s="108"/>
      <c r="B64" s="108"/>
      <c r="C64" s="108"/>
      <c r="D64" s="107" t="s">
        <v>229</v>
      </c>
      <c r="E64" s="107"/>
      <c r="F64" s="107"/>
      <c r="G64" s="107"/>
      <c r="H64" s="107"/>
    </row>
    <row r="65" spans="1:14" ht="15.75" customHeight="1" x14ac:dyDescent="0.35">
      <c r="A65" s="108"/>
      <c r="B65" s="108"/>
      <c r="C65" s="108"/>
      <c r="D65" s="107" t="s">
        <v>230</v>
      </c>
      <c r="E65" s="107"/>
      <c r="F65" s="107"/>
      <c r="G65" s="107"/>
      <c r="H65" s="107"/>
    </row>
    <row r="66" spans="1:14" ht="15.75" customHeight="1" x14ac:dyDescent="0.35">
      <c r="A66" s="108"/>
      <c r="B66" s="108"/>
      <c r="C66" s="108"/>
      <c r="D66" s="107" t="s">
        <v>231</v>
      </c>
      <c r="E66" s="107"/>
      <c r="F66" s="107"/>
      <c r="G66" s="107"/>
      <c r="H66" s="107"/>
    </row>
    <row r="67" spans="1:14" ht="15.75" customHeight="1" x14ac:dyDescent="0.35">
      <c r="A67" s="108"/>
      <c r="B67" s="108"/>
      <c r="C67" s="108"/>
      <c r="D67" s="107" t="s">
        <v>232</v>
      </c>
      <c r="E67" s="107"/>
      <c r="F67" s="107"/>
      <c r="G67" s="107"/>
      <c r="H67" s="107"/>
    </row>
    <row r="68" spans="1:14" ht="15.75" customHeight="1" x14ac:dyDescent="0.35">
      <c r="A68" s="108"/>
      <c r="B68" s="108"/>
      <c r="C68" s="108"/>
      <c r="D68" s="107" t="s">
        <v>233</v>
      </c>
      <c r="E68" s="107"/>
      <c r="F68" s="107"/>
      <c r="G68" s="107"/>
      <c r="H68" s="107"/>
    </row>
    <row r="69" spans="1:14" ht="15.75" customHeight="1" x14ac:dyDescent="0.35">
      <c r="A69" s="98" t="s">
        <v>47</v>
      </c>
      <c r="B69" s="98"/>
      <c r="C69" s="98"/>
      <c r="D69" s="116" t="s">
        <v>173</v>
      </c>
      <c r="E69" s="116"/>
      <c r="F69" s="116"/>
      <c r="G69" s="116"/>
      <c r="H69" s="116"/>
      <c r="J69" s="23"/>
      <c r="K69" s="22"/>
      <c r="N69" s="22"/>
    </row>
    <row r="70" spans="1:14" ht="15.75" customHeight="1" x14ac:dyDescent="0.35">
      <c r="A70" s="98" t="s">
        <v>90</v>
      </c>
      <c r="B70" s="98"/>
      <c r="C70" s="98"/>
      <c r="D70" s="156" t="str">
        <f>(IF(G55="NA","60 Years After Completion",IF(G55&lt;&gt;"NA",""&amp;60-ROUNDDOWN((E3-G55)/360,0)&amp;" Years"," ")))</f>
        <v>60 Years After Completion</v>
      </c>
      <c r="E70" s="156"/>
      <c r="F70" s="156"/>
      <c r="G70" s="156"/>
      <c r="H70" s="156"/>
      <c r="N70" s="22"/>
    </row>
    <row r="71" spans="1:14" ht="15.75" customHeight="1" x14ac:dyDescent="0.35">
      <c r="A71" s="98" t="s">
        <v>91</v>
      </c>
      <c r="B71" s="98"/>
      <c r="C71" s="98"/>
      <c r="D71" s="116" t="s">
        <v>24</v>
      </c>
      <c r="E71" s="116"/>
      <c r="F71" s="116"/>
      <c r="G71" s="116"/>
      <c r="H71" s="116"/>
      <c r="J71" s="24"/>
      <c r="K71" s="24"/>
    </row>
    <row r="72" spans="1:14" ht="30.75" customHeight="1" x14ac:dyDescent="0.35">
      <c r="A72" s="98" t="s">
        <v>77</v>
      </c>
      <c r="B72" s="98"/>
      <c r="C72" s="98"/>
      <c r="D72" s="108" t="s">
        <v>218</v>
      </c>
      <c r="E72" s="116"/>
      <c r="F72" s="116"/>
      <c r="G72" s="116"/>
      <c r="H72" s="116"/>
    </row>
    <row r="73" spans="1:14" x14ac:dyDescent="0.35">
      <c r="A73" s="116" t="s">
        <v>152</v>
      </c>
      <c r="B73" s="116"/>
      <c r="C73" s="116"/>
      <c r="D73" s="116" t="s">
        <v>30</v>
      </c>
      <c r="E73" s="116"/>
      <c r="F73" s="116"/>
      <c r="G73" s="116"/>
      <c r="H73" s="116"/>
      <c r="I73" s="25"/>
      <c r="J73" s="25"/>
      <c r="K73" s="25"/>
      <c r="L73" s="25"/>
      <c r="M73" s="25"/>
      <c r="N73" s="25"/>
    </row>
    <row r="74" spans="1:14" ht="15.75" customHeight="1" x14ac:dyDescent="0.35">
      <c r="A74" s="98" t="s">
        <v>89</v>
      </c>
      <c r="B74" s="98"/>
      <c r="C74" s="98"/>
      <c r="D74" s="108" t="str">
        <f ca="1">(IF(G94&gt;95%,"Nothing",IF(G94&gt;0%,"Cement, Aggregate, Steel, etc",IF(G94=0%,"Work not yet Started"))))</f>
        <v>Cement, Aggregate, Steel, etc</v>
      </c>
      <c r="E74" s="108"/>
      <c r="F74" s="108"/>
      <c r="G74" s="108"/>
      <c r="H74" s="108"/>
      <c r="J74" s="24"/>
    </row>
    <row r="75" spans="1:14" ht="33.75" customHeight="1" thickBot="1" x14ac:dyDescent="0.4">
      <c r="A75" s="116" t="s">
        <v>120</v>
      </c>
      <c r="B75" s="116"/>
      <c r="C75" s="116"/>
      <c r="D75" s="108" t="str">
        <f ca="1">(IF(D74="Nothing","Yes",IF(D74="Cement, Aggregate, Steel, etc","Under Construction",IF(D74="Work not yet Started","Work not yet Started"))))</f>
        <v>Under Construction</v>
      </c>
      <c r="E75" s="108"/>
      <c r="F75" s="108" t="str">
        <f ca="1">(IF(D74="Nothing","Yes",IF(D74="Cement, Aggregate, Steel, etc","Under Construction",IF(D74="Work not yet Started","Work not yet Started"))))</f>
        <v>Under Construction</v>
      </c>
      <c r="G75" s="108"/>
      <c r="H75" s="108"/>
    </row>
    <row r="76" spans="1:14" ht="15.75" customHeight="1" x14ac:dyDescent="0.35">
      <c r="A76" s="72" t="s">
        <v>144</v>
      </c>
      <c r="B76" s="72"/>
      <c r="C76" s="72" t="str">
        <f>D61</f>
        <v>Tower 1 = Gr + 1st to 8th Floor</v>
      </c>
      <c r="D76" s="72"/>
      <c r="E76" s="72"/>
      <c r="F76" s="72"/>
      <c r="G76" s="72"/>
      <c r="H76" s="72"/>
      <c r="I76" s="61" t="str">
        <f ca="1">IF(D89=100%,"All work Completed. Possession granted to the Building.",IF(D88=100%,"All work Completed, Waiting for OC",I77&amp;""&amp;I78&amp;""&amp;J77&amp;""&amp;J76&amp;" "&amp;J78))</f>
        <v>Excavation, Plinth, RCC Slab, Brickwork, Internal Plaster, External Plaster Completed, Flooring upto 7 Floor, Painting upto 4.5 Floor Completed</v>
      </c>
      <c r="J76" s="44" t="str">
        <f ca="1">(IF(C82=(D77+F77+H77),"",IF(C82&gt;0,", RCC upto "&amp;C82&amp;" Slab","")))&amp;(IF(C83=H77,"",IF(C83&gt;0,", Brickwork upto "&amp;C83&amp;" Floor","")))&amp;(IF(C84=H77,"",IF(C84&gt;0,", Internal Plaster upto "&amp;C84&amp;" Floor","")))&amp;(IF(C85=H77,"",IF(C85&gt;0,", External Plaster upto "&amp;C85&amp;" Floor","")))&amp;(IF(C86=H77,"",IF(C86&gt;0,", Flooring upto "&amp;C86&amp;" Floor","")))&amp;(IF(C87=H77,"",IF(C87&gt;0,", Painting upto "&amp;C87&amp;" Floor","")))&amp;(IF(C88=H77,"",IF(C88&gt;0,", Finishing upto "&amp;C88&amp;" Floor","")))&amp;(IF(C89=H77,"",IF(C89&gt;0,", Possession upto "&amp;C89&amp;" Floor","")))</f>
        <v>, Flooring upto 7 Floor, Painting upto 4.5 Floor</v>
      </c>
    </row>
    <row r="77" spans="1:14" x14ac:dyDescent="0.35">
      <c r="A77" s="16" t="s">
        <v>146</v>
      </c>
      <c r="B77" s="49">
        <v>0</v>
      </c>
      <c r="C77" s="49" t="s">
        <v>75</v>
      </c>
      <c r="D77" s="49">
        <v>1</v>
      </c>
      <c r="E77" s="49" t="s">
        <v>74</v>
      </c>
      <c r="F77" s="49">
        <v>0</v>
      </c>
      <c r="G77" s="49" t="s">
        <v>83</v>
      </c>
      <c r="H77" s="17">
        <f ca="1">--TRIM(RIGHT(SUBSTITUTE(LEFT(C76,_xlfn.AGGREGATE(16,6,FIND({0,1,2,3,4,5,6,7,8,9},C76,ROW(INDIRECT("1:"&amp;LEN(C76)))),1))," ",REPT(" ",LEN(C76))),LEN(C76)))</f>
        <v>8</v>
      </c>
      <c r="I77" s="45" t="str">
        <f ca="1">IF(D80=100%,"Excavation","")&amp;IF(D81=100%,", Plinth","")&amp;IF(D82=100%,", RCC Slab","")&amp;IF(D83=100%,", Brickwork","")&amp;IF(D84=100%,", Internal Plaster","")&amp;IF(D85=100%,", External Plaster","")&amp;IF(D86=100%,", Flooring","")&amp;IF(D87=100%,", Painting","")&amp;IF(D88=100%,", Building common Amenities","")</f>
        <v>Excavation, Plinth, RCC Slab, Brickwork, Internal Plaster, External Plaster</v>
      </c>
      <c r="J77" s="46" t="str">
        <f ca="1">(IF(C80=0,"Work not yet Started.",IF(D80=25%,"Piling work in process",IF(D80=50%,"Excavation work in process",IF(D80=100%,"","0")))))&amp;(IF(C81=0%,"",IF(C81=J82,", Footing work is process",IF(C81=J83,", Footing work Completed",IF(C81=J84,", 1st Basement Completed",IF(C81=J85,", 1st &amp; 2nd Basement Completed",IF(C81=J86,", 1st to 3rd Basement Completed",IF(C81=J87,", 1st to 4th Basement Completed",IF(C81=J88,", Plinth work is process",IF(C81=J89,"","0"))))))))))</f>
        <v/>
      </c>
    </row>
    <row r="78" spans="1:14" ht="33" customHeight="1" x14ac:dyDescent="0.35">
      <c r="A78" s="109" t="s">
        <v>93</v>
      </c>
      <c r="B78" s="73"/>
      <c r="C78" s="72" t="str">
        <f ca="1">(IF($C$56=C76,"All work Completed. OC Received.",I76))</f>
        <v>Excavation, Plinth, RCC Slab, Brickwork, Internal Plaster, External Plaster Completed, Flooring upto 7 Floor, Painting upto 4.5 Floor Completed</v>
      </c>
      <c r="D78" s="72"/>
      <c r="E78" s="72"/>
      <c r="F78" s="72"/>
      <c r="G78" s="72"/>
      <c r="H78" s="110"/>
      <c r="I78" s="45" t="str">
        <f ca="1">IF(I77&lt;&gt;""," Completed","")</f>
        <v xml:space="preserve"> Completed</v>
      </c>
      <c r="J78" s="46" t="str">
        <f ca="1">IF(J76&lt;&gt;"","Completed","")</f>
        <v>Completed</v>
      </c>
    </row>
    <row r="79" spans="1:14" ht="15.75" customHeight="1" x14ac:dyDescent="0.35">
      <c r="A79" s="104" t="s">
        <v>51</v>
      </c>
      <c r="B79" s="74"/>
      <c r="C79" s="50" t="s">
        <v>143</v>
      </c>
      <c r="D79" s="50" t="s">
        <v>86</v>
      </c>
      <c r="E79" s="74" t="s">
        <v>88</v>
      </c>
      <c r="F79" s="74"/>
      <c r="G79" s="74" t="s">
        <v>87</v>
      </c>
      <c r="H79" s="111"/>
      <c r="I79" s="14" t="s">
        <v>145</v>
      </c>
      <c r="J79" s="26">
        <f ca="1">H77*25%</f>
        <v>2</v>
      </c>
    </row>
    <row r="80" spans="1:14" x14ac:dyDescent="0.35">
      <c r="A80" s="104" t="s">
        <v>132</v>
      </c>
      <c r="B80" s="74"/>
      <c r="C80" s="50">
        <v>8</v>
      </c>
      <c r="D80" s="51">
        <f ca="1">((100/H77)*C80)/100</f>
        <v>1</v>
      </c>
      <c r="E80" s="136">
        <f ca="1">(((C81/H77*10)+(40/(D77+F77+H77)*C82)+(7.5/(H77)*C83)+(7.5/(H77)*C84)+(10/H77*C85)+(10/H77*C86)+(5/H77*C87)+(5/H77*C88)+(5/H77*C89))/100)</f>
        <v>0.86562499999999998</v>
      </c>
      <c r="F80" s="137"/>
      <c r="G80" s="136">
        <f ca="1">((((C80/H77)*20)+((C81/H77)*25)+(30/(H77+F77+D77)*C82)+(5/H77*C83)+(5/H77*C84)+(5/H77*C85)+(5/H77*C86)+(0/H77*C87)+(0/H77*C88)+(5/H77*C89))/100)</f>
        <v>0.94374999999999998</v>
      </c>
      <c r="H80" s="142"/>
      <c r="I80" s="14" t="s">
        <v>103</v>
      </c>
      <c r="J80" s="27">
        <f ca="1">H77*50%</f>
        <v>4</v>
      </c>
    </row>
    <row r="81" spans="1:10" x14ac:dyDescent="0.35">
      <c r="A81" s="104" t="s">
        <v>52</v>
      </c>
      <c r="B81" s="74"/>
      <c r="C81" s="54">
        <v>8</v>
      </c>
      <c r="D81" s="51">
        <f ca="1">((100/H77)*C81)/100</f>
        <v>1</v>
      </c>
      <c r="E81" s="138"/>
      <c r="F81" s="139"/>
      <c r="G81" s="138"/>
      <c r="H81" s="143"/>
      <c r="I81" s="14" t="s">
        <v>104</v>
      </c>
      <c r="J81" s="27">
        <f ca="1">H77</f>
        <v>8</v>
      </c>
    </row>
    <row r="82" spans="1:10" ht="15.75" customHeight="1" x14ac:dyDescent="0.35">
      <c r="A82" s="104" t="s">
        <v>133</v>
      </c>
      <c r="B82" s="74"/>
      <c r="C82" s="50">
        <v>9</v>
      </c>
      <c r="D82" s="51">
        <f ca="1">((100/(D77+F77+H77))*C82)/100</f>
        <v>1</v>
      </c>
      <c r="E82" s="138"/>
      <c r="F82" s="139"/>
      <c r="G82" s="138"/>
      <c r="H82" s="143"/>
      <c r="I82" s="14" t="s">
        <v>105</v>
      </c>
      <c r="J82" s="28">
        <f ca="1">(IF(B77&gt;1,(H77/(B77+2)),H77/4))</f>
        <v>2</v>
      </c>
    </row>
    <row r="83" spans="1:10" ht="15.75" customHeight="1" x14ac:dyDescent="0.35">
      <c r="A83" s="104" t="s">
        <v>140</v>
      </c>
      <c r="B83" s="74" t="s">
        <v>134</v>
      </c>
      <c r="C83" s="50">
        <v>8</v>
      </c>
      <c r="D83" s="51">
        <f ca="1">((100/H77)*C83)/100</f>
        <v>1</v>
      </c>
      <c r="E83" s="138"/>
      <c r="F83" s="139"/>
      <c r="G83" s="138"/>
      <c r="H83" s="143"/>
      <c r="I83" s="14" t="s">
        <v>106</v>
      </c>
      <c r="J83" s="28">
        <f ca="1">(IF(B77&gt;1,(H77/(B77+2)+J82),H77/4+J82))</f>
        <v>4</v>
      </c>
    </row>
    <row r="84" spans="1:10" ht="15.75" customHeight="1" x14ac:dyDescent="0.35">
      <c r="A84" s="104" t="s">
        <v>141</v>
      </c>
      <c r="B84" s="74" t="s">
        <v>134</v>
      </c>
      <c r="C84" s="50">
        <v>8</v>
      </c>
      <c r="D84" s="51">
        <f ca="1">((100/H77)*C84)/100</f>
        <v>1</v>
      </c>
      <c r="E84" s="138"/>
      <c r="F84" s="139"/>
      <c r="G84" s="138"/>
      <c r="H84" s="143"/>
      <c r="I84" s="14" t="s">
        <v>150</v>
      </c>
      <c r="J84" s="28">
        <f>(IF(B77&gt;1,(H77/(B77+2)+J83),0))</f>
        <v>0</v>
      </c>
    </row>
    <row r="85" spans="1:10" ht="15" customHeight="1" x14ac:dyDescent="0.35">
      <c r="A85" s="104" t="s">
        <v>139</v>
      </c>
      <c r="B85" s="74" t="s">
        <v>136</v>
      </c>
      <c r="C85" s="50">
        <v>8</v>
      </c>
      <c r="D85" s="51">
        <f ca="1">((100/(H77))*C85)/100</f>
        <v>1</v>
      </c>
      <c r="E85" s="138"/>
      <c r="F85" s="139"/>
      <c r="G85" s="138"/>
      <c r="H85" s="143"/>
      <c r="I85" s="14" t="s">
        <v>147</v>
      </c>
      <c r="J85" s="28">
        <f>(IF(B77&gt;2,(H77/(B77+2)+J84),0))</f>
        <v>0</v>
      </c>
    </row>
    <row r="86" spans="1:10" ht="15.75" customHeight="1" x14ac:dyDescent="0.35">
      <c r="A86" s="104" t="s">
        <v>135</v>
      </c>
      <c r="B86" s="74" t="s">
        <v>135</v>
      </c>
      <c r="C86" s="50">
        <v>7</v>
      </c>
      <c r="D86" s="51">
        <f ca="1">((100/H77)*C86)/100</f>
        <v>0.875</v>
      </c>
      <c r="E86" s="138"/>
      <c r="F86" s="139"/>
      <c r="G86" s="138"/>
      <c r="H86" s="143"/>
      <c r="I86" s="14" t="s">
        <v>148</v>
      </c>
      <c r="J86" s="29">
        <f>(IF(B77&gt;3,(H77/(B77+2)+J85),0))</f>
        <v>0</v>
      </c>
    </row>
    <row r="87" spans="1:10" ht="15.75" customHeight="1" x14ac:dyDescent="0.35">
      <c r="A87" s="104" t="s">
        <v>142</v>
      </c>
      <c r="B87" s="74"/>
      <c r="C87" s="50">
        <v>4.5</v>
      </c>
      <c r="D87" s="51">
        <f ca="1">((100/H77)*C87)/100</f>
        <v>0.5625</v>
      </c>
      <c r="E87" s="138"/>
      <c r="F87" s="139"/>
      <c r="G87" s="138"/>
      <c r="H87" s="143"/>
      <c r="I87" s="14" t="s">
        <v>149</v>
      </c>
      <c r="J87" s="28">
        <f>(IF(B77&gt;4,(H77/(B77+2)+J86),0))</f>
        <v>0</v>
      </c>
    </row>
    <row r="88" spans="1:10" ht="15.75" customHeight="1" x14ac:dyDescent="0.35">
      <c r="A88" s="104" t="s">
        <v>137</v>
      </c>
      <c r="B88" s="74" t="s">
        <v>137</v>
      </c>
      <c r="C88" s="50">
        <v>0</v>
      </c>
      <c r="D88" s="51">
        <f ca="1">((100/(H77))*C88)/100</f>
        <v>0</v>
      </c>
      <c r="E88" s="138"/>
      <c r="F88" s="139"/>
      <c r="G88" s="138"/>
      <c r="H88" s="143"/>
      <c r="I88" s="14" t="s">
        <v>151</v>
      </c>
      <c r="J88" s="28">
        <f ca="1">(IF(B77=1,(H77/(B77+3)+J83),IF(B77=0,(H77/4+J83),IF(B77&gt;1,0))))</f>
        <v>6</v>
      </c>
    </row>
    <row r="89" spans="1:10" ht="16" thickBot="1" x14ac:dyDescent="0.4">
      <c r="A89" s="87" t="s">
        <v>138</v>
      </c>
      <c r="B89" s="88"/>
      <c r="C89" s="52">
        <v>0</v>
      </c>
      <c r="D89" s="53">
        <f ca="1">((100/(H77))*C89)/100</f>
        <v>0</v>
      </c>
      <c r="E89" s="140"/>
      <c r="F89" s="141"/>
      <c r="G89" s="140"/>
      <c r="H89" s="144"/>
      <c r="I89" s="15" t="s">
        <v>107</v>
      </c>
      <c r="J89" s="30">
        <f ca="1">(IF(B77&gt;1.5,(H77/(B77+2)+J83+MAX(0,J84-J83)+MAX(0,J85-J84)+MAX(0,J86-J85)+MAX(0,J87-J86)+MAX(0,J88-J87)),IF(B77=1,(H77/(B77+3)+J88),IF(B77=0,H77/4+J88))))</f>
        <v>8</v>
      </c>
    </row>
    <row r="90" spans="1:10" ht="15.75" customHeight="1" x14ac:dyDescent="0.35">
      <c r="A90" s="131" t="s">
        <v>144</v>
      </c>
      <c r="B90" s="132"/>
      <c r="C90" s="133" t="s">
        <v>241</v>
      </c>
      <c r="D90" s="134"/>
      <c r="E90" s="134"/>
      <c r="F90" s="134"/>
      <c r="G90" s="134"/>
      <c r="H90" s="135"/>
      <c r="I90" s="43" t="str">
        <f ca="1">IF(D103=100%,"All work Completed. Possession granted to the Building.",IF(D102=100%,"All work Completed, Waiting for OC",I91&amp;""&amp;I92&amp;""&amp;J91&amp;""&amp;J90&amp;" "&amp;J92))</f>
        <v>Excavation, Plinth, RCC Slab, Brickwork, Internal Plaster, External Plaster Completed, Flooring upto 7 Floor, Painting upto 7 Floor, Finishing upto 2 Floor Completed</v>
      </c>
      <c r="J90" s="44" t="str">
        <f ca="1">(IF(C96=(D91+F91+H91),"",IF(C96&gt;0,", RCC upto "&amp;C96&amp;" Slab","")))&amp;(IF(C97=H91,"",IF(C97&gt;0,", Brickwork upto "&amp;C97&amp;" Floor","")))&amp;(IF(C98=H91,"",IF(C98&gt;0,", Internal Plaster upto "&amp;C98&amp;" Floor","")))&amp;(IF(C99=H91,"",IF(C99&gt;0,", External Plaster upto "&amp;C99&amp;" Floor","")))&amp;(IF(C100=H91,"",IF(C100&gt;0,", Flooring upto "&amp;C100&amp;" Floor","")))&amp;(IF(C101=H91,"",IF(C101&gt;0,", Painting upto "&amp;C101&amp;" Floor","")))&amp;(IF(C102=H91,"",IF(C102&gt;0,", Finishing upto "&amp;C102&amp;" Floor","")))&amp;(IF(C103=H91,"",IF(C103&gt;0,", Possession upto "&amp;C103&amp;" Floor","")))</f>
        <v>, Flooring upto 7 Floor, Painting upto 7 Floor, Finishing upto 2 Floor</v>
      </c>
    </row>
    <row r="91" spans="1:10" x14ac:dyDescent="0.35">
      <c r="A91" s="16" t="s">
        <v>146</v>
      </c>
      <c r="B91" s="49">
        <v>0</v>
      </c>
      <c r="C91" s="49" t="s">
        <v>75</v>
      </c>
      <c r="D91" s="49">
        <v>1</v>
      </c>
      <c r="E91" s="49" t="s">
        <v>74</v>
      </c>
      <c r="F91" s="49">
        <v>0</v>
      </c>
      <c r="G91" s="49" t="s">
        <v>83</v>
      </c>
      <c r="H91" s="17">
        <f ca="1">--TRIM(RIGHT(SUBSTITUTE(LEFT(C90,_xlfn.AGGREGATE(16,6,FIND({0,1,2,3,4,5,6,7,8,9},C90,ROW(INDIRECT("1:"&amp;LEN(C90)))),1))," ",REPT(" ",LEN(C90))),LEN(C90)))</f>
        <v>8</v>
      </c>
      <c r="I91" s="45" t="str">
        <f ca="1">IF(D94=100%,"Excavation","")&amp;IF(D95=100%,", Plinth","")&amp;IF(D96=100%,", RCC Slab","")&amp;IF(D97=100%,", Brickwork","")&amp;IF(D98=100%,", Internal Plaster","")&amp;IF(D99=100%,", External Plaster","")&amp;IF(D100=100%,", Flooring","")&amp;IF(D101=100%,", Painting","")&amp;IF(D102=100%,", Building common Amenities","")</f>
        <v>Excavation, Plinth, RCC Slab, Brickwork, Internal Plaster, External Plaster</v>
      </c>
      <c r="J91" s="46" t="str">
        <f ca="1">(IF(C94=0,"Work not yet Started.",IF(D94=25%,"Piling work in process",IF(D94=50%,"Excavation work in process",IF(D94=100%,"","0")))))&amp;(IF(C95=0%,"",IF(C95=J96,", Footing work is process",IF(C95=J97,", Footing work Completed",IF(C95=J98,", 1st Basement Completed",IF(C95=J99,", 1st &amp; 2nd Basement Completed",IF(C95=J100,", 1st to 3rd Basement Completed",IF(C95=J101,", 1st to 4th Basement Completed",IF(C95=J102,", Plinth work is process",IF(C95=J103,"","0"))))))))))</f>
        <v/>
      </c>
    </row>
    <row r="92" spans="1:10" ht="47.15" customHeight="1" x14ac:dyDescent="0.35">
      <c r="A92" s="109" t="s">
        <v>93</v>
      </c>
      <c r="B92" s="73"/>
      <c r="C92" s="72" t="str">
        <f ca="1">(IF($C$56=C90,"All work Completed. OC Received.",I90))</f>
        <v>Excavation, Plinth, RCC Slab, Brickwork, Internal Plaster, External Plaster Completed, Flooring upto 7 Floor, Painting upto 7 Floor, Finishing upto 2 Floor Completed</v>
      </c>
      <c r="D92" s="72"/>
      <c r="E92" s="72"/>
      <c r="F92" s="72"/>
      <c r="G92" s="72"/>
      <c r="H92" s="110"/>
      <c r="I92" s="45" t="str">
        <f ca="1">IF(I91&lt;&gt;""," Completed","")</f>
        <v xml:space="preserve"> Completed</v>
      </c>
      <c r="J92" s="46" t="str">
        <f ca="1">IF(J90&lt;&gt;"","Completed","")</f>
        <v>Completed</v>
      </c>
    </row>
    <row r="93" spans="1:10" ht="15.75" customHeight="1" x14ac:dyDescent="0.35">
      <c r="A93" s="104" t="s">
        <v>51</v>
      </c>
      <c r="B93" s="74"/>
      <c r="C93" s="50" t="s">
        <v>143</v>
      </c>
      <c r="D93" s="50" t="s">
        <v>86</v>
      </c>
      <c r="E93" s="74" t="s">
        <v>88</v>
      </c>
      <c r="F93" s="74"/>
      <c r="G93" s="74" t="s">
        <v>87</v>
      </c>
      <c r="H93" s="111"/>
      <c r="I93" s="14" t="s">
        <v>145</v>
      </c>
      <c r="J93" s="26">
        <f ca="1">H91*25%</f>
        <v>2</v>
      </c>
    </row>
    <row r="94" spans="1:10" x14ac:dyDescent="0.35">
      <c r="A94" s="74" t="s">
        <v>132</v>
      </c>
      <c r="B94" s="74"/>
      <c r="C94" s="59">
        <f ca="1">J95</f>
        <v>8</v>
      </c>
      <c r="D94" s="51">
        <f ca="1">((100/H91)*C94)/100</f>
        <v>1</v>
      </c>
      <c r="E94" s="75">
        <f ca="1">(((C95/H91*10)+(40/(D91+F91+H91)*C96)+(7.5/(H91)*C97)+(7.5/(H91)*C98)+(10/H91*C99)+(10/H91*C100)+(5/H91*C101)+(5/H91*C102)+(5/H91*C103))/100)</f>
        <v>0.89375000000000004</v>
      </c>
      <c r="F94" s="75"/>
      <c r="G94" s="75">
        <f ca="1">((((C94/H91)*20)+((C95/H91)*25)+(30/(H91+F91+D91)*C96)+(5/H91*C97)+(5/H91*C98)+(5/H91*C99)+(5/H91*C100)+(0/H91*C101)+(0/H91*C102)+(5/H91*C103))/100)</f>
        <v>0.94374999999999998</v>
      </c>
      <c r="H94" s="75"/>
      <c r="I94" s="14" t="s">
        <v>103</v>
      </c>
      <c r="J94" s="27">
        <f ca="1">H91*50%</f>
        <v>4</v>
      </c>
    </row>
    <row r="95" spans="1:10" x14ac:dyDescent="0.35">
      <c r="A95" s="74" t="s">
        <v>52</v>
      </c>
      <c r="B95" s="74"/>
      <c r="C95" s="54">
        <v>8</v>
      </c>
      <c r="D95" s="51">
        <f ca="1">((100/H91)*C95)/100</f>
        <v>1</v>
      </c>
      <c r="E95" s="75"/>
      <c r="F95" s="75"/>
      <c r="G95" s="75"/>
      <c r="H95" s="75"/>
      <c r="I95" s="14" t="s">
        <v>104</v>
      </c>
      <c r="J95" s="27">
        <f ca="1">H91</f>
        <v>8</v>
      </c>
    </row>
    <row r="96" spans="1:10" ht="15.75" customHeight="1" x14ac:dyDescent="0.35">
      <c r="A96" s="74" t="s">
        <v>133</v>
      </c>
      <c r="B96" s="74"/>
      <c r="C96" s="59">
        <v>9</v>
      </c>
      <c r="D96" s="51">
        <f ca="1">((100/(D91+F91+H91))*C96)/100</f>
        <v>1</v>
      </c>
      <c r="E96" s="75"/>
      <c r="F96" s="75"/>
      <c r="G96" s="75"/>
      <c r="H96" s="75"/>
      <c r="I96" s="14" t="s">
        <v>105</v>
      </c>
      <c r="J96" s="28">
        <f ca="1">(IF(B91&gt;1,(H91/(B91+2)),H91/4))</f>
        <v>2</v>
      </c>
    </row>
    <row r="97" spans="1:10" ht="15.75" customHeight="1" x14ac:dyDescent="0.35">
      <c r="A97" s="74" t="s">
        <v>140</v>
      </c>
      <c r="B97" s="74" t="s">
        <v>134</v>
      </c>
      <c r="C97" s="59">
        <v>8</v>
      </c>
      <c r="D97" s="51">
        <f ca="1">((100/H91)*C97)/100</f>
        <v>1</v>
      </c>
      <c r="E97" s="75"/>
      <c r="F97" s="75"/>
      <c r="G97" s="75"/>
      <c r="H97" s="75"/>
      <c r="I97" s="14" t="s">
        <v>106</v>
      </c>
      <c r="J97" s="28">
        <f ca="1">(IF(B91&gt;1,(H91/(B91+2)+J96),H91/4+J96))</f>
        <v>4</v>
      </c>
    </row>
    <row r="98" spans="1:10" ht="15.75" customHeight="1" x14ac:dyDescent="0.35">
      <c r="A98" s="74" t="s">
        <v>141</v>
      </c>
      <c r="B98" s="74" t="s">
        <v>134</v>
      </c>
      <c r="C98" s="59">
        <v>8</v>
      </c>
      <c r="D98" s="51">
        <f ca="1">((100/H91)*C98)/100</f>
        <v>1</v>
      </c>
      <c r="E98" s="75"/>
      <c r="F98" s="75"/>
      <c r="G98" s="75"/>
      <c r="H98" s="75"/>
      <c r="I98" s="14" t="s">
        <v>150</v>
      </c>
      <c r="J98" s="28">
        <f>(IF(B91&gt;1,(H91/(B91+2)+J97),0))</f>
        <v>0</v>
      </c>
    </row>
    <row r="99" spans="1:10" ht="15" customHeight="1" x14ac:dyDescent="0.35">
      <c r="A99" s="74" t="s">
        <v>139</v>
      </c>
      <c r="B99" s="74" t="s">
        <v>136</v>
      </c>
      <c r="C99" s="59">
        <v>8</v>
      </c>
      <c r="D99" s="51">
        <f ca="1">((100/(H91))*C99)/100</f>
        <v>1</v>
      </c>
      <c r="E99" s="75"/>
      <c r="F99" s="75"/>
      <c r="G99" s="75"/>
      <c r="H99" s="75"/>
      <c r="I99" s="14" t="s">
        <v>147</v>
      </c>
      <c r="J99" s="28">
        <f>(IF(B91&gt;2,(H91/(B91+2)+J98),0))</f>
        <v>0</v>
      </c>
    </row>
    <row r="100" spans="1:10" ht="15.75" customHeight="1" x14ac:dyDescent="0.35">
      <c r="A100" s="74" t="s">
        <v>135</v>
      </c>
      <c r="B100" s="74" t="s">
        <v>135</v>
      </c>
      <c r="C100" s="59">
        <v>7</v>
      </c>
      <c r="D100" s="51">
        <f ca="1">((100/H91)*C100)/100</f>
        <v>0.875</v>
      </c>
      <c r="E100" s="75"/>
      <c r="F100" s="75"/>
      <c r="G100" s="75"/>
      <c r="H100" s="75"/>
      <c r="I100" s="14" t="s">
        <v>148</v>
      </c>
      <c r="J100" s="29">
        <f>(IF(B91&gt;3,(H91/(B91+2)+J99),0))</f>
        <v>0</v>
      </c>
    </row>
    <row r="101" spans="1:10" ht="15.75" customHeight="1" x14ac:dyDescent="0.35">
      <c r="A101" s="74" t="s">
        <v>142</v>
      </c>
      <c r="B101" s="74"/>
      <c r="C101" s="59">
        <v>7</v>
      </c>
      <c r="D101" s="51">
        <f ca="1">((100/H91)*C101)/100</f>
        <v>0.875</v>
      </c>
      <c r="E101" s="75"/>
      <c r="F101" s="75"/>
      <c r="G101" s="75"/>
      <c r="H101" s="75"/>
      <c r="I101" s="14" t="s">
        <v>149</v>
      </c>
      <c r="J101" s="28">
        <f>(IF(B91&gt;4,(H91/(B91+2)+J100),0))</f>
        <v>0</v>
      </c>
    </row>
    <row r="102" spans="1:10" ht="15.75" customHeight="1" x14ac:dyDescent="0.35">
      <c r="A102" s="74" t="s">
        <v>137</v>
      </c>
      <c r="B102" s="74" t="s">
        <v>137</v>
      </c>
      <c r="C102" s="59">
        <v>2</v>
      </c>
      <c r="D102" s="51">
        <f ca="1">((100/(H91))*C102)/100</f>
        <v>0.25</v>
      </c>
      <c r="E102" s="75"/>
      <c r="F102" s="75"/>
      <c r="G102" s="75"/>
      <c r="H102" s="75"/>
      <c r="I102" s="14" t="s">
        <v>151</v>
      </c>
      <c r="J102" s="28">
        <f ca="1">(IF(B91=1,(H91/(B91+3)+J97),IF(B91=0,(H91/4+J97),IF(B91&gt;1,0))))</f>
        <v>6</v>
      </c>
    </row>
    <row r="103" spans="1:10" ht="16" thickBot="1" x14ac:dyDescent="0.4">
      <c r="A103" s="74" t="s">
        <v>138</v>
      </c>
      <c r="B103" s="74"/>
      <c r="C103" s="59">
        <v>0</v>
      </c>
      <c r="D103" s="51">
        <f ca="1">((100/(H91))*C103)/100</f>
        <v>0</v>
      </c>
      <c r="E103" s="75"/>
      <c r="F103" s="75"/>
      <c r="G103" s="75"/>
      <c r="H103" s="75"/>
      <c r="I103" s="15" t="s">
        <v>107</v>
      </c>
      <c r="J103" s="30">
        <f ca="1">(IF(B91&gt;1.5,(H91/(B91+2)+J97+MAX(0,J98-J97)+MAX(0,J99-J98)+MAX(0,J100-J99)+MAX(0,J101-J100)+MAX(0,J102-J101)),IF(B91=1,(H91/(B91+3)+J102),IF(B91=0,H91/4+J102))))</f>
        <v>8</v>
      </c>
    </row>
    <row r="104" spans="1:10" ht="15.75" hidden="1" customHeight="1" x14ac:dyDescent="0.35">
      <c r="A104" s="72" t="s">
        <v>144</v>
      </c>
      <c r="B104" s="72"/>
      <c r="C104" s="72" t="str">
        <f>D63</f>
        <v>Tower 3  = Gr + 1st to 8th Floor</v>
      </c>
      <c r="D104" s="72"/>
      <c r="E104" s="72"/>
      <c r="F104" s="72"/>
      <c r="G104" s="72"/>
      <c r="H104" s="72"/>
      <c r="I104" s="61" t="str">
        <f ca="1">IF(D117=100%,"All work Completed. Possession granted to the Building.",IF(D116=100%,"All work Completed, Waiting for OC",I105&amp;""&amp;I106&amp;""&amp;J105&amp;""&amp;J104&amp;" "&amp;J106))</f>
        <v>Excavation, Plinth, RCC Slab, Brickwork, Internal Plaster Completed, External Plaster upto 7 Floor, Flooring upto 7 Floor, Painting upto 6 Floor, Finishing upto 2 Floor Completed</v>
      </c>
      <c r="J104" s="44" t="str">
        <f ca="1">(IF(C110=(D105+F105+H105),"",IF(C110&gt;0,", RCC upto "&amp;C110&amp;" Slab","")))&amp;(IF(C111=H105,"",IF(C111&gt;0,", Brickwork upto "&amp;C111&amp;" Floor","")))&amp;(IF(C112=H105,"",IF(C112&gt;0,", Internal Plaster upto "&amp;C112&amp;" Floor","")))&amp;(IF(C113=H105,"",IF(C113&gt;0,", External Plaster upto "&amp;C113&amp;" Floor","")))&amp;(IF(C114=H105,"",IF(C114&gt;0,", Flooring upto "&amp;C114&amp;" Floor","")))&amp;(IF(C115=H105,"",IF(C115&gt;0,", Painting upto "&amp;C115&amp;" Floor","")))&amp;(IF(C116=H105,"",IF(C116&gt;0,", Finishing upto "&amp;C116&amp;" Floor","")))&amp;(IF(C117=H105,"",IF(C117&gt;0,", Possession upto "&amp;C117&amp;" Floor","")))</f>
        <v>, External Plaster upto 7 Floor, Flooring upto 7 Floor, Painting upto 6 Floor, Finishing upto 2 Floor</v>
      </c>
    </row>
    <row r="105" spans="1:10" ht="16" hidden="1" thickBot="1" x14ac:dyDescent="0.4">
      <c r="A105" s="60" t="s">
        <v>146</v>
      </c>
      <c r="B105" s="60">
        <v>0</v>
      </c>
      <c r="C105" s="60" t="s">
        <v>75</v>
      </c>
      <c r="D105" s="60">
        <v>1</v>
      </c>
      <c r="E105" s="60" t="s">
        <v>74</v>
      </c>
      <c r="F105" s="60">
        <v>0</v>
      </c>
      <c r="G105" s="60" t="s">
        <v>83</v>
      </c>
      <c r="H105" s="60">
        <f ca="1">--TRIM(RIGHT(SUBSTITUTE(LEFT(C104,_xlfn.AGGREGATE(16,6,FIND({0,1,2,3,4,5,6,7,8,9},C104,ROW(INDIRECT("1:"&amp;LEN(C104)))),1))," ",REPT(" ",LEN(C104))),LEN(C104)))</f>
        <v>8</v>
      </c>
      <c r="I105" s="62" t="str">
        <f ca="1">IF(D108=100%,"Excavation","")&amp;IF(D109=100%,", Plinth","")&amp;IF(D110=100%,", RCC Slab","")&amp;IF(D111=100%,", Brickwork","")&amp;IF(D112=100%,", Internal Plaster","")&amp;IF(D113=100%,", External Plaster","")&amp;IF(D114=100%,", Flooring","")&amp;IF(D115=100%,", Painting","")&amp;IF(D116=100%,", Building common Amenities","")</f>
        <v>Excavation, Plinth, RCC Slab, Brickwork, Internal Plaster</v>
      </c>
      <c r="J105" s="46" t="str">
        <f ca="1">(IF(C108=0,"Work not yet Started.",IF(D108=25%,"Piling work in process",IF(D108=50%,"Excavation work in process",IF(D108=100%,"","0")))))&amp;(IF(C109=0%,"",IF(C109=J110,", Footing work is process",IF(C109=J111,", Footing work Completed",IF(C109=J112,", 1st Basement Completed",IF(C109=J113,", 1st &amp; 2nd Basement Completed",IF(C109=J114,", 1st to 3rd Basement Completed",IF(C109=J115,", 1st to 4th Basement Completed",IF(C109=J116,", Plinth work is process",IF(C109=J117,"","0"))))))))))</f>
        <v/>
      </c>
    </row>
    <row r="106" spans="1:10" ht="31.5" hidden="1" customHeight="1" x14ac:dyDescent="0.35">
      <c r="A106" s="73" t="s">
        <v>93</v>
      </c>
      <c r="B106" s="73"/>
      <c r="C106" s="72" t="str">
        <f ca="1">(IF($C$56=C104,"All work Completed. OC Received.",I104))</f>
        <v>Excavation, Plinth, RCC Slab, Brickwork, Internal Plaster Completed, External Plaster upto 7 Floor, Flooring upto 7 Floor, Painting upto 6 Floor, Finishing upto 2 Floor Completed</v>
      </c>
      <c r="D106" s="72"/>
      <c r="E106" s="72"/>
      <c r="F106" s="72"/>
      <c r="G106" s="72"/>
      <c r="H106" s="72"/>
      <c r="I106" s="62" t="str">
        <f ca="1">IF(I105&lt;&gt;""," Completed","")</f>
        <v xml:space="preserve"> Completed</v>
      </c>
      <c r="J106" s="46" t="str">
        <f ca="1">IF(J104&lt;&gt;"","Completed","")</f>
        <v>Completed</v>
      </c>
    </row>
    <row r="107" spans="1:10" ht="15.75" hidden="1" customHeight="1" x14ac:dyDescent="0.35">
      <c r="A107" s="74" t="s">
        <v>51</v>
      </c>
      <c r="B107" s="74"/>
      <c r="C107" s="59" t="s">
        <v>143</v>
      </c>
      <c r="D107" s="59" t="s">
        <v>86</v>
      </c>
      <c r="E107" s="74" t="s">
        <v>88</v>
      </c>
      <c r="F107" s="74"/>
      <c r="G107" s="74" t="s">
        <v>87</v>
      </c>
      <c r="H107" s="74"/>
      <c r="I107" s="14" t="s">
        <v>145</v>
      </c>
      <c r="J107" s="26">
        <f ca="1">H105*25%</f>
        <v>2</v>
      </c>
    </row>
    <row r="108" spans="1:10" ht="16" hidden="1" thickBot="1" x14ac:dyDescent="0.4">
      <c r="A108" s="74" t="s">
        <v>132</v>
      </c>
      <c r="B108" s="74"/>
      <c r="C108" s="59">
        <f ca="1">J109</f>
        <v>8</v>
      </c>
      <c r="D108" s="51">
        <f ca="1">((100/H105)*C108)/100</f>
        <v>1</v>
      </c>
      <c r="E108" s="75">
        <f ca="1">(((C109/H105*10)+(40/(D105+F105+H105)*C110)+(7.5/(H105)*C111)+(7.5/(H105)*C112)+(10/H105*C113)+(10/H105*C114)+(5/H105*C115)+(5/H105*C116)+(5/H105*C117))/100)</f>
        <v>0.875</v>
      </c>
      <c r="F108" s="75"/>
      <c r="G108" s="75">
        <f ca="1">((((C108/H105)*20)+((C109/H105)*25)+(30/(H105+F105+D105)*C110)+(5/H105*C111)+(5/H105*C112)+(5/H105*C113)+(5/H105*C114)+(0/H105*C115)+(0/H105*C116)+(5/H105*C117))/100)</f>
        <v>0.9375</v>
      </c>
      <c r="H108" s="75"/>
      <c r="I108" s="14" t="s">
        <v>103</v>
      </c>
      <c r="J108" s="27">
        <f ca="1">H105*50%</f>
        <v>4</v>
      </c>
    </row>
    <row r="109" spans="1:10" ht="16" hidden="1" thickBot="1" x14ac:dyDescent="0.4">
      <c r="A109" s="74" t="s">
        <v>52</v>
      </c>
      <c r="B109" s="74"/>
      <c r="C109" s="54">
        <v>8</v>
      </c>
      <c r="D109" s="51">
        <f ca="1">((100/H105)*C109)/100</f>
        <v>1</v>
      </c>
      <c r="E109" s="75"/>
      <c r="F109" s="75"/>
      <c r="G109" s="75"/>
      <c r="H109" s="75"/>
      <c r="I109" s="14" t="s">
        <v>104</v>
      </c>
      <c r="J109" s="27">
        <f ca="1">H105</f>
        <v>8</v>
      </c>
    </row>
    <row r="110" spans="1:10" ht="15.75" hidden="1" customHeight="1" x14ac:dyDescent="0.35">
      <c r="A110" s="74" t="s">
        <v>133</v>
      </c>
      <c r="B110" s="74"/>
      <c r="C110" s="59">
        <v>9</v>
      </c>
      <c r="D110" s="51">
        <f ca="1">((100/(D105+F105+H105))*C110)/100</f>
        <v>1</v>
      </c>
      <c r="E110" s="75"/>
      <c r="F110" s="75"/>
      <c r="G110" s="75"/>
      <c r="H110" s="75"/>
      <c r="I110" s="14" t="s">
        <v>105</v>
      </c>
      <c r="J110" s="28">
        <f ca="1">(IF(B105&gt;1,(H105/(B105+2)),H105/4))</f>
        <v>2</v>
      </c>
    </row>
    <row r="111" spans="1:10" ht="15.75" hidden="1" customHeight="1" x14ac:dyDescent="0.35">
      <c r="A111" s="74" t="s">
        <v>140</v>
      </c>
      <c r="B111" s="74" t="s">
        <v>134</v>
      </c>
      <c r="C111" s="59">
        <v>8</v>
      </c>
      <c r="D111" s="51">
        <f ca="1">((100/H105)*C111)/100</f>
        <v>1</v>
      </c>
      <c r="E111" s="75"/>
      <c r="F111" s="75"/>
      <c r="G111" s="75"/>
      <c r="H111" s="75"/>
      <c r="I111" s="14" t="s">
        <v>106</v>
      </c>
      <c r="J111" s="28">
        <f ca="1">(IF(B105&gt;1,(H105/(B105+2)+J110),H105/4+J110))</f>
        <v>4</v>
      </c>
    </row>
    <row r="112" spans="1:10" ht="15.75" hidden="1" customHeight="1" x14ac:dyDescent="0.35">
      <c r="A112" s="74" t="s">
        <v>141</v>
      </c>
      <c r="B112" s="74" t="s">
        <v>134</v>
      </c>
      <c r="C112" s="59">
        <v>8</v>
      </c>
      <c r="D112" s="51">
        <f ca="1">((100/H105)*C112)/100</f>
        <v>1</v>
      </c>
      <c r="E112" s="75"/>
      <c r="F112" s="75"/>
      <c r="G112" s="75"/>
      <c r="H112" s="75"/>
      <c r="I112" s="14" t="s">
        <v>150</v>
      </c>
      <c r="J112" s="28">
        <f>(IF(B105&gt;1,(H105/(B105+2)+J111),0))</f>
        <v>0</v>
      </c>
    </row>
    <row r="113" spans="1:10" ht="15" hidden="1" customHeight="1" x14ac:dyDescent="0.35">
      <c r="A113" s="74" t="s">
        <v>139</v>
      </c>
      <c r="B113" s="74" t="s">
        <v>136</v>
      </c>
      <c r="C113" s="59">
        <v>7</v>
      </c>
      <c r="D113" s="51">
        <f ca="1">((100/(H105))*C113)/100</f>
        <v>0.875</v>
      </c>
      <c r="E113" s="75"/>
      <c r="F113" s="75"/>
      <c r="G113" s="75"/>
      <c r="H113" s="75"/>
      <c r="I113" s="14" t="s">
        <v>147</v>
      </c>
      <c r="J113" s="28">
        <f>(IF(B105&gt;2,(H105/(B105+2)+J112),0))</f>
        <v>0</v>
      </c>
    </row>
    <row r="114" spans="1:10" ht="15.75" hidden="1" customHeight="1" x14ac:dyDescent="0.35">
      <c r="A114" s="74" t="s">
        <v>135</v>
      </c>
      <c r="B114" s="74" t="s">
        <v>135</v>
      </c>
      <c r="C114" s="59">
        <v>7</v>
      </c>
      <c r="D114" s="51">
        <f ca="1">((100/H105)*C114)/100</f>
        <v>0.875</v>
      </c>
      <c r="E114" s="75"/>
      <c r="F114" s="75"/>
      <c r="G114" s="75"/>
      <c r="H114" s="75"/>
      <c r="I114" s="14" t="s">
        <v>148</v>
      </c>
      <c r="J114" s="29">
        <f>(IF(B105&gt;3,(H105/(B105+2)+J113),0))</f>
        <v>0</v>
      </c>
    </row>
    <row r="115" spans="1:10" ht="15.75" hidden="1" customHeight="1" x14ac:dyDescent="0.35">
      <c r="A115" s="74" t="s">
        <v>142</v>
      </c>
      <c r="B115" s="74"/>
      <c r="C115" s="59">
        <v>6</v>
      </c>
      <c r="D115" s="51">
        <f ca="1">((100/H105)*C115)/100</f>
        <v>0.75</v>
      </c>
      <c r="E115" s="75"/>
      <c r="F115" s="75"/>
      <c r="G115" s="75"/>
      <c r="H115" s="75"/>
      <c r="I115" s="14" t="s">
        <v>149</v>
      </c>
      <c r="J115" s="28">
        <f>(IF(B105&gt;4,(H105/(B105+2)+J114),0))</f>
        <v>0</v>
      </c>
    </row>
    <row r="116" spans="1:10" ht="15.75" hidden="1" customHeight="1" x14ac:dyDescent="0.35">
      <c r="A116" s="74" t="s">
        <v>137</v>
      </c>
      <c r="B116" s="74" t="s">
        <v>137</v>
      </c>
      <c r="C116" s="59">
        <v>2</v>
      </c>
      <c r="D116" s="51">
        <f ca="1">((100/(H105))*C116)/100</f>
        <v>0.25</v>
      </c>
      <c r="E116" s="75"/>
      <c r="F116" s="75"/>
      <c r="G116" s="75"/>
      <c r="H116" s="75"/>
      <c r="I116" s="14" t="s">
        <v>151</v>
      </c>
      <c r="J116" s="28">
        <f ca="1">(IF(B105=1,(H105/(B105+3)+J111),IF(B105=0,(H105/4+J111),IF(B105&gt;1,0))))</f>
        <v>6</v>
      </c>
    </row>
    <row r="117" spans="1:10" ht="16" hidden="1" thickBot="1" x14ac:dyDescent="0.4">
      <c r="A117" s="74" t="s">
        <v>138</v>
      </c>
      <c r="B117" s="74"/>
      <c r="C117" s="59">
        <v>0</v>
      </c>
      <c r="D117" s="51">
        <f ca="1">((100/(H105))*C117)/100</f>
        <v>0</v>
      </c>
      <c r="E117" s="75"/>
      <c r="F117" s="75"/>
      <c r="G117" s="75"/>
      <c r="H117" s="75"/>
      <c r="I117" s="15" t="s">
        <v>107</v>
      </c>
      <c r="J117" s="30">
        <f ca="1">(IF(B105&gt;1.5,(H105/(B105+2)+J111+MAX(0,J112-J111)+MAX(0,J113-J112)+MAX(0,J114-J113)+MAX(0,J115-J114)+MAX(0,J116-J115)),IF(B105=1,(H105/(B105+3)+J116),IF(B105=0,H105/4+J116))))</f>
        <v>8</v>
      </c>
    </row>
    <row r="118" spans="1:10" ht="15.75" customHeight="1" x14ac:dyDescent="0.35">
      <c r="A118" s="72" t="s">
        <v>144</v>
      </c>
      <c r="B118" s="72"/>
      <c r="C118" s="72" t="str">
        <f>D64</f>
        <v>Tower  4 = Gr + 1st to 9th Floor</v>
      </c>
      <c r="D118" s="72"/>
      <c r="E118" s="72"/>
      <c r="F118" s="72"/>
      <c r="G118" s="72"/>
      <c r="H118" s="72"/>
      <c r="I118" s="61" t="str">
        <f ca="1">IF(D131=100%,"All work Completed. Possession granted to the Building.",IF(D130=100%,"All work Completed, Waiting for OC",I119&amp;""&amp;I120&amp;""&amp;J119&amp;""&amp;J118&amp;" "&amp;J120))</f>
        <v>Excavation, Plinth, RCC Slab, Brickwork, Internal Plaster Completed, External Plaster upto 8 Floor, Flooring upto 5 Floor, Painting upto 3 Floor Completed</v>
      </c>
      <c r="J118" s="44" t="str">
        <f ca="1">(IF(C124=(D119+F119+H119),"",IF(C124&gt;0,", RCC upto "&amp;C124&amp;" Slab","")))&amp;(IF(C125=H119,"",IF(C125&gt;0,", Brickwork upto "&amp;C125&amp;" Floor","")))&amp;(IF(C126=H119,"",IF(C126&gt;0,", Internal Plaster upto "&amp;C126&amp;" Floor","")))&amp;(IF(C127=H119,"",IF(C127&gt;0,", External Plaster upto "&amp;C127&amp;" Floor","")))&amp;(IF(C128=H119,"",IF(C128&gt;0,", Flooring upto "&amp;C128&amp;" Floor","")))&amp;(IF(C129=H119,"",IF(C129&gt;0,", Painting upto "&amp;C129&amp;" Floor","")))&amp;(IF(C130=H119,"",IF(C130&gt;0,", Finishing upto "&amp;C130&amp;" Floor","")))&amp;(IF(C131=H119,"",IF(C131&gt;0,", Possession upto "&amp;C131&amp;" Floor","")))</f>
        <v>, External Plaster upto 8 Floor, Flooring upto 5 Floor, Painting upto 3 Floor</v>
      </c>
    </row>
    <row r="119" spans="1:10" x14ac:dyDescent="0.35">
      <c r="A119" s="60" t="s">
        <v>146</v>
      </c>
      <c r="B119" s="60">
        <v>0</v>
      </c>
      <c r="C119" s="60" t="s">
        <v>75</v>
      </c>
      <c r="D119" s="60">
        <v>1</v>
      </c>
      <c r="E119" s="60" t="s">
        <v>74</v>
      </c>
      <c r="F119" s="60">
        <v>0</v>
      </c>
      <c r="G119" s="60" t="s">
        <v>83</v>
      </c>
      <c r="H119" s="60">
        <f ca="1">--TRIM(RIGHT(SUBSTITUTE(LEFT(C118,_xlfn.AGGREGATE(16,6,FIND({0,1,2,3,4,5,6,7,8,9},C118,ROW(INDIRECT("1:"&amp;LEN(C118)))),1))," ",REPT(" ",LEN(C118))),LEN(C118)))</f>
        <v>9</v>
      </c>
      <c r="I119" s="62" t="str">
        <f ca="1">IF(D122=100%,"Excavation","")&amp;IF(D123=100%,", Plinth","")&amp;IF(D124=100%,", RCC Slab","")&amp;IF(D125=100%,", Brickwork","")&amp;IF(D126=100%,", Internal Plaster","")&amp;IF(D127=100%,", External Plaster","")&amp;IF(D128=100%,", Flooring","")&amp;IF(D129=100%,", Painting","")&amp;IF(D130=100%,", Building common Amenities","")</f>
        <v>Excavation, Plinth, RCC Slab, Brickwork, Internal Plaster</v>
      </c>
      <c r="J119" s="46" t="str">
        <f ca="1">(IF(C122=0,"Work not yet Started.",IF(D122=25%,"Piling work in process",IF(D122=50%,"Excavation work in process",IF(D122=100%,"","0")))))&amp;(IF(C123=0%,"",IF(C123=J124,", Footing work is process",IF(C123=J125,", Footing work Completed",IF(C123=J126,", 1st Basement Completed",IF(C123=J127,", 1st &amp; 2nd Basement Completed",IF(C123=J128,", 1st to 3rd Basement Completed",IF(C123=J129,", 1st to 4th Basement Completed",IF(C123=J130,", Plinth work is process",IF(C123=J131,"","0"))))))))))</f>
        <v/>
      </c>
    </row>
    <row r="120" spans="1:10" ht="47" customHeight="1" x14ac:dyDescent="0.35">
      <c r="A120" s="73" t="s">
        <v>93</v>
      </c>
      <c r="B120" s="73"/>
      <c r="C120" s="72" t="str">
        <f ca="1">(IF($C$56=C118,"All work Completed. OC Received.",I118))</f>
        <v>Excavation, Plinth, RCC Slab, Brickwork, Internal Plaster Completed, External Plaster upto 8 Floor, Flooring upto 5 Floor, Painting upto 3 Floor Completed</v>
      </c>
      <c r="D120" s="72"/>
      <c r="E120" s="72"/>
      <c r="F120" s="72"/>
      <c r="G120" s="72"/>
      <c r="H120" s="72"/>
      <c r="I120" s="62" t="str">
        <f ca="1">IF(I119&lt;&gt;""," Completed","")</f>
        <v xml:space="preserve"> Completed</v>
      </c>
      <c r="J120" s="46" t="str">
        <f ca="1">IF(J118&lt;&gt;"","Completed","")</f>
        <v>Completed</v>
      </c>
    </row>
    <row r="121" spans="1:10" ht="15.75" customHeight="1" x14ac:dyDescent="0.35">
      <c r="A121" s="104" t="s">
        <v>51</v>
      </c>
      <c r="B121" s="74"/>
      <c r="C121" s="50" t="s">
        <v>143</v>
      </c>
      <c r="D121" s="50" t="s">
        <v>86</v>
      </c>
      <c r="E121" s="74" t="s">
        <v>88</v>
      </c>
      <c r="F121" s="74"/>
      <c r="G121" s="74" t="s">
        <v>87</v>
      </c>
      <c r="H121" s="111"/>
      <c r="I121" s="14" t="s">
        <v>145</v>
      </c>
      <c r="J121" s="26">
        <f ca="1">H119*25%</f>
        <v>2.25</v>
      </c>
    </row>
    <row r="122" spans="1:10" x14ac:dyDescent="0.35">
      <c r="A122" s="104" t="s">
        <v>132</v>
      </c>
      <c r="B122" s="74"/>
      <c r="C122" s="50">
        <f ca="1">J123</f>
        <v>9</v>
      </c>
      <c r="D122" s="51">
        <f ca="1">((100/H119)*C122)/100</f>
        <v>1</v>
      </c>
      <c r="E122" s="136">
        <f ca="1">(((C123/H119*10)+(40/(D119+F119+H119)*C124)+(7.5/(H119)*C125)+(7.5/(H119)*C126)+(10/H119*C127)+(10/H119*C128)+(5/H119*C129)+(5/H119*C130)+(5/H119*C131))/100)</f>
        <v>0.81111111111111112</v>
      </c>
      <c r="F122" s="137"/>
      <c r="G122" s="136">
        <f ca="1">((((C122/H119)*20)+((C123/H119)*25)+(30/(H119+F119+D119)*C124)+(5/H119*C125)+(5/H119*C126)+(5/H119*C127)+(5/H119*C128)+(0/H119*C129)+(0/H119*C130)+(5/H119*C131))/100)</f>
        <v>0.92222222222222217</v>
      </c>
      <c r="H122" s="142"/>
      <c r="I122" s="14" t="s">
        <v>103</v>
      </c>
      <c r="J122" s="27">
        <f ca="1">H119*50%</f>
        <v>4.5</v>
      </c>
    </row>
    <row r="123" spans="1:10" x14ac:dyDescent="0.35">
      <c r="A123" s="104" t="s">
        <v>52</v>
      </c>
      <c r="B123" s="74"/>
      <c r="C123" s="54">
        <v>9</v>
      </c>
      <c r="D123" s="51">
        <f ca="1">((100/H119)*C123)/100</f>
        <v>1</v>
      </c>
      <c r="E123" s="138"/>
      <c r="F123" s="139"/>
      <c r="G123" s="138"/>
      <c r="H123" s="143"/>
      <c r="I123" s="14" t="s">
        <v>104</v>
      </c>
      <c r="J123" s="27">
        <f ca="1">H119</f>
        <v>9</v>
      </c>
    </row>
    <row r="124" spans="1:10" ht="15.75" customHeight="1" x14ac:dyDescent="0.35">
      <c r="A124" s="104" t="s">
        <v>133</v>
      </c>
      <c r="B124" s="74"/>
      <c r="C124" s="50">
        <v>10</v>
      </c>
      <c r="D124" s="51">
        <f ca="1">((100/(D119+F119+H119))*C124)/100</f>
        <v>1</v>
      </c>
      <c r="E124" s="138"/>
      <c r="F124" s="139"/>
      <c r="G124" s="138"/>
      <c r="H124" s="143"/>
      <c r="I124" s="14" t="s">
        <v>105</v>
      </c>
      <c r="J124" s="28">
        <f ca="1">(IF(B119&gt;1,(H119/(B119+2)),H119/4))</f>
        <v>2.25</v>
      </c>
    </row>
    <row r="125" spans="1:10" ht="15.75" customHeight="1" x14ac:dyDescent="0.35">
      <c r="A125" s="104" t="s">
        <v>140</v>
      </c>
      <c r="B125" s="74" t="s">
        <v>134</v>
      </c>
      <c r="C125" s="50">
        <v>9</v>
      </c>
      <c r="D125" s="51">
        <f ca="1">((100/H119)*C125)/100</f>
        <v>1</v>
      </c>
      <c r="E125" s="138"/>
      <c r="F125" s="139"/>
      <c r="G125" s="138"/>
      <c r="H125" s="143"/>
      <c r="I125" s="14" t="s">
        <v>106</v>
      </c>
      <c r="J125" s="28">
        <f ca="1">(IF(B119&gt;1,(H119/(B119+2)+J124),H119/4+J124))</f>
        <v>4.5</v>
      </c>
    </row>
    <row r="126" spans="1:10" ht="15.75" customHeight="1" x14ac:dyDescent="0.35">
      <c r="A126" s="104" t="s">
        <v>141</v>
      </c>
      <c r="B126" s="74" t="s">
        <v>134</v>
      </c>
      <c r="C126" s="50">
        <v>9</v>
      </c>
      <c r="D126" s="51">
        <f ca="1">((100/H119)*C126)/100</f>
        <v>1</v>
      </c>
      <c r="E126" s="138"/>
      <c r="F126" s="139"/>
      <c r="G126" s="138"/>
      <c r="H126" s="143"/>
      <c r="I126" s="14" t="s">
        <v>150</v>
      </c>
      <c r="J126" s="28">
        <f>(IF(B119&gt;1,(H119/(B119+2)+J125),0))</f>
        <v>0</v>
      </c>
    </row>
    <row r="127" spans="1:10" ht="15" customHeight="1" x14ac:dyDescent="0.35">
      <c r="A127" s="104" t="s">
        <v>139</v>
      </c>
      <c r="B127" s="74" t="s">
        <v>136</v>
      </c>
      <c r="C127" s="50">
        <v>8</v>
      </c>
      <c r="D127" s="51">
        <f ca="1">((100/(H119))*C127)/100</f>
        <v>0.88888888888888884</v>
      </c>
      <c r="E127" s="138"/>
      <c r="F127" s="139"/>
      <c r="G127" s="138"/>
      <c r="H127" s="143"/>
      <c r="I127" s="14" t="s">
        <v>147</v>
      </c>
      <c r="J127" s="28">
        <f>(IF(B119&gt;2,(H119/(B119+2)+J126),0))</f>
        <v>0</v>
      </c>
    </row>
    <row r="128" spans="1:10" ht="15.75" customHeight="1" x14ac:dyDescent="0.35">
      <c r="A128" s="104" t="s">
        <v>135</v>
      </c>
      <c r="B128" s="74" t="s">
        <v>135</v>
      </c>
      <c r="C128" s="50">
        <v>5</v>
      </c>
      <c r="D128" s="51">
        <f ca="1">((100/H119)*C128)/100</f>
        <v>0.55555555555555558</v>
      </c>
      <c r="E128" s="138"/>
      <c r="F128" s="139"/>
      <c r="G128" s="138"/>
      <c r="H128" s="143"/>
      <c r="I128" s="14" t="s">
        <v>148</v>
      </c>
      <c r="J128" s="29">
        <f>(IF(B119&gt;3,(H119/(B119+2)+J127),0))</f>
        <v>0</v>
      </c>
    </row>
    <row r="129" spans="1:11" ht="15.75" customHeight="1" x14ac:dyDescent="0.35">
      <c r="A129" s="104" t="s">
        <v>142</v>
      </c>
      <c r="B129" s="74"/>
      <c r="C129" s="50">
        <v>3</v>
      </c>
      <c r="D129" s="51">
        <f ca="1">((100/H119)*C129)/100</f>
        <v>0.33333333333333326</v>
      </c>
      <c r="E129" s="138"/>
      <c r="F129" s="139"/>
      <c r="G129" s="138"/>
      <c r="H129" s="143"/>
      <c r="I129" s="14" t="s">
        <v>149</v>
      </c>
      <c r="J129" s="28">
        <f>(IF(B119&gt;4,(H119/(B119+2)+J128),0))</f>
        <v>0</v>
      </c>
    </row>
    <row r="130" spans="1:11" ht="15.75" customHeight="1" x14ac:dyDescent="0.35">
      <c r="A130" s="104" t="s">
        <v>137</v>
      </c>
      <c r="B130" s="74" t="s">
        <v>137</v>
      </c>
      <c r="C130" s="50">
        <v>0</v>
      </c>
      <c r="D130" s="51">
        <f ca="1">((100/(H119))*C130)/100</f>
        <v>0</v>
      </c>
      <c r="E130" s="138"/>
      <c r="F130" s="139"/>
      <c r="G130" s="138"/>
      <c r="H130" s="143"/>
      <c r="I130" s="14" t="s">
        <v>151</v>
      </c>
      <c r="J130" s="28">
        <f ca="1">(IF(B119=1,(H119/(B119+3)+J125),IF(B119=0,(H119/4+J125),IF(B119&gt;1,0))))</f>
        <v>6.75</v>
      </c>
    </row>
    <row r="131" spans="1:11" ht="16" thickBot="1" x14ac:dyDescent="0.4">
      <c r="A131" s="87" t="s">
        <v>138</v>
      </c>
      <c r="B131" s="88"/>
      <c r="C131" s="52">
        <v>0</v>
      </c>
      <c r="D131" s="53">
        <f ca="1">((100/(H119))*C131)/100</f>
        <v>0</v>
      </c>
      <c r="E131" s="140"/>
      <c r="F131" s="141"/>
      <c r="G131" s="140"/>
      <c r="H131" s="144"/>
      <c r="I131" s="15" t="s">
        <v>107</v>
      </c>
      <c r="J131" s="30">
        <f ca="1">(IF(B119&gt;1.5,(H119/(B119+2)+J125+MAX(0,J126-J125)+MAX(0,J127-J126)+MAX(0,J128-J127)+MAX(0,J129-J128)+MAX(0,J130-J129)),IF(B119=1,(H119/(B119+3)+J130),IF(B119=0,H119/4+J130))))</f>
        <v>9</v>
      </c>
    </row>
    <row r="132" spans="1:11" ht="15.75" customHeight="1" x14ac:dyDescent="0.35">
      <c r="A132" s="131" t="s">
        <v>144</v>
      </c>
      <c r="B132" s="132"/>
      <c r="C132" s="133" t="s">
        <v>230</v>
      </c>
      <c r="D132" s="134"/>
      <c r="E132" s="134"/>
      <c r="F132" s="134"/>
      <c r="G132" s="134"/>
      <c r="H132" s="135"/>
      <c r="I132" s="43" t="str">
        <f ca="1">IF(D145=100%,"All work Completed. Possession granted to the Building.",IF(D144=100%,"All work Completed, Waiting for OC",I133&amp;""&amp;I134&amp;""&amp;J133&amp;""&amp;J132&amp;" "&amp;J134))</f>
        <v>Excavation, Plinth, RCC Slab, Brickwork, Internal Plaster, External Plaster Completed, Flooring upto 7 Floor, Painting upto 5 Floor Completed</v>
      </c>
      <c r="J132" s="44" t="str">
        <f ca="1">(IF(C138=(D133+F133+H133),"",IF(C138&gt;0,", RCC upto "&amp;C138&amp;" Slab","")))&amp;(IF(C139=H133,"",IF(C139&gt;0,", Brickwork upto "&amp;C139&amp;" Floor","")))&amp;(IF(C140=H133,"",IF(C140&gt;0,", Internal Plaster upto "&amp;C140&amp;" Floor","")))&amp;(IF(C141=H133,"",IF(C141&gt;0,", External Plaster upto "&amp;C141&amp;" Floor","")))&amp;(IF(C142=H133,"",IF(C142&gt;0,", Flooring upto "&amp;C142&amp;" Floor","")))&amp;(IF(C143=H133,"",IF(C143&gt;0,", Painting upto "&amp;C143&amp;" Floor","")))&amp;(IF(C144=H133,"",IF(C144&gt;0,", Finishing upto "&amp;C144&amp;" Floor","")))&amp;(IF(C145=H133,"",IF(C145&gt;0,", Possession upto "&amp;C145&amp;" Floor","")))</f>
        <v>, Flooring upto 7 Floor, Painting upto 5 Floor</v>
      </c>
    </row>
    <row r="133" spans="1:11" x14ac:dyDescent="0.35">
      <c r="A133" s="16" t="s">
        <v>146</v>
      </c>
      <c r="B133" s="49">
        <v>0</v>
      </c>
      <c r="C133" s="49" t="s">
        <v>75</v>
      </c>
      <c r="D133" s="49">
        <v>1</v>
      </c>
      <c r="E133" s="49" t="s">
        <v>74</v>
      </c>
      <c r="F133" s="49">
        <v>0</v>
      </c>
      <c r="G133" s="49" t="s">
        <v>83</v>
      </c>
      <c r="H133" s="17">
        <f ca="1">--TRIM(RIGHT(SUBSTITUTE(LEFT(C132,_xlfn.AGGREGATE(16,6,FIND({0,1,2,3,4,5,6,7,8,9},C132,ROW(INDIRECT("1:"&amp;LEN(C132)))),1))," ",REPT(" ",LEN(C132))),LEN(C132)))</f>
        <v>9</v>
      </c>
      <c r="I133" s="45" t="str">
        <f ca="1">IF(D136=100%,"Excavation","")&amp;IF(D137=100%,", Plinth","")&amp;IF(D138=100%,", RCC Slab","")&amp;IF(D139=100%,", Brickwork","")&amp;IF(D140=100%,", Internal Plaster","")&amp;IF(D141=100%,", External Plaster","")&amp;IF(D142=100%,", Flooring","")&amp;IF(D143=100%,", Painting","")&amp;IF(D144=100%,", Building common Amenities","")</f>
        <v>Excavation, Plinth, RCC Slab, Brickwork, Internal Plaster, External Plaster</v>
      </c>
      <c r="J133" s="46" t="str">
        <f ca="1">(IF(C136=0,"Work not yet Started.",IF(D136=25%,"Piling work in process",IF(D136=50%,"Excavation work in process",IF(D136=100%,"","0")))))&amp;(IF(C137=0%,"",IF(C137=J138,", Footing work is process",IF(C137=J139,", Footing work Completed",IF(C137=J140,", 1st Basement Completed",IF(C137=J141,", 1st &amp; 2nd Basement Completed",IF(C137=J142,", 1st to 3rd Basement Completed",IF(C137=J143,", 1st to 4th Basement Completed",IF(C137=J144,", Plinth work is process",IF(C137=J145,"","0"))))))))))</f>
        <v/>
      </c>
    </row>
    <row r="134" spans="1:11" ht="33.5" customHeight="1" x14ac:dyDescent="0.35">
      <c r="A134" s="109" t="s">
        <v>93</v>
      </c>
      <c r="B134" s="73"/>
      <c r="C134" s="72" t="str">
        <f ca="1">(IF($C$56=C132,"All work Completed. OC Received.",I132))</f>
        <v>Excavation, Plinth, RCC Slab, Brickwork, Internal Plaster, External Plaster Completed, Flooring upto 7 Floor, Painting upto 5 Floor Completed</v>
      </c>
      <c r="D134" s="72"/>
      <c r="E134" s="72"/>
      <c r="F134" s="72"/>
      <c r="G134" s="72"/>
      <c r="H134" s="110"/>
      <c r="I134" s="45" t="str">
        <f ca="1">IF(I133&lt;&gt;""," Completed","")</f>
        <v xml:space="preserve"> Completed</v>
      </c>
      <c r="J134" s="46" t="str">
        <f ca="1">IF(J132&lt;&gt;"","Completed","")</f>
        <v>Completed</v>
      </c>
    </row>
    <row r="135" spans="1:11" ht="15.75" customHeight="1" x14ac:dyDescent="0.35">
      <c r="A135" s="104" t="s">
        <v>51</v>
      </c>
      <c r="B135" s="74"/>
      <c r="C135" s="50" t="s">
        <v>143</v>
      </c>
      <c r="D135" s="50" t="s">
        <v>86</v>
      </c>
      <c r="E135" s="74" t="s">
        <v>88</v>
      </c>
      <c r="F135" s="74"/>
      <c r="G135" s="74" t="s">
        <v>87</v>
      </c>
      <c r="H135" s="111"/>
      <c r="I135" s="14" t="s">
        <v>145</v>
      </c>
      <c r="J135" s="26">
        <f ca="1">H133*25%</f>
        <v>2.25</v>
      </c>
      <c r="K135" s="31" t="s">
        <v>246</v>
      </c>
    </row>
    <row r="136" spans="1:11" x14ac:dyDescent="0.35">
      <c r="A136" s="74" t="s">
        <v>132</v>
      </c>
      <c r="B136" s="74"/>
      <c r="C136" s="59">
        <v>9</v>
      </c>
      <c r="D136" s="51">
        <f ca="1">((100/H133)*C136)/100</f>
        <v>1</v>
      </c>
      <c r="E136" s="75">
        <f ca="1">(((C137/H133*10)+(40/(D133+F133+H133)*C138)+(7.5/(H133)*C139)+(7.5/(H133)*C140)+(10/H133*C141)+(10/H133*C142)+(5/H133*C143)+(5/H133*C144)+(5/H133*C145))/100)</f>
        <v>0.8555555555555554</v>
      </c>
      <c r="F136" s="75"/>
      <c r="G136" s="75">
        <f ca="1">((((C136/H133)*20)+((C137/H133)*25)+(30/(H133+F133+D133)*C138)+(5/H133*C139)+(5/H133*C140)+(5/H133*C141)+(5/H133*C142)+(0/H133*C143)+(0/H133*C144)+(5/H133*C145))/100)</f>
        <v>0.93888888888888888</v>
      </c>
      <c r="H136" s="75"/>
      <c r="I136" s="14" t="s">
        <v>103</v>
      </c>
      <c r="J136" s="27">
        <f ca="1">H133*50%</f>
        <v>4.5</v>
      </c>
    </row>
    <row r="137" spans="1:11" x14ac:dyDescent="0.35">
      <c r="A137" s="74" t="s">
        <v>52</v>
      </c>
      <c r="B137" s="74"/>
      <c r="C137" s="54">
        <v>9</v>
      </c>
      <c r="D137" s="51">
        <f ca="1">((100/H133)*C137)/100</f>
        <v>1</v>
      </c>
      <c r="E137" s="75"/>
      <c r="F137" s="75"/>
      <c r="G137" s="75"/>
      <c r="H137" s="75"/>
      <c r="I137" s="14" t="s">
        <v>104</v>
      </c>
      <c r="J137" s="27">
        <f ca="1">H133</f>
        <v>9</v>
      </c>
    </row>
    <row r="138" spans="1:11" ht="15.75" customHeight="1" x14ac:dyDescent="0.35">
      <c r="A138" s="74" t="s">
        <v>133</v>
      </c>
      <c r="B138" s="74"/>
      <c r="C138" s="59">
        <v>10</v>
      </c>
      <c r="D138" s="51">
        <f ca="1">((100/(D133+F133+H133))*C138)/100</f>
        <v>1</v>
      </c>
      <c r="E138" s="75"/>
      <c r="F138" s="75"/>
      <c r="G138" s="75"/>
      <c r="H138" s="75"/>
      <c r="I138" s="14" t="s">
        <v>105</v>
      </c>
      <c r="J138" s="28">
        <f ca="1">(IF(B133&gt;1,(H133/(B133+2)),H133/4))</f>
        <v>2.25</v>
      </c>
    </row>
    <row r="139" spans="1:11" ht="15.75" customHeight="1" x14ac:dyDescent="0.35">
      <c r="A139" s="74" t="s">
        <v>140</v>
      </c>
      <c r="B139" s="74" t="s">
        <v>134</v>
      </c>
      <c r="C139" s="59">
        <v>9</v>
      </c>
      <c r="D139" s="51">
        <f ca="1">((100/H133)*C139)/100</f>
        <v>1</v>
      </c>
      <c r="E139" s="75"/>
      <c r="F139" s="75"/>
      <c r="G139" s="75"/>
      <c r="H139" s="75"/>
      <c r="I139" s="14" t="s">
        <v>106</v>
      </c>
      <c r="J139" s="28">
        <f ca="1">(IF(B133&gt;1,(H133/(B133+2)+J138),H133/4+J138))</f>
        <v>4.5</v>
      </c>
    </row>
    <row r="140" spans="1:11" ht="15.75" customHeight="1" x14ac:dyDescent="0.35">
      <c r="A140" s="74" t="s">
        <v>141</v>
      </c>
      <c r="B140" s="74" t="s">
        <v>134</v>
      </c>
      <c r="C140" s="59">
        <v>9</v>
      </c>
      <c r="D140" s="51">
        <f ca="1">((100/H133)*C140)/100</f>
        <v>1</v>
      </c>
      <c r="E140" s="75"/>
      <c r="F140" s="75"/>
      <c r="G140" s="75"/>
      <c r="H140" s="75"/>
      <c r="I140" s="14" t="s">
        <v>150</v>
      </c>
      <c r="J140" s="28">
        <f>(IF(B133&gt;1,(H133/(B133+2)+J139),0))</f>
        <v>0</v>
      </c>
    </row>
    <row r="141" spans="1:11" ht="15" customHeight="1" x14ac:dyDescent="0.35">
      <c r="A141" s="74" t="s">
        <v>139</v>
      </c>
      <c r="B141" s="74" t="s">
        <v>136</v>
      </c>
      <c r="C141" s="59">
        <v>9</v>
      </c>
      <c r="D141" s="51">
        <f ca="1">((100/(H133))*C141)/100</f>
        <v>1</v>
      </c>
      <c r="E141" s="75"/>
      <c r="F141" s="75"/>
      <c r="G141" s="75"/>
      <c r="H141" s="75"/>
      <c r="I141" s="14" t="s">
        <v>147</v>
      </c>
      <c r="J141" s="28">
        <f>(IF(B133&gt;2,(H133/(B133+2)+J140),0))</f>
        <v>0</v>
      </c>
    </row>
    <row r="142" spans="1:11" ht="15.75" customHeight="1" x14ac:dyDescent="0.35">
      <c r="A142" s="74" t="s">
        <v>135</v>
      </c>
      <c r="B142" s="74" t="s">
        <v>135</v>
      </c>
      <c r="C142" s="59">
        <v>7</v>
      </c>
      <c r="D142" s="51">
        <f ca="1">((100/H133)*C142)/100</f>
        <v>0.77777777777777768</v>
      </c>
      <c r="E142" s="75"/>
      <c r="F142" s="75"/>
      <c r="G142" s="75"/>
      <c r="H142" s="75"/>
      <c r="I142" s="14" t="s">
        <v>148</v>
      </c>
      <c r="J142" s="29">
        <f>(IF(B133&gt;3,(H133/(B133+2)+J141),0))</f>
        <v>0</v>
      </c>
    </row>
    <row r="143" spans="1:11" ht="15.75" customHeight="1" x14ac:dyDescent="0.35">
      <c r="A143" s="74" t="s">
        <v>142</v>
      </c>
      <c r="B143" s="74"/>
      <c r="C143" s="59">
        <v>5</v>
      </c>
      <c r="D143" s="51">
        <f ca="1">((100/H133)*C143)/100</f>
        <v>0.55555555555555558</v>
      </c>
      <c r="E143" s="75"/>
      <c r="F143" s="75"/>
      <c r="G143" s="75"/>
      <c r="H143" s="75"/>
      <c r="I143" s="14" t="s">
        <v>149</v>
      </c>
      <c r="J143" s="28">
        <f>(IF(B133&gt;4,(H133/(B133+2)+J142),0))</f>
        <v>0</v>
      </c>
    </row>
    <row r="144" spans="1:11" ht="15.75" customHeight="1" x14ac:dyDescent="0.35">
      <c r="A144" s="74" t="s">
        <v>137</v>
      </c>
      <c r="B144" s="74" t="s">
        <v>137</v>
      </c>
      <c r="C144" s="59">
        <v>0</v>
      </c>
      <c r="D144" s="51">
        <f ca="1">((100/(H133))*C144)/100</f>
        <v>0</v>
      </c>
      <c r="E144" s="75"/>
      <c r="F144" s="75"/>
      <c r="G144" s="75"/>
      <c r="H144" s="75"/>
      <c r="I144" s="14" t="s">
        <v>151</v>
      </c>
      <c r="J144" s="28">
        <f ca="1">(IF(B133=1,(H133/(B133+3)+J139),IF(B133=0,(H133/4+J139),IF(B133&gt;1,0))))</f>
        <v>6.75</v>
      </c>
    </row>
    <row r="145" spans="1:10" ht="16" thickBot="1" x14ac:dyDescent="0.4">
      <c r="A145" s="74" t="s">
        <v>138</v>
      </c>
      <c r="B145" s="74"/>
      <c r="C145" s="59">
        <v>0</v>
      </c>
      <c r="D145" s="51">
        <f ca="1">((100/(H133))*C145)/100</f>
        <v>0</v>
      </c>
      <c r="E145" s="75"/>
      <c r="F145" s="75"/>
      <c r="G145" s="75"/>
      <c r="H145" s="75"/>
      <c r="I145" s="15" t="s">
        <v>107</v>
      </c>
      <c r="J145" s="30">
        <f ca="1">(IF(B133&gt;1.5,(H133/(B133+2)+J139+MAX(0,J140-J139)+MAX(0,J141-J140)+MAX(0,J142-J141)+MAX(0,J143-J142)+MAX(0,J144-J143)),IF(B133=1,(H133/(B133+3)+J144),IF(B133=0,H133/4+J144))))</f>
        <v>9</v>
      </c>
    </row>
    <row r="146" spans="1:10" ht="15.65" hidden="1" customHeight="1" x14ac:dyDescent="0.35">
      <c r="A146" s="72" t="s">
        <v>144</v>
      </c>
      <c r="B146" s="72"/>
      <c r="C146" s="72" t="s">
        <v>234</v>
      </c>
      <c r="D146" s="72"/>
      <c r="E146" s="72"/>
      <c r="F146" s="72"/>
      <c r="G146" s="72"/>
      <c r="H146" s="72"/>
      <c r="I146" s="61" t="str">
        <f ca="1">IF(D159=100%,"All work Completed. Possession granted to the Building.",IF(D158=100%,"All work Completed, Waiting for OC",I147&amp;""&amp;I148&amp;""&amp;J147&amp;""&amp;J146&amp;" "&amp;J148))</f>
        <v>Excavation, Plinth, RCC Slab, Brickwork Completed, Internal Plaster upto 3 Floor, External Plaster upto 1 Floor Completed</v>
      </c>
      <c r="J146" s="44" t="str">
        <f ca="1">(IF(C152=(D147+F147+H147),"",IF(C152&gt;0,", RCC upto "&amp;C152&amp;" Slab","")))&amp;(IF(C153=H147,"",IF(C153&gt;0,", Brickwork upto "&amp;C153&amp;" Floor","")))&amp;(IF(C154=H147,"",IF(C154&gt;0,", Internal Plaster upto "&amp;C154&amp;" Floor","")))&amp;(IF(C155=H147,"",IF(C155&gt;0,", External Plaster upto "&amp;C155&amp;" Floor","")))&amp;(IF(C156=H147,"",IF(C156&gt;0,", Flooring upto "&amp;C156&amp;" Floor","")))&amp;(IF(C157=H147,"",IF(C157&gt;0,", Painting upto "&amp;C157&amp;" Floor","")))&amp;(IF(C158=H147,"",IF(C158&gt;0,", Finishing upto "&amp;C158&amp;" Floor","")))&amp;(IF(C159=H147,"",IF(C159&gt;0,", Possession upto "&amp;C159&amp;" Floor","")))</f>
        <v>, Internal Plaster upto 3 Floor, External Plaster upto 1 Floor</v>
      </c>
    </row>
    <row r="147" spans="1:10" ht="16" hidden="1" thickBot="1" x14ac:dyDescent="0.4">
      <c r="A147" s="60" t="s">
        <v>146</v>
      </c>
      <c r="B147" s="60">
        <v>0</v>
      </c>
      <c r="C147" s="60" t="s">
        <v>75</v>
      </c>
      <c r="D147" s="60">
        <v>1</v>
      </c>
      <c r="E147" s="60" t="s">
        <v>74</v>
      </c>
      <c r="F147" s="60">
        <v>0</v>
      </c>
      <c r="G147" s="60" t="s">
        <v>83</v>
      </c>
      <c r="H147" s="60">
        <f ca="1">--TRIM(RIGHT(SUBSTITUTE(LEFT(C146,_xlfn.AGGREGATE(16,6,FIND({0,1,2,3,4,5,6,7,8,9},C146,ROW(INDIRECT("1:"&amp;LEN(C146)))),1))," ",REPT(" ",LEN(C146))),LEN(C146)))</f>
        <v>9</v>
      </c>
      <c r="I147" s="62" t="str">
        <f ca="1">IF(D150=100%,"Excavation","")&amp;IF(D151=100%,", Plinth","")&amp;IF(D152=100%,", RCC Slab","")&amp;IF(D153=100%,", Brickwork","")&amp;IF(D154=100%,", Internal Plaster","")&amp;IF(D155=100%,", External Plaster","")&amp;IF(D156=100%,", Flooring","")&amp;IF(D157=100%,", Painting","")&amp;IF(D158=100%,", Building common Amenities","")</f>
        <v>Excavation, Plinth, RCC Slab, Brickwork</v>
      </c>
      <c r="J147" s="46" t="str">
        <f ca="1">(IF(C150=0,"Work not yet Started.",IF(D150=25%,"Piling work in process",IF(D150=50%,"Excavation work in process",IF(D150=100%,"","0")))))&amp;(IF(C151=0%,"",IF(C151=J152,", Footing work is process",IF(C151=J153,", Footing work Completed",IF(C151=J154,", 1st Basement Completed",IF(C151=J155,", 1st &amp; 2nd Basement Completed",IF(C151=J156,", 1st to 3rd Basement Completed",IF(C151=J157,", 1st to 4th Basement Completed",IF(C151=J158,", Plinth work is process",IF(C151=J159,"","0"))))))))))</f>
        <v/>
      </c>
    </row>
    <row r="148" spans="1:10" ht="31" hidden="1" customHeight="1" x14ac:dyDescent="0.35">
      <c r="A148" s="73" t="s">
        <v>93</v>
      </c>
      <c r="B148" s="73"/>
      <c r="C148" s="72" t="str">
        <f ca="1">(IF($C$56=C146,"All work Completed. OC Received.",I146))</f>
        <v>Excavation, Plinth, RCC Slab, Brickwork Completed, Internal Plaster upto 3 Floor, External Plaster upto 1 Floor Completed</v>
      </c>
      <c r="D148" s="72"/>
      <c r="E148" s="72"/>
      <c r="F148" s="72"/>
      <c r="G148" s="72"/>
      <c r="H148" s="72"/>
      <c r="I148" s="62" t="str">
        <f ca="1">IF(I147&lt;&gt;""," Completed","")</f>
        <v xml:space="preserve"> Completed</v>
      </c>
      <c r="J148" s="46" t="str">
        <f ca="1">IF(J146&lt;&gt;"","Completed","")</f>
        <v>Completed</v>
      </c>
    </row>
    <row r="149" spans="1:10" ht="15.75" hidden="1" customHeight="1" x14ac:dyDescent="0.35">
      <c r="A149" s="74" t="s">
        <v>51</v>
      </c>
      <c r="B149" s="74"/>
      <c r="C149" s="59" t="s">
        <v>143</v>
      </c>
      <c r="D149" s="59" t="s">
        <v>86</v>
      </c>
      <c r="E149" s="74" t="s">
        <v>88</v>
      </c>
      <c r="F149" s="74"/>
      <c r="G149" s="74" t="s">
        <v>87</v>
      </c>
      <c r="H149" s="74"/>
      <c r="I149" s="14" t="s">
        <v>145</v>
      </c>
      <c r="J149" s="26">
        <f ca="1">H147*25%</f>
        <v>2.25</v>
      </c>
    </row>
    <row r="150" spans="1:10" ht="16" hidden="1" thickBot="1" x14ac:dyDescent="0.4">
      <c r="A150" s="74" t="s">
        <v>132</v>
      </c>
      <c r="B150" s="74"/>
      <c r="C150" s="59">
        <v>9</v>
      </c>
      <c r="D150" s="51">
        <f ca="1">((100/H147)*C150)/100</f>
        <v>1</v>
      </c>
      <c r="E150" s="75">
        <f ca="1">(((C151/H147*10)+(40/(D147+F147+H147)*C152)+(7.5/(H147)*C153)+(7.5/(H147)*C154)+(10/H147*C155)+(10/H147*C156)+(5/H147*C157)+(5/H147*C158)+(5/H147*C159))/100)</f>
        <v>0.61111111111111116</v>
      </c>
      <c r="F150" s="75"/>
      <c r="G150" s="75">
        <f ca="1">((((C150/H147)*20)+((C151/H147)*25)+(30/(H147+F147+D147)*C152)+(5/H147*C153)+(5/H147*C154)+(5/H147*C155)+(5/H147*C156)+(0/H147*C157)+(0/H147*C158)+(5/H147*C159))/100)</f>
        <v>0.8222222222222223</v>
      </c>
      <c r="H150" s="75"/>
      <c r="I150" s="14" t="s">
        <v>103</v>
      </c>
      <c r="J150" s="27">
        <f ca="1">H147*50%</f>
        <v>4.5</v>
      </c>
    </row>
    <row r="151" spans="1:10" ht="16" hidden="1" thickBot="1" x14ac:dyDescent="0.4">
      <c r="A151" s="74" t="s">
        <v>52</v>
      </c>
      <c r="B151" s="74"/>
      <c r="C151" s="54">
        <v>9</v>
      </c>
      <c r="D151" s="51">
        <f ca="1">((100/H147)*C151)/100</f>
        <v>1</v>
      </c>
      <c r="E151" s="75"/>
      <c r="F151" s="75"/>
      <c r="G151" s="75"/>
      <c r="H151" s="75"/>
      <c r="I151" s="14" t="s">
        <v>104</v>
      </c>
      <c r="J151" s="27">
        <f ca="1">H147</f>
        <v>9</v>
      </c>
    </row>
    <row r="152" spans="1:10" ht="15.75" hidden="1" customHeight="1" x14ac:dyDescent="0.35">
      <c r="A152" s="74" t="s">
        <v>133</v>
      </c>
      <c r="B152" s="74"/>
      <c r="C152" s="59">
        <v>10</v>
      </c>
      <c r="D152" s="51">
        <f ca="1">((100/(D147+F147+H147))*C152)/100</f>
        <v>1</v>
      </c>
      <c r="E152" s="75"/>
      <c r="F152" s="75"/>
      <c r="G152" s="75"/>
      <c r="H152" s="75"/>
      <c r="I152" s="14" t="s">
        <v>105</v>
      </c>
      <c r="J152" s="28">
        <f ca="1">(IF(B147&gt;1,(H147/(B147+2)),H147/4))</f>
        <v>2.25</v>
      </c>
    </row>
    <row r="153" spans="1:10" ht="15.75" hidden="1" customHeight="1" x14ac:dyDescent="0.35">
      <c r="A153" s="74" t="s">
        <v>140</v>
      </c>
      <c r="B153" s="74" t="s">
        <v>134</v>
      </c>
      <c r="C153" s="59">
        <v>9</v>
      </c>
      <c r="D153" s="51">
        <f ca="1">((100/H147)*C153)/100</f>
        <v>1</v>
      </c>
      <c r="E153" s="75"/>
      <c r="F153" s="75"/>
      <c r="G153" s="75"/>
      <c r="H153" s="75"/>
      <c r="I153" s="14" t="s">
        <v>106</v>
      </c>
      <c r="J153" s="28">
        <f ca="1">(IF(B147&gt;1,(H147/(B147+2)+J152),H147/4+J152))</f>
        <v>4.5</v>
      </c>
    </row>
    <row r="154" spans="1:10" ht="15.75" hidden="1" customHeight="1" x14ac:dyDescent="0.35">
      <c r="A154" s="74" t="s">
        <v>141</v>
      </c>
      <c r="B154" s="74" t="s">
        <v>134</v>
      </c>
      <c r="C154" s="59">
        <v>3</v>
      </c>
      <c r="D154" s="51">
        <f ca="1">((100/H147)*C154)/100</f>
        <v>0.33333333333333326</v>
      </c>
      <c r="E154" s="75"/>
      <c r="F154" s="75"/>
      <c r="G154" s="75"/>
      <c r="H154" s="75"/>
      <c r="I154" s="14" t="s">
        <v>150</v>
      </c>
      <c r="J154" s="28">
        <f>(IF(B147&gt;1,(H147/(B147+2)+J153),0))</f>
        <v>0</v>
      </c>
    </row>
    <row r="155" spans="1:10" ht="15" hidden="1" customHeight="1" x14ac:dyDescent="0.35">
      <c r="A155" s="74" t="s">
        <v>139</v>
      </c>
      <c r="B155" s="74" t="s">
        <v>136</v>
      </c>
      <c r="C155" s="59">
        <v>1</v>
      </c>
      <c r="D155" s="51">
        <f ca="1">((100/(H147))*C155)/100</f>
        <v>0.1111111111111111</v>
      </c>
      <c r="E155" s="75"/>
      <c r="F155" s="75"/>
      <c r="G155" s="75"/>
      <c r="H155" s="75"/>
      <c r="I155" s="14" t="s">
        <v>147</v>
      </c>
      <c r="J155" s="28">
        <f>(IF(B147&gt;2,(H147/(B147+2)+J154),0))</f>
        <v>0</v>
      </c>
    </row>
    <row r="156" spans="1:10" ht="15.75" hidden="1" customHeight="1" x14ac:dyDescent="0.35">
      <c r="A156" s="74" t="s">
        <v>135</v>
      </c>
      <c r="B156" s="74" t="s">
        <v>135</v>
      </c>
      <c r="C156" s="59">
        <v>0</v>
      </c>
      <c r="D156" s="51">
        <f ca="1">((100/H147)*C156)/100</f>
        <v>0</v>
      </c>
      <c r="E156" s="75"/>
      <c r="F156" s="75"/>
      <c r="G156" s="75"/>
      <c r="H156" s="75"/>
      <c r="I156" s="14" t="s">
        <v>148</v>
      </c>
      <c r="J156" s="29">
        <f>(IF(B147&gt;3,(H147/(B147+2)+J155),0))</f>
        <v>0</v>
      </c>
    </row>
    <row r="157" spans="1:10" ht="15.75" hidden="1" customHeight="1" x14ac:dyDescent="0.35">
      <c r="A157" s="74" t="s">
        <v>142</v>
      </c>
      <c r="B157" s="74"/>
      <c r="C157" s="59">
        <v>0</v>
      </c>
      <c r="D157" s="51">
        <f ca="1">((100/H147)*C157)/100</f>
        <v>0</v>
      </c>
      <c r="E157" s="75"/>
      <c r="F157" s="75"/>
      <c r="G157" s="75"/>
      <c r="H157" s="75"/>
      <c r="I157" s="14" t="s">
        <v>149</v>
      </c>
      <c r="J157" s="28">
        <f>(IF(B147&gt;4,(H147/(B147+2)+J156),0))</f>
        <v>0</v>
      </c>
    </row>
    <row r="158" spans="1:10" ht="15.75" hidden="1" customHeight="1" x14ac:dyDescent="0.35">
      <c r="A158" s="74" t="s">
        <v>137</v>
      </c>
      <c r="B158" s="74" t="s">
        <v>137</v>
      </c>
      <c r="C158" s="59">
        <v>0</v>
      </c>
      <c r="D158" s="51">
        <f ca="1">((100/(H147))*C158)/100</f>
        <v>0</v>
      </c>
      <c r="E158" s="75"/>
      <c r="F158" s="75"/>
      <c r="G158" s="75"/>
      <c r="H158" s="75"/>
      <c r="I158" s="14" t="s">
        <v>151</v>
      </c>
      <c r="J158" s="28">
        <f ca="1">(IF(B147=1,(H147/(B147+3)+J153),IF(B147=0,(H147/4+J153),IF(B147&gt;1,0))))</f>
        <v>6.75</v>
      </c>
    </row>
    <row r="159" spans="1:10" ht="16" hidden="1" thickBot="1" x14ac:dyDescent="0.4">
      <c r="A159" s="74" t="s">
        <v>138</v>
      </c>
      <c r="B159" s="74"/>
      <c r="C159" s="59">
        <v>0</v>
      </c>
      <c r="D159" s="51">
        <f ca="1">((100/(H147))*C159)/100</f>
        <v>0</v>
      </c>
      <c r="E159" s="75"/>
      <c r="F159" s="75"/>
      <c r="G159" s="75"/>
      <c r="H159" s="75"/>
      <c r="I159" s="15" t="s">
        <v>107</v>
      </c>
      <c r="J159" s="30">
        <f ca="1">(IF(B147&gt;1.5,(H147/(B147+2)+J153+MAX(0,J154-J153)+MAX(0,J155-J154)+MAX(0,J156-J155)+MAX(0,J157-J156)+MAX(0,J158-J157)),IF(B147=1,(H147/(B147+3)+J158),IF(B147=0,H147/4+J158))))</f>
        <v>9</v>
      </c>
    </row>
    <row r="160" spans="1:10" ht="32.15" hidden="1" customHeight="1" thickBot="1" x14ac:dyDescent="0.4">
      <c r="A160" s="67" t="s">
        <v>235</v>
      </c>
      <c r="B160" s="67"/>
      <c r="C160" s="68">
        <f ca="1">AVERAGE(E136,E150)</f>
        <v>0.73333333333333328</v>
      </c>
      <c r="D160" s="67"/>
      <c r="E160" s="67" t="s">
        <v>236</v>
      </c>
      <c r="F160" s="67"/>
      <c r="G160" s="68">
        <f ca="1">AVERAGE(G136,G150)</f>
        <v>0.88055555555555554</v>
      </c>
      <c r="H160" s="67"/>
      <c r="I160" s="15"/>
      <c r="J160" s="30"/>
    </row>
    <row r="161" spans="1:10" ht="15.75" customHeight="1" x14ac:dyDescent="0.35">
      <c r="A161" s="72" t="s">
        <v>144</v>
      </c>
      <c r="B161" s="72"/>
      <c r="C161" s="72" t="str">
        <f>D66</f>
        <v>Tower  6 = Gr + 1st to 9th Floor</v>
      </c>
      <c r="D161" s="72"/>
      <c r="E161" s="72"/>
      <c r="F161" s="72"/>
      <c r="G161" s="72"/>
      <c r="H161" s="72"/>
      <c r="I161" s="61" t="str">
        <f ca="1">IF(D174=100%,"All work Completed. Possession granted to the Building.",IF(D173=100%,"All work Completed, Waiting for OC",I162&amp;""&amp;I163&amp;""&amp;J162&amp;""&amp;J161&amp;" "&amp;J163))</f>
        <v>Excavation, Plinth, RCC Slab, Brickwork, Internal Plaster Completed, External Plaster upto 7 Floor, Flooring upto 4 Floor, Painting upto 3 Floor Completed</v>
      </c>
      <c r="J161" s="44" t="str">
        <f ca="1">(IF(C167=(D162+F162+H162),"",IF(C167&gt;0,", RCC upto "&amp;C167&amp;" Slab","")))&amp;(IF(C168=H162,"",IF(C168&gt;0,", Brickwork upto "&amp;C168&amp;" Floor","")))&amp;(IF(C169=H162,"",IF(C169&gt;0,", Internal Plaster upto "&amp;C169&amp;" Floor","")))&amp;(IF(C170=H162,"",IF(C170&gt;0,", External Plaster upto "&amp;C170&amp;" Floor","")))&amp;(IF(C171=H162,"",IF(C171&gt;0,", Flooring upto "&amp;C171&amp;" Floor","")))&amp;(IF(C172=H162,"",IF(C172&gt;0,", Painting upto "&amp;C172&amp;" Floor","")))&amp;(IF(C173=H162,"",IF(C173&gt;0,", Finishing upto "&amp;C173&amp;" Floor","")))&amp;(IF(C174=H162,"",IF(C174&gt;0,", Possession upto "&amp;C174&amp;" Floor","")))</f>
        <v>, External Plaster upto 7 Floor, Flooring upto 4 Floor, Painting upto 3 Floor</v>
      </c>
    </row>
    <row r="162" spans="1:10" x14ac:dyDescent="0.35">
      <c r="A162" s="60" t="s">
        <v>146</v>
      </c>
      <c r="B162" s="60">
        <v>0</v>
      </c>
      <c r="C162" s="60" t="s">
        <v>75</v>
      </c>
      <c r="D162" s="60">
        <v>1</v>
      </c>
      <c r="E162" s="60" t="s">
        <v>74</v>
      </c>
      <c r="F162" s="60">
        <v>0</v>
      </c>
      <c r="G162" s="60" t="s">
        <v>83</v>
      </c>
      <c r="H162" s="60">
        <f ca="1">--TRIM(RIGHT(SUBSTITUTE(LEFT(C161,_xlfn.AGGREGATE(16,6,FIND({0,1,2,3,4,5,6,7,8,9},C161,ROW(INDIRECT("1:"&amp;LEN(C161)))),1))," ",REPT(" ",LEN(C161))),LEN(C161)))</f>
        <v>9</v>
      </c>
      <c r="I162" s="62" t="str">
        <f ca="1">IF(D165=100%,"Excavation","")&amp;IF(D166=100%,", Plinth","")&amp;IF(D167=100%,", RCC Slab","")&amp;IF(D168=100%,", Brickwork","")&amp;IF(D169=100%,", Internal Plaster","")&amp;IF(D170=100%,", External Plaster","")&amp;IF(D171=100%,", Flooring","")&amp;IF(D172=100%,", Painting","")&amp;IF(D173=100%,", Building common Amenities","")</f>
        <v>Excavation, Plinth, RCC Slab, Brickwork, Internal Plaster</v>
      </c>
      <c r="J162" s="46" t="str">
        <f ca="1">(IF(C165=0,"Work not yet Started.",IF(D165=25%,"Piling work in process",IF(D165=50%,"Excavation work in process",IF(D165=100%,"","0")))))&amp;(IF(C166=0%,"",IF(C166=J167,", Footing work is process",IF(C166=J168,", Footing work Completed",IF(C166=J169,", 1st Basement Completed",IF(C166=J170,", 1st &amp; 2nd Basement Completed",IF(C166=J171,", 1st to 3rd Basement Completed",IF(C166=J172,", 1st to 4th Basement Completed",IF(C166=J173,", Plinth work is process",IF(C166=J174,"","0"))))))))))</f>
        <v/>
      </c>
    </row>
    <row r="163" spans="1:10" ht="47" customHeight="1" x14ac:dyDescent="0.35">
      <c r="A163" s="73" t="s">
        <v>93</v>
      </c>
      <c r="B163" s="73"/>
      <c r="C163" s="72" t="str">
        <f ca="1">(IF($C$56=C161,"All work Completed. OC Received.",I161))</f>
        <v>Excavation, Plinth, RCC Slab, Brickwork, Internal Plaster Completed, External Plaster upto 7 Floor, Flooring upto 4 Floor, Painting upto 3 Floor Completed</v>
      </c>
      <c r="D163" s="72"/>
      <c r="E163" s="72"/>
      <c r="F163" s="72"/>
      <c r="G163" s="72"/>
      <c r="H163" s="72"/>
      <c r="I163" s="62" t="str">
        <f ca="1">IF(I162&lt;&gt;""," Completed","")</f>
        <v xml:space="preserve"> Completed</v>
      </c>
      <c r="J163" s="46" t="str">
        <f ca="1">IF(J161&lt;&gt;"","Completed","")</f>
        <v>Completed</v>
      </c>
    </row>
    <row r="164" spans="1:10" ht="15.75" customHeight="1" x14ac:dyDescent="0.35">
      <c r="A164" s="74" t="s">
        <v>51</v>
      </c>
      <c r="B164" s="74"/>
      <c r="C164" s="58" t="s">
        <v>143</v>
      </c>
      <c r="D164" s="58" t="s">
        <v>86</v>
      </c>
      <c r="E164" s="74" t="s">
        <v>88</v>
      </c>
      <c r="F164" s="74"/>
      <c r="G164" s="74" t="s">
        <v>87</v>
      </c>
      <c r="H164" s="74"/>
      <c r="I164" s="14" t="s">
        <v>145</v>
      </c>
      <c r="J164" s="26">
        <f ca="1">H162*25%</f>
        <v>2.25</v>
      </c>
    </row>
    <row r="165" spans="1:10" x14ac:dyDescent="0.35">
      <c r="A165" s="74" t="s">
        <v>132</v>
      </c>
      <c r="B165" s="74"/>
      <c r="C165" s="58">
        <v>9</v>
      </c>
      <c r="D165" s="51">
        <f ca="1">((100/H162)*C165)/100</f>
        <v>1</v>
      </c>
      <c r="E165" s="75">
        <f ca="1">(((C166/H162*10)+(40/(D162+F162+H162)*C167)+(7.5/(H162)*C168)+(7.5/(H162)*C169)+(10/H162*C170)+(10/H162*C171)+(5/H162*C172)+(5/H162*C173)+(5/H162*C174))/100)</f>
        <v>0.78888888888888886</v>
      </c>
      <c r="F165" s="75"/>
      <c r="G165" s="75">
        <f ca="1">((((C165/H162)*20)+((C166/H162)*25)+(30/(H162+F162+D162)*C167)+(5/H162*C168)+(5/H162*C169)+(5/H162*C170)+(5/H162*C171)+(0/H162*C172)+(0/H162*C173)+(5/H162*C174))/100)</f>
        <v>0.91111111111111109</v>
      </c>
      <c r="H165" s="75"/>
      <c r="I165" s="14" t="s">
        <v>103</v>
      </c>
      <c r="J165" s="27">
        <f ca="1">H162*50%</f>
        <v>4.5</v>
      </c>
    </row>
    <row r="166" spans="1:10" x14ac:dyDescent="0.35">
      <c r="A166" s="74" t="s">
        <v>52</v>
      </c>
      <c r="B166" s="74"/>
      <c r="C166" s="54">
        <f ca="1">J174</f>
        <v>9</v>
      </c>
      <c r="D166" s="51">
        <f ca="1">((100/H162)*C166)/100</f>
        <v>1</v>
      </c>
      <c r="E166" s="75"/>
      <c r="F166" s="75"/>
      <c r="G166" s="75"/>
      <c r="H166" s="75"/>
      <c r="I166" s="14" t="s">
        <v>104</v>
      </c>
      <c r="J166" s="27">
        <f ca="1">H162</f>
        <v>9</v>
      </c>
    </row>
    <row r="167" spans="1:10" ht="15.75" customHeight="1" x14ac:dyDescent="0.35">
      <c r="A167" s="74" t="s">
        <v>133</v>
      </c>
      <c r="B167" s="74"/>
      <c r="C167" s="58">
        <v>10</v>
      </c>
      <c r="D167" s="51">
        <f ca="1">((100/(D162+F162+H162))*C167)/100</f>
        <v>1</v>
      </c>
      <c r="E167" s="75"/>
      <c r="F167" s="75"/>
      <c r="G167" s="75"/>
      <c r="H167" s="75"/>
      <c r="I167" s="14" t="s">
        <v>105</v>
      </c>
      <c r="J167" s="28">
        <f ca="1">(IF(B162&gt;1,(H162/(B162+2)),H162/4))</f>
        <v>2.25</v>
      </c>
    </row>
    <row r="168" spans="1:10" ht="15.75" customHeight="1" x14ac:dyDescent="0.35">
      <c r="A168" s="74" t="s">
        <v>140</v>
      </c>
      <c r="B168" s="74" t="s">
        <v>134</v>
      </c>
      <c r="C168" s="58">
        <v>9</v>
      </c>
      <c r="D168" s="51">
        <f ca="1">((100/H162)*C168)/100</f>
        <v>1</v>
      </c>
      <c r="E168" s="75"/>
      <c r="F168" s="75"/>
      <c r="G168" s="75"/>
      <c r="H168" s="75"/>
      <c r="I168" s="14" t="s">
        <v>106</v>
      </c>
      <c r="J168" s="28">
        <f ca="1">(IF(B162&gt;1,(H162/(B162+2)+J167),H162/4+J167))</f>
        <v>4.5</v>
      </c>
    </row>
    <row r="169" spans="1:10" ht="15.75" customHeight="1" x14ac:dyDescent="0.35">
      <c r="A169" s="74" t="s">
        <v>141</v>
      </c>
      <c r="B169" s="74" t="s">
        <v>134</v>
      </c>
      <c r="C169" s="58">
        <v>9</v>
      </c>
      <c r="D169" s="51">
        <f ca="1">((100/H162)*C169)/100</f>
        <v>1</v>
      </c>
      <c r="E169" s="75"/>
      <c r="F169" s="75"/>
      <c r="G169" s="75"/>
      <c r="H169" s="75"/>
      <c r="I169" s="14" t="s">
        <v>150</v>
      </c>
      <c r="J169" s="28">
        <f>(IF(B162&gt;1,(H162/(B162+2)+J168),0))</f>
        <v>0</v>
      </c>
    </row>
    <row r="170" spans="1:10" ht="15" customHeight="1" x14ac:dyDescent="0.35">
      <c r="A170" s="74" t="s">
        <v>139</v>
      </c>
      <c r="B170" s="74" t="s">
        <v>136</v>
      </c>
      <c r="C170" s="58">
        <v>7</v>
      </c>
      <c r="D170" s="51">
        <f ca="1">((100/(H162))*C170)/100</f>
        <v>0.77777777777777768</v>
      </c>
      <c r="E170" s="75"/>
      <c r="F170" s="75"/>
      <c r="G170" s="75"/>
      <c r="H170" s="75"/>
      <c r="I170" s="14" t="s">
        <v>147</v>
      </c>
      <c r="J170" s="28">
        <f>(IF(B162&gt;2,(H162/(B162+2)+J169),0))</f>
        <v>0</v>
      </c>
    </row>
    <row r="171" spans="1:10" ht="15.75" customHeight="1" x14ac:dyDescent="0.35">
      <c r="A171" s="74" t="s">
        <v>135</v>
      </c>
      <c r="B171" s="74" t="s">
        <v>135</v>
      </c>
      <c r="C171" s="58">
        <v>4</v>
      </c>
      <c r="D171" s="51">
        <f ca="1">((100/H162)*C171)/100</f>
        <v>0.44444444444444442</v>
      </c>
      <c r="E171" s="75"/>
      <c r="F171" s="75"/>
      <c r="G171" s="75"/>
      <c r="H171" s="75"/>
      <c r="I171" s="14" t="s">
        <v>148</v>
      </c>
      <c r="J171" s="29">
        <f>(IF(B162&gt;3,(H162/(B162+2)+J170),0))</f>
        <v>0</v>
      </c>
    </row>
    <row r="172" spans="1:10" ht="15.75" customHeight="1" x14ac:dyDescent="0.35">
      <c r="A172" s="74" t="s">
        <v>142</v>
      </c>
      <c r="B172" s="74"/>
      <c r="C172" s="58">
        <v>3</v>
      </c>
      <c r="D172" s="51">
        <f ca="1">((100/H162)*C172)/100</f>
        <v>0.33333333333333326</v>
      </c>
      <c r="E172" s="75"/>
      <c r="F172" s="75"/>
      <c r="G172" s="75"/>
      <c r="H172" s="75"/>
      <c r="I172" s="14" t="s">
        <v>149</v>
      </c>
      <c r="J172" s="28">
        <f>(IF(B162&gt;4,(H162/(B162+2)+J171),0))</f>
        <v>0</v>
      </c>
    </row>
    <row r="173" spans="1:10" ht="15.75" customHeight="1" x14ac:dyDescent="0.35">
      <c r="A173" s="74" t="s">
        <v>137</v>
      </c>
      <c r="B173" s="74" t="s">
        <v>137</v>
      </c>
      <c r="C173" s="58">
        <v>0</v>
      </c>
      <c r="D173" s="51">
        <f ca="1">((100/(H162))*C173)/100</f>
        <v>0</v>
      </c>
      <c r="E173" s="75"/>
      <c r="F173" s="75"/>
      <c r="G173" s="75"/>
      <c r="H173" s="75"/>
      <c r="I173" s="14" t="s">
        <v>151</v>
      </c>
      <c r="J173" s="28">
        <f ca="1">(IF(B162=1,(H162/(B162+3)+J168),IF(B162=0,(H162/4+J168),IF(B162&gt;1,0))))</f>
        <v>6.75</v>
      </c>
    </row>
    <row r="174" spans="1:10" ht="16" thickBot="1" x14ac:dyDescent="0.4">
      <c r="A174" s="74" t="s">
        <v>138</v>
      </c>
      <c r="B174" s="74"/>
      <c r="C174" s="58">
        <v>0</v>
      </c>
      <c r="D174" s="51">
        <f ca="1">((100/(H162))*C174)/100</f>
        <v>0</v>
      </c>
      <c r="E174" s="75"/>
      <c r="F174" s="75"/>
      <c r="G174" s="75"/>
      <c r="H174" s="75"/>
      <c r="I174" s="15" t="s">
        <v>107</v>
      </c>
      <c r="J174" s="30">
        <f ca="1">(IF(B162&gt;1.5,(H162/(B162+2)+J168+MAX(0,J169-J168)+MAX(0,J170-J169)+MAX(0,J171-J170)+MAX(0,J172-J171)+MAX(0,J173-J172)),IF(B162=1,(H162/(B162+3)+J173),IF(B162=0,H162/4+J173))))</f>
        <v>9</v>
      </c>
    </row>
    <row r="175" spans="1:10" ht="15.75" customHeight="1" x14ac:dyDescent="0.35">
      <c r="A175" s="184" t="s">
        <v>144</v>
      </c>
      <c r="B175" s="185"/>
      <c r="C175" s="186" t="str">
        <f>D67</f>
        <v>Tower  7 = Gr + 1st to 7th Floor</v>
      </c>
      <c r="D175" s="187"/>
      <c r="E175" s="187"/>
      <c r="F175" s="187"/>
      <c r="G175" s="187"/>
      <c r="H175" s="188"/>
      <c r="I175" s="43" t="str">
        <f ca="1">IF(D188=100%,"All work Completed. Possession granted to the Building.",IF(D187=100%,"All work Completed, Waiting for OC",I176&amp;""&amp;I177&amp;""&amp;J176&amp;""&amp;J175&amp;" "&amp;J177))</f>
        <v>Excavation, Plinth, RCC Slab, Brickwork, Internal Plaster, External Plaster, Flooring Completed, Painting upto 6 Floor, Finishing upto 2 Floor Completed</v>
      </c>
      <c r="J175" s="44" t="str">
        <f ca="1">(IF(C181=(D176+F176+H176),"",IF(C181&gt;0,", RCC upto "&amp;C181&amp;" Slab","")))&amp;(IF(C182=H176,"",IF(C182&gt;0,", Brickwork upto "&amp;C182&amp;" Floor","")))&amp;(IF(C183=H176,"",IF(C183&gt;0,", Internal Plaster upto "&amp;C183&amp;" Floor","")))&amp;(IF(C184=H176,"",IF(C184&gt;0,", External Plaster upto "&amp;C184&amp;" Floor","")))&amp;(IF(C185=H176,"",IF(C185&gt;0,", Flooring upto "&amp;C185&amp;" Floor","")))&amp;(IF(C186=H176,"",IF(C186&gt;0,", Painting upto "&amp;C186&amp;" Floor","")))&amp;(IF(C187=H176,"",IF(C187&gt;0,", Finishing upto "&amp;C187&amp;" Floor","")))&amp;(IF(C188=H176,"",IF(C188&gt;0,", Possession upto "&amp;C188&amp;" Floor","")))</f>
        <v>, Painting upto 6 Floor, Finishing upto 2 Floor</v>
      </c>
    </row>
    <row r="176" spans="1:10" x14ac:dyDescent="0.35">
      <c r="A176" s="16" t="s">
        <v>146</v>
      </c>
      <c r="B176" s="49">
        <v>0</v>
      </c>
      <c r="C176" s="49" t="s">
        <v>75</v>
      </c>
      <c r="D176" s="49">
        <v>1</v>
      </c>
      <c r="E176" s="49" t="s">
        <v>74</v>
      </c>
      <c r="F176" s="49">
        <v>0</v>
      </c>
      <c r="G176" s="49" t="s">
        <v>83</v>
      </c>
      <c r="H176" s="17">
        <f ca="1">--TRIM(RIGHT(SUBSTITUTE(LEFT(C175,_xlfn.AGGREGATE(16,6,FIND({0,1,2,3,4,5,6,7,8,9},C175,ROW(INDIRECT("1:"&amp;LEN(C175)))),1))," ",REPT(" ",LEN(C175))),LEN(C175)))</f>
        <v>7</v>
      </c>
      <c r="I176" s="45" t="str">
        <f ca="1">IF(D179=100%,"Excavation","")&amp;IF(D180=100%,", Plinth","")&amp;IF(D181=100%,", RCC Slab","")&amp;IF(D182=100%,", Brickwork","")&amp;IF(D183=100%,", Internal Plaster","")&amp;IF(D184=100%,", External Plaster","")&amp;IF(D185=100%,", Flooring","")&amp;IF(D186=100%,", Painting","")&amp;IF(D187=100%,", Building common Amenities","")</f>
        <v>Excavation, Plinth, RCC Slab, Brickwork, Internal Plaster, External Plaster, Flooring</v>
      </c>
      <c r="J176" s="46" t="str">
        <f ca="1">(IF(C179=0,"Work not yet Started.",IF(D179=25%,"Piling work in process",IF(D179=50%,"Excavation work in process",IF(D179=100%,"","0")))))&amp;(IF(C180=0%,"",IF(C180=J181,", Footing work is process",IF(C180=J182,", Footing work Completed",IF(C180=J183,", 1st Basement Completed",IF(C180=J184,", 1st &amp; 2nd Basement Completed",IF(C180=J185,", 1st to 3rd Basement Completed",IF(C180=J186,", 1st to 4th Basement Completed",IF(C180=J187,", Plinth work is process",IF(C180=J188,"","0"))))))))))</f>
        <v/>
      </c>
    </row>
    <row r="177" spans="1:10" ht="34.5" customHeight="1" x14ac:dyDescent="0.35">
      <c r="A177" s="109" t="s">
        <v>93</v>
      </c>
      <c r="B177" s="73"/>
      <c r="C177" s="72" t="str">
        <f ca="1">(IF($C$56=C175,"All work Completed. OC Received.",I175))</f>
        <v>Excavation, Plinth, RCC Slab, Brickwork, Internal Plaster, External Plaster, Flooring Completed, Painting upto 6 Floor, Finishing upto 2 Floor Completed</v>
      </c>
      <c r="D177" s="72"/>
      <c r="E177" s="72"/>
      <c r="F177" s="72"/>
      <c r="G177" s="72"/>
      <c r="H177" s="110"/>
      <c r="I177" s="45" t="str">
        <f ca="1">IF(I176&lt;&gt;""," Completed","")</f>
        <v xml:space="preserve"> Completed</v>
      </c>
      <c r="J177" s="46" t="str">
        <f ca="1">IF(J175&lt;&gt;"","Completed","")</f>
        <v>Completed</v>
      </c>
    </row>
    <row r="178" spans="1:10" ht="15.75" customHeight="1" x14ac:dyDescent="0.35">
      <c r="A178" s="104" t="s">
        <v>51</v>
      </c>
      <c r="B178" s="74"/>
      <c r="C178" s="50" t="s">
        <v>143</v>
      </c>
      <c r="D178" s="50" t="s">
        <v>86</v>
      </c>
      <c r="E178" s="74" t="s">
        <v>88</v>
      </c>
      <c r="F178" s="74"/>
      <c r="G178" s="74" t="s">
        <v>87</v>
      </c>
      <c r="H178" s="111"/>
      <c r="I178" s="14" t="s">
        <v>145</v>
      </c>
      <c r="J178" s="26">
        <f ca="1">H176*25%</f>
        <v>1.75</v>
      </c>
    </row>
    <row r="179" spans="1:10" x14ac:dyDescent="0.35">
      <c r="A179" s="104" t="s">
        <v>132</v>
      </c>
      <c r="B179" s="74"/>
      <c r="C179" s="50">
        <v>7</v>
      </c>
      <c r="D179" s="51">
        <f ca="1">((100/H176)*C179)/100</f>
        <v>1</v>
      </c>
      <c r="E179" s="136">
        <f ca="1">(((C180/H176*10)+(40/(D176+F176+H176)*C181)+(7.5/(H176)*C182)+(7.5/(H176)*C183)+(10/H176*C184)+(10/H176*C185)+(5/H176*C186)+(5/H176*C187)+(5/H176*C188))/100)</f>
        <v>0.90714285714285725</v>
      </c>
      <c r="F179" s="137"/>
      <c r="G179" s="136">
        <f ca="1">((((C179/H176)*20)+((C180/H176)*25)+(30/(H176+F176+D176)*C181)+(5/H176*C182)+(5/H176*C183)+(5/H176*C184)+(5/H176*C185)+(0/H176*C186)+(0/H176*C187)+(5/H176*C188))/100)</f>
        <v>0.95</v>
      </c>
      <c r="H179" s="142"/>
      <c r="I179" s="14" t="s">
        <v>103</v>
      </c>
      <c r="J179" s="27">
        <f ca="1">H176*50%</f>
        <v>3.5</v>
      </c>
    </row>
    <row r="180" spans="1:10" x14ac:dyDescent="0.35">
      <c r="A180" s="104" t="s">
        <v>52</v>
      </c>
      <c r="B180" s="74"/>
      <c r="C180" s="54">
        <f ca="1">J188</f>
        <v>7</v>
      </c>
      <c r="D180" s="51">
        <f ca="1">((100/H176)*C180)/100</f>
        <v>1</v>
      </c>
      <c r="E180" s="138"/>
      <c r="F180" s="139"/>
      <c r="G180" s="138"/>
      <c r="H180" s="143"/>
      <c r="I180" s="14" t="s">
        <v>104</v>
      </c>
      <c r="J180" s="27">
        <f ca="1">H176</f>
        <v>7</v>
      </c>
    </row>
    <row r="181" spans="1:10" ht="15.75" customHeight="1" x14ac:dyDescent="0.35">
      <c r="A181" s="104" t="s">
        <v>133</v>
      </c>
      <c r="B181" s="74"/>
      <c r="C181" s="50">
        <v>8</v>
      </c>
      <c r="D181" s="51">
        <f ca="1">((100/(D176+F176+H176))*C181)/100</f>
        <v>1</v>
      </c>
      <c r="E181" s="138"/>
      <c r="F181" s="139"/>
      <c r="G181" s="138"/>
      <c r="H181" s="143"/>
      <c r="I181" s="14" t="s">
        <v>105</v>
      </c>
      <c r="J181" s="28">
        <f ca="1">(IF(B176&gt;1,(H176/(B176+2)),H176/4))</f>
        <v>1.75</v>
      </c>
    </row>
    <row r="182" spans="1:10" ht="15.75" customHeight="1" x14ac:dyDescent="0.35">
      <c r="A182" s="104" t="s">
        <v>140</v>
      </c>
      <c r="B182" s="74" t="s">
        <v>134</v>
      </c>
      <c r="C182" s="50">
        <v>7</v>
      </c>
      <c r="D182" s="51">
        <f ca="1">((100/H176)*C182)/100</f>
        <v>1</v>
      </c>
      <c r="E182" s="138"/>
      <c r="F182" s="139"/>
      <c r="G182" s="138"/>
      <c r="H182" s="143"/>
      <c r="I182" s="14" t="s">
        <v>106</v>
      </c>
      <c r="J182" s="28">
        <f ca="1">(IF(B176&gt;1,(H176/(B176+2)+J181),H176/4+J181))</f>
        <v>3.5</v>
      </c>
    </row>
    <row r="183" spans="1:10" ht="15.75" customHeight="1" x14ac:dyDescent="0.35">
      <c r="A183" s="104" t="s">
        <v>141</v>
      </c>
      <c r="B183" s="74" t="s">
        <v>134</v>
      </c>
      <c r="C183" s="50">
        <v>7</v>
      </c>
      <c r="D183" s="51">
        <f ca="1">((100/H176)*C183)/100</f>
        <v>1</v>
      </c>
      <c r="E183" s="138"/>
      <c r="F183" s="139"/>
      <c r="G183" s="138"/>
      <c r="H183" s="143"/>
      <c r="I183" s="14" t="s">
        <v>150</v>
      </c>
      <c r="J183" s="28">
        <f>(IF(B176&gt;1,(H176/(B176+2)+J182),0))</f>
        <v>0</v>
      </c>
    </row>
    <row r="184" spans="1:10" ht="15" customHeight="1" x14ac:dyDescent="0.35">
      <c r="A184" s="104" t="s">
        <v>139</v>
      </c>
      <c r="B184" s="74" t="s">
        <v>136</v>
      </c>
      <c r="C184" s="50">
        <v>7</v>
      </c>
      <c r="D184" s="51">
        <f ca="1">((100/(H176))*C184)/100</f>
        <v>1</v>
      </c>
      <c r="E184" s="138"/>
      <c r="F184" s="139"/>
      <c r="G184" s="138"/>
      <c r="H184" s="143"/>
      <c r="I184" s="14" t="s">
        <v>147</v>
      </c>
      <c r="J184" s="28">
        <f>(IF(B176&gt;2,(H176/(B176+2)+J183),0))</f>
        <v>0</v>
      </c>
    </row>
    <row r="185" spans="1:10" ht="15.75" customHeight="1" x14ac:dyDescent="0.35">
      <c r="A185" s="104" t="s">
        <v>135</v>
      </c>
      <c r="B185" s="74" t="s">
        <v>135</v>
      </c>
      <c r="C185" s="50">
        <v>7</v>
      </c>
      <c r="D185" s="51">
        <f ca="1">((100/H176)*C185)/100</f>
        <v>1</v>
      </c>
      <c r="E185" s="138"/>
      <c r="F185" s="139"/>
      <c r="G185" s="138"/>
      <c r="H185" s="143"/>
      <c r="I185" s="14" t="s">
        <v>148</v>
      </c>
      <c r="J185" s="29">
        <f>(IF(B176&gt;3,(H176/(B176+2)+J184),0))</f>
        <v>0</v>
      </c>
    </row>
    <row r="186" spans="1:10" ht="15.75" customHeight="1" x14ac:dyDescent="0.35">
      <c r="A186" s="104" t="s">
        <v>142</v>
      </c>
      <c r="B186" s="74"/>
      <c r="C186" s="50">
        <v>6</v>
      </c>
      <c r="D186" s="51">
        <f ca="1">((100/H176)*C186)/100</f>
        <v>0.85714285714285721</v>
      </c>
      <c r="E186" s="138"/>
      <c r="F186" s="139"/>
      <c r="G186" s="138"/>
      <c r="H186" s="143"/>
      <c r="I186" s="14" t="s">
        <v>149</v>
      </c>
      <c r="J186" s="28">
        <f>(IF(B176&gt;4,(H176/(B176+2)+J185),0))</f>
        <v>0</v>
      </c>
    </row>
    <row r="187" spans="1:10" ht="15.75" customHeight="1" x14ac:dyDescent="0.35">
      <c r="A187" s="104" t="s">
        <v>137</v>
      </c>
      <c r="B187" s="74" t="s">
        <v>137</v>
      </c>
      <c r="C187" s="50">
        <v>2</v>
      </c>
      <c r="D187" s="51">
        <f ca="1">((100/(H176))*C187)/100</f>
        <v>0.28571428571428575</v>
      </c>
      <c r="E187" s="138"/>
      <c r="F187" s="139"/>
      <c r="G187" s="138"/>
      <c r="H187" s="143"/>
      <c r="I187" s="14" t="s">
        <v>151</v>
      </c>
      <c r="J187" s="28">
        <f ca="1">(IF(B176=1,(H176/(B176+3)+J182),IF(B176=0,(H176/4+J182),IF(B176&gt;1,0))))</f>
        <v>5.25</v>
      </c>
    </row>
    <row r="188" spans="1:10" ht="16" thickBot="1" x14ac:dyDescent="0.4">
      <c r="A188" s="189" t="s">
        <v>138</v>
      </c>
      <c r="B188" s="190"/>
      <c r="C188" s="63">
        <v>0</v>
      </c>
      <c r="D188" s="64">
        <f ca="1">((100/(H176))*C188)/100</f>
        <v>0</v>
      </c>
      <c r="E188" s="138"/>
      <c r="F188" s="139"/>
      <c r="G188" s="138"/>
      <c r="H188" s="143"/>
      <c r="I188" s="15" t="s">
        <v>107</v>
      </c>
      <c r="J188" s="30">
        <f ca="1">(IF(B176&gt;1.5,(H176/(B176+2)+J182+MAX(0,J183-J182)+MAX(0,J184-J183)+MAX(0,J185-J184)+MAX(0,J186-J185)+MAX(0,J187-J186)),IF(B176=1,(H176/(B176+3)+J187),IF(B176=0,H176/4+J187))))</f>
        <v>7</v>
      </c>
    </row>
    <row r="189" spans="1:10" ht="15.75" customHeight="1" x14ac:dyDescent="0.35">
      <c r="A189" s="72" t="s">
        <v>144</v>
      </c>
      <c r="B189" s="72"/>
      <c r="C189" s="72" t="str">
        <f>D68</f>
        <v>Tower 8 = Gr + 1st to 9th Floor</v>
      </c>
      <c r="D189" s="72"/>
      <c r="E189" s="72"/>
      <c r="F189" s="72"/>
      <c r="G189" s="72"/>
      <c r="H189" s="72"/>
      <c r="I189" s="61" t="str">
        <f ca="1">IF(D202=100%,"All work Completed. Possession granted to the Building.",IF(D201=100%,"All work Completed, Waiting for OC",I190&amp;""&amp;I191&amp;""&amp;J190&amp;""&amp;J189&amp;" "&amp;J191))</f>
        <v xml:space="preserve">Excavation Completed, Footing work is process </v>
      </c>
      <c r="J189" s="44" t="str">
        <f ca="1">(IF(C195=(D190+F190+H190),"",IF(C195&gt;0,", RCC upto "&amp;C195&amp;" Slab","")))&amp;(IF(C196=H190,"",IF(C196&gt;0,", Brickwork upto "&amp;C196&amp;" Floor","")))&amp;(IF(C197=H190,"",IF(C197&gt;0,", Internal Plaster upto "&amp;C197&amp;" Floor","")))&amp;(IF(C198=H190,"",IF(C198&gt;0,", External Plaster upto "&amp;C198&amp;" Floor","")))&amp;(IF(C199=H190,"",IF(C199&gt;0,", Flooring upto "&amp;C199&amp;" Floor","")))&amp;(IF(C200=H190,"",IF(C200&gt;0,", Painting upto "&amp;C200&amp;" Floor","")))&amp;(IF(C201=H190,"",IF(C201&gt;0,", Finishing upto "&amp;C201&amp;" Floor","")))&amp;(IF(C202=H190,"",IF(C202&gt;0,", Possession upto "&amp;C202&amp;" Floor","")))</f>
        <v/>
      </c>
    </row>
    <row r="190" spans="1:10" x14ac:dyDescent="0.35">
      <c r="A190" s="66" t="s">
        <v>146</v>
      </c>
      <c r="B190" s="66">
        <v>0</v>
      </c>
      <c r="C190" s="66" t="s">
        <v>75</v>
      </c>
      <c r="D190" s="66">
        <v>1</v>
      </c>
      <c r="E190" s="66" t="s">
        <v>74</v>
      </c>
      <c r="F190" s="66">
        <v>0</v>
      </c>
      <c r="G190" s="66" t="s">
        <v>83</v>
      </c>
      <c r="H190" s="66">
        <f ca="1">--TRIM(RIGHT(SUBSTITUTE(LEFT(C189,_xlfn.AGGREGATE(16,6,FIND({0,1,2,3,4,5,6,7,8,9},C189,ROW(INDIRECT("1:"&amp;LEN(C189)))),1))," ",REPT(" ",LEN(C189))),LEN(C189)))</f>
        <v>9</v>
      </c>
      <c r="I190" s="62" t="str">
        <f ca="1">IF(D193=100%,"Excavation","")&amp;IF(D194=100%,", Plinth","")&amp;IF(D195=100%,", RCC Slab","")&amp;IF(D196=100%,", Brickwork","")&amp;IF(D197=100%,", Internal Plaster","")&amp;IF(D198=100%,", External Plaster","")&amp;IF(D199=100%,", Flooring","")&amp;IF(D200=100%,", Painting","")&amp;IF(D201=100%,", Building common Amenities","")</f>
        <v>Excavation</v>
      </c>
      <c r="J190" s="46" t="str">
        <f ca="1">(IF(C193=0,"Work not yet Started.",IF(D193=25%,"Piling work in process",IF(D193=50%,"Excavation work in process",IF(D193=100%,"","0")))))&amp;(IF(C194=0%,"",IF(C194=J195,", Footing work is process",IF(C194=J196,", Footing work Completed",IF(C194=J197,", 1st Basement Completed",IF(C194=J198,", 1st &amp; 2nd Basement Completed",IF(C194=J199,", 1st to 3rd Basement Completed",IF(C194=J200,", 1st to 4th Basement Completed",IF(C194=J201,", Plinth work is process",IF(C194=J202,"","0"))))))))))</f>
        <v>, Footing work is process</v>
      </c>
    </row>
    <row r="191" spans="1:10" x14ac:dyDescent="0.35">
      <c r="A191" s="73" t="s">
        <v>93</v>
      </c>
      <c r="B191" s="73"/>
      <c r="C191" s="72" t="str">
        <f ca="1">(IF($C$56=C189,"All work Completed. OC Received.",I189))</f>
        <v xml:space="preserve">Excavation Completed, Footing work is process </v>
      </c>
      <c r="D191" s="72"/>
      <c r="E191" s="72"/>
      <c r="F191" s="72"/>
      <c r="G191" s="72"/>
      <c r="H191" s="72"/>
      <c r="I191" s="62" t="str">
        <f ca="1">IF(I190&lt;&gt;""," Completed","")</f>
        <v xml:space="preserve"> Completed</v>
      </c>
      <c r="J191" s="46" t="str">
        <f ca="1">IF(J189&lt;&gt;"","Completed","")</f>
        <v/>
      </c>
    </row>
    <row r="192" spans="1:10" ht="15.75" customHeight="1" x14ac:dyDescent="0.35">
      <c r="A192" s="74" t="s">
        <v>51</v>
      </c>
      <c r="B192" s="74"/>
      <c r="C192" s="65" t="s">
        <v>143</v>
      </c>
      <c r="D192" s="65" t="s">
        <v>86</v>
      </c>
      <c r="E192" s="74" t="s">
        <v>88</v>
      </c>
      <c r="F192" s="74"/>
      <c r="G192" s="74" t="s">
        <v>87</v>
      </c>
      <c r="H192" s="74"/>
      <c r="I192" s="14" t="s">
        <v>145</v>
      </c>
      <c r="J192" s="26">
        <f ca="1">H190*25%</f>
        <v>2.25</v>
      </c>
    </row>
    <row r="193" spans="1:12" x14ac:dyDescent="0.35">
      <c r="A193" s="74" t="s">
        <v>132</v>
      </c>
      <c r="B193" s="74"/>
      <c r="C193" s="65">
        <f ca="1">J194</f>
        <v>9</v>
      </c>
      <c r="D193" s="51">
        <f ca="1">((100/H190)*C193)/100</f>
        <v>1</v>
      </c>
      <c r="E193" s="75">
        <f ca="1">(((C194/H190*10)+(40/(D190+F190+H190)*C195)+(7.5/(H190)*C196)+(7.5/(H190)*C197)+(10/H190*C198)+(10/H190*C199)+(5/H190*C200)+(5/H190*C201)+(5/H190*C202))/100)</f>
        <v>2.5000000000000001E-2</v>
      </c>
      <c r="F193" s="75"/>
      <c r="G193" s="75">
        <f ca="1">((((C193/H190)*20)+((C194/H190)*25)+(30/(H190+F190+D190)*C195)+(5/H190*C196)+(5/H190*C197)+(5/H190*C198)+(5/H190*C199)+(0/H190*C200)+(0/H190*C201)+(5/H190*C202))/100)</f>
        <v>0.26250000000000001</v>
      </c>
      <c r="H193" s="75"/>
      <c r="I193" s="14" t="s">
        <v>103</v>
      </c>
      <c r="J193" s="27">
        <f ca="1">H190*50%</f>
        <v>4.5</v>
      </c>
    </row>
    <row r="194" spans="1:12" x14ac:dyDescent="0.35">
      <c r="A194" s="74" t="s">
        <v>52</v>
      </c>
      <c r="B194" s="74"/>
      <c r="C194" s="54">
        <f ca="1">J195</f>
        <v>2.25</v>
      </c>
      <c r="D194" s="51">
        <f ca="1">((100/H190)*C194)/100</f>
        <v>0.25</v>
      </c>
      <c r="E194" s="75"/>
      <c r="F194" s="75"/>
      <c r="G194" s="75"/>
      <c r="H194" s="75"/>
      <c r="I194" s="14" t="s">
        <v>104</v>
      </c>
      <c r="J194" s="27">
        <f ca="1">H190</f>
        <v>9</v>
      </c>
    </row>
    <row r="195" spans="1:12" ht="15.75" customHeight="1" x14ac:dyDescent="0.35">
      <c r="A195" s="74" t="s">
        <v>133</v>
      </c>
      <c r="B195" s="74"/>
      <c r="C195" s="65">
        <v>0</v>
      </c>
      <c r="D195" s="51">
        <f ca="1">((100/(D190+F190+H190))*C195)/100</f>
        <v>0</v>
      </c>
      <c r="E195" s="75"/>
      <c r="F195" s="75"/>
      <c r="G195" s="75"/>
      <c r="H195" s="75"/>
      <c r="I195" s="14" t="s">
        <v>105</v>
      </c>
      <c r="J195" s="28">
        <f ca="1">(IF(B190&gt;1,(H190/(B190+2)),H190/4))</f>
        <v>2.25</v>
      </c>
    </row>
    <row r="196" spans="1:12" ht="15.75" customHeight="1" x14ac:dyDescent="0.35">
      <c r="A196" s="74" t="s">
        <v>140</v>
      </c>
      <c r="B196" s="74" t="s">
        <v>134</v>
      </c>
      <c r="C196" s="65">
        <v>0</v>
      </c>
      <c r="D196" s="51">
        <f ca="1">((100/H190)*C196)/100</f>
        <v>0</v>
      </c>
      <c r="E196" s="75"/>
      <c r="F196" s="75"/>
      <c r="G196" s="75"/>
      <c r="H196" s="75"/>
      <c r="I196" s="14" t="s">
        <v>106</v>
      </c>
      <c r="J196" s="28">
        <f ca="1">(IF(B190&gt;1,(H190/(B190+2)+J195),H190/4+J195))</f>
        <v>4.5</v>
      </c>
    </row>
    <row r="197" spans="1:12" ht="15.75" customHeight="1" x14ac:dyDescent="0.35">
      <c r="A197" s="74" t="s">
        <v>141</v>
      </c>
      <c r="B197" s="74" t="s">
        <v>134</v>
      </c>
      <c r="C197" s="65">
        <v>0</v>
      </c>
      <c r="D197" s="51">
        <f ca="1">((100/H190)*C197)/100</f>
        <v>0</v>
      </c>
      <c r="E197" s="75"/>
      <c r="F197" s="75"/>
      <c r="G197" s="75"/>
      <c r="H197" s="75"/>
      <c r="I197" s="14" t="s">
        <v>150</v>
      </c>
      <c r="J197" s="28">
        <f>(IF(B190&gt;1,(H190/(B190+2)+J196),0))</f>
        <v>0</v>
      </c>
    </row>
    <row r="198" spans="1:12" ht="15" customHeight="1" x14ac:dyDescent="0.35">
      <c r="A198" s="74" t="s">
        <v>139</v>
      </c>
      <c r="B198" s="74" t="s">
        <v>136</v>
      </c>
      <c r="C198" s="65">
        <v>0</v>
      </c>
      <c r="D198" s="51">
        <f ca="1">((100/(H190))*C198)/100</f>
        <v>0</v>
      </c>
      <c r="E198" s="75"/>
      <c r="F198" s="75"/>
      <c r="G198" s="75"/>
      <c r="H198" s="75"/>
      <c r="I198" s="14" t="s">
        <v>147</v>
      </c>
      <c r="J198" s="28">
        <f>(IF(B190&gt;2,(H190/(B190+2)+J197),0))</f>
        <v>0</v>
      </c>
    </row>
    <row r="199" spans="1:12" ht="15.75" customHeight="1" x14ac:dyDescent="0.35">
      <c r="A199" s="74" t="s">
        <v>135</v>
      </c>
      <c r="B199" s="74" t="s">
        <v>135</v>
      </c>
      <c r="C199" s="65">
        <v>0</v>
      </c>
      <c r="D199" s="51">
        <f ca="1">((100/H190)*C199)/100</f>
        <v>0</v>
      </c>
      <c r="E199" s="75"/>
      <c r="F199" s="75"/>
      <c r="G199" s="75"/>
      <c r="H199" s="75"/>
      <c r="I199" s="14" t="s">
        <v>148</v>
      </c>
      <c r="J199" s="29">
        <f>(IF(B190&gt;3,(H190/(B190+2)+J198),0))</f>
        <v>0</v>
      </c>
    </row>
    <row r="200" spans="1:12" ht="15.75" customHeight="1" x14ac:dyDescent="0.35">
      <c r="A200" s="74" t="s">
        <v>142</v>
      </c>
      <c r="B200" s="74"/>
      <c r="C200" s="65">
        <v>0</v>
      </c>
      <c r="D200" s="51">
        <f ca="1">((100/H190)*C200)/100</f>
        <v>0</v>
      </c>
      <c r="E200" s="75"/>
      <c r="F200" s="75"/>
      <c r="G200" s="75"/>
      <c r="H200" s="75"/>
      <c r="I200" s="14" t="s">
        <v>149</v>
      </c>
      <c r="J200" s="28">
        <f>(IF(B190&gt;4,(H190/(B190+2)+J199),0))</f>
        <v>0</v>
      </c>
    </row>
    <row r="201" spans="1:12" ht="15.75" customHeight="1" x14ac:dyDescent="0.35">
      <c r="A201" s="74" t="s">
        <v>137</v>
      </c>
      <c r="B201" s="74" t="s">
        <v>137</v>
      </c>
      <c r="C201" s="65">
        <v>0</v>
      </c>
      <c r="D201" s="51">
        <f ca="1">((100/(H190))*C201)/100</f>
        <v>0</v>
      </c>
      <c r="E201" s="75"/>
      <c r="F201" s="75"/>
      <c r="G201" s="75"/>
      <c r="H201" s="75"/>
      <c r="I201" s="14" t="s">
        <v>151</v>
      </c>
      <c r="J201" s="28">
        <f ca="1">(IF(B190=1,(H190/(B190+3)+J196),IF(B190=0,(H190/4+J196),IF(B190&gt;1,0))))</f>
        <v>6.75</v>
      </c>
    </row>
    <row r="202" spans="1:12" ht="16" thickBot="1" x14ac:dyDescent="0.4">
      <c r="A202" s="74" t="s">
        <v>138</v>
      </c>
      <c r="B202" s="74"/>
      <c r="C202" s="65">
        <v>0</v>
      </c>
      <c r="D202" s="51">
        <f ca="1">((100/(H190))*C202)/100</f>
        <v>0</v>
      </c>
      <c r="E202" s="75"/>
      <c r="F202" s="75"/>
      <c r="G202" s="75"/>
      <c r="H202" s="75"/>
      <c r="I202" s="15" t="s">
        <v>107</v>
      </c>
      <c r="J202" s="30">
        <f ca="1">(IF(B190&gt;1.5,(H190/(B190+2)+J196+MAX(0,J197-J196)+MAX(0,J198-J197)+MAX(0,J199-J198)+MAX(0,J200-J199)+MAX(0,J201-J200)),IF(B190=1,(H190/(B190+3)+J201),IF(B190=0,H190/4+J201))))</f>
        <v>9</v>
      </c>
    </row>
    <row r="203" spans="1:12" x14ac:dyDescent="0.35">
      <c r="A203" s="183" t="s">
        <v>160</v>
      </c>
      <c r="B203" s="183"/>
      <c r="C203" s="183"/>
      <c r="D203" s="183"/>
      <c r="E203" s="183"/>
      <c r="F203" s="170" t="s">
        <v>165</v>
      </c>
      <c r="G203" s="170"/>
      <c r="H203" s="170"/>
    </row>
    <row r="204" spans="1:12" x14ac:dyDescent="0.35">
      <c r="A204" s="98" t="s">
        <v>163</v>
      </c>
      <c r="B204" s="98"/>
      <c r="C204" s="98"/>
      <c r="D204" s="98"/>
      <c r="E204" s="98"/>
      <c r="F204" s="105">
        <v>3600</v>
      </c>
      <c r="G204" s="105"/>
      <c r="H204" s="105"/>
      <c r="I204" s="19" t="s">
        <v>226</v>
      </c>
      <c r="J204" s="19" t="s">
        <v>227</v>
      </c>
      <c r="K204" s="19" t="s">
        <v>228</v>
      </c>
      <c r="L204" s="23">
        <v>45212</v>
      </c>
    </row>
    <row r="205" spans="1:12" hidden="1" x14ac:dyDescent="0.35">
      <c r="A205" s="98" t="s">
        <v>162</v>
      </c>
      <c r="B205" s="98"/>
      <c r="C205" s="98"/>
      <c r="D205" s="98"/>
      <c r="E205" s="98"/>
      <c r="F205" s="86"/>
      <c r="G205" s="86"/>
      <c r="H205" s="86"/>
    </row>
    <row r="206" spans="1:12" hidden="1" x14ac:dyDescent="0.35">
      <c r="A206" s="98" t="s">
        <v>164</v>
      </c>
      <c r="B206" s="98"/>
      <c r="C206" s="98"/>
      <c r="D206" s="98"/>
      <c r="E206" s="98"/>
      <c r="F206" s="86"/>
      <c r="G206" s="86"/>
      <c r="H206" s="86"/>
    </row>
    <row r="207" spans="1:12" s="31" customFormat="1" hidden="1" x14ac:dyDescent="0.3">
      <c r="A207" s="98" t="s">
        <v>161</v>
      </c>
      <c r="B207" s="98"/>
      <c r="C207" s="98"/>
      <c r="D207" s="98"/>
      <c r="E207" s="98"/>
      <c r="F207" s="86"/>
      <c r="G207" s="86"/>
      <c r="H207" s="86"/>
    </row>
    <row r="208" spans="1:12" s="31" customFormat="1" hidden="1" x14ac:dyDescent="0.3">
      <c r="A208" s="98" t="s">
        <v>98</v>
      </c>
      <c r="B208" s="98"/>
      <c r="C208" s="98"/>
      <c r="D208" s="98"/>
      <c r="E208" s="98"/>
      <c r="F208" s="86"/>
      <c r="G208" s="86"/>
      <c r="H208" s="86"/>
    </row>
    <row r="209" spans="1:8" s="31" customFormat="1" hidden="1" x14ac:dyDescent="0.3">
      <c r="A209" s="98" t="s">
        <v>99</v>
      </c>
      <c r="B209" s="98"/>
      <c r="C209" s="98"/>
      <c r="D209" s="98"/>
      <c r="E209" s="98"/>
      <c r="F209" s="86"/>
      <c r="G209" s="86"/>
      <c r="H209" s="86"/>
    </row>
    <row r="210" spans="1:8" s="31" customFormat="1" hidden="1" x14ac:dyDescent="0.3">
      <c r="A210" s="98" t="s">
        <v>166</v>
      </c>
      <c r="B210" s="98"/>
      <c r="C210" s="98"/>
      <c r="D210" s="98"/>
      <c r="E210" s="98"/>
      <c r="F210" s="86">
        <v>10000</v>
      </c>
      <c r="G210" s="86"/>
      <c r="H210" s="86"/>
    </row>
    <row r="211" spans="1:8" s="31" customFormat="1" hidden="1" x14ac:dyDescent="0.3">
      <c r="A211" s="98" t="s">
        <v>100</v>
      </c>
      <c r="B211" s="98"/>
      <c r="C211" s="98"/>
      <c r="D211" s="98"/>
      <c r="E211" s="98"/>
      <c r="F211" s="86"/>
      <c r="G211" s="86"/>
      <c r="H211" s="86"/>
    </row>
    <row r="212" spans="1:8" s="31" customFormat="1" x14ac:dyDescent="0.3">
      <c r="A212" s="98" t="s">
        <v>217</v>
      </c>
      <c r="B212" s="98"/>
      <c r="C212" s="98"/>
      <c r="D212" s="98"/>
      <c r="E212" s="98"/>
      <c r="F212" s="86">
        <v>150000</v>
      </c>
      <c r="G212" s="86"/>
      <c r="H212" s="86"/>
    </row>
    <row r="213" spans="1:8" s="31" customFormat="1" hidden="1" x14ac:dyDescent="0.3">
      <c r="A213" s="98" t="s">
        <v>101</v>
      </c>
      <c r="B213" s="98"/>
      <c r="C213" s="98"/>
      <c r="D213" s="98"/>
      <c r="E213" s="98"/>
      <c r="F213" s="86"/>
      <c r="G213" s="86"/>
      <c r="H213" s="86"/>
    </row>
    <row r="214" spans="1:8" s="31" customFormat="1" hidden="1" x14ac:dyDescent="0.3">
      <c r="A214" s="98" t="s">
        <v>102</v>
      </c>
      <c r="B214" s="98"/>
      <c r="C214" s="98"/>
      <c r="D214" s="98"/>
      <c r="E214" s="98"/>
      <c r="F214" s="86"/>
      <c r="G214" s="86"/>
      <c r="H214" s="86"/>
    </row>
    <row r="215" spans="1:8" hidden="1" x14ac:dyDescent="0.35">
      <c r="A215" s="98" t="s">
        <v>53</v>
      </c>
      <c r="B215" s="98"/>
      <c r="C215" s="98"/>
      <c r="D215" s="98"/>
      <c r="E215" s="98"/>
      <c r="F215" s="86"/>
      <c r="G215" s="86"/>
      <c r="H215" s="86"/>
    </row>
    <row r="216" spans="1:8" s="32" customFormat="1" x14ac:dyDescent="0.35">
      <c r="A216" s="126" t="s">
        <v>54</v>
      </c>
      <c r="B216" s="126"/>
      <c r="C216" s="126"/>
      <c r="D216" s="126"/>
      <c r="E216" s="126"/>
      <c r="F216" s="105">
        <f>F204*0.8</f>
        <v>2880</v>
      </c>
      <c r="G216" s="105"/>
      <c r="H216" s="105"/>
    </row>
    <row r="217" spans="1:8" s="33" customFormat="1" ht="15.75" hidden="1" customHeight="1" x14ac:dyDescent="0.35">
      <c r="A217" s="125" t="s">
        <v>78</v>
      </c>
      <c r="B217" s="125"/>
      <c r="C217" s="125"/>
      <c r="D217" s="125"/>
      <c r="E217" s="125"/>
      <c r="F217" s="125"/>
      <c r="G217" s="125"/>
      <c r="H217" s="125"/>
    </row>
    <row r="218" spans="1:8" s="33" customFormat="1" ht="15.75" hidden="1" customHeight="1" x14ac:dyDescent="0.35">
      <c r="A218" s="85" t="s">
        <v>55</v>
      </c>
      <c r="B218" s="85"/>
      <c r="C218" s="174" t="s">
        <v>81</v>
      </c>
      <c r="D218" s="174"/>
      <c r="E218" s="84" t="s">
        <v>56</v>
      </c>
      <c r="F218" s="84"/>
      <c r="G218" s="85" t="s">
        <v>57</v>
      </c>
      <c r="H218" s="85"/>
    </row>
    <row r="219" spans="1:8" s="33" customFormat="1" hidden="1" x14ac:dyDescent="0.35">
      <c r="A219" s="127"/>
      <c r="B219" s="127"/>
      <c r="C219" s="172"/>
      <c r="D219" s="172"/>
      <c r="E219" s="171"/>
      <c r="F219" s="171"/>
      <c r="G219" s="106"/>
      <c r="H219" s="106"/>
    </row>
    <row r="220" spans="1:8" s="33" customFormat="1" hidden="1" x14ac:dyDescent="0.35">
      <c r="A220" s="127"/>
      <c r="B220" s="127"/>
      <c r="C220" s="172"/>
      <c r="D220" s="172"/>
      <c r="E220" s="171"/>
      <c r="F220" s="171"/>
      <c r="G220" s="106"/>
      <c r="H220" s="106"/>
    </row>
    <row r="221" spans="1:8" s="33" customFormat="1" hidden="1" x14ac:dyDescent="0.35">
      <c r="A221" s="125" t="s">
        <v>154</v>
      </c>
      <c r="B221" s="125"/>
      <c r="C221" s="174"/>
      <c r="D221" s="174"/>
      <c r="E221" s="84"/>
      <c r="F221" s="84"/>
      <c r="G221" s="85"/>
      <c r="H221" s="85"/>
    </row>
    <row r="222" spans="1:8" s="33" customFormat="1" x14ac:dyDescent="0.35">
      <c r="A222" s="125" t="s">
        <v>73</v>
      </c>
      <c r="B222" s="125"/>
      <c r="C222" s="125"/>
      <c r="D222" s="125"/>
      <c r="E222" s="125"/>
      <c r="F222" s="125"/>
      <c r="G222" s="125"/>
      <c r="H222" s="125"/>
    </row>
    <row r="223" spans="1:8" s="33" customFormat="1" ht="15.75" customHeight="1" x14ac:dyDescent="0.35">
      <c r="A223" s="85" t="s">
        <v>55</v>
      </c>
      <c r="B223" s="85"/>
      <c r="C223" s="174" t="s">
        <v>81</v>
      </c>
      <c r="D223" s="174"/>
      <c r="E223" s="84" t="s">
        <v>56</v>
      </c>
      <c r="F223" s="84"/>
      <c r="G223" s="85" t="s">
        <v>57</v>
      </c>
      <c r="H223" s="85"/>
    </row>
    <row r="224" spans="1:8" s="33" customFormat="1" x14ac:dyDescent="0.35">
      <c r="A224" s="127" t="s">
        <v>191</v>
      </c>
      <c r="B224" s="127"/>
      <c r="C224" s="177">
        <f>(COUNT(D252:D263)+COUNT(D265:D276)*7+COUNT(D278:D280,D282:D289))*3</f>
        <v>321</v>
      </c>
      <c r="D224" s="177"/>
      <c r="E224" s="178">
        <f>(SUM(D252:D263)+SUM(D265:D276)*7+SUM(D278:D280,D282:D289))*3</f>
        <v>120595.43307239999</v>
      </c>
      <c r="F224" s="178"/>
      <c r="G224" s="178">
        <f>(SUM(F252:F263)+SUM(F265:F276)*7+SUM(F278:F280,F282:F289))*3</f>
        <v>174863.37795497998</v>
      </c>
      <c r="H224" s="178"/>
    </row>
    <row r="225" spans="1:14" s="33" customFormat="1" x14ac:dyDescent="0.35">
      <c r="A225" s="127" t="s">
        <v>197</v>
      </c>
      <c r="B225" s="127"/>
      <c r="C225" s="177">
        <f>COUNT(D292:D311)+COUNT(D313:D332)*8+COUNT(D334:D348,D351:D353)</f>
        <v>198</v>
      </c>
      <c r="D225" s="177"/>
      <c r="E225" s="178">
        <f>SUM(D292:D311)+SUM(D313:D332)*8+SUM(D334:D348,D351:D353)</f>
        <v>74364.827003999977</v>
      </c>
      <c r="F225" s="178"/>
      <c r="G225" s="178">
        <f>SUM(F292:F311)+SUM(F313:F332)*8+SUM(F334:F348,F351:F353)</f>
        <v>107828.99915579997</v>
      </c>
      <c r="H225" s="178"/>
    </row>
    <row r="226" spans="1:14" s="33" customFormat="1" x14ac:dyDescent="0.35">
      <c r="A226" s="127" t="s">
        <v>200</v>
      </c>
      <c r="B226" s="127"/>
      <c r="C226" s="177">
        <f>(COUNT(D356:D382)+COUNT(D384:D410)*8+COUNT(D412:D433,D436:D438))*2</f>
        <v>536</v>
      </c>
      <c r="D226" s="177"/>
      <c r="E226" s="178">
        <f>(SUM(D356:D382)+SUM(D384:D410)*8+SUM(D412:D433,D436:D438))*2</f>
        <v>201163.57372799993</v>
      </c>
      <c r="F226" s="178"/>
      <c r="G226" s="178">
        <f>(SUM(F356:F382)+SUM(F384:F410)*8+SUM(F412:F433,F436:F438))*2</f>
        <v>291687.18190559995</v>
      </c>
      <c r="H226" s="178"/>
    </row>
    <row r="227" spans="1:14" s="33" customFormat="1" x14ac:dyDescent="0.35">
      <c r="A227" s="127" t="s">
        <v>201</v>
      </c>
      <c r="B227" s="127"/>
      <c r="C227" s="177">
        <f>COUNT(D441:D451)+COUNT(D453:D463)*6+COUNT(D465:D475)</f>
        <v>88</v>
      </c>
      <c r="D227" s="177"/>
      <c r="E227" s="178">
        <f>SUM(D441:D451)+SUM(D453:D463)*6+SUM(D465:D475)</f>
        <v>33041.777183999999</v>
      </c>
      <c r="F227" s="178"/>
      <c r="G227" s="178">
        <f>SUM(F441:F451)+SUM(F453:F463)*6+SUM(F465:F475)</f>
        <v>47910.57691679999</v>
      </c>
      <c r="H227" s="178"/>
    </row>
    <row r="228" spans="1:14" s="33" customFormat="1" x14ac:dyDescent="0.35">
      <c r="A228" s="127" t="s">
        <v>204</v>
      </c>
      <c r="B228" s="127"/>
      <c r="C228" s="177">
        <f>COUNT(D478:D501)+COUNT(D503:D526)*8+COUNT(D528:D545,D548:D551)</f>
        <v>238</v>
      </c>
      <c r="D228" s="177"/>
      <c r="E228" s="178">
        <f>SUM(D478:D501)+SUM(D503:D526)*8+SUM(D528:D545,D548:D551)</f>
        <v>89311.233023999957</v>
      </c>
      <c r="F228" s="178"/>
      <c r="G228" s="178">
        <f>SUM(F478:F501)+SUM(F503:F526)*8+SUM(F528:F545,F548:F551)</f>
        <v>129501.28788479997</v>
      </c>
      <c r="H228" s="178"/>
    </row>
    <row r="229" spans="1:14" s="33" customFormat="1" x14ac:dyDescent="0.35">
      <c r="A229" s="125" t="s">
        <v>154</v>
      </c>
      <c r="B229" s="125"/>
      <c r="C229" s="173">
        <f>SUM(C224:C228)</f>
        <v>1381</v>
      </c>
      <c r="D229" s="174"/>
      <c r="E229" s="175">
        <f>SUM(E224:E228)</f>
        <v>518476.84401239984</v>
      </c>
      <c r="F229" s="84"/>
      <c r="G229" s="85">
        <f>SUM(G224:G228)</f>
        <v>751791.42381797999</v>
      </c>
      <c r="H229" s="85"/>
    </row>
    <row r="230" spans="1:14" s="32" customFormat="1" x14ac:dyDescent="0.35">
      <c r="A230" s="130" t="s">
        <v>58</v>
      </c>
      <c r="B230" s="130"/>
      <c r="C230" s="130"/>
      <c r="D230" s="130"/>
      <c r="E230" s="130"/>
      <c r="F230" s="130"/>
      <c r="G230" s="130"/>
      <c r="H230" s="130"/>
    </row>
    <row r="231" spans="1:14" x14ac:dyDescent="0.35">
      <c r="A231" s="130" t="s">
        <v>59</v>
      </c>
      <c r="B231" s="130"/>
      <c r="C231" s="130"/>
      <c r="D231" s="130"/>
      <c r="E231" s="130"/>
      <c r="F231" s="130"/>
      <c r="G231" s="130"/>
      <c r="H231" s="130"/>
    </row>
    <row r="232" spans="1:14" ht="47.25" hidden="1" customHeight="1" x14ac:dyDescent="0.35">
      <c r="A232" s="80" t="s">
        <v>122</v>
      </c>
      <c r="B232" s="80" t="s">
        <v>121</v>
      </c>
      <c r="C232" s="80" t="s">
        <v>60</v>
      </c>
      <c r="D232" s="80" t="s">
        <v>61</v>
      </c>
      <c r="E232" s="100" t="s">
        <v>159</v>
      </c>
      <c r="F232" s="40" t="s">
        <v>153</v>
      </c>
      <c r="G232" s="82" t="s">
        <v>63</v>
      </c>
      <c r="H232" s="102"/>
    </row>
    <row r="233" spans="1:14" s="42" customFormat="1" hidden="1" x14ac:dyDescent="0.35">
      <c r="A233" s="81"/>
      <c r="B233" s="81"/>
      <c r="C233" s="81"/>
      <c r="D233" s="81"/>
      <c r="E233" s="101"/>
      <c r="F233" s="13">
        <v>0.6</v>
      </c>
      <c r="G233" s="83"/>
      <c r="H233" s="103"/>
    </row>
    <row r="234" spans="1:14" s="42" customFormat="1" hidden="1" x14ac:dyDescent="0.35">
      <c r="A234" s="167" t="s">
        <v>171</v>
      </c>
      <c r="B234" s="168"/>
      <c r="C234" s="168"/>
      <c r="D234" s="168"/>
      <c r="E234" s="168"/>
      <c r="F234" s="168"/>
      <c r="G234" s="168"/>
      <c r="H234" s="169"/>
      <c r="J234" s="34"/>
    </row>
    <row r="235" spans="1:14" s="42" customFormat="1" hidden="1" x14ac:dyDescent="0.35">
      <c r="A235" s="128">
        <v>1</v>
      </c>
      <c r="B235" s="129"/>
      <c r="C235" s="39"/>
      <c r="D235" s="39"/>
      <c r="E235" s="39">
        <v>0</v>
      </c>
      <c r="F235" s="39">
        <f t="shared" ref="F235:F246" si="0">(D235+E235)*(($F$233)+1)</f>
        <v>0</v>
      </c>
      <c r="G235" s="128" t="str">
        <f>A234</f>
        <v xml:space="preserve">Ground Floor </v>
      </c>
      <c r="H235" s="129"/>
      <c r="I235" s="34"/>
      <c r="L235" s="166"/>
      <c r="M235" s="166"/>
      <c r="N235" s="34"/>
    </row>
    <row r="236" spans="1:14" s="42" customFormat="1" hidden="1" x14ac:dyDescent="0.35">
      <c r="A236" s="128">
        <f t="shared" ref="A236:A246" si="1">A235+1</f>
        <v>2</v>
      </c>
      <c r="B236" s="129"/>
      <c r="C236" s="39"/>
      <c r="D236" s="39"/>
      <c r="E236" s="39">
        <v>0</v>
      </c>
      <c r="F236" s="39">
        <f t="shared" si="0"/>
        <v>0</v>
      </c>
      <c r="G236" s="128" t="str">
        <f t="shared" ref="G236:G246" si="2">G235</f>
        <v xml:space="preserve">Ground Floor </v>
      </c>
      <c r="H236" s="129"/>
      <c r="I236" s="34"/>
      <c r="L236" s="166"/>
      <c r="M236" s="166"/>
      <c r="N236" s="34"/>
    </row>
    <row r="237" spans="1:14" s="42" customFormat="1" hidden="1" x14ac:dyDescent="0.35">
      <c r="A237" s="128">
        <f t="shared" si="1"/>
        <v>3</v>
      </c>
      <c r="B237" s="129"/>
      <c r="C237" s="39"/>
      <c r="D237" s="39"/>
      <c r="E237" s="39">
        <v>0</v>
      </c>
      <c r="F237" s="39">
        <f t="shared" si="0"/>
        <v>0</v>
      </c>
      <c r="G237" s="128" t="str">
        <f t="shared" si="2"/>
        <v xml:space="preserve">Ground Floor </v>
      </c>
      <c r="H237" s="129"/>
      <c r="I237" s="34"/>
      <c r="L237" s="166"/>
      <c r="M237" s="166"/>
      <c r="N237" s="34"/>
    </row>
    <row r="238" spans="1:14" s="42" customFormat="1" hidden="1" x14ac:dyDescent="0.35">
      <c r="A238" s="128">
        <f t="shared" si="1"/>
        <v>4</v>
      </c>
      <c r="B238" s="129"/>
      <c r="C238" s="39"/>
      <c r="D238" s="39"/>
      <c r="E238" s="39">
        <v>0</v>
      </c>
      <c r="F238" s="39">
        <f t="shared" si="0"/>
        <v>0</v>
      </c>
      <c r="G238" s="128" t="str">
        <f t="shared" si="2"/>
        <v xml:space="preserve">Ground Floor </v>
      </c>
      <c r="H238" s="129"/>
      <c r="I238" s="34"/>
      <c r="L238" s="166"/>
      <c r="M238" s="166"/>
      <c r="N238" s="34"/>
    </row>
    <row r="239" spans="1:14" s="42" customFormat="1" hidden="1" x14ac:dyDescent="0.35">
      <c r="A239" s="128">
        <f t="shared" si="1"/>
        <v>5</v>
      </c>
      <c r="B239" s="129"/>
      <c r="C239" s="39"/>
      <c r="D239" s="39"/>
      <c r="E239" s="39">
        <v>0</v>
      </c>
      <c r="F239" s="39">
        <f t="shared" si="0"/>
        <v>0</v>
      </c>
      <c r="G239" s="128" t="str">
        <f t="shared" si="2"/>
        <v xml:space="preserve">Ground Floor </v>
      </c>
      <c r="H239" s="129"/>
      <c r="I239" s="34"/>
      <c r="L239" s="166"/>
      <c r="M239" s="166"/>
      <c r="N239" s="34"/>
    </row>
    <row r="240" spans="1:14" s="42" customFormat="1" hidden="1" x14ac:dyDescent="0.35">
      <c r="A240" s="128">
        <f t="shared" si="1"/>
        <v>6</v>
      </c>
      <c r="B240" s="129"/>
      <c r="C240" s="39"/>
      <c r="D240" s="39"/>
      <c r="E240" s="39">
        <v>0</v>
      </c>
      <c r="F240" s="39">
        <f t="shared" si="0"/>
        <v>0</v>
      </c>
      <c r="G240" s="128" t="str">
        <f t="shared" si="2"/>
        <v xml:space="preserve">Ground Floor </v>
      </c>
      <c r="H240" s="129"/>
      <c r="I240" s="34"/>
      <c r="L240" s="166"/>
      <c r="M240" s="166"/>
      <c r="N240" s="34"/>
    </row>
    <row r="241" spans="1:14" s="42" customFormat="1" hidden="1" x14ac:dyDescent="0.35">
      <c r="A241" s="128">
        <f t="shared" si="1"/>
        <v>7</v>
      </c>
      <c r="B241" s="129"/>
      <c r="C241" s="39"/>
      <c r="D241" s="39"/>
      <c r="E241" s="39">
        <v>0</v>
      </c>
      <c r="F241" s="39">
        <f t="shared" si="0"/>
        <v>0</v>
      </c>
      <c r="G241" s="128" t="str">
        <f t="shared" si="2"/>
        <v xml:space="preserve">Ground Floor </v>
      </c>
      <c r="H241" s="129"/>
      <c r="I241" s="34"/>
      <c r="L241" s="166"/>
      <c r="M241" s="166"/>
      <c r="N241" s="34"/>
    </row>
    <row r="242" spans="1:14" s="42" customFormat="1" hidden="1" x14ac:dyDescent="0.35">
      <c r="A242" s="128">
        <f t="shared" si="1"/>
        <v>8</v>
      </c>
      <c r="B242" s="129"/>
      <c r="C242" s="39"/>
      <c r="D242" s="39"/>
      <c r="E242" s="39">
        <v>0</v>
      </c>
      <c r="F242" s="39">
        <f t="shared" si="0"/>
        <v>0</v>
      </c>
      <c r="G242" s="128" t="str">
        <f t="shared" si="2"/>
        <v xml:space="preserve">Ground Floor </v>
      </c>
      <c r="H242" s="129"/>
      <c r="I242" s="34"/>
      <c r="L242" s="166"/>
      <c r="M242" s="166"/>
      <c r="N242" s="34"/>
    </row>
    <row r="243" spans="1:14" s="42" customFormat="1" hidden="1" x14ac:dyDescent="0.35">
      <c r="A243" s="128">
        <f t="shared" si="1"/>
        <v>9</v>
      </c>
      <c r="B243" s="129"/>
      <c r="C243" s="39"/>
      <c r="D243" s="39"/>
      <c r="E243" s="39">
        <v>0</v>
      </c>
      <c r="F243" s="39">
        <f t="shared" si="0"/>
        <v>0</v>
      </c>
      <c r="G243" s="128" t="str">
        <f t="shared" si="2"/>
        <v xml:space="preserve">Ground Floor </v>
      </c>
      <c r="H243" s="129"/>
      <c r="I243" s="34"/>
      <c r="L243" s="166"/>
      <c r="M243" s="166"/>
      <c r="N243" s="34"/>
    </row>
    <row r="244" spans="1:14" s="42" customFormat="1" hidden="1" x14ac:dyDescent="0.35">
      <c r="A244" s="128">
        <f t="shared" si="1"/>
        <v>10</v>
      </c>
      <c r="B244" s="129"/>
      <c r="C244" s="39"/>
      <c r="D244" s="39"/>
      <c r="E244" s="39">
        <v>0</v>
      </c>
      <c r="F244" s="39">
        <f t="shared" si="0"/>
        <v>0</v>
      </c>
      <c r="G244" s="128" t="str">
        <f t="shared" si="2"/>
        <v xml:space="preserve">Ground Floor </v>
      </c>
      <c r="H244" s="129"/>
      <c r="I244" s="34"/>
      <c r="L244" s="166"/>
      <c r="M244" s="166"/>
      <c r="N244" s="34"/>
    </row>
    <row r="245" spans="1:14" s="42" customFormat="1" hidden="1" x14ac:dyDescent="0.35">
      <c r="A245" s="128">
        <f t="shared" si="1"/>
        <v>11</v>
      </c>
      <c r="B245" s="129"/>
      <c r="C245" s="39"/>
      <c r="D245" s="39"/>
      <c r="E245" s="39">
        <v>0</v>
      </c>
      <c r="F245" s="39">
        <f t="shared" si="0"/>
        <v>0</v>
      </c>
      <c r="G245" s="128" t="str">
        <f t="shared" si="2"/>
        <v xml:space="preserve">Ground Floor </v>
      </c>
      <c r="H245" s="129"/>
      <c r="I245" s="34"/>
      <c r="L245" s="166"/>
      <c r="M245" s="166"/>
      <c r="N245" s="34"/>
    </row>
    <row r="246" spans="1:14" s="42" customFormat="1" hidden="1" x14ac:dyDescent="0.35">
      <c r="A246" s="128">
        <f t="shared" si="1"/>
        <v>12</v>
      </c>
      <c r="B246" s="129"/>
      <c r="C246" s="39"/>
      <c r="D246" s="39"/>
      <c r="E246" s="39">
        <v>0</v>
      </c>
      <c r="F246" s="39">
        <f t="shared" si="0"/>
        <v>0</v>
      </c>
      <c r="G246" s="128" t="str">
        <f t="shared" si="2"/>
        <v xml:space="preserve">Ground Floor </v>
      </c>
      <c r="H246" s="129"/>
      <c r="I246" s="34"/>
      <c r="L246" s="166"/>
      <c r="M246" s="166"/>
      <c r="N246" s="34"/>
    </row>
    <row r="247" spans="1:14" s="42" customFormat="1" hidden="1" x14ac:dyDescent="0.35">
      <c r="A247" s="128"/>
      <c r="B247" s="176"/>
      <c r="C247" s="176"/>
      <c r="D247" s="176"/>
      <c r="E247" s="176"/>
      <c r="F247" s="176"/>
      <c r="G247" s="176"/>
      <c r="H247" s="129"/>
      <c r="I247" s="34"/>
      <c r="N247" s="34"/>
    </row>
    <row r="248" spans="1:14" ht="47.25" customHeight="1" x14ac:dyDescent="0.35">
      <c r="A248" s="82" t="s">
        <v>123</v>
      </c>
      <c r="B248" s="82" t="s">
        <v>124</v>
      </c>
      <c r="C248" s="80" t="s">
        <v>60</v>
      </c>
      <c r="D248" s="80" t="s">
        <v>61</v>
      </c>
      <c r="E248" s="100" t="s">
        <v>62</v>
      </c>
      <c r="F248" s="40" t="s">
        <v>153</v>
      </c>
      <c r="G248" s="82" t="s">
        <v>63</v>
      </c>
      <c r="H248" s="102"/>
      <c r="I248" s="34"/>
    </row>
    <row r="249" spans="1:14" s="42" customFormat="1" x14ac:dyDescent="0.35">
      <c r="A249" s="83"/>
      <c r="B249" s="83"/>
      <c r="C249" s="81"/>
      <c r="D249" s="81"/>
      <c r="E249" s="101"/>
      <c r="F249" s="13">
        <v>0.45</v>
      </c>
      <c r="G249" s="83"/>
      <c r="H249" s="103"/>
      <c r="I249" s="34"/>
    </row>
    <row r="250" spans="1:14" s="42" customFormat="1" x14ac:dyDescent="0.35">
      <c r="A250" s="167" t="s">
        <v>191</v>
      </c>
      <c r="B250" s="168"/>
      <c r="C250" s="168"/>
      <c r="D250" s="168"/>
      <c r="E250" s="168"/>
      <c r="F250" s="168"/>
      <c r="G250" s="168"/>
      <c r="H250" s="169"/>
      <c r="J250" s="34"/>
    </row>
    <row r="251" spans="1:14" s="42" customFormat="1" x14ac:dyDescent="0.35">
      <c r="A251" s="167" t="s">
        <v>194</v>
      </c>
      <c r="B251" s="168"/>
      <c r="C251" s="168"/>
      <c r="D251" s="168"/>
      <c r="E251" s="168"/>
      <c r="F251" s="168"/>
      <c r="G251" s="168"/>
      <c r="H251" s="169"/>
      <c r="J251" s="34"/>
    </row>
    <row r="252" spans="1:14" s="42" customFormat="1" ht="15.75" customHeight="1" x14ac:dyDescent="0.35">
      <c r="A252" s="128">
        <v>1</v>
      </c>
      <c r="B252" s="129"/>
      <c r="C252" s="48" t="s">
        <v>192</v>
      </c>
      <c r="D252" s="39">
        <f>(30+1.3*2.15+1.08*2.15)*10.764</f>
        <v>377.99938800000001</v>
      </c>
      <c r="E252" s="39">
        <v>0</v>
      </c>
      <c r="F252" s="39">
        <f t="shared" ref="F252:F263" si="3">D252*(($F$249)+1)+(IF(E252&lt;101,E252,IF(E252&lt;201,E252/2,IF(E252&lt;=301,E252/3,E252/4))))</f>
        <v>548.09911260000001</v>
      </c>
      <c r="G252" s="193" t="str">
        <f>A251</f>
        <v>Ground Floor For Residential</v>
      </c>
      <c r="H252" s="194"/>
      <c r="I252" s="34"/>
      <c r="L252" s="166"/>
      <c r="M252" s="166"/>
      <c r="N252" s="34"/>
    </row>
    <row r="253" spans="1:14" s="42" customFormat="1" ht="15.75" customHeight="1" x14ac:dyDescent="0.35">
      <c r="A253" s="128">
        <f t="shared" ref="A253:A263" si="4">A252+1</f>
        <v>2</v>
      </c>
      <c r="B253" s="129"/>
      <c r="C253" s="48" t="s">
        <v>192</v>
      </c>
      <c r="D253" s="39">
        <f>(30+1.15*2.15+1.08*2.15)*10.764</f>
        <v>374.52799799999997</v>
      </c>
      <c r="E253" s="39">
        <v>0</v>
      </c>
      <c r="F253" s="39">
        <f t="shared" si="3"/>
        <v>543.06559709999999</v>
      </c>
      <c r="G253" s="195"/>
      <c r="H253" s="196"/>
      <c r="I253" s="34"/>
      <c r="L253" s="166"/>
      <c r="M253" s="166"/>
      <c r="N253" s="34"/>
    </row>
    <row r="254" spans="1:14" s="42" customFormat="1" ht="15.75" customHeight="1" x14ac:dyDescent="0.35">
      <c r="A254" s="128">
        <f t="shared" si="4"/>
        <v>3</v>
      </c>
      <c r="B254" s="129"/>
      <c r="C254" s="48" t="s">
        <v>192</v>
      </c>
      <c r="D254" s="39">
        <f>(30+1.15*2.15+1.08*2.15)*10.764</f>
        <v>374.52799799999997</v>
      </c>
      <c r="E254" s="39">
        <v>0</v>
      </c>
      <c r="F254" s="39">
        <f t="shared" si="3"/>
        <v>543.06559709999999</v>
      </c>
      <c r="G254" s="195"/>
      <c r="H254" s="196"/>
      <c r="I254" s="34"/>
      <c r="L254" s="166"/>
      <c r="M254" s="166"/>
      <c r="N254" s="34"/>
    </row>
    <row r="255" spans="1:14" s="42" customFormat="1" ht="15.75" customHeight="1" x14ac:dyDescent="0.35">
      <c r="A255" s="128">
        <f t="shared" si="4"/>
        <v>4</v>
      </c>
      <c r="B255" s="129"/>
      <c r="C255" s="48" t="s">
        <v>192</v>
      </c>
      <c r="D255" s="39">
        <f>(30+1.15*2.15+1.08*2.145)*10.764</f>
        <v>374.46987239999993</v>
      </c>
      <c r="E255" s="39">
        <v>0</v>
      </c>
      <c r="F255" s="39">
        <f t="shared" si="3"/>
        <v>542.98131497999987</v>
      </c>
      <c r="G255" s="195"/>
      <c r="H255" s="196"/>
      <c r="I255" s="34"/>
      <c r="L255" s="166"/>
      <c r="M255" s="166"/>
      <c r="N255" s="34"/>
    </row>
    <row r="256" spans="1:14" s="42" customFormat="1" ht="15.75" customHeight="1" x14ac:dyDescent="0.35">
      <c r="A256" s="128">
        <f t="shared" si="4"/>
        <v>5</v>
      </c>
      <c r="B256" s="129"/>
      <c r="C256" s="48" t="s">
        <v>192</v>
      </c>
      <c r="D256" s="39">
        <f>(30+1.15*2.15+1.08*2.15)*10.764</f>
        <v>374.52799799999997</v>
      </c>
      <c r="E256" s="39">
        <v>0</v>
      </c>
      <c r="F256" s="39">
        <f t="shared" si="3"/>
        <v>543.06559709999999</v>
      </c>
      <c r="G256" s="195"/>
      <c r="H256" s="196"/>
      <c r="I256" s="34"/>
      <c r="L256" s="166"/>
      <c r="M256" s="166"/>
      <c r="N256" s="34"/>
    </row>
    <row r="257" spans="1:14" s="42" customFormat="1" ht="15.75" customHeight="1" x14ac:dyDescent="0.35">
      <c r="A257" s="128">
        <f t="shared" si="4"/>
        <v>6</v>
      </c>
      <c r="B257" s="129"/>
      <c r="C257" s="48" t="s">
        <v>192</v>
      </c>
      <c r="D257" s="39">
        <f>(30+1.3*2.15+1.08*2.15)*10.764</f>
        <v>377.99938800000001</v>
      </c>
      <c r="E257" s="39">
        <v>0</v>
      </c>
      <c r="F257" s="39">
        <f t="shared" si="3"/>
        <v>548.09911260000001</v>
      </c>
      <c r="G257" s="195"/>
      <c r="H257" s="196"/>
      <c r="I257" s="34"/>
      <c r="L257" s="166"/>
      <c r="M257" s="166"/>
      <c r="N257" s="34"/>
    </row>
    <row r="258" spans="1:14" s="42" customFormat="1" ht="15.75" customHeight="1" x14ac:dyDescent="0.35">
      <c r="A258" s="128">
        <f t="shared" si="4"/>
        <v>7</v>
      </c>
      <c r="B258" s="129"/>
      <c r="C258" s="48" t="s">
        <v>192</v>
      </c>
      <c r="D258" s="39">
        <f>(30+1.3*2.15+1.08*2.15)*10.764</f>
        <v>377.99938800000001</v>
      </c>
      <c r="E258" s="39">
        <v>0</v>
      </c>
      <c r="F258" s="39">
        <f t="shared" si="3"/>
        <v>548.09911260000001</v>
      </c>
      <c r="G258" s="195"/>
      <c r="H258" s="196"/>
      <c r="I258" s="34"/>
      <c r="L258" s="166"/>
      <c r="M258" s="166"/>
      <c r="N258" s="34"/>
    </row>
    <row r="259" spans="1:14" s="42" customFormat="1" ht="15.75" customHeight="1" x14ac:dyDescent="0.35">
      <c r="A259" s="128">
        <f t="shared" si="4"/>
        <v>8</v>
      </c>
      <c r="B259" s="129"/>
      <c r="C259" s="48" t="s">
        <v>192</v>
      </c>
      <c r="D259" s="39">
        <f>(30+1.15*2.15+1.08*2.15)*10.764</f>
        <v>374.52799799999997</v>
      </c>
      <c r="E259" s="39">
        <v>0</v>
      </c>
      <c r="F259" s="39">
        <f t="shared" si="3"/>
        <v>543.06559709999999</v>
      </c>
      <c r="G259" s="195"/>
      <c r="H259" s="196"/>
      <c r="I259" s="34"/>
      <c r="L259" s="166"/>
      <c r="M259" s="166"/>
      <c r="N259" s="34"/>
    </row>
    <row r="260" spans="1:14" s="42" customFormat="1" ht="15.75" customHeight="1" x14ac:dyDescent="0.35">
      <c r="A260" s="128">
        <f t="shared" si="4"/>
        <v>9</v>
      </c>
      <c r="B260" s="129"/>
      <c r="C260" s="48" t="s">
        <v>192</v>
      </c>
      <c r="D260" s="39">
        <f>(30+1.15*2.15+1.08*2.145)*10.764</f>
        <v>374.46987239999993</v>
      </c>
      <c r="E260" s="39">
        <v>0</v>
      </c>
      <c r="F260" s="39">
        <f t="shared" si="3"/>
        <v>542.98131497999987</v>
      </c>
      <c r="G260" s="195"/>
      <c r="H260" s="196"/>
      <c r="I260" s="34"/>
      <c r="L260" s="166"/>
      <c r="M260" s="166"/>
      <c r="N260" s="34"/>
    </row>
    <row r="261" spans="1:14" s="42" customFormat="1" ht="15.75" customHeight="1" x14ac:dyDescent="0.35">
      <c r="A261" s="128">
        <f t="shared" si="4"/>
        <v>10</v>
      </c>
      <c r="B261" s="129"/>
      <c r="C261" s="48" t="s">
        <v>192</v>
      </c>
      <c r="D261" s="39">
        <f>(30+1.15*2.15+1.08*2.15)*10.764</f>
        <v>374.52799799999997</v>
      </c>
      <c r="E261" s="39">
        <v>0</v>
      </c>
      <c r="F261" s="39">
        <f t="shared" si="3"/>
        <v>543.06559709999999</v>
      </c>
      <c r="G261" s="195"/>
      <c r="H261" s="196"/>
      <c r="I261" s="34"/>
      <c r="L261" s="166"/>
      <c r="M261" s="166"/>
      <c r="N261" s="34"/>
    </row>
    <row r="262" spans="1:14" s="42" customFormat="1" ht="15.75" customHeight="1" x14ac:dyDescent="0.35">
      <c r="A262" s="128">
        <f t="shared" si="4"/>
        <v>11</v>
      </c>
      <c r="B262" s="129"/>
      <c r="C262" s="48" t="s">
        <v>192</v>
      </c>
      <c r="D262" s="39">
        <f>(30+1.15*2.15+1.08*2.15)*10.764</f>
        <v>374.52799799999997</v>
      </c>
      <c r="E262" s="39">
        <v>0</v>
      </c>
      <c r="F262" s="39">
        <f t="shared" si="3"/>
        <v>543.06559709999999</v>
      </c>
      <c r="G262" s="195"/>
      <c r="H262" s="196"/>
      <c r="I262" s="34"/>
      <c r="L262" s="166"/>
      <c r="M262" s="166"/>
      <c r="N262" s="34"/>
    </row>
    <row r="263" spans="1:14" s="42" customFormat="1" ht="15.75" customHeight="1" x14ac:dyDescent="0.35">
      <c r="A263" s="128">
        <f t="shared" si="4"/>
        <v>12</v>
      </c>
      <c r="B263" s="129"/>
      <c r="C263" s="48" t="s">
        <v>192</v>
      </c>
      <c r="D263" s="39">
        <f>(30+1.3*2.15+1.08*2.15)*10.764</f>
        <v>377.99938800000001</v>
      </c>
      <c r="E263" s="39">
        <v>0</v>
      </c>
      <c r="F263" s="39">
        <f t="shared" si="3"/>
        <v>548.09911260000001</v>
      </c>
      <c r="G263" s="197"/>
      <c r="H263" s="198"/>
      <c r="I263" s="34"/>
      <c r="L263" s="166"/>
      <c r="M263" s="166"/>
      <c r="N263" s="34"/>
    </row>
    <row r="264" spans="1:14" s="42" customFormat="1" x14ac:dyDescent="0.35">
      <c r="A264" s="191" t="s">
        <v>193</v>
      </c>
      <c r="B264" s="191"/>
      <c r="C264" s="191"/>
      <c r="D264" s="191"/>
      <c r="E264" s="191"/>
      <c r="F264" s="191"/>
      <c r="G264" s="191"/>
      <c r="H264" s="191"/>
      <c r="J264" s="34"/>
    </row>
    <row r="265" spans="1:14" s="42" customFormat="1" ht="15.75" customHeight="1" x14ac:dyDescent="0.35">
      <c r="A265" s="192">
        <v>1</v>
      </c>
      <c r="B265" s="192"/>
      <c r="C265" s="48" t="s">
        <v>192</v>
      </c>
      <c r="D265" s="39">
        <f>(30+1.3*2.15+1.08*2.15)*10.764</f>
        <v>377.99938800000001</v>
      </c>
      <c r="E265" s="39">
        <v>0</v>
      </c>
      <c r="F265" s="39">
        <f t="shared" ref="F265:F276" si="5">D265*(($F$249)+1)+(IF(E265&lt;101,E265,IF(E265&lt;201,E265/2,IF(E265&lt;=301,E265/3,E265/4))))</f>
        <v>548.09911260000001</v>
      </c>
      <c r="G265" s="192" t="str">
        <f>A264</f>
        <v>1st to 6th &amp; 8th Floor</v>
      </c>
      <c r="H265" s="192"/>
      <c r="I265" s="34"/>
      <c r="L265" s="166"/>
      <c r="M265" s="166"/>
      <c r="N265" s="34"/>
    </row>
    <row r="266" spans="1:14" s="42" customFormat="1" ht="15.75" customHeight="1" x14ac:dyDescent="0.35">
      <c r="A266" s="192">
        <f t="shared" ref="A266:A276" si="6">A265+1</f>
        <v>2</v>
      </c>
      <c r="B266" s="192"/>
      <c r="C266" s="48" t="s">
        <v>192</v>
      </c>
      <c r="D266" s="39">
        <f>(30+1.15*2.15+1.08*2.15)*10.764</f>
        <v>374.52799799999997</v>
      </c>
      <c r="E266" s="39">
        <v>0</v>
      </c>
      <c r="F266" s="39">
        <f t="shared" si="5"/>
        <v>543.06559709999999</v>
      </c>
      <c r="G266" s="192"/>
      <c r="H266" s="192"/>
      <c r="I266" s="34"/>
      <c r="L266" s="166"/>
      <c r="M266" s="166"/>
      <c r="N266" s="34"/>
    </row>
    <row r="267" spans="1:14" s="42" customFormat="1" ht="15.75" customHeight="1" x14ac:dyDescent="0.35">
      <c r="A267" s="192">
        <f t="shared" si="6"/>
        <v>3</v>
      </c>
      <c r="B267" s="192"/>
      <c r="C267" s="48" t="s">
        <v>192</v>
      </c>
      <c r="D267" s="39">
        <f>(30+1.15*2.15+1.08*2.15)*10.764</f>
        <v>374.52799799999997</v>
      </c>
      <c r="E267" s="39">
        <v>0</v>
      </c>
      <c r="F267" s="39">
        <f t="shared" si="5"/>
        <v>543.06559709999999</v>
      </c>
      <c r="G267" s="192"/>
      <c r="H267" s="192"/>
      <c r="I267" s="34"/>
      <c r="L267" s="166"/>
      <c r="M267" s="166"/>
      <c r="N267" s="34"/>
    </row>
    <row r="268" spans="1:14" s="42" customFormat="1" ht="15.75" customHeight="1" x14ac:dyDescent="0.35">
      <c r="A268" s="192">
        <f t="shared" si="6"/>
        <v>4</v>
      </c>
      <c r="B268" s="192"/>
      <c r="C268" s="48" t="s">
        <v>192</v>
      </c>
      <c r="D268" s="39">
        <f>(30+1.15*2.15+1.08*2.145)*10.764</f>
        <v>374.46987239999993</v>
      </c>
      <c r="E268" s="39">
        <v>0</v>
      </c>
      <c r="F268" s="39">
        <f t="shared" si="5"/>
        <v>542.98131497999987</v>
      </c>
      <c r="G268" s="192"/>
      <c r="H268" s="192"/>
      <c r="I268" s="34"/>
      <c r="L268" s="166"/>
      <c r="M268" s="166"/>
      <c r="N268" s="34"/>
    </row>
    <row r="269" spans="1:14" s="42" customFormat="1" ht="15.75" customHeight="1" x14ac:dyDescent="0.35">
      <c r="A269" s="192">
        <f t="shared" si="6"/>
        <v>5</v>
      </c>
      <c r="B269" s="192"/>
      <c r="C269" s="48" t="s">
        <v>192</v>
      </c>
      <c r="D269" s="39">
        <f>(30+1.15*2.15+1.08*2.15)*10.764</f>
        <v>374.52799799999997</v>
      </c>
      <c r="E269" s="39">
        <v>0</v>
      </c>
      <c r="F269" s="39">
        <f t="shared" si="5"/>
        <v>543.06559709999999</v>
      </c>
      <c r="G269" s="192"/>
      <c r="H269" s="192"/>
      <c r="I269" s="34"/>
      <c r="L269" s="166"/>
      <c r="M269" s="166"/>
      <c r="N269" s="34"/>
    </row>
    <row r="270" spans="1:14" s="42" customFormat="1" ht="15.75" customHeight="1" x14ac:dyDescent="0.35">
      <c r="A270" s="192">
        <f t="shared" si="6"/>
        <v>6</v>
      </c>
      <c r="B270" s="192"/>
      <c r="C270" s="48" t="s">
        <v>192</v>
      </c>
      <c r="D270" s="39">
        <f>(30+1.3*2.15+1.08*2.15)*10.764</f>
        <v>377.99938800000001</v>
      </c>
      <c r="E270" s="39">
        <v>0</v>
      </c>
      <c r="F270" s="39">
        <f t="shared" si="5"/>
        <v>548.09911260000001</v>
      </c>
      <c r="G270" s="192"/>
      <c r="H270" s="192"/>
      <c r="I270" s="34"/>
      <c r="L270" s="166"/>
      <c r="M270" s="166"/>
      <c r="N270" s="34"/>
    </row>
    <row r="271" spans="1:14" s="42" customFormat="1" ht="15.75" customHeight="1" x14ac:dyDescent="0.35">
      <c r="A271" s="192">
        <f t="shared" si="6"/>
        <v>7</v>
      </c>
      <c r="B271" s="192"/>
      <c r="C271" s="48" t="s">
        <v>192</v>
      </c>
      <c r="D271" s="39">
        <f>(30+1.3*2.15+1.08*2.15)*10.764</f>
        <v>377.99938800000001</v>
      </c>
      <c r="E271" s="39">
        <v>0</v>
      </c>
      <c r="F271" s="39">
        <f t="shared" si="5"/>
        <v>548.09911260000001</v>
      </c>
      <c r="G271" s="192"/>
      <c r="H271" s="192"/>
      <c r="I271" s="34"/>
      <c r="L271" s="166"/>
      <c r="M271" s="166"/>
      <c r="N271" s="34"/>
    </row>
    <row r="272" spans="1:14" s="42" customFormat="1" ht="15.75" customHeight="1" x14ac:dyDescent="0.35">
      <c r="A272" s="192">
        <f t="shared" si="6"/>
        <v>8</v>
      </c>
      <c r="B272" s="192"/>
      <c r="C272" s="48" t="s">
        <v>192</v>
      </c>
      <c r="D272" s="39">
        <f>(30+1.15*2.15+1.08*2.15)*10.764</f>
        <v>374.52799799999997</v>
      </c>
      <c r="E272" s="39">
        <v>0</v>
      </c>
      <c r="F272" s="39">
        <f t="shared" si="5"/>
        <v>543.06559709999999</v>
      </c>
      <c r="G272" s="192"/>
      <c r="H272" s="192"/>
      <c r="I272" s="34"/>
      <c r="L272" s="166"/>
      <c r="M272" s="166"/>
      <c r="N272" s="34"/>
    </row>
    <row r="273" spans="1:14" s="42" customFormat="1" ht="15.75" customHeight="1" x14ac:dyDescent="0.35">
      <c r="A273" s="192">
        <f t="shared" si="6"/>
        <v>9</v>
      </c>
      <c r="B273" s="192"/>
      <c r="C273" s="48" t="s">
        <v>192</v>
      </c>
      <c r="D273" s="39">
        <f>(30+1.15*2.15+1.08*2.145)*10.764</f>
        <v>374.46987239999993</v>
      </c>
      <c r="E273" s="39">
        <v>0</v>
      </c>
      <c r="F273" s="39">
        <f t="shared" si="5"/>
        <v>542.98131497999987</v>
      </c>
      <c r="G273" s="192"/>
      <c r="H273" s="192"/>
      <c r="I273" s="34"/>
      <c r="L273" s="166"/>
      <c r="M273" s="166"/>
      <c r="N273" s="34"/>
    </row>
    <row r="274" spans="1:14" s="42" customFormat="1" ht="15.75" customHeight="1" x14ac:dyDescent="0.35">
      <c r="A274" s="192">
        <f t="shared" si="6"/>
        <v>10</v>
      </c>
      <c r="B274" s="192"/>
      <c r="C274" s="48" t="s">
        <v>192</v>
      </c>
      <c r="D274" s="39">
        <f>(30+1.15*2.15+1.08*2.15)*10.764</f>
        <v>374.52799799999997</v>
      </c>
      <c r="E274" s="39">
        <v>0</v>
      </c>
      <c r="F274" s="39">
        <f t="shared" si="5"/>
        <v>543.06559709999999</v>
      </c>
      <c r="G274" s="192"/>
      <c r="H274" s="192"/>
      <c r="I274" s="34"/>
      <c r="L274" s="166"/>
      <c r="M274" s="166"/>
      <c r="N274" s="34"/>
    </row>
    <row r="275" spans="1:14" s="42" customFormat="1" ht="15.75" customHeight="1" x14ac:dyDescent="0.35">
      <c r="A275" s="192">
        <f t="shared" si="6"/>
        <v>11</v>
      </c>
      <c r="B275" s="192"/>
      <c r="C275" s="48" t="s">
        <v>192</v>
      </c>
      <c r="D275" s="39">
        <f>(30+1.15*2.15+1.08*2.15)*10.764</f>
        <v>374.52799799999997</v>
      </c>
      <c r="E275" s="39">
        <v>0</v>
      </c>
      <c r="F275" s="39">
        <f t="shared" si="5"/>
        <v>543.06559709999999</v>
      </c>
      <c r="G275" s="192"/>
      <c r="H275" s="192"/>
      <c r="I275" s="34"/>
      <c r="L275" s="166"/>
      <c r="M275" s="166"/>
      <c r="N275" s="34"/>
    </row>
    <row r="276" spans="1:14" s="42" customFormat="1" ht="15.75" customHeight="1" x14ac:dyDescent="0.35">
      <c r="A276" s="192">
        <f t="shared" si="6"/>
        <v>12</v>
      </c>
      <c r="B276" s="192"/>
      <c r="C276" s="48" t="s">
        <v>192</v>
      </c>
      <c r="D276" s="39">
        <f>(30+1.3*2.15+1.08*2.15)*10.764</f>
        <v>377.99938800000001</v>
      </c>
      <c r="E276" s="39">
        <v>0</v>
      </c>
      <c r="F276" s="39">
        <f t="shared" si="5"/>
        <v>548.09911260000001</v>
      </c>
      <c r="G276" s="192"/>
      <c r="H276" s="192"/>
      <c r="I276" s="34"/>
      <c r="L276" s="166"/>
      <c r="M276" s="166"/>
      <c r="N276" s="34"/>
    </row>
    <row r="277" spans="1:14" s="42" customFormat="1" x14ac:dyDescent="0.35">
      <c r="A277" s="167" t="s">
        <v>195</v>
      </c>
      <c r="B277" s="168"/>
      <c r="C277" s="168"/>
      <c r="D277" s="168"/>
      <c r="E277" s="168"/>
      <c r="F277" s="168"/>
      <c r="G277" s="168"/>
      <c r="H277" s="169"/>
      <c r="J277" s="34"/>
    </row>
    <row r="278" spans="1:14" s="42" customFormat="1" ht="15.75" customHeight="1" x14ac:dyDescent="0.35">
      <c r="A278" s="128">
        <v>1</v>
      </c>
      <c r="B278" s="129"/>
      <c r="C278" s="48" t="s">
        <v>192</v>
      </c>
      <c r="D278" s="39">
        <f>(30+1.3*2.15+1.08*2.15)*10.764</f>
        <v>377.99938800000001</v>
      </c>
      <c r="E278" s="39">
        <v>0</v>
      </c>
      <c r="F278" s="39">
        <f>D278*(($F$249)+1)+(IF(E278&lt;101,E278,IF(E278&lt;201,E278/2,IF(E278&lt;=301,E278/3,E278/4))))</f>
        <v>548.09911260000001</v>
      </c>
      <c r="G278" s="193" t="str">
        <f>A277</f>
        <v>7th Floor (Part Refuge Area)</v>
      </c>
      <c r="H278" s="194"/>
      <c r="I278" s="34"/>
      <c r="L278" s="166"/>
      <c r="M278" s="166"/>
      <c r="N278" s="34"/>
    </row>
    <row r="279" spans="1:14" s="42" customFormat="1" ht="15.75" customHeight="1" x14ac:dyDescent="0.35">
      <c r="A279" s="128">
        <f t="shared" ref="A279:A289" si="7">A278+1</f>
        <v>2</v>
      </c>
      <c r="B279" s="129"/>
      <c r="C279" s="48" t="s">
        <v>192</v>
      </c>
      <c r="D279" s="39">
        <f>(30+1.15*2.15+1.08*2.15)*10.764</f>
        <v>374.52799799999997</v>
      </c>
      <c r="E279" s="39">
        <v>0</v>
      </c>
      <c r="F279" s="39">
        <f>D279*(($F$249)+1)+(IF(E279&lt;101,E279,IF(E279&lt;201,E279/2,IF(E279&lt;=301,E279/3,E279/4))))</f>
        <v>543.06559709999999</v>
      </c>
      <c r="G279" s="195"/>
      <c r="H279" s="196"/>
      <c r="I279" s="34"/>
      <c r="L279" s="166"/>
      <c r="M279" s="166"/>
      <c r="N279" s="34"/>
    </row>
    <row r="280" spans="1:14" s="42" customFormat="1" ht="15.75" customHeight="1" x14ac:dyDescent="0.35">
      <c r="A280" s="128">
        <f t="shared" si="7"/>
        <v>3</v>
      </c>
      <c r="B280" s="129"/>
      <c r="C280" s="48" t="s">
        <v>192</v>
      </c>
      <c r="D280" s="39">
        <f>(30+1.15*2.15+1.08*2.15)*10.764</f>
        <v>374.52799799999997</v>
      </c>
      <c r="E280" s="39">
        <v>0</v>
      </c>
      <c r="F280" s="39">
        <f>D280*(($F$249)+1)+(IF(E280&lt;101,E280,IF(E280&lt;201,E280/2,IF(E280&lt;=301,E280/3,E280/4))))</f>
        <v>543.06559709999999</v>
      </c>
      <c r="G280" s="195"/>
      <c r="H280" s="196"/>
      <c r="I280" s="34"/>
      <c r="L280" s="166"/>
      <c r="M280" s="166"/>
      <c r="N280" s="34"/>
    </row>
    <row r="281" spans="1:14" s="42" customFormat="1" ht="15.75" customHeight="1" x14ac:dyDescent="0.35">
      <c r="A281" s="128">
        <f t="shared" si="7"/>
        <v>4</v>
      </c>
      <c r="B281" s="129"/>
      <c r="C281" s="128" t="s">
        <v>196</v>
      </c>
      <c r="D281" s="176"/>
      <c r="E281" s="176"/>
      <c r="F281" s="129"/>
      <c r="G281" s="195"/>
      <c r="H281" s="196"/>
      <c r="I281" s="34"/>
      <c r="L281" s="166"/>
      <c r="M281" s="166"/>
      <c r="N281" s="34"/>
    </row>
    <row r="282" spans="1:14" s="42" customFormat="1" ht="15.75" customHeight="1" x14ac:dyDescent="0.35">
      <c r="A282" s="128">
        <f t="shared" si="7"/>
        <v>5</v>
      </c>
      <c r="B282" s="129"/>
      <c r="C282" s="48" t="s">
        <v>192</v>
      </c>
      <c r="D282" s="39">
        <f>(30+1.15*2.15+1.08*2.15)*10.764</f>
        <v>374.52799799999997</v>
      </c>
      <c r="E282" s="39">
        <v>0</v>
      </c>
      <c r="F282" s="39">
        <f t="shared" ref="F282:F289" si="8">D282*(($F$249)+1)+(IF(E282&lt;101,E282,IF(E282&lt;201,E282/2,IF(E282&lt;=301,E282/3,E282/4))))</f>
        <v>543.06559709999999</v>
      </c>
      <c r="G282" s="195"/>
      <c r="H282" s="196"/>
      <c r="I282" s="34"/>
      <c r="L282" s="166"/>
      <c r="M282" s="166"/>
      <c r="N282" s="34"/>
    </row>
    <row r="283" spans="1:14" s="42" customFormat="1" ht="15.75" customHeight="1" x14ac:dyDescent="0.35">
      <c r="A283" s="128">
        <f t="shared" si="7"/>
        <v>6</v>
      </c>
      <c r="B283" s="129"/>
      <c r="C283" s="48" t="s">
        <v>192</v>
      </c>
      <c r="D283" s="39">
        <f>(30+1.3*2.15+1.08*2.15)*10.764</f>
        <v>377.99938800000001</v>
      </c>
      <c r="E283" s="39">
        <v>0</v>
      </c>
      <c r="F283" s="39">
        <f t="shared" si="8"/>
        <v>548.09911260000001</v>
      </c>
      <c r="G283" s="195"/>
      <c r="H283" s="196"/>
      <c r="I283" s="34"/>
      <c r="L283" s="166"/>
      <c r="M283" s="166"/>
      <c r="N283" s="34"/>
    </row>
    <row r="284" spans="1:14" s="42" customFormat="1" ht="15.75" customHeight="1" x14ac:dyDescent="0.35">
      <c r="A284" s="128">
        <f t="shared" si="7"/>
        <v>7</v>
      </c>
      <c r="B284" s="129"/>
      <c r="C284" s="48" t="s">
        <v>192</v>
      </c>
      <c r="D284" s="39">
        <f>(30+1.3*2.15+1.08*2.15)*10.764</f>
        <v>377.99938800000001</v>
      </c>
      <c r="E284" s="39">
        <v>0</v>
      </c>
      <c r="F284" s="39">
        <f t="shared" si="8"/>
        <v>548.09911260000001</v>
      </c>
      <c r="G284" s="195"/>
      <c r="H284" s="196"/>
      <c r="I284" s="34"/>
      <c r="L284" s="166"/>
      <c r="M284" s="166"/>
      <c r="N284" s="34"/>
    </row>
    <row r="285" spans="1:14" s="42" customFormat="1" ht="15.75" customHeight="1" x14ac:dyDescent="0.35">
      <c r="A285" s="128">
        <f t="shared" si="7"/>
        <v>8</v>
      </c>
      <c r="B285" s="129"/>
      <c r="C285" s="48" t="s">
        <v>192</v>
      </c>
      <c r="D285" s="39">
        <f>(30+1.15*2.15+1.08*2.15)*10.764</f>
        <v>374.52799799999997</v>
      </c>
      <c r="E285" s="39">
        <v>0</v>
      </c>
      <c r="F285" s="39">
        <f t="shared" si="8"/>
        <v>543.06559709999999</v>
      </c>
      <c r="G285" s="195"/>
      <c r="H285" s="196"/>
      <c r="I285" s="34"/>
      <c r="L285" s="166"/>
      <c r="M285" s="166"/>
      <c r="N285" s="34"/>
    </row>
    <row r="286" spans="1:14" s="42" customFormat="1" ht="15.75" customHeight="1" x14ac:dyDescent="0.35">
      <c r="A286" s="128">
        <f t="shared" si="7"/>
        <v>9</v>
      </c>
      <c r="B286" s="129"/>
      <c r="C286" s="48" t="s">
        <v>192</v>
      </c>
      <c r="D286" s="39">
        <f>(30+1.15*2.15+1.08*2.145)*10.764</f>
        <v>374.46987239999993</v>
      </c>
      <c r="E286" s="39">
        <v>0</v>
      </c>
      <c r="F286" s="39">
        <f t="shared" si="8"/>
        <v>542.98131497999987</v>
      </c>
      <c r="G286" s="195"/>
      <c r="H286" s="196"/>
      <c r="I286" s="34"/>
      <c r="L286" s="166"/>
      <c r="M286" s="166"/>
      <c r="N286" s="34"/>
    </row>
    <row r="287" spans="1:14" s="42" customFormat="1" ht="15.75" customHeight="1" x14ac:dyDescent="0.35">
      <c r="A287" s="128">
        <f t="shared" si="7"/>
        <v>10</v>
      </c>
      <c r="B287" s="129"/>
      <c r="C287" s="48" t="s">
        <v>192</v>
      </c>
      <c r="D287" s="39">
        <f>(30+1.15*2.15+1.08*2.15)*10.764</f>
        <v>374.52799799999997</v>
      </c>
      <c r="E287" s="39">
        <v>0</v>
      </c>
      <c r="F287" s="39">
        <f t="shared" si="8"/>
        <v>543.06559709999999</v>
      </c>
      <c r="G287" s="195"/>
      <c r="H287" s="196"/>
      <c r="I287" s="34"/>
      <c r="L287" s="166"/>
      <c r="M287" s="166"/>
      <c r="N287" s="34"/>
    </row>
    <row r="288" spans="1:14" s="42" customFormat="1" ht="15.75" customHeight="1" x14ac:dyDescent="0.35">
      <c r="A288" s="128">
        <f t="shared" si="7"/>
        <v>11</v>
      </c>
      <c r="B288" s="129"/>
      <c r="C288" s="48" t="s">
        <v>192</v>
      </c>
      <c r="D288" s="39">
        <f>(30+1.15*2.15+1.08*2.15)*10.764</f>
        <v>374.52799799999997</v>
      </c>
      <c r="E288" s="39">
        <v>0</v>
      </c>
      <c r="F288" s="39">
        <f t="shared" si="8"/>
        <v>543.06559709999999</v>
      </c>
      <c r="G288" s="195"/>
      <c r="H288" s="196"/>
      <c r="I288" s="34"/>
      <c r="L288" s="166"/>
      <c r="M288" s="166"/>
      <c r="N288" s="34"/>
    </row>
    <row r="289" spans="1:14" s="42" customFormat="1" ht="15.75" customHeight="1" x14ac:dyDescent="0.35">
      <c r="A289" s="128">
        <f t="shared" si="7"/>
        <v>12</v>
      </c>
      <c r="B289" s="129"/>
      <c r="C289" s="48" t="s">
        <v>192</v>
      </c>
      <c r="D289" s="39">
        <f>(30+1.3*2.15+1.08*2.15)*10.764</f>
        <v>377.99938800000001</v>
      </c>
      <c r="E289" s="39">
        <v>0</v>
      </c>
      <c r="F289" s="39">
        <f t="shared" si="8"/>
        <v>548.09911260000001</v>
      </c>
      <c r="G289" s="197"/>
      <c r="H289" s="198"/>
      <c r="I289" s="34"/>
      <c r="L289" s="166"/>
      <c r="M289" s="166"/>
      <c r="N289" s="34"/>
    </row>
    <row r="290" spans="1:14" s="42" customFormat="1" x14ac:dyDescent="0.35">
      <c r="A290" s="167" t="s">
        <v>197</v>
      </c>
      <c r="B290" s="168"/>
      <c r="C290" s="168"/>
      <c r="D290" s="168"/>
      <c r="E290" s="168"/>
      <c r="F290" s="168"/>
      <c r="G290" s="168"/>
      <c r="H290" s="169"/>
      <c r="J290" s="34"/>
    </row>
    <row r="291" spans="1:14" s="42" customFormat="1" x14ac:dyDescent="0.35">
      <c r="A291" s="167" t="s">
        <v>194</v>
      </c>
      <c r="B291" s="168"/>
      <c r="C291" s="168"/>
      <c r="D291" s="168"/>
      <c r="E291" s="168"/>
      <c r="F291" s="168"/>
      <c r="G291" s="168"/>
      <c r="H291" s="169"/>
      <c r="J291" s="34"/>
    </row>
    <row r="292" spans="1:14" s="42" customFormat="1" ht="15.75" customHeight="1" x14ac:dyDescent="0.35">
      <c r="A292" s="128">
        <v>1</v>
      </c>
      <c r="B292" s="129"/>
      <c r="C292" s="48" t="s">
        <v>192</v>
      </c>
      <c r="D292" s="39">
        <f>(30+1.08*2.15+1.3*2.15)*10.764</f>
        <v>377.99938800000001</v>
      </c>
      <c r="E292" s="39">
        <v>0</v>
      </c>
      <c r="F292" s="39">
        <f t="shared" ref="F292:F311" si="9">D292*(($F$249)+1)+(IF(E292&lt;101,E292,IF(E292&lt;201,E292/2,IF(E292&lt;=301,E292/3,E292/4))))</f>
        <v>548.09911260000001</v>
      </c>
      <c r="G292" s="193" t="str">
        <f>A291</f>
        <v>Ground Floor For Residential</v>
      </c>
      <c r="H292" s="194"/>
      <c r="I292" s="34"/>
      <c r="L292" s="166"/>
      <c r="M292" s="166"/>
      <c r="N292" s="34"/>
    </row>
    <row r="293" spans="1:14" s="42" customFormat="1" ht="15.75" customHeight="1" x14ac:dyDescent="0.35">
      <c r="A293" s="128">
        <v>2</v>
      </c>
      <c r="B293" s="129"/>
      <c r="C293" s="48" t="s">
        <v>192</v>
      </c>
      <c r="D293" s="39">
        <f>(30+1.08*2.15+1.15*2.15)*10.764</f>
        <v>374.52799799999997</v>
      </c>
      <c r="E293" s="39">
        <v>0</v>
      </c>
      <c r="F293" s="39">
        <f t="shared" si="9"/>
        <v>543.06559709999999</v>
      </c>
      <c r="G293" s="195"/>
      <c r="H293" s="196"/>
      <c r="I293" s="34"/>
      <c r="L293" s="166"/>
      <c r="M293" s="166"/>
      <c r="N293" s="34"/>
    </row>
    <row r="294" spans="1:14" s="42" customFormat="1" ht="15.75" customHeight="1" x14ac:dyDescent="0.35">
      <c r="A294" s="128">
        <v>3</v>
      </c>
      <c r="B294" s="129"/>
      <c r="C294" s="48" t="s">
        <v>192</v>
      </c>
      <c r="D294" s="39">
        <f t="shared" ref="D294:D304" si="10">(30+1.08*2.15+1.15*2.15)*10.764</f>
        <v>374.52799799999997</v>
      </c>
      <c r="E294" s="39">
        <v>0</v>
      </c>
      <c r="F294" s="39">
        <f t="shared" si="9"/>
        <v>543.06559709999999</v>
      </c>
      <c r="G294" s="195"/>
      <c r="H294" s="196"/>
      <c r="I294" s="34"/>
      <c r="L294" s="166"/>
      <c r="M294" s="166"/>
      <c r="N294" s="34"/>
    </row>
    <row r="295" spans="1:14" s="42" customFormat="1" ht="15.75" customHeight="1" x14ac:dyDescent="0.35">
      <c r="A295" s="128">
        <v>4</v>
      </c>
      <c r="B295" s="129"/>
      <c r="C295" s="48" t="s">
        <v>192</v>
      </c>
      <c r="D295" s="39">
        <f t="shared" si="10"/>
        <v>374.52799799999997</v>
      </c>
      <c r="E295" s="39">
        <v>0</v>
      </c>
      <c r="F295" s="39">
        <f t="shared" si="9"/>
        <v>543.06559709999999</v>
      </c>
      <c r="G295" s="195"/>
      <c r="H295" s="196"/>
      <c r="I295" s="34"/>
      <c r="L295" s="166"/>
      <c r="M295" s="166"/>
      <c r="N295" s="34"/>
    </row>
    <row r="296" spans="1:14" s="42" customFormat="1" ht="15.75" customHeight="1" x14ac:dyDescent="0.35">
      <c r="A296" s="128">
        <v>5</v>
      </c>
      <c r="B296" s="129"/>
      <c r="C296" s="48" t="s">
        <v>192</v>
      </c>
      <c r="D296" s="39">
        <f t="shared" si="10"/>
        <v>374.52799799999997</v>
      </c>
      <c r="E296" s="39">
        <v>0</v>
      </c>
      <c r="F296" s="39">
        <f t="shared" si="9"/>
        <v>543.06559709999999</v>
      </c>
      <c r="G296" s="195"/>
      <c r="H296" s="196"/>
      <c r="I296" s="34"/>
      <c r="L296" s="166"/>
      <c r="M296" s="166"/>
      <c r="N296" s="34"/>
    </row>
    <row r="297" spans="1:14" s="42" customFormat="1" ht="15.75" customHeight="1" x14ac:dyDescent="0.35">
      <c r="A297" s="128">
        <v>6</v>
      </c>
      <c r="B297" s="129"/>
      <c r="C297" s="48" t="s">
        <v>192</v>
      </c>
      <c r="D297" s="39">
        <f t="shared" si="10"/>
        <v>374.52799799999997</v>
      </c>
      <c r="E297" s="39">
        <v>0</v>
      </c>
      <c r="F297" s="39">
        <f t="shared" si="9"/>
        <v>543.06559709999999</v>
      </c>
      <c r="G297" s="195"/>
      <c r="H297" s="196"/>
      <c r="I297" s="34"/>
      <c r="L297" s="166"/>
      <c r="M297" s="166"/>
      <c r="N297" s="34"/>
    </row>
    <row r="298" spans="1:14" s="42" customFormat="1" ht="15.75" customHeight="1" x14ac:dyDescent="0.35">
      <c r="A298" s="128">
        <v>7</v>
      </c>
      <c r="B298" s="129"/>
      <c r="C298" s="48" t="s">
        <v>192</v>
      </c>
      <c r="D298" s="39">
        <f t="shared" si="10"/>
        <v>374.52799799999997</v>
      </c>
      <c r="E298" s="39">
        <v>0</v>
      </c>
      <c r="F298" s="39">
        <f t="shared" si="9"/>
        <v>543.06559709999999</v>
      </c>
      <c r="G298" s="195"/>
      <c r="H298" s="196"/>
      <c r="I298" s="34"/>
      <c r="L298" s="166"/>
      <c r="M298" s="166"/>
      <c r="N298" s="34"/>
    </row>
    <row r="299" spans="1:14" s="42" customFormat="1" ht="15.75" customHeight="1" x14ac:dyDescent="0.35">
      <c r="A299" s="128">
        <v>8</v>
      </c>
      <c r="B299" s="129"/>
      <c r="C299" s="48" t="s">
        <v>192</v>
      </c>
      <c r="D299" s="39">
        <f t="shared" si="10"/>
        <v>374.52799799999997</v>
      </c>
      <c r="E299" s="39">
        <v>0</v>
      </c>
      <c r="F299" s="39">
        <f t="shared" si="9"/>
        <v>543.06559709999999</v>
      </c>
      <c r="G299" s="195"/>
      <c r="H299" s="196"/>
      <c r="I299" s="34"/>
      <c r="L299" s="166"/>
      <c r="M299" s="166"/>
      <c r="N299" s="34"/>
    </row>
    <row r="300" spans="1:14" s="42" customFormat="1" ht="15.75" customHeight="1" x14ac:dyDescent="0.35">
      <c r="A300" s="128">
        <v>9</v>
      </c>
      <c r="B300" s="129"/>
      <c r="C300" s="48" t="s">
        <v>192</v>
      </c>
      <c r="D300" s="39">
        <f>(30+1.08*2.15+1.3*2.15)*10.764</f>
        <v>377.99938800000001</v>
      </c>
      <c r="E300" s="39">
        <v>0</v>
      </c>
      <c r="F300" s="39">
        <f t="shared" si="9"/>
        <v>548.09911260000001</v>
      </c>
      <c r="G300" s="195"/>
      <c r="H300" s="196"/>
      <c r="I300" s="34"/>
      <c r="L300" s="166"/>
      <c r="M300" s="166"/>
      <c r="N300" s="34"/>
    </row>
    <row r="301" spans="1:14" s="42" customFormat="1" ht="15.75" customHeight="1" x14ac:dyDescent="0.35">
      <c r="A301" s="128">
        <v>10</v>
      </c>
      <c r="B301" s="129"/>
      <c r="C301" s="48" t="s">
        <v>192</v>
      </c>
      <c r="D301" s="39">
        <f>(30+1.08*2.15+1.3*2.15)*10.764</f>
        <v>377.99938800000001</v>
      </c>
      <c r="E301" s="39">
        <v>0</v>
      </c>
      <c r="F301" s="39">
        <f t="shared" si="9"/>
        <v>548.09911260000001</v>
      </c>
      <c r="G301" s="195"/>
      <c r="H301" s="196"/>
      <c r="I301" s="34"/>
      <c r="L301" s="166"/>
      <c r="M301" s="166"/>
      <c r="N301" s="34"/>
    </row>
    <row r="302" spans="1:14" s="42" customFormat="1" ht="15.75" customHeight="1" x14ac:dyDescent="0.35">
      <c r="A302" s="128">
        <v>11</v>
      </c>
      <c r="B302" s="129"/>
      <c r="C302" s="48" t="s">
        <v>192</v>
      </c>
      <c r="D302" s="39">
        <f t="shared" si="10"/>
        <v>374.52799799999997</v>
      </c>
      <c r="E302" s="39">
        <v>0</v>
      </c>
      <c r="F302" s="39">
        <f t="shared" si="9"/>
        <v>543.06559709999999</v>
      </c>
      <c r="G302" s="195"/>
      <c r="H302" s="196"/>
      <c r="I302" s="34"/>
      <c r="L302" s="166"/>
      <c r="M302" s="166"/>
      <c r="N302" s="34"/>
    </row>
    <row r="303" spans="1:14" s="42" customFormat="1" ht="15.75" customHeight="1" x14ac:dyDescent="0.35">
      <c r="A303" s="128">
        <v>12</v>
      </c>
      <c r="B303" s="129"/>
      <c r="C303" s="48" t="s">
        <v>192</v>
      </c>
      <c r="D303" s="39">
        <f t="shared" si="10"/>
        <v>374.52799799999997</v>
      </c>
      <c r="E303" s="39">
        <v>0</v>
      </c>
      <c r="F303" s="39">
        <f t="shared" si="9"/>
        <v>543.06559709999999</v>
      </c>
      <c r="G303" s="195"/>
      <c r="H303" s="196"/>
      <c r="I303" s="34"/>
      <c r="L303" s="166"/>
      <c r="M303" s="166"/>
      <c r="N303" s="34"/>
    </row>
    <row r="304" spans="1:14" s="42" customFormat="1" ht="15.75" customHeight="1" x14ac:dyDescent="0.35">
      <c r="A304" s="128">
        <v>13</v>
      </c>
      <c r="B304" s="129"/>
      <c r="C304" s="48" t="s">
        <v>192</v>
      </c>
      <c r="D304" s="39">
        <f t="shared" si="10"/>
        <v>374.52799799999997</v>
      </c>
      <c r="E304" s="39">
        <v>0</v>
      </c>
      <c r="F304" s="39">
        <f t="shared" si="9"/>
        <v>543.06559709999999</v>
      </c>
      <c r="G304" s="195"/>
      <c r="H304" s="196"/>
      <c r="I304" s="34"/>
      <c r="L304" s="166"/>
      <c r="M304" s="166"/>
      <c r="N304" s="34"/>
    </row>
    <row r="305" spans="1:14" s="42" customFormat="1" ht="15.75" customHeight="1" x14ac:dyDescent="0.35">
      <c r="A305" s="128">
        <v>14</v>
      </c>
      <c r="B305" s="129"/>
      <c r="C305" s="48" t="s">
        <v>192</v>
      </c>
      <c r="D305" s="39">
        <f>(30+1.08*2.15+1.3*2.15)*10.764</f>
        <v>377.99938800000001</v>
      </c>
      <c r="E305" s="39">
        <v>0</v>
      </c>
      <c r="F305" s="39">
        <f t="shared" si="9"/>
        <v>548.09911260000001</v>
      </c>
      <c r="G305" s="195"/>
      <c r="H305" s="196"/>
      <c r="I305" s="34"/>
      <c r="L305" s="166"/>
      <c r="M305" s="166"/>
      <c r="N305" s="34"/>
    </row>
    <row r="306" spans="1:14" s="42" customFormat="1" ht="15.75" customHeight="1" x14ac:dyDescent="0.35">
      <c r="A306" s="128">
        <v>15</v>
      </c>
      <c r="B306" s="129"/>
      <c r="C306" s="48" t="s">
        <v>192</v>
      </c>
      <c r="D306" s="39">
        <f>(30+1.08*2.15+1.3*2.15)*10.764</f>
        <v>377.99938800000001</v>
      </c>
      <c r="E306" s="39">
        <v>0</v>
      </c>
      <c r="F306" s="39">
        <f t="shared" si="9"/>
        <v>548.09911260000001</v>
      </c>
      <c r="G306" s="195"/>
      <c r="H306" s="196"/>
      <c r="I306" s="34"/>
      <c r="L306" s="166"/>
      <c r="M306" s="166"/>
      <c r="N306" s="34"/>
    </row>
    <row r="307" spans="1:14" s="42" customFormat="1" ht="15.75" customHeight="1" x14ac:dyDescent="0.35">
      <c r="A307" s="128">
        <v>16</v>
      </c>
      <c r="B307" s="129"/>
      <c r="C307" s="48" t="s">
        <v>192</v>
      </c>
      <c r="D307" s="39">
        <f>(30+1.08*2.15+1.15*2.15)*10.764</f>
        <v>374.52799799999997</v>
      </c>
      <c r="E307" s="39">
        <v>0</v>
      </c>
      <c r="F307" s="39">
        <f t="shared" si="9"/>
        <v>543.06559709999999</v>
      </c>
      <c r="G307" s="195"/>
      <c r="H307" s="196"/>
      <c r="I307" s="34"/>
      <c r="L307" s="166"/>
      <c r="M307" s="166"/>
      <c r="N307" s="34"/>
    </row>
    <row r="308" spans="1:14" s="42" customFormat="1" ht="15.75" customHeight="1" x14ac:dyDescent="0.35">
      <c r="A308" s="128">
        <v>17</v>
      </c>
      <c r="B308" s="129"/>
      <c r="C308" s="48" t="s">
        <v>192</v>
      </c>
      <c r="D308" s="39">
        <f>(30+1.08*2.15+1.15*2.15)*10.764</f>
        <v>374.52799799999997</v>
      </c>
      <c r="E308" s="39">
        <v>0</v>
      </c>
      <c r="F308" s="39">
        <f t="shared" si="9"/>
        <v>543.06559709999999</v>
      </c>
      <c r="G308" s="195"/>
      <c r="H308" s="196"/>
      <c r="I308" s="34"/>
      <c r="L308" s="166"/>
      <c r="M308" s="166"/>
      <c r="N308" s="34"/>
    </row>
    <row r="309" spans="1:14" s="42" customFormat="1" ht="15.75" customHeight="1" x14ac:dyDescent="0.35">
      <c r="A309" s="128">
        <v>18</v>
      </c>
      <c r="B309" s="129"/>
      <c r="C309" s="48" t="s">
        <v>192</v>
      </c>
      <c r="D309" s="39">
        <f>(30+1.08*2.15+1.15*2.15)*10.764</f>
        <v>374.52799799999997</v>
      </c>
      <c r="E309" s="39">
        <v>0</v>
      </c>
      <c r="F309" s="39">
        <f t="shared" si="9"/>
        <v>543.06559709999999</v>
      </c>
      <c r="G309" s="195"/>
      <c r="H309" s="196"/>
      <c r="I309" s="34"/>
      <c r="L309" s="166"/>
      <c r="M309" s="166"/>
      <c r="N309" s="34"/>
    </row>
    <row r="310" spans="1:14" s="42" customFormat="1" ht="15.75" customHeight="1" x14ac:dyDescent="0.35">
      <c r="A310" s="128">
        <v>19</v>
      </c>
      <c r="B310" s="129"/>
      <c r="C310" s="48" t="s">
        <v>192</v>
      </c>
      <c r="D310" s="39">
        <f>(30+1.08*2.15+1.15*2.15)*10.764</f>
        <v>374.52799799999997</v>
      </c>
      <c r="E310" s="39">
        <v>0</v>
      </c>
      <c r="F310" s="39">
        <f t="shared" si="9"/>
        <v>543.06559709999999</v>
      </c>
      <c r="G310" s="195"/>
      <c r="H310" s="196"/>
      <c r="I310" s="34"/>
      <c r="L310" s="166"/>
      <c r="M310" s="166"/>
      <c r="N310" s="34"/>
    </row>
    <row r="311" spans="1:14" s="42" customFormat="1" ht="15.75" customHeight="1" x14ac:dyDescent="0.35">
      <c r="A311" s="128">
        <f>A310+1</f>
        <v>20</v>
      </c>
      <c r="B311" s="129"/>
      <c r="C311" s="48" t="s">
        <v>192</v>
      </c>
      <c r="D311" s="39">
        <f>(30+1.08*2.15+1.3*2.15)*10.764</f>
        <v>377.99938800000001</v>
      </c>
      <c r="E311" s="39">
        <v>0</v>
      </c>
      <c r="F311" s="39">
        <f t="shared" si="9"/>
        <v>548.09911260000001</v>
      </c>
      <c r="G311" s="197"/>
      <c r="H311" s="198"/>
      <c r="I311" s="34"/>
      <c r="L311" s="166"/>
      <c r="M311" s="166"/>
      <c r="N311" s="34"/>
    </row>
    <row r="312" spans="1:14" s="42" customFormat="1" x14ac:dyDescent="0.35">
      <c r="A312" s="191" t="s">
        <v>198</v>
      </c>
      <c r="B312" s="191"/>
      <c r="C312" s="191"/>
      <c r="D312" s="191"/>
      <c r="E312" s="191"/>
      <c r="F312" s="191"/>
      <c r="G312" s="191"/>
      <c r="H312" s="191"/>
      <c r="J312" s="34"/>
    </row>
    <row r="313" spans="1:14" s="42" customFormat="1" ht="15.75" customHeight="1" x14ac:dyDescent="0.35">
      <c r="A313" s="192">
        <v>1</v>
      </c>
      <c r="B313" s="192"/>
      <c r="C313" s="48" t="s">
        <v>192</v>
      </c>
      <c r="D313" s="39">
        <f>(30+1.08*2.15+1.3*2.15)*10.764</f>
        <v>377.99938800000001</v>
      </c>
      <c r="E313" s="39">
        <v>0</v>
      </c>
      <c r="F313" s="39">
        <f t="shared" ref="F313:F332" si="11">D313*(($F$249)+1)+(IF(E313&lt;101,E313,IF(E313&lt;201,E313/2,IF(E313&lt;=301,E313/3,E313/4))))</f>
        <v>548.09911260000001</v>
      </c>
      <c r="G313" s="192" t="str">
        <f>A312</f>
        <v>1st to 7th &amp; 9th Floor</v>
      </c>
      <c r="H313" s="192"/>
      <c r="I313" s="34"/>
      <c r="L313" s="166"/>
      <c r="M313" s="166"/>
      <c r="N313" s="34"/>
    </row>
    <row r="314" spans="1:14" s="42" customFormat="1" ht="15.75" customHeight="1" x14ac:dyDescent="0.35">
      <c r="A314" s="192">
        <v>2</v>
      </c>
      <c r="B314" s="192"/>
      <c r="C314" s="48" t="s">
        <v>192</v>
      </c>
      <c r="D314" s="39">
        <f>(30+1.08*2.15+1.15*2.15)*10.764</f>
        <v>374.52799799999997</v>
      </c>
      <c r="E314" s="39">
        <v>0</v>
      </c>
      <c r="F314" s="39">
        <f t="shared" si="11"/>
        <v>543.06559709999999</v>
      </c>
      <c r="G314" s="192"/>
      <c r="H314" s="192"/>
      <c r="I314" s="34"/>
      <c r="L314" s="166"/>
      <c r="M314" s="166"/>
      <c r="N314" s="34"/>
    </row>
    <row r="315" spans="1:14" s="42" customFormat="1" ht="15.75" customHeight="1" x14ac:dyDescent="0.35">
      <c r="A315" s="192">
        <v>3</v>
      </c>
      <c r="B315" s="192"/>
      <c r="C315" s="48" t="s">
        <v>192</v>
      </c>
      <c r="D315" s="39">
        <f t="shared" ref="D315:D325" si="12">(30+1.08*2.15+1.15*2.15)*10.764</f>
        <v>374.52799799999997</v>
      </c>
      <c r="E315" s="39">
        <v>0</v>
      </c>
      <c r="F315" s="39">
        <f t="shared" si="11"/>
        <v>543.06559709999999</v>
      </c>
      <c r="G315" s="192"/>
      <c r="H315" s="192"/>
      <c r="I315" s="34"/>
      <c r="L315" s="166"/>
      <c r="M315" s="166"/>
      <c r="N315" s="34"/>
    </row>
    <row r="316" spans="1:14" s="42" customFormat="1" ht="15.75" customHeight="1" x14ac:dyDescent="0.35">
      <c r="A316" s="192">
        <v>4</v>
      </c>
      <c r="B316" s="192"/>
      <c r="C316" s="48" t="s">
        <v>192</v>
      </c>
      <c r="D316" s="39">
        <f t="shared" si="12"/>
        <v>374.52799799999997</v>
      </c>
      <c r="E316" s="39">
        <v>0</v>
      </c>
      <c r="F316" s="39">
        <f t="shared" si="11"/>
        <v>543.06559709999999</v>
      </c>
      <c r="G316" s="192"/>
      <c r="H316" s="192"/>
      <c r="I316" s="34"/>
      <c r="L316" s="166"/>
      <c r="M316" s="166"/>
      <c r="N316" s="34"/>
    </row>
    <row r="317" spans="1:14" s="42" customFormat="1" ht="15.75" customHeight="1" x14ac:dyDescent="0.35">
      <c r="A317" s="192">
        <v>5</v>
      </c>
      <c r="B317" s="192"/>
      <c r="C317" s="48" t="s">
        <v>192</v>
      </c>
      <c r="D317" s="39">
        <f t="shared" si="12"/>
        <v>374.52799799999997</v>
      </c>
      <c r="E317" s="39">
        <v>0</v>
      </c>
      <c r="F317" s="39">
        <f t="shared" si="11"/>
        <v>543.06559709999999</v>
      </c>
      <c r="G317" s="192"/>
      <c r="H317" s="192"/>
      <c r="I317" s="34"/>
      <c r="L317" s="166"/>
      <c r="M317" s="166"/>
      <c r="N317" s="34"/>
    </row>
    <row r="318" spans="1:14" s="42" customFormat="1" ht="15.75" customHeight="1" x14ac:dyDescent="0.35">
      <c r="A318" s="192">
        <v>6</v>
      </c>
      <c r="B318" s="192"/>
      <c r="C318" s="48" t="s">
        <v>192</v>
      </c>
      <c r="D318" s="39">
        <f t="shared" si="12"/>
        <v>374.52799799999997</v>
      </c>
      <c r="E318" s="39">
        <v>0</v>
      </c>
      <c r="F318" s="39">
        <f t="shared" si="11"/>
        <v>543.06559709999999</v>
      </c>
      <c r="G318" s="192"/>
      <c r="H318" s="192"/>
      <c r="I318" s="34"/>
      <c r="L318" s="166"/>
      <c r="M318" s="166"/>
      <c r="N318" s="34"/>
    </row>
    <row r="319" spans="1:14" s="42" customFormat="1" ht="15.75" customHeight="1" x14ac:dyDescent="0.35">
      <c r="A319" s="192">
        <v>7</v>
      </c>
      <c r="B319" s="192"/>
      <c r="C319" s="48" t="s">
        <v>192</v>
      </c>
      <c r="D319" s="39">
        <f t="shared" si="12"/>
        <v>374.52799799999997</v>
      </c>
      <c r="E319" s="39">
        <v>0</v>
      </c>
      <c r="F319" s="39">
        <f t="shared" si="11"/>
        <v>543.06559709999999</v>
      </c>
      <c r="G319" s="192"/>
      <c r="H319" s="192"/>
      <c r="I319" s="34"/>
      <c r="L319" s="166"/>
      <c r="M319" s="166"/>
      <c r="N319" s="34"/>
    </row>
    <row r="320" spans="1:14" s="42" customFormat="1" ht="15.75" customHeight="1" x14ac:dyDescent="0.35">
      <c r="A320" s="192">
        <v>8</v>
      </c>
      <c r="B320" s="192"/>
      <c r="C320" s="48" t="s">
        <v>192</v>
      </c>
      <c r="D320" s="39">
        <f t="shared" si="12"/>
        <v>374.52799799999997</v>
      </c>
      <c r="E320" s="39">
        <v>0</v>
      </c>
      <c r="F320" s="39">
        <f t="shared" si="11"/>
        <v>543.06559709999999</v>
      </c>
      <c r="G320" s="192"/>
      <c r="H320" s="192"/>
      <c r="I320" s="34"/>
      <c r="L320" s="166"/>
      <c r="M320" s="166"/>
      <c r="N320" s="34"/>
    </row>
    <row r="321" spans="1:14" s="42" customFormat="1" ht="15.75" customHeight="1" x14ac:dyDescent="0.35">
      <c r="A321" s="192">
        <v>9</v>
      </c>
      <c r="B321" s="192"/>
      <c r="C321" s="48" t="s">
        <v>192</v>
      </c>
      <c r="D321" s="39">
        <f>(30+1.08*2.15+1.3*2.15)*10.764</f>
        <v>377.99938800000001</v>
      </c>
      <c r="E321" s="39">
        <v>0</v>
      </c>
      <c r="F321" s="39">
        <f t="shared" si="11"/>
        <v>548.09911260000001</v>
      </c>
      <c r="G321" s="192"/>
      <c r="H321" s="192"/>
      <c r="I321" s="34"/>
      <c r="L321" s="166"/>
      <c r="M321" s="166"/>
      <c r="N321" s="34"/>
    </row>
    <row r="322" spans="1:14" s="42" customFormat="1" ht="15.75" customHeight="1" x14ac:dyDescent="0.35">
      <c r="A322" s="192">
        <v>10</v>
      </c>
      <c r="B322" s="192"/>
      <c r="C322" s="48" t="s">
        <v>192</v>
      </c>
      <c r="D322" s="39">
        <f>(30+1.08*2.15+1.3*2.15)*10.764</f>
        <v>377.99938800000001</v>
      </c>
      <c r="E322" s="39">
        <v>0</v>
      </c>
      <c r="F322" s="39">
        <f t="shared" si="11"/>
        <v>548.09911260000001</v>
      </c>
      <c r="G322" s="192"/>
      <c r="H322" s="192"/>
      <c r="I322" s="34"/>
      <c r="L322" s="166"/>
      <c r="M322" s="166"/>
      <c r="N322" s="34"/>
    </row>
    <row r="323" spans="1:14" s="42" customFormat="1" ht="15.75" customHeight="1" x14ac:dyDescent="0.35">
      <c r="A323" s="192">
        <v>11</v>
      </c>
      <c r="B323" s="192"/>
      <c r="C323" s="48" t="s">
        <v>192</v>
      </c>
      <c r="D323" s="39">
        <f t="shared" si="12"/>
        <v>374.52799799999997</v>
      </c>
      <c r="E323" s="39">
        <v>0</v>
      </c>
      <c r="F323" s="39">
        <f t="shared" si="11"/>
        <v>543.06559709999999</v>
      </c>
      <c r="G323" s="192"/>
      <c r="H323" s="192"/>
      <c r="I323" s="34"/>
      <c r="L323" s="166"/>
      <c r="M323" s="166"/>
      <c r="N323" s="34"/>
    </row>
    <row r="324" spans="1:14" s="42" customFormat="1" ht="15.75" customHeight="1" x14ac:dyDescent="0.35">
      <c r="A324" s="192">
        <v>12</v>
      </c>
      <c r="B324" s="192"/>
      <c r="C324" s="48" t="s">
        <v>192</v>
      </c>
      <c r="D324" s="39">
        <f t="shared" si="12"/>
        <v>374.52799799999997</v>
      </c>
      <c r="E324" s="39">
        <v>0</v>
      </c>
      <c r="F324" s="39">
        <f t="shared" si="11"/>
        <v>543.06559709999999</v>
      </c>
      <c r="G324" s="192"/>
      <c r="H324" s="192"/>
      <c r="I324" s="34"/>
      <c r="L324" s="166"/>
      <c r="M324" s="166"/>
      <c r="N324" s="34"/>
    </row>
    <row r="325" spans="1:14" s="42" customFormat="1" ht="15.75" customHeight="1" x14ac:dyDescent="0.35">
      <c r="A325" s="192">
        <v>13</v>
      </c>
      <c r="B325" s="192"/>
      <c r="C325" s="48" t="s">
        <v>192</v>
      </c>
      <c r="D325" s="39">
        <f t="shared" si="12"/>
        <v>374.52799799999997</v>
      </c>
      <c r="E325" s="39">
        <v>0</v>
      </c>
      <c r="F325" s="39">
        <f t="shared" si="11"/>
        <v>543.06559709999999</v>
      </c>
      <c r="G325" s="192"/>
      <c r="H325" s="192"/>
      <c r="I325" s="34"/>
      <c r="L325" s="166"/>
      <c r="M325" s="166"/>
      <c r="N325" s="34"/>
    </row>
    <row r="326" spans="1:14" s="42" customFormat="1" ht="15.75" customHeight="1" x14ac:dyDescent="0.35">
      <c r="A326" s="192">
        <v>14</v>
      </c>
      <c r="B326" s="192"/>
      <c r="C326" s="48" t="s">
        <v>192</v>
      </c>
      <c r="D326" s="39">
        <f>(30+1.08*2.15+1.3*2.15)*10.764</f>
        <v>377.99938800000001</v>
      </c>
      <c r="E326" s="39">
        <v>0</v>
      </c>
      <c r="F326" s="39">
        <f t="shared" si="11"/>
        <v>548.09911260000001</v>
      </c>
      <c r="G326" s="192"/>
      <c r="H326" s="192"/>
      <c r="I326" s="34"/>
      <c r="L326" s="166"/>
      <c r="M326" s="166"/>
      <c r="N326" s="34"/>
    </row>
    <row r="327" spans="1:14" s="42" customFormat="1" ht="15.75" customHeight="1" x14ac:dyDescent="0.35">
      <c r="A327" s="192">
        <v>15</v>
      </c>
      <c r="B327" s="192"/>
      <c r="C327" s="48" t="s">
        <v>192</v>
      </c>
      <c r="D327" s="39">
        <f>(30+1.08*2.15+1.3*2.15)*10.764</f>
        <v>377.99938800000001</v>
      </c>
      <c r="E327" s="39">
        <v>0</v>
      </c>
      <c r="F327" s="39">
        <f t="shared" si="11"/>
        <v>548.09911260000001</v>
      </c>
      <c r="G327" s="192"/>
      <c r="H327" s="192"/>
      <c r="I327" s="34"/>
      <c r="L327" s="166"/>
      <c r="M327" s="166"/>
      <c r="N327" s="34"/>
    </row>
    <row r="328" spans="1:14" s="42" customFormat="1" ht="15.75" customHeight="1" x14ac:dyDescent="0.35">
      <c r="A328" s="192">
        <v>16</v>
      </c>
      <c r="B328" s="192"/>
      <c r="C328" s="48" t="s">
        <v>192</v>
      </c>
      <c r="D328" s="39">
        <f>(30+1.08*2.15+1.15*2.15)*10.764</f>
        <v>374.52799799999997</v>
      </c>
      <c r="E328" s="39">
        <v>0</v>
      </c>
      <c r="F328" s="39">
        <f t="shared" si="11"/>
        <v>543.06559709999999</v>
      </c>
      <c r="G328" s="192"/>
      <c r="H328" s="192"/>
      <c r="I328" s="34"/>
      <c r="L328" s="166"/>
      <c r="M328" s="166"/>
      <c r="N328" s="34"/>
    </row>
    <row r="329" spans="1:14" s="42" customFormat="1" ht="15.75" customHeight="1" x14ac:dyDescent="0.35">
      <c r="A329" s="192">
        <v>17</v>
      </c>
      <c r="B329" s="192"/>
      <c r="C329" s="48" t="s">
        <v>192</v>
      </c>
      <c r="D329" s="39">
        <f>(30+1.08*2.15+1.15*2.15)*10.764</f>
        <v>374.52799799999997</v>
      </c>
      <c r="E329" s="39">
        <v>0</v>
      </c>
      <c r="F329" s="39">
        <f t="shared" si="11"/>
        <v>543.06559709999999</v>
      </c>
      <c r="G329" s="192"/>
      <c r="H329" s="192"/>
      <c r="I329" s="34"/>
      <c r="L329" s="166"/>
      <c r="M329" s="166"/>
      <c r="N329" s="34"/>
    </row>
    <row r="330" spans="1:14" s="42" customFormat="1" ht="15.75" customHeight="1" x14ac:dyDescent="0.35">
      <c r="A330" s="192">
        <v>18</v>
      </c>
      <c r="B330" s="192"/>
      <c r="C330" s="48" t="s">
        <v>192</v>
      </c>
      <c r="D330" s="39">
        <f>(30+1.08*2.15+1.15*2.15)*10.764</f>
        <v>374.52799799999997</v>
      </c>
      <c r="E330" s="39">
        <v>0</v>
      </c>
      <c r="F330" s="39">
        <f t="shared" si="11"/>
        <v>543.06559709999999</v>
      </c>
      <c r="G330" s="192"/>
      <c r="H330" s="192"/>
      <c r="I330" s="34"/>
      <c r="L330" s="166"/>
      <c r="M330" s="166"/>
      <c r="N330" s="34"/>
    </row>
    <row r="331" spans="1:14" s="42" customFormat="1" ht="15.75" customHeight="1" x14ac:dyDescent="0.35">
      <c r="A331" s="192">
        <v>19</v>
      </c>
      <c r="B331" s="192"/>
      <c r="C331" s="48" t="s">
        <v>192</v>
      </c>
      <c r="D331" s="39">
        <f>(30+1.08*2.15+1.15*2.15)*10.764</f>
        <v>374.52799799999997</v>
      </c>
      <c r="E331" s="39">
        <v>0</v>
      </c>
      <c r="F331" s="39">
        <f t="shared" si="11"/>
        <v>543.06559709999999</v>
      </c>
      <c r="G331" s="192"/>
      <c r="H331" s="192"/>
      <c r="I331" s="34"/>
      <c r="L331" s="166"/>
      <c r="M331" s="166"/>
      <c r="N331" s="34"/>
    </row>
    <row r="332" spans="1:14" s="42" customFormat="1" ht="15.75" customHeight="1" x14ac:dyDescent="0.35">
      <c r="A332" s="192">
        <f>A331+1</f>
        <v>20</v>
      </c>
      <c r="B332" s="192"/>
      <c r="C332" s="48" t="s">
        <v>192</v>
      </c>
      <c r="D332" s="39">
        <f>(30+1.08*2.15+1.3*2.15)*10.764</f>
        <v>377.99938800000001</v>
      </c>
      <c r="E332" s="39">
        <v>0</v>
      </c>
      <c r="F332" s="39">
        <f t="shared" si="11"/>
        <v>548.09911260000001</v>
      </c>
      <c r="G332" s="192"/>
      <c r="H332" s="192"/>
      <c r="I332" s="34"/>
      <c r="L332" s="166"/>
      <c r="M332" s="166"/>
      <c r="N332" s="34"/>
    </row>
    <row r="333" spans="1:14" s="42" customFormat="1" x14ac:dyDescent="0.35">
      <c r="A333" s="167" t="s">
        <v>199</v>
      </c>
      <c r="B333" s="168"/>
      <c r="C333" s="168"/>
      <c r="D333" s="168"/>
      <c r="E333" s="168"/>
      <c r="F333" s="168"/>
      <c r="G333" s="168"/>
      <c r="H333" s="169"/>
      <c r="J333" s="34"/>
    </row>
    <row r="334" spans="1:14" s="42" customFormat="1" ht="15.75" customHeight="1" x14ac:dyDescent="0.35">
      <c r="A334" s="128">
        <v>1</v>
      </c>
      <c r="B334" s="129"/>
      <c r="C334" s="48" t="s">
        <v>192</v>
      </c>
      <c r="D334" s="39">
        <f>(30+1.08*2.15+1.3*2.15)*10.764</f>
        <v>377.99938800000001</v>
      </c>
      <c r="E334" s="39">
        <v>0</v>
      </c>
      <c r="F334" s="39">
        <f t="shared" ref="F334:F348" si="13">D334*(($F$249)+1)+(IF(E334&lt;101,E334,IF(E334&lt;201,E334/2,IF(E334&lt;=301,E334/3,E334/4))))</f>
        <v>548.09911260000001</v>
      </c>
      <c r="G334" s="193" t="str">
        <f>A333</f>
        <v>8th Floor (Part Refuge Area)</v>
      </c>
      <c r="H334" s="194"/>
      <c r="I334" s="34"/>
      <c r="L334" s="166"/>
      <c r="M334" s="166"/>
      <c r="N334" s="34"/>
    </row>
    <row r="335" spans="1:14" s="42" customFormat="1" ht="15.75" customHeight="1" x14ac:dyDescent="0.35">
      <c r="A335" s="128">
        <v>2</v>
      </c>
      <c r="B335" s="129"/>
      <c r="C335" s="48" t="s">
        <v>192</v>
      </c>
      <c r="D335" s="39">
        <f>(30+1.08*2.15+1.15*2.15)*10.764</f>
        <v>374.52799799999997</v>
      </c>
      <c r="E335" s="39">
        <v>0</v>
      </c>
      <c r="F335" s="39">
        <f t="shared" si="13"/>
        <v>543.06559709999999</v>
      </c>
      <c r="G335" s="195"/>
      <c r="H335" s="196"/>
      <c r="I335" s="34"/>
      <c r="L335" s="166"/>
      <c r="M335" s="166"/>
      <c r="N335" s="34"/>
    </row>
    <row r="336" spans="1:14" s="42" customFormat="1" ht="15.75" customHeight="1" x14ac:dyDescent="0.35">
      <c r="A336" s="128">
        <v>3</v>
      </c>
      <c r="B336" s="129"/>
      <c r="C336" s="48" t="s">
        <v>192</v>
      </c>
      <c r="D336" s="39">
        <f t="shared" ref="D336:D346" si="14">(30+1.08*2.15+1.15*2.15)*10.764</f>
        <v>374.52799799999997</v>
      </c>
      <c r="E336" s="39">
        <v>0</v>
      </c>
      <c r="F336" s="39">
        <f t="shared" si="13"/>
        <v>543.06559709999999</v>
      </c>
      <c r="G336" s="195"/>
      <c r="H336" s="196"/>
      <c r="I336" s="34"/>
      <c r="L336" s="166"/>
      <c r="M336" s="166"/>
      <c r="N336" s="34"/>
    </row>
    <row r="337" spans="1:14" s="42" customFormat="1" ht="15.75" customHeight="1" x14ac:dyDescent="0.35">
      <c r="A337" s="128">
        <v>4</v>
      </c>
      <c r="B337" s="129"/>
      <c r="C337" s="48" t="s">
        <v>192</v>
      </c>
      <c r="D337" s="39">
        <f t="shared" si="14"/>
        <v>374.52799799999997</v>
      </c>
      <c r="E337" s="39">
        <v>0</v>
      </c>
      <c r="F337" s="39">
        <f t="shared" si="13"/>
        <v>543.06559709999999</v>
      </c>
      <c r="G337" s="195"/>
      <c r="H337" s="196"/>
      <c r="I337" s="34"/>
      <c r="L337" s="166"/>
      <c r="M337" s="166"/>
      <c r="N337" s="34"/>
    </row>
    <row r="338" spans="1:14" s="42" customFormat="1" ht="15.75" customHeight="1" x14ac:dyDescent="0.35">
      <c r="A338" s="128">
        <v>5</v>
      </c>
      <c r="B338" s="129"/>
      <c r="C338" s="48" t="s">
        <v>192</v>
      </c>
      <c r="D338" s="39">
        <f t="shared" si="14"/>
        <v>374.52799799999997</v>
      </c>
      <c r="E338" s="39">
        <v>0</v>
      </c>
      <c r="F338" s="39">
        <f t="shared" si="13"/>
        <v>543.06559709999999</v>
      </c>
      <c r="G338" s="195"/>
      <c r="H338" s="196"/>
      <c r="I338" s="34"/>
      <c r="L338" s="166"/>
      <c r="M338" s="166"/>
      <c r="N338" s="34"/>
    </row>
    <row r="339" spans="1:14" s="42" customFormat="1" ht="15.75" customHeight="1" x14ac:dyDescent="0.35">
      <c r="A339" s="128">
        <v>6</v>
      </c>
      <c r="B339" s="129"/>
      <c r="C339" s="48" t="s">
        <v>192</v>
      </c>
      <c r="D339" s="39">
        <f t="shared" si="14"/>
        <v>374.52799799999997</v>
      </c>
      <c r="E339" s="39">
        <v>0</v>
      </c>
      <c r="F339" s="39">
        <f t="shared" si="13"/>
        <v>543.06559709999999</v>
      </c>
      <c r="G339" s="195"/>
      <c r="H339" s="196"/>
      <c r="I339" s="34"/>
      <c r="L339" s="166"/>
      <c r="M339" s="166"/>
      <c r="N339" s="34"/>
    </row>
    <row r="340" spans="1:14" s="42" customFormat="1" ht="15.75" customHeight="1" x14ac:dyDescent="0.35">
      <c r="A340" s="128">
        <v>7</v>
      </c>
      <c r="B340" s="129"/>
      <c r="C340" s="48" t="s">
        <v>192</v>
      </c>
      <c r="D340" s="39">
        <f t="shared" si="14"/>
        <v>374.52799799999997</v>
      </c>
      <c r="E340" s="39">
        <v>0</v>
      </c>
      <c r="F340" s="39">
        <f t="shared" si="13"/>
        <v>543.06559709999999</v>
      </c>
      <c r="G340" s="195"/>
      <c r="H340" s="196"/>
      <c r="I340" s="34"/>
      <c r="L340" s="166"/>
      <c r="M340" s="166"/>
      <c r="N340" s="34"/>
    </row>
    <row r="341" spans="1:14" s="42" customFormat="1" ht="15.75" customHeight="1" x14ac:dyDescent="0.35">
      <c r="A341" s="128">
        <v>8</v>
      </c>
      <c r="B341" s="129"/>
      <c r="C341" s="48" t="s">
        <v>192</v>
      </c>
      <c r="D341" s="39">
        <f t="shared" si="14"/>
        <v>374.52799799999997</v>
      </c>
      <c r="E341" s="39">
        <v>0</v>
      </c>
      <c r="F341" s="39">
        <f t="shared" si="13"/>
        <v>543.06559709999999</v>
      </c>
      <c r="G341" s="195"/>
      <c r="H341" s="196"/>
      <c r="I341" s="34"/>
      <c r="L341" s="166"/>
      <c r="M341" s="166"/>
      <c r="N341" s="34"/>
    </row>
    <row r="342" spans="1:14" s="42" customFormat="1" ht="15.75" customHeight="1" x14ac:dyDescent="0.35">
      <c r="A342" s="128">
        <v>9</v>
      </c>
      <c r="B342" s="129"/>
      <c r="C342" s="48" t="s">
        <v>192</v>
      </c>
      <c r="D342" s="39">
        <f>(30+1.08*2.15+1.3*2.15)*10.764</f>
        <v>377.99938800000001</v>
      </c>
      <c r="E342" s="39">
        <v>0</v>
      </c>
      <c r="F342" s="39">
        <f t="shared" si="13"/>
        <v>548.09911260000001</v>
      </c>
      <c r="G342" s="195"/>
      <c r="H342" s="196"/>
      <c r="I342" s="34"/>
      <c r="L342" s="166"/>
      <c r="M342" s="166"/>
      <c r="N342" s="34"/>
    </row>
    <row r="343" spans="1:14" s="42" customFormat="1" ht="15.75" customHeight="1" x14ac:dyDescent="0.35">
      <c r="A343" s="128">
        <v>10</v>
      </c>
      <c r="B343" s="129"/>
      <c r="C343" s="48" t="s">
        <v>192</v>
      </c>
      <c r="D343" s="39">
        <f>(30+1.08*2.15+1.3*2.15)*10.764</f>
        <v>377.99938800000001</v>
      </c>
      <c r="E343" s="39">
        <v>0</v>
      </c>
      <c r="F343" s="39">
        <f t="shared" si="13"/>
        <v>548.09911260000001</v>
      </c>
      <c r="G343" s="195"/>
      <c r="H343" s="196"/>
      <c r="I343" s="34"/>
      <c r="L343" s="166"/>
      <c r="M343" s="166"/>
      <c r="N343" s="34"/>
    </row>
    <row r="344" spans="1:14" s="42" customFormat="1" ht="15.75" customHeight="1" x14ac:dyDescent="0.35">
      <c r="A344" s="128">
        <v>11</v>
      </c>
      <c r="B344" s="129"/>
      <c r="C344" s="48" t="s">
        <v>192</v>
      </c>
      <c r="D344" s="39">
        <f t="shared" si="14"/>
        <v>374.52799799999997</v>
      </c>
      <c r="E344" s="39">
        <v>0</v>
      </c>
      <c r="F344" s="39">
        <f t="shared" si="13"/>
        <v>543.06559709999999</v>
      </c>
      <c r="G344" s="195"/>
      <c r="H344" s="196"/>
      <c r="I344" s="34"/>
      <c r="L344" s="166"/>
      <c r="M344" s="166"/>
      <c r="N344" s="34"/>
    </row>
    <row r="345" spans="1:14" s="42" customFormat="1" ht="15.75" customHeight="1" x14ac:dyDescent="0.35">
      <c r="A345" s="128">
        <v>12</v>
      </c>
      <c r="B345" s="129"/>
      <c r="C345" s="48" t="s">
        <v>192</v>
      </c>
      <c r="D345" s="39">
        <f t="shared" si="14"/>
        <v>374.52799799999997</v>
      </c>
      <c r="E345" s="39">
        <v>0</v>
      </c>
      <c r="F345" s="39">
        <f t="shared" si="13"/>
        <v>543.06559709999999</v>
      </c>
      <c r="G345" s="195"/>
      <c r="H345" s="196"/>
      <c r="I345" s="34"/>
      <c r="L345" s="166"/>
      <c r="M345" s="166"/>
      <c r="N345" s="34"/>
    </row>
    <row r="346" spans="1:14" s="42" customFormat="1" ht="15.75" customHeight="1" x14ac:dyDescent="0.35">
      <c r="A346" s="128">
        <v>13</v>
      </c>
      <c r="B346" s="129"/>
      <c r="C346" s="48" t="s">
        <v>192</v>
      </c>
      <c r="D346" s="39">
        <f t="shared" si="14"/>
        <v>374.52799799999997</v>
      </c>
      <c r="E346" s="39">
        <v>0</v>
      </c>
      <c r="F346" s="39">
        <f t="shared" si="13"/>
        <v>543.06559709999999</v>
      </c>
      <c r="G346" s="195"/>
      <c r="H346" s="196"/>
      <c r="I346" s="34"/>
      <c r="L346" s="166"/>
      <c r="M346" s="166"/>
      <c r="N346" s="34"/>
    </row>
    <row r="347" spans="1:14" s="42" customFormat="1" ht="15.75" customHeight="1" x14ac:dyDescent="0.35">
      <c r="A347" s="128">
        <v>14</v>
      </c>
      <c r="B347" s="129"/>
      <c r="C347" s="48" t="s">
        <v>192</v>
      </c>
      <c r="D347" s="39">
        <f>(30+1.08*2.15+1.3*2.15)*10.764</f>
        <v>377.99938800000001</v>
      </c>
      <c r="E347" s="39">
        <v>0</v>
      </c>
      <c r="F347" s="39">
        <f t="shared" si="13"/>
        <v>548.09911260000001</v>
      </c>
      <c r="G347" s="195"/>
      <c r="H347" s="196"/>
      <c r="I347" s="34"/>
      <c r="L347" s="166"/>
      <c r="M347" s="166"/>
      <c r="N347" s="34"/>
    </row>
    <row r="348" spans="1:14" s="42" customFormat="1" ht="15.75" customHeight="1" x14ac:dyDescent="0.35">
      <c r="A348" s="128">
        <v>15</v>
      </c>
      <c r="B348" s="129"/>
      <c r="C348" s="48" t="s">
        <v>192</v>
      </c>
      <c r="D348" s="39">
        <f>(30+1.08*2.15+1.3*2.15)*10.764</f>
        <v>377.99938800000001</v>
      </c>
      <c r="E348" s="39">
        <v>0</v>
      </c>
      <c r="F348" s="39">
        <f t="shared" si="13"/>
        <v>548.09911260000001</v>
      </c>
      <c r="G348" s="195"/>
      <c r="H348" s="196"/>
      <c r="I348" s="34"/>
      <c r="L348" s="166"/>
      <c r="M348" s="166"/>
      <c r="N348" s="34"/>
    </row>
    <row r="349" spans="1:14" s="42" customFormat="1" ht="15.75" customHeight="1" x14ac:dyDescent="0.35">
      <c r="A349" s="128">
        <v>16</v>
      </c>
      <c r="B349" s="129"/>
      <c r="C349" s="199" t="s">
        <v>196</v>
      </c>
      <c r="D349" s="200"/>
      <c r="E349" s="200"/>
      <c r="F349" s="201"/>
      <c r="G349" s="195"/>
      <c r="H349" s="196"/>
      <c r="I349" s="34"/>
      <c r="L349" s="166"/>
      <c r="M349" s="166"/>
      <c r="N349" s="34"/>
    </row>
    <row r="350" spans="1:14" s="42" customFormat="1" ht="15.75" customHeight="1" x14ac:dyDescent="0.35">
      <c r="A350" s="128">
        <v>17</v>
      </c>
      <c r="B350" s="129"/>
      <c r="C350" s="202"/>
      <c r="D350" s="203"/>
      <c r="E350" s="203"/>
      <c r="F350" s="204"/>
      <c r="G350" s="195"/>
      <c r="H350" s="196"/>
      <c r="I350" s="34"/>
      <c r="L350" s="166"/>
      <c r="M350" s="166"/>
      <c r="N350" s="34"/>
    </row>
    <row r="351" spans="1:14" s="42" customFormat="1" ht="15.75" customHeight="1" x14ac:dyDescent="0.35">
      <c r="A351" s="128">
        <v>18</v>
      </c>
      <c r="B351" s="129"/>
      <c r="C351" s="48" t="s">
        <v>192</v>
      </c>
      <c r="D351" s="39">
        <f>(30+1.08*2.15+1.15*2.15)*10.764</f>
        <v>374.52799799999997</v>
      </c>
      <c r="E351" s="39">
        <v>0</v>
      </c>
      <c r="F351" s="39">
        <f>D351*(($F$249)+1)+(IF(E351&lt;101,E351,IF(E351&lt;201,E351/2,IF(E351&lt;=301,E351/3,E351/4))))</f>
        <v>543.06559709999999</v>
      </c>
      <c r="G351" s="195"/>
      <c r="H351" s="196"/>
      <c r="I351" s="34"/>
      <c r="L351" s="166"/>
      <c r="M351" s="166"/>
      <c r="N351" s="34"/>
    </row>
    <row r="352" spans="1:14" s="42" customFormat="1" ht="15.75" customHeight="1" x14ac:dyDescent="0.35">
      <c r="A352" s="128">
        <v>19</v>
      </c>
      <c r="B352" s="129"/>
      <c r="C352" s="48" t="s">
        <v>192</v>
      </c>
      <c r="D352" s="39">
        <f>(30+1.08*2.15+1.15*2.15)*10.764</f>
        <v>374.52799799999997</v>
      </c>
      <c r="E352" s="39">
        <v>0</v>
      </c>
      <c r="F352" s="39">
        <f>D352*(($F$249)+1)+(IF(E352&lt;101,E352,IF(E352&lt;201,E352/2,IF(E352&lt;=301,E352/3,E352/4))))</f>
        <v>543.06559709999999</v>
      </c>
      <c r="G352" s="195"/>
      <c r="H352" s="196"/>
      <c r="I352" s="34"/>
      <c r="L352" s="166"/>
      <c r="M352" s="166"/>
      <c r="N352" s="34"/>
    </row>
    <row r="353" spans="1:14" s="42" customFormat="1" ht="15.75" customHeight="1" x14ac:dyDescent="0.35">
      <c r="A353" s="128">
        <f>A352+1</f>
        <v>20</v>
      </c>
      <c r="B353" s="129"/>
      <c r="C353" s="48" t="s">
        <v>192</v>
      </c>
      <c r="D353" s="39">
        <f>(30+1.08*2.15+1.3*2.15)*10.764</f>
        <v>377.99938800000001</v>
      </c>
      <c r="E353" s="39">
        <v>0</v>
      </c>
      <c r="F353" s="39">
        <f>D353*(($F$249)+1)+(IF(E353&lt;101,E353,IF(E353&lt;201,E353/2,IF(E353&lt;=301,E353/3,E353/4))))</f>
        <v>548.09911260000001</v>
      </c>
      <c r="G353" s="197"/>
      <c r="H353" s="198"/>
      <c r="I353" s="34"/>
      <c r="L353" s="166"/>
      <c r="M353" s="166"/>
      <c r="N353" s="34"/>
    </row>
    <row r="354" spans="1:14" s="42" customFormat="1" x14ac:dyDescent="0.35">
      <c r="A354" s="191" t="s">
        <v>219</v>
      </c>
      <c r="B354" s="191"/>
      <c r="C354" s="191"/>
      <c r="D354" s="191"/>
      <c r="E354" s="191"/>
      <c r="F354" s="191"/>
      <c r="G354" s="191"/>
      <c r="H354" s="191"/>
      <c r="J354" s="34"/>
    </row>
    <row r="355" spans="1:14" s="42" customFormat="1" x14ac:dyDescent="0.35">
      <c r="A355" s="191" t="s">
        <v>194</v>
      </c>
      <c r="B355" s="191"/>
      <c r="C355" s="191"/>
      <c r="D355" s="191"/>
      <c r="E355" s="191"/>
      <c r="F355" s="191"/>
      <c r="G355" s="191"/>
      <c r="H355" s="191"/>
      <c r="J355" s="34"/>
    </row>
    <row r="356" spans="1:14" s="42" customFormat="1" ht="15.75" customHeight="1" x14ac:dyDescent="0.35">
      <c r="A356" s="192">
        <v>1</v>
      </c>
      <c r="B356" s="192"/>
      <c r="C356" s="48" t="s">
        <v>192</v>
      </c>
      <c r="D356" s="39">
        <f>(30+1.08*2.15+1.3*2.15)*10.764</f>
        <v>377.99938800000001</v>
      </c>
      <c r="E356" s="39">
        <v>0</v>
      </c>
      <c r="F356" s="39">
        <f t="shared" ref="F356:F382" si="15">D356*(($F$249)+1)+(IF(E356&lt;101,E356,IF(E356&lt;201,E356/2,IF(E356&lt;=301,E356/3,E356/4))))</f>
        <v>548.09911260000001</v>
      </c>
      <c r="G356" s="192" t="str">
        <f>A355</f>
        <v>Ground Floor For Residential</v>
      </c>
      <c r="H356" s="192"/>
      <c r="I356" s="34"/>
      <c r="L356" s="166"/>
      <c r="M356" s="166"/>
      <c r="N356" s="34"/>
    </row>
    <row r="357" spans="1:14" s="42" customFormat="1" ht="15.75" customHeight="1" x14ac:dyDescent="0.35">
      <c r="A357" s="192">
        <v>2</v>
      </c>
      <c r="B357" s="192"/>
      <c r="C357" s="48" t="s">
        <v>192</v>
      </c>
      <c r="D357" s="39">
        <f>(30+1.08*2.15+1.15*2.15)*10.764</f>
        <v>374.52799799999997</v>
      </c>
      <c r="E357" s="39">
        <v>0</v>
      </c>
      <c r="F357" s="39">
        <f t="shared" si="15"/>
        <v>543.06559709999999</v>
      </c>
      <c r="G357" s="192"/>
      <c r="H357" s="192"/>
      <c r="I357" s="34"/>
      <c r="L357" s="166"/>
      <c r="M357" s="166"/>
      <c r="N357" s="34"/>
    </row>
    <row r="358" spans="1:14" s="42" customFormat="1" ht="15.75" customHeight="1" x14ac:dyDescent="0.35">
      <c r="A358" s="192">
        <v>3</v>
      </c>
      <c r="B358" s="192"/>
      <c r="C358" s="48" t="s">
        <v>192</v>
      </c>
      <c r="D358" s="39">
        <f t="shared" ref="D358:D374" si="16">(30+1.08*2.15+1.15*2.15)*10.764</f>
        <v>374.52799799999997</v>
      </c>
      <c r="E358" s="39">
        <v>0</v>
      </c>
      <c r="F358" s="39">
        <f t="shared" si="15"/>
        <v>543.06559709999999</v>
      </c>
      <c r="G358" s="192"/>
      <c r="H358" s="192"/>
      <c r="I358" s="34"/>
      <c r="L358" s="166"/>
      <c r="M358" s="166"/>
      <c r="N358" s="34"/>
    </row>
    <row r="359" spans="1:14" s="42" customFormat="1" ht="15.75" customHeight="1" x14ac:dyDescent="0.35">
      <c r="A359" s="192">
        <v>4</v>
      </c>
      <c r="B359" s="192"/>
      <c r="C359" s="48" t="s">
        <v>192</v>
      </c>
      <c r="D359" s="39">
        <f>(30+1.08*2.15+1.3*2.15)*10.764</f>
        <v>377.99938800000001</v>
      </c>
      <c r="E359" s="39">
        <v>0</v>
      </c>
      <c r="F359" s="39">
        <f t="shared" si="15"/>
        <v>548.09911260000001</v>
      </c>
      <c r="G359" s="192"/>
      <c r="H359" s="192"/>
      <c r="I359" s="34"/>
      <c r="L359" s="166"/>
      <c r="M359" s="166"/>
      <c r="N359" s="34"/>
    </row>
    <row r="360" spans="1:14" s="42" customFormat="1" ht="15.75" customHeight="1" x14ac:dyDescent="0.35">
      <c r="A360" s="192">
        <v>5</v>
      </c>
      <c r="B360" s="192"/>
      <c r="C360" s="48" t="s">
        <v>192</v>
      </c>
      <c r="D360" s="39">
        <f t="shared" si="16"/>
        <v>374.52799799999997</v>
      </c>
      <c r="E360" s="39">
        <v>0</v>
      </c>
      <c r="F360" s="39">
        <f t="shared" si="15"/>
        <v>543.06559709999999</v>
      </c>
      <c r="G360" s="192"/>
      <c r="H360" s="192"/>
      <c r="I360" s="34"/>
      <c r="L360" s="166"/>
      <c r="M360" s="166"/>
      <c r="N360" s="34"/>
    </row>
    <row r="361" spans="1:14" s="42" customFormat="1" ht="15.75" customHeight="1" x14ac:dyDescent="0.35">
      <c r="A361" s="192">
        <v>6</v>
      </c>
      <c r="B361" s="192"/>
      <c r="C361" s="48" t="s">
        <v>192</v>
      </c>
      <c r="D361" s="39">
        <f t="shared" si="16"/>
        <v>374.52799799999997</v>
      </c>
      <c r="E361" s="39">
        <v>0</v>
      </c>
      <c r="F361" s="39">
        <f t="shared" si="15"/>
        <v>543.06559709999999</v>
      </c>
      <c r="G361" s="192"/>
      <c r="H361" s="192"/>
      <c r="I361" s="34"/>
      <c r="L361" s="166"/>
      <c r="M361" s="166"/>
      <c r="N361" s="34"/>
    </row>
    <row r="362" spans="1:14" s="42" customFormat="1" ht="15.75" customHeight="1" x14ac:dyDescent="0.35">
      <c r="A362" s="192">
        <v>7</v>
      </c>
      <c r="B362" s="192"/>
      <c r="C362" s="48" t="s">
        <v>192</v>
      </c>
      <c r="D362" s="39">
        <f t="shared" si="16"/>
        <v>374.52799799999997</v>
      </c>
      <c r="E362" s="39">
        <v>0</v>
      </c>
      <c r="F362" s="39">
        <f t="shared" si="15"/>
        <v>543.06559709999999</v>
      </c>
      <c r="G362" s="192"/>
      <c r="H362" s="192"/>
      <c r="I362" s="34"/>
      <c r="L362" s="166"/>
      <c r="M362" s="166"/>
      <c r="N362" s="34"/>
    </row>
    <row r="363" spans="1:14" s="42" customFormat="1" ht="15.75" customHeight="1" x14ac:dyDescent="0.35">
      <c r="A363" s="192">
        <v>8</v>
      </c>
      <c r="B363" s="192"/>
      <c r="C363" s="48" t="s">
        <v>192</v>
      </c>
      <c r="D363" s="39">
        <f t="shared" si="16"/>
        <v>374.52799799999997</v>
      </c>
      <c r="E363" s="39">
        <v>0</v>
      </c>
      <c r="F363" s="39">
        <f t="shared" si="15"/>
        <v>543.06559709999999</v>
      </c>
      <c r="G363" s="192"/>
      <c r="H363" s="192"/>
      <c r="I363" s="34"/>
      <c r="L363" s="166"/>
      <c r="M363" s="166"/>
      <c r="N363" s="34"/>
    </row>
    <row r="364" spans="1:14" s="42" customFormat="1" ht="15.75" customHeight="1" x14ac:dyDescent="0.35">
      <c r="A364" s="192">
        <v>9</v>
      </c>
      <c r="B364" s="192"/>
      <c r="C364" s="48" t="s">
        <v>192</v>
      </c>
      <c r="D364" s="39">
        <f t="shared" si="16"/>
        <v>374.52799799999997</v>
      </c>
      <c r="E364" s="39">
        <v>0</v>
      </c>
      <c r="F364" s="39">
        <f t="shared" si="15"/>
        <v>543.06559709999999</v>
      </c>
      <c r="G364" s="192"/>
      <c r="H364" s="192"/>
      <c r="I364" s="34"/>
      <c r="L364" s="166"/>
      <c r="M364" s="166"/>
      <c r="N364" s="34"/>
    </row>
    <row r="365" spans="1:14" s="42" customFormat="1" ht="15.75" customHeight="1" x14ac:dyDescent="0.35">
      <c r="A365" s="192">
        <v>10</v>
      </c>
      <c r="B365" s="192"/>
      <c r="C365" s="48" t="s">
        <v>192</v>
      </c>
      <c r="D365" s="39">
        <f t="shared" si="16"/>
        <v>374.52799799999997</v>
      </c>
      <c r="E365" s="39">
        <v>0</v>
      </c>
      <c r="F365" s="39">
        <f t="shared" si="15"/>
        <v>543.06559709999999</v>
      </c>
      <c r="G365" s="192"/>
      <c r="H365" s="192"/>
      <c r="I365" s="34"/>
      <c r="L365" s="166"/>
      <c r="M365" s="166"/>
      <c r="N365" s="34"/>
    </row>
    <row r="366" spans="1:14" s="42" customFormat="1" ht="15.75" customHeight="1" x14ac:dyDescent="0.35">
      <c r="A366" s="192">
        <v>11</v>
      </c>
      <c r="B366" s="192"/>
      <c r="C366" s="48" t="s">
        <v>192</v>
      </c>
      <c r="D366" s="39">
        <f t="shared" si="16"/>
        <v>374.52799799999997</v>
      </c>
      <c r="E366" s="39">
        <v>0</v>
      </c>
      <c r="F366" s="39">
        <f t="shared" si="15"/>
        <v>543.06559709999999</v>
      </c>
      <c r="G366" s="192"/>
      <c r="H366" s="192"/>
      <c r="I366" s="34"/>
      <c r="L366" s="166"/>
      <c r="M366" s="166"/>
      <c r="N366" s="34"/>
    </row>
    <row r="367" spans="1:14" s="42" customFormat="1" ht="15.75" customHeight="1" x14ac:dyDescent="0.35">
      <c r="A367" s="192">
        <v>12</v>
      </c>
      <c r="B367" s="192"/>
      <c r="C367" s="48" t="s">
        <v>192</v>
      </c>
      <c r="D367" s="39">
        <f t="shared" si="16"/>
        <v>374.52799799999997</v>
      </c>
      <c r="E367" s="39">
        <v>0</v>
      </c>
      <c r="F367" s="39">
        <f t="shared" si="15"/>
        <v>543.06559709999999</v>
      </c>
      <c r="G367" s="192"/>
      <c r="H367" s="192"/>
      <c r="I367" s="34"/>
      <c r="L367" s="166"/>
      <c r="M367" s="166"/>
      <c r="N367" s="34"/>
    </row>
    <row r="368" spans="1:14" s="42" customFormat="1" ht="15.75" customHeight="1" x14ac:dyDescent="0.35">
      <c r="A368" s="192">
        <v>13</v>
      </c>
      <c r="B368" s="192"/>
      <c r="C368" s="48" t="s">
        <v>192</v>
      </c>
      <c r="D368" s="39">
        <f>(30+1.08*2.15+1.3*2.15)*10.764</f>
        <v>377.99938800000001</v>
      </c>
      <c r="E368" s="39">
        <v>0</v>
      </c>
      <c r="F368" s="39">
        <f t="shared" si="15"/>
        <v>548.09911260000001</v>
      </c>
      <c r="G368" s="192"/>
      <c r="H368" s="192"/>
      <c r="I368" s="34"/>
      <c r="L368" s="166"/>
      <c r="M368" s="166"/>
      <c r="N368" s="34"/>
    </row>
    <row r="369" spans="1:14" s="42" customFormat="1" ht="15.75" customHeight="1" x14ac:dyDescent="0.35">
      <c r="A369" s="192">
        <v>14</v>
      </c>
      <c r="B369" s="192"/>
      <c r="C369" s="48" t="s">
        <v>192</v>
      </c>
      <c r="D369" s="39">
        <f>(30+1.08*2.15+1.3*2.15)*10.764</f>
        <v>377.99938800000001</v>
      </c>
      <c r="E369" s="39">
        <v>0</v>
      </c>
      <c r="F369" s="39">
        <f t="shared" si="15"/>
        <v>548.09911260000001</v>
      </c>
      <c r="G369" s="192"/>
      <c r="H369" s="192"/>
      <c r="I369" s="34"/>
      <c r="L369" s="166"/>
      <c r="M369" s="166"/>
      <c r="N369" s="34"/>
    </row>
    <row r="370" spans="1:14" s="42" customFormat="1" ht="15.75" customHeight="1" x14ac:dyDescent="0.35">
      <c r="A370" s="192">
        <v>15</v>
      </c>
      <c r="B370" s="192"/>
      <c r="C370" s="48" t="s">
        <v>192</v>
      </c>
      <c r="D370" s="39">
        <f t="shared" si="16"/>
        <v>374.52799799999997</v>
      </c>
      <c r="E370" s="39">
        <v>0</v>
      </c>
      <c r="F370" s="39">
        <f t="shared" si="15"/>
        <v>543.06559709999999</v>
      </c>
      <c r="G370" s="192"/>
      <c r="H370" s="192"/>
      <c r="I370" s="34"/>
      <c r="L370" s="166"/>
      <c r="M370" s="166"/>
      <c r="N370" s="34"/>
    </row>
    <row r="371" spans="1:14" s="42" customFormat="1" ht="15.75" customHeight="1" x14ac:dyDescent="0.35">
      <c r="A371" s="192">
        <v>16</v>
      </c>
      <c r="B371" s="192"/>
      <c r="C371" s="48" t="s">
        <v>192</v>
      </c>
      <c r="D371" s="39">
        <f t="shared" si="16"/>
        <v>374.52799799999997</v>
      </c>
      <c r="E371" s="39">
        <v>0</v>
      </c>
      <c r="F371" s="39">
        <f t="shared" si="15"/>
        <v>543.06559709999999</v>
      </c>
      <c r="G371" s="192"/>
      <c r="H371" s="192"/>
      <c r="I371" s="34"/>
      <c r="L371" s="166"/>
      <c r="M371" s="166"/>
      <c r="N371" s="34"/>
    </row>
    <row r="372" spans="1:14" s="42" customFormat="1" ht="15.75" customHeight="1" x14ac:dyDescent="0.35">
      <c r="A372" s="192">
        <v>17</v>
      </c>
      <c r="B372" s="192"/>
      <c r="C372" s="48" t="s">
        <v>192</v>
      </c>
      <c r="D372" s="39">
        <f t="shared" si="16"/>
        <v>374.52799799999997</v>
      </c>
      <c r="E372" s="39">
        <v>0</v>
      </c>
      <c r="F372" s="39">
        <f t="shared" si="15"/>
        <v>543.06559709999999</v>
      </c>
      <c r="G372" s="192"/>
      <c r="H372" s="192"/>
      <c r="I372" s="34"/>
      <c r="L372" s="166"/>
      <c r="M372" s="166"/>
      <c r="N372" s="34"/>
    </row>
    <row r="373" spans="1:14" s="42" customFormat="1" ht="15.75" customHeight="1" x14ac:dyDescent="0.35">
      <c r="A373" s="192">
        <v>18</v>
      </c>
      <c r="B373" s="192"/>
      <c r="C373" s="48" t="s">
        <v>192</v>
      </c>
      <c r="D373" s="39">
        <f t="shared" si="16"/>
        <v>374.52799799999997</v>
      </c>
      <c r="E373" s="39">
        <v>0</v>
      </c>
      <c r="F373" s="39">
        <f t="shared" si="15"/>
        <v>543.06559709999999</v>
      </c>
      <c r="G373" s="192"/>
      <c r="H373" s="192"/>
      <c r="I373" s="34"/>
      <c r="L373" s="166"/>
      <c r="M373" s="166"/>
      <c r="N373" s="34"/>
    </row>
    <row r="374" spans="1:14" s="42" customFormat="1" ht="15.75" customHeight="1" x14ac:dyDescent="0.35">
      <c r="A374" s="192">
        <v>19</v>
      </c>
      <c r="B374" s="192"/>
      <c r="C374" s="48" t="s">
        <v>192</v>
      </c>
      <c r="D374" s="39">
        <f t="shared" si="16"/>
        <v>374.52799799999997</v>
      </c>
      <c r="E374" s="39">
        <v>0</v>
      </c>
      <c r="F374" s="39">
        <f t="shared" si="15"/>
        <v>543.06559709999999</v>
      </c>
      <c r="G374" s="192"/>
      <c r="H374" s="192"/>
      <c r="I374" s="34"/>
      <c r="L374" s="166"/>
      <c r="M374" s="166"/>
      <c r="N374" s="34"/>
    </row>
    <row r="375" spans="1:14" s="42" customFormat="1" ht="15.75" customHeight="1" x14ac:dyDescent="0.35">
      <c r="A375" s="192">
        <f t="shared" ref="A375:A382" si="17">A374+1</f>
        <v>20</v>
      </c>
      <c r="B375" s="192"/>
      <c r="C375" s="48" t="s">
        <v>192</v>
      </c>
      <c r="D375" s="39">
        <f>(30+1.08*2.15+1.3*2.15)*10.764</f>
        <v>377.99938800000001</v>
      </c>
      <c r="E375" s="39">
        <v>0</v>
      </c>
      <c r="F375" s="39">
        <f t="shared" si="15"/>
        <v>548.09911260000001</v>
      </c>
      <c r="G375" s="192"/>
      <c r="H375" s="192"/>
      <c r="I375" s="34"/>
      <c r="L375" s="166"/>
      <c r="M375" s="166"/>
      <c r="N375" s="34"/>
    </row>
    <row r="376" spans="1:14" s="42" customFormat="1" ht="15.75" customHeight="1" x14ac:dyDescent="0.35">
      <c r="A376" s="192">
        <f t="shared" si="17"/>
        <v>21</v>
      </c>
      <c r="B376" s="192"/>
      <c r="C376" s="48" t="s">
        <v>192</v>
      </c>
      <c r="D376" s="39">
        <f t="shared" ref="D376:D381" si="18">(30+1.08*2.15+1.15*2.15)*10.764</f>
        <v>374.52799799999997</v>
      </c>
      <c r="E376" s="39">
        <v>0</v>
      </c>
      <c r="F376" s="39">
        <f t="shared" si="15"/>
        <v>543.06559709999999</v>
      </c>
      <c r="G376" s="192"/>
      <c r="H376" s="192"/>
      <c r="I376" s="34"/>
      <c r="L376" s="166"/>
      <c r="M376" s="166"/>
      <c r="N376" s="34"/>
    </row>
    <row r="377" spans="1:14" s="42" customFormat="1" ht="15.75" customHeight="1" x14ac:dyDescent="0.35">
      <c r="A377" s="192">
        <f t="shared" si="17"/>
        <v>22</v>
      </c>
      <c r="B377" s="192"/>
      <c r="C377" s="48" t="s">
        <v>192</v>
      </c>
      <c r="D377" s="39">
        <f t="shared" si="18"/>
        <v>374.52799799999997</v>
      </c>
      <c r="E377" s="39">
        <v>0</v>
      </c>
      <c r="F377" s="39">
        <f t="shared" si="15"/>
        <v>543.06559709999999</v>
      </c>
      <c r="G377" s="192"/>
      <c r="H377" s="192"/>
      <c r="I377" s="34"/>
      <c r="L377" s="166"/>
      <c r="M377" s="166"/>
      <c r="N377" s="34"/>
    </row>
    <row r="378" spans="1:14" s="42" customFormat="1" ht="15.75" customHeight="1" x14ac:dyDescent="0.35">
      <c r="A378" s="192">
        <f t="shared" si="17"/>
        <v>23</v>
      </c>
      <c r="B378" s="192"/>
      <c r="C378" s="48" t="s">
        <v>192</v>
      </c>
      <c r="D378" s="39">
        <f t="shared" si="18"/>
        <v>374.52799799999997</v>
      </c>
      <c r="E378" s="39">
        <v>0</v>
      </c>
      <c r="F378" s="39">
        <f t="shared" si="15"/>
        <v>543.06559709999999</v>
      </c>
      <c r="G378" s="192"/>
      <c r="H378" s="192"/>
      <c r="I378" s="34"/>
      <c r="L378" s="166"/>
      <c r="M378" s="166"/>
      <c r="N378" s="34"/>
    </row>
    <row r="379" spans="1:14" s="42" customFormat="1" ht="15.75" customHeight="1" x14ac:dyDescent="0.35">
      <c r="A379" s="192">
        <f t="shared" si="17"/>
        <v>24</v>
      </c>
      <c r="B379" s="192"/>
      <c r="C379" s="48" t="s">
        <v>192</v>
      </c>
      <c r="D379" s="39">
        <f t="shared" si="18"/>
        <v>374.52799799999997</v>
      </c>
      <c r="E379" s="39">
        <v>0</v>
      </c>
      <c r="F379" s="39">
        <f t="shared" si="15"/>
        <v>543.06559709999999</v>
      </c>
      <c r="G379" s="192"/>
      <c r="H379" s="192"/>
      <c r="I379" s="34"/>
      <c r="L379" s="166"/>
      <c r="M379" s="166"/>
      <c r="N379" s="34"/>
    </row>
    <row r="380" spans="1:14" s="42" customFormat="1" ht="15.75" customHeight="1" x14ac:dyDescent="0.35">
      <c r="A380" s="192">
        <f t="shared" si="17"/>
        <v>25</v>
      </c>
      <c r="B380" s="192"/>
      <c r="C380" s="48" t="s">
        <v>192</v>
      </c>
      <c r="D380" s="39">
        <f t="shared" si="18"/>
        <v>374.52799799999997</v>
      </c>
      <c r="E380" s="39">
        <v>0</v>
      </c>
      <c r="F380" s="39">
        <f t="shared" si="15"/>
        <v>543.06559709999999</v>
      </c>
      <c r="G380" s="192"/>
      <c r="H380" s="192"/>
      <c r="I380" s="34"/>
      <c r="L380" s="166"/>
      <c r="M380" s="166"/>
      <c r="N380" s="34"/>
    </row>
    <row r="381" spans="1:14" s="42" customFormat="1" ht="15.75" customHeight="1" x14ac:dyDescent="0.35">
      <c r="A381" s="192">
        <f t="shared" si="17"/>
        <v>26</v>
      </c>
      <c r="B381" s="192"/>
      <c r="C381" s="48" t="s">
        <v>192</v>
      </c>
      <c r="D381" s="39">
        <f t="shared" si="18"/>
        <v>374.52799799999997</v>
      </c>
      <c r="E381" s="39">
        <v>0</v>
      </c>
      <c r="F381" s="39">
        <f t="shared" si="15"/>
        <v>543.06559709999999</v>
      </c>
      <c r="G381" s="192"/>
      <c r="H381" s="192"/>
      <c r="I381" s="34"/>
      <c r="L381" s="166"/>
      <c r="M381" s="166"/>
      <c r="N381" s="34"/>
    </row>
    <row r="382" spans="1:14" s="42" customFormat="1" ht="15.75" customHeight="1" x14ac:dyDescent="0.35">
      <c r="A382" s="192">
        <f t="shared" si="17"/>
        <v>27</v>
      </c>
      <c r="B382" s="192"/>
      <c r="C382" s="48" t="s">
        <v>192</v>
      </c>
      <c r="D382" s="39">
        <f>(30+1.08*2.15+1.3*2.15)*10.764</f>
        <v>377.99938800000001</v>
      </c>
      <c r="E382" s="39">
        <v>0</v>
      </c>
      <c r="F382" s="39">
        <f t="shared" si="15"/>
        <v>548.09911260000001</v>
      </c>
      <c r="G382" s="192"/>
      <c r="H382" s="192"/>
      <c r="I382" s="34"/>
      <c r="L382" s="166"/>
      <c r="M382" s="166"/>
      <c r="N382" s="34"/>
    </row>
    <row r="383" spans="1:14" s="42" customFormat="1" x14ac:dyDescent="0.35">
      <c r="A383" s="167" t="s">
        <v>198</v>
      </c>
      <c r="B383" s="168"/>
      <c r="C383" s="168"/>
      <c r="D383" s="168"/>
      <c r="E383" s="168"/>
      <c r="F383" s="168"/>
      <c r="G383" s="168"/>
      <c r="H383" s="169"/>
      <c r="J383" s="34"/>
    </row>
    <row r="384" spans="1:14" s="42" customFormat="1" ht="15.75" customHeight="1" x14ac:dyDescent="0.35">
      <c r="A384" s="128">
        <v>1</v>
      </c>
      <c r="B384" s="129"/>
      <c r="C384" s="48" t="s">
        <v>192</v>
      </c>
      <c r="D384" s="39">
        <f>(30+1.08*2.15+1.3*2.15)*10.764</f>
        <v>377.99938800000001</v>
      </c>
      <c r="E384" s="39">
        <v>0</v>
      </c>
      <c r="F384" s="39">
        <f t="shared" ref="F384:F410" si="19">D384*(($F$249)+1)+(IF(E384&lt;101,E384,IF(E384&lt;201,E384/2,IF(E384&lt;=301,E384/3,E384/4))))</f>
        <v>548.09911260000001</v>
      </c>
      <c r="G384" s="193" t="str">
        <f>A383</f>
        <v>1st to 7th &amp; 9th Floor</v>
      </c>
      <c r="H384" s="194"/>
      <c r="I384" s="34"/>
      <c r="L384" s="166"/>
      <c r="M384" s="166"/>
      <c r="N384" s="34"/>
    </row>
    <row r="385" spans="1:14" s="42" customFormat="1" ht="15.75" customHeight="1" x14ac:dyDescent="0.35">
      <c r="A385" s="128">
        <v>2</v>
      </c>
      <c r="B385" s="129"/>
      <c r="C385" s="48" t="s">
        <v>192</v>
      </c>
      <c r="D385" s="39">
        <f>(30+1.08*2.15+1.15*2.15)*10.764</f>
        <v>374.52799799999997</v>
      </c>
      <c r="E385" s="39">
        <v>0</v>
      </c>
      <c r="F385" s="39">
        <f t="shared" si="19"/>
        <v>543.06559709999999</v>
      </c>
      <c r="G385" s="195"/>
      <c r="H385" s="196"/>
      <c r="I385" s="34"/>
      <c r="L385" s="166"/>
      <c r="M385" s="166"/>
      <c r="N385" s="34"/>
    </row>
    <row r="386" spans="1:14" s="42" customFormat="1" ht="15.75" customHeight="1" x14ac:dyDescent="0.35">
      <c r="A386" s="128">
        <v>3</v>
      </c>
      <c r="B386" s="129"/>
      <c r="C386" s="48" t="s">
        <v>192</v>
      </c>
      <c r="D386" s="39">
        <f t="shared" ref="D386:D402" si="20">(30+1.08*2.15+1.15*2.15)*10.764</f>
        <v>374.52799799999997</v>
      </c>
      <c r="E386" s="39">
        <v>0</v>
      </c>
      <c r="F386" s="39">
        <f t="shared" si="19"/>
        <v>543.06559709999999</v>
      </c>
      <c r="G386" s="195"/>
      <c r="H386" s="196"/>
      <c r="I386" s="34"/>
      <c r="L386" s="166"/>
      <c r="M386" s="166"/>
      <c r="N386" s="34"/>
    </row>
    <row r="387" spans="1:14" s="42" customFormat="1" ht="15.75" customHeight="1" x14ac:dyDescent="0.35">
      <c r="A387" s="128">
        <v>4</v>
      </c>
      <c r="B387" s="129"/>
      <c r="C387" s="48" t="s">
        <v>192</v>
      </c>
      <c r="D387" s="39">
        <f>(30+1.08*2.15+1.3*2.15)*10.764</f>
        <v>377.99938800000001</v>
      </c>
      <c r="E387" s="39">
        <v>0</v>
      </c>
      <c r="F387" s="39">
        <f t="shared" si="19"/>
        <v>548.09911260000001</v>
      </c>
      <c r="G387" s="195"/>
      <c r="H387" s="196"/>
      <c r="I387" s="34"/>
      <c r="L387" s="166"/>
      <c r="M387" s="166"/>
      <c r="N387" s="34"/>
    </row>
    <row r="388" spans="1:14" s="42" customFormat="1" ht="15.75" customHeight="1" x14ac:dyDescent="0.35">
      <c r="A388" s="128">
        <v>5</v>
      </c>
      <c r="B388" s="129"/>
      <c r="C388" s="48" t="s">
        <v>192</v>
      </c>
      <c r="D388" s="39">
        <f t="shared" si="20"/>
        <v>374.52799799999997</v>
      </c>
      <c r="E388" s="39">
        <v>0</v>
      </c>
      <c r="F388" s="39">
        <f t="shared" si="19"/>
        <v>543.06559709999999</v>
      </c>
      <c r="G388" s="195"/>
      <c r="H388" s="196"/>
      <c r="I388" s="34"/>
      <c r="L388" s="166"/>
      <c r="M388" s="166"/>
      <c r="N388" s="34"/>
    </row>
    <row r="389" spans="1:14" s="42" customFormat="1" ht="15.75" customHeight="1" x14ac:dyDescent="0.35">
      <c r="A389" s="128">
        <v>6</v>
      </c>
      <c r="B389" s="129"/>
      <c r="C389" s="48" t="s">
        <v>192</v>
      </c>
      <c r="D389" s="39">
        <f t="shared" si="20"/>
        <v>374.52799799999997</v>
      </c>
      <c r="E389" s="39">
        <v>0</v>
      </c>
      <c r="F389" s="39">
        <f t="shared" si="19"/>
        <v>543.06559709999999</v>
      </c>
      <c r="G389" s="195"/>
      <c r="H389" s="196"/>
      <c r="I389" s="34"/>
      <c r="L389" s="166"/>
      <c r="M389" s="166"/>
      <c r="N389" s="34"/>
    </row>
    <row r="390" spans="1:14" s="42" customFormat="1" ht="15.75" customHeight="1" x14ac:dyDescent="0.35">
      <c r="A390" s="128">
        <v>7</v>
      </c>
      <c r="B390" s="129"/>
      <c r="C390" s="48" t="s">
        <v>192</v>
      </c>
      <c r="D390" s="39">
        <f t="shared" si="20"/>
        <v>374.52799799999997</v>
      </c>
      <c r="E390" s="39">
        <v>0</v>
      </c>
      <c r="F390" s="39">
        <f t="shared" si="19"/>
        <v>543.06559709999999</v>
      </c>
      <c r="G390" s="195"/>
      <c r="H390" s="196"/>
      <c r="I390" s="34"/>
      <c r="L390" s="166"/>
      <c r="M390" s="166"/>
      <c r="N390" s="34"/>
    </row>
    <row r="391" spans="1:14" s="42" customFormat="1" ht="15.75" customHeight="1" x14ac:dyDescent="0.35">
      <c r="A391" s="128">
        <v>8</v>
      </c>
      <c r="B391" s="129"/>
      <c r="C391" s="48" t="s">
        <v>192</v>
      </c>
      <c r="D391" s="39">
        <f t="shared" si="20"/>
        <v>374.52799799999997</v>
      </c>
      <c r="E391" s="39">
        <v>0</v>
      </c>
      <c r="F391" s="39">
        <f t="shared" si="19"/>
        <v>543.06559709999999</v>
      </c>
      <c r="G391" s="195"/>
      <c r="H391" s="196"/>
      <c r="I391" s="34"/>
      <c r="L391" s="166"/>
      <c r="M391" s="166"/>
      <c r="N391" s="34"/>
    </row>
    <row r="392" spans="1:14" s="42" customFormat="1" ht="15.75" customHeight="1" x14ac:dyDescent="0.35">
      <c r="A392" s="128">
        <v>9</v>
      </c>
      <c r="B392" s="129"/>
      <c r="C392" s="48" t="s">
        <v>192</v>
      </c>
      <c r="D392" s="39">
        <f t="shared" si="20"/>
        <v>374.52799799999997</v>
      </c>
      <c r="E392" s="39">
        <v>0</v>
      </c>
      <c r="F392" s="39">
        <f t="shared" si="19"/>
        <v>543.06559709999999</v>
      </c>
      <c r="G392" s="195"/>
      <c r="H392" s="196"/>
      <c r="I392" s="34"/>
      <c r="L392" s="166"/>
      <c r="M392" s="166"/>
      <c r="N392" s="34"/>
    </row>
    <row r="393" spans="1:14" s="42" customFormat="1" ht="15.75" customHeight="1" x14ac:dyDescent="0.35">
      <c r="A393" s="128">
        <v>10</v>
      </c>
      <c r="B393" s="129"/>
      <c r="C393" s="48" t="s">
        <v>192</v>
      </c>
      <c r="D393" s="39">
        <f t="shared" si="20"/>
        <v>374.52799799999997</v>
      </c>
      <c r="E393" s="39">
        <v>0</v>
      </c>
      <c r="F393" s="39">
        <f t="shared" si="19"/>
        <v>543.06559709999999</v>
      </c>
      <c r="G393" s="195"/>
      <c r="H393" s="196"/>
      <c r="I393" s="34"/>
      <c r="L393" s="166"/>
      <c r="M393" s="166"/>
      <c r="N393" s="34"/>
    </row>
    <row r="394" spans="1:14" s="42" customFormat="1" ht="15.75" customHeight="1" x14ac:dyDescent="0.35">
      <c r="A394" s="128">
        <v>11</v>
      </c>
      <c r="B394" s="129"/>
      <c r="C394" s="48" t="s">
        <v>192</v>
      </c>
      <c r="D394" s="39">
        <f t="shared" si="20"/>
        <v>374.52799799999997</v>
      </c>
      <c r="E394" s="39">
        <v>0</v>
      </c>
      <c r="F394" s="39">
        <f t="shared" si="19"/>
        <v>543.06559709999999</v>
      </c>
      <c r="G394" s="195"/>
      <c r="H394" s="196"/>
      <c r="I394" s="34"/>
      <c r="L394" s="166"/>
      <c r="M394" s="166"/>
      <c r="N394" s="34"/>
    </row>
    <row r="395" spans="1:14" s="42" customFormat="1" ht="15.75" customHeight="1" x14ac:dyDescent="0.35">
      <c r="A395" s="128">
        <v>12</v>
      </c>
      <c r="B395" s="129"/>
      <c r="C395" s="48" t="s">
        <v>192</v>
      </c>
      <c r="D395" s="39">
        <f t="shared" si="20"/>
        <v>374.52799799999997</v>
      </c>
      <c r="E395" s="39">
        <v>0</v>
      </c>
      <c r="F395" s="39">
        <f t="shared" si="19"/>
        <v>543.06559709999999</v>
      </c>
      <c r="G395" s="195"/>
      <c r="H395" s="196"/>
      <c r="I395" s="34"/>
      <c r="L395" s="166"/>
      <c r="M395" s="166"/>
      <c r="N395" s="34"/>
    </row>
    <row r="396" spans="1:14" s="42" customFormat="1" ht="15.75" customHeight="1" x14ac:dyDescent="0.35">
      <c r="A396" s="128">
        <v>13</v>
      </c>
      <c r="B396" s="129"/>
      <c r="C396" s="48" t="s">
        <v>192</v>
      </c>
      <c r="D396" s="39">
        <f>(30+1.08*2.15+1.3*2.15)*10.764</f>
        <v>377.99938800000001</v>
      </c>
      <c r="E396" s="39">
        <v>0</v>
      </c>
      <c r="F396" s="39">
        <f t="shared" si="19"/>
        <v>548.09911260000001</v>
      </c>
      <c r="G396" s="195"/>
      <c r="H396" s="196"/>
      <c r="I396" s="34"/>
      <c r="L396" s="166"/>
      <c r="M396" s="166"/>
      <c r="N396" s="34"/>
    </row>
    <row r="397" spans="1:14" s="42" customFormat="1" ht="15.75" customHeight="1" x14ac:dyDescent="0.35">
      <c r="A397" s="128">
        <v>14</v>
      </c>
      <c r="B397" s="129"/>
      <c r="C397" s="48" t="s">
        <v>192</v>
      </c>
      <c r="D397" s="39">
        <f>(30+1.08*2.15+1.3*2.15)*10.764</f>
        <v>377.99938800000001</v>
      </c>
      <c r="E397" s="39">
        <v>0</v>
      </c>
      <c r="F397" s="39">
        <f t="shared" si="19"/>
        <v>548.09911260000001</v>
      </c>
      <c r="G397" s="195"/>
      <c r="H397" s="196"/>
      <c r="I397" s="34"/>
      <c r="L397" s="166"/>
      <c r="M397" s="166"/>
      <c r="N397" s="34"/>
    </row>
    <row r="398" spans="1:14" s="42" customFormat="1" ht="15.75" customHeight="1" x14ac:dyDescent="0.35">
      <c r="A398" s="128">
        <v>15</v>
      </c>
      <c r="B398" s="129"/>
      <c r="C398" s="48" t="s">
        <v>192</v>
      </c>
      <c r="D398" s="39">
        <f t="shared" si="20"/>
        <v>374.52799799999997</v>
      </c>
      <c r="E398" s="39">
        <v>0</v>
      </c>
      <c r="F398" s="39">
        <f t="shared" si="19"/>
        <v>543.06559709999999</v>
      </c>
      <c r="G398" s="195"/>
      <c r="H398" s="196"/>
      <c r="I398" s="34"/>
      <c r="L398" s="166"/>
      <c r="M398" s="166"/>
      <c r="N398" s="34"/>
    </row>
    <row r="399" spans="1:14" s="42" customFormat="1" ht="15.75" customHeight="1" x14ac:dyDescent="0.35">
      <c r="A399" s="128">
        <v>16</v>
      </c>
      <c r="B399" s="129"/>
      <c r="C399" s="48" t="s">
        <v>192</v>
      </c>
      <c r="D399" s="39">
        <f t="shared" si="20"/>
        <v>374.52799799999997</v>
      </c>
      <c r="E399" s="39">
        <v>0</v>
      </c>
      <c r="F399" s="39">
        <f t="shared" si="19"/>
        <v>543.06559709999999</v>
      </c>
      <c r="G399" s="195"/>
      <c r="H399" s="196"/>
      <c r="I399" s="34"/>
      <c r="L399" s="166"/>
      <c r="M399" s="166"/>
      <c r="N399" s="34"/>
    </row>
    <row r="400" spans="1:14" s="42" customFormat="1" ht="15.75" customHeight="1" x14ac:dyDescent="0.35">
      <c r="A400" s="128">
        <v>17</v>
      </c>
      <c r="B400" s="129"/>
      <c r="C400" s="48" t="s">
        <v>192</v>
      </c>
      <c r="D400" s="39">
        <f t="shared" si="20"/>
        <v>374.52799799999997</v>
      </c>
      <c r="E400" s="39">
        <v>0</v>
      </c>
      <c r="F400" s="39">
        <f t="shared" si="19"/>
        <v>543.06559709999999</v>
      </c>
      <c r="G400" s="195"/>
      <c r="H400" s="196"/>
      <c r="I400" s="34"/>
      <c r="L400" s="166"/>
      <c r="M400" s="166"/>
      <c r="N400" s="34"/>
    </row>
    <row r="401" spans="1:14" s="42" customFormat="1" ht="15.75" customHeight="1" x14ac:dyDescent="0.35">
      <c r="A401" s="128">
        <v>18</v>
      </c>
      <c r="B401" s="129"/>
      <c r="C401" s="48" t="s">
        <v>192</v>
      </c>
      <c r="D401" s="39">
        <f t="shared" si="20"/>
        <v>374.52799799999997</v>
      </c>
      <c r="E401" s="39">
        <v>0</v>
      </c>
      <c r="F401" s="39">
        <f t="shared" si="19"/>
        <v>543.06559709999999</v>
      </c>
      <c r="G401" s="195"/>
      <c r="H401" s="196"/>
      <c r="I401" s="34"/>
      <c r="L401" s="166"/>
      <c r="M401" s="166"/>
      <c r="N401" s="34"/>
    </row>
    <row r="402" spans="1:14" s="42" customFormat="1" ht="15.75" customHeight="1" x14ac:dyDescent="0.35">
      <c r="A402" s="128">
        <v>19</v>
      </c>
      <c r="B402" s="129"/>
      <c r="C402" s="48" t="s">
        <v>192</v>
      </c>
      <c r="D402" s="39">
        <f t="shared" si="20"/>
        <v>374.52799799999997</v>
      </c>
      <c r="E402" s="39">
        <v>0</v>
      </c>
      <c r="F402" s="39">
        <f t="shared" si="19"/>
        <v>543.06559709999999</v>
      </c>
      <c r="G402" s="195"/>
      <c r="H402" s="196"/>
      <c r="I402" s="34"/>
      <c r="L402" s="166"/>
      <c r="M402" s="166"/>
      <c r="N402" s="34"/>
    </row>
    <row r="403" spans="1:14" s="42" customFormat="1" ht="15.75" customHeight="1" x14ac:dyDescent="0.35">
      <c r="A403" s="128">
        <f t="shared" ref="A403:A410" si="21">A402+1</f>
        <v>20</v>
      </c>
      <c r="B403" s="129"/>
      <c r="C403" s="48" t="s">
        <v>192</v>
      </c>
      <c r="D403" s="39">
        <f>(30+1.08*2.15+1.3*2.15)*10.764</f>
        <v>377.99938800000001</v>
      </c>
      <c r="E403" s="39">
        <v>0</v>
      </c>
      <c r="F403" s="39">
        <f t="shared" si="19"/>
        <v>548.09911260000001</v>
      </c>
      <c r="G403" s="195"/>
      <c r="H403" s="196"/>
      <c r="I403" s="34"/>
      <c r="L403" s="166"/>
      <c r="M403" s="166"/>
      <c r="N403" s="34"/>
    </row>
    <row r="404" spans="1:14" s="42" customFormat="1" ht="15.75" customHeight="1" x14ac:dyDescent="0.35">
      <c r="A404" s="128">
        <f t="shared" si="21"/>
        <v>21</v>
      </c>
      <c r="B404" s="129"/>
      <c r="C404" s="48" t="s">
        <v>192</v>
      </c>
      <c r="D404" s="39">
        <f t="shared" ref="D404:D409" si="22">(30+1.08*2.15+1.15*2.15)*10.764</f>
        <v>374.52799799999997</v>
      </c>
      <c r="E404" s="39">
        <v>0</v>
      </c>
      <c r="F404" s="39">
        <f t="shared" si="19"/>
        <v>543.06559709999999</v>
      </c>
      <c r="G404" s="195"/>
      <c r="H404" s="196"/>
      <c r="I404" s="34"/>
      <c r="L404" s="166"/>
      <c r="M404" s="166"/>
      <c r="N404" s="34"/>
    </row>
    <row r="405" spans="1:14" s="42" customFormat="1" ht="15.75" customHeight="1" x14ac:dyDescent="0.35">
      <c r="A405" s="128">
        <f t="shared" si="21"/>
        <v>22</v>
      </c>
      <c r="B405" s="129"/>
      <c r="C405" s="48" t="s">
        <v>192</v>
      </c>
      <c r="D405" s="39">
        <f t="shared" si="22"/>
        <v>374.52799799999997</v>
      </c>
      <c r="E405" s="39">
        <v>0</v>
      </c>
      <c r="F405" s="39">
        <f t="shared" si="19"/>
        <v>543.06559709999999</v>
      </c>
      <c r="G405" s="195"/>
      <c r="H405" s="196"/>
      <c r="I405" s="34"/>
      <c r="L405" s="166"/>
      <c r="M405" s="166"/>
      <c r="N405" s="34"/>
    </row>
    <row r="406" spans="1:14" s="42" customFormat="1" ht="15.75" customHeight="1" x14ac:dyDescent="0.35">
      <c r="A406" s="128">
        <f t="shared" si="21"/>
        <v>23</v>
      </c>
      <c r="B406" s="129"/>
      <c r="C406" s="48" t="s">
        <v>192</v>
      </c>
      <c r="D406" s="39">
        <f t="shared" si="22"/>
        <v>374.52799799999997</v>
      </c>
      <c r="E406" s="39">
        <v>0</v>
      </c>
      <c r="F406" s="39">
        <f t="shared" si="19"/>
        <v>543.06559709999999</v>
      </c>
      <c r="G406" s="195"/>
      <c r="H406" s="196"/>
      <c r="I406" s="34"/>
      <c r="L406" s="166"/>
      <c r="M406" s="166"/>
      <c r="N406" s="34"/>
    </row>
    <row r="407" spans="1:14" s="42" customFormat="1" ht="15.75" customHeight="1" x14ac:dyDescent="0.35">
      <c r="A407" s="128">
        <f t="shared" si="21"/>
        <v>24</v>
      </c>
      <c r="B407" s="129"/>
      <c r="C407" s="48" t="s">
        <v>192</v>
      </c>
      <c r="D407" s="39">
        <f t="shared" si="22"/>
        <v>374.52799799999997</v>
      </c>
      <c r="E407" s="39">
        <v>0</v>
      </c>
      <c r="F407" s="39">
        <f t="shared" si="19"/>
        <v>543.06559709999999</v>
      </c>
      <c r="G407" s="195"/>
      <c r="H407" s="196"/>
      <c r="I407" s="34"/>
      <c r="L407" s="166"/>
      <c r="M407" s="166"/>
      <c r="N407" s="34"/>
    </row>
    <row r="408" spans="1:14" s="42" customFormat="1" ht="15.75" customHeight="1" x14ac:dyDescent="0.35">
      <c r="A408" s="128">
        <f t="shared" si="21"/>
        <v>25</v>
      </c>
      <c r="B408" s="129"/>
      <c r="C408" s="48" t="s">
        <v>192</v>
      </c>
      <c r="D408" s="39">
        <f t="shared" si="22"/>
        <v>374.52799799999997</v>
      </c>
      <c r="E408" s="39">
        <v>0</v>
      </c>
      <c r="F408" s="39">
        <f t="shared" si="19"/>
        <v>543.06559709999999</v>
      </c>
      <c r="G408" s="195"/>
      <c r="H408" s="196"/>
      <c r="I408" s="34"/>
      <c r="L408" s="166"/>
      <c r="M408" s="166"/>
      <c r="N408" s="34"/>
    </row>
    <row r="409" spans="1:14" s="42" customFormat="1" ht="15.75" customHeight="1" x14ac:dyDescent="0.35">
      <c r="A409" s="128">
        <f t="shared" si="21"/>
        <v>26</v>
      </c>
      <c r="B409" s="129"/>
      <c r="C409" s="48" t="s">
        <v>192</v>
      </c>
      <c r="D409" s="39">
        <f t="shared" si="22"/>
        <v>374.52799799999997</v>
      </c>
      <c r="E409" s="39">
        <v>0</v>
      </c>
      <c r="F409" s="39">
        <f t="shared" si="19"/>
        <v>543.06559709999999</v>
      </c>
      <c r="G409" s="195"/>
      <c r="H409" s="196"/>
      <c r="I409" s="34"/>
      <c r="L409" s="166"/>
      <c r="M409" s="166"/>
      <c r="N409" s="34"/>
    </row>
    <row r="410" spans="1:14" s="42" customFormat="1" ht="15.75" customHeight="1" x14ac:dyDescent="0.35">
      <c r="A410" s="128">
        <f t="shared" si="21"/>
        <v>27</v>
      </c>
      <c r="B410" s="129"/>
      <c r="C410" s="48" t="s">
        <v>192</v>
      </c>
      <c r="D410" s="39">
        <f>(30+1.08*2.15+1.3*2.15)*10.764</f>
        <v>377.99938800000001</v>
      </c>
      <c r="E410" s="39">
        <v>0</v>
      </c>
      <c r="F410" s="39">
        <f t="shared" si="19"/>
        <v>548.09911260000001</v>
      </c>
      <c r="G410" s="197"/>
      <c r="H410" s="198"/>
      <c r="I410" s="34"/>
      <c r="L410" s="166"/>
      <c r="M410" s="166"/>
      <c r="N410" s="34"/>
    </row>
    <row r="411" spans="1:14" s="42" customFormat="1" x14ac:dyDescent="0.35">
      <c r="A411" s="167" t="s">
        <v>199</v>
      </c>
      <c r="B411" s="168"/>
      <c r="C411" s="168"/>
      <c r="D411" s="168"/>
      <c r="E411" s="168"/>
      <c r="F411" s="168"/>
      <c r="G411" s="168"/>
      <c r="H411" s="169"/>
      <c r="J411" s="34"/>
    </row>
    <row r="412" spans="1:14" s="42" customFormat="1" ht="15.75" customHeight="1" x14ac:dyDescent="0.35">
      <c r="A412" s="128">
        <v>1</v>
      </c>
      <c r="B412" s="129"/>
      <c r="C412" s="48" t="s">
        <v>192</v>
      </c>
      <c r="D412" s="39">
        <f>(30+1.08*2.15+1.3*2.15)*10.764</f>
        <v>377.99938800000001</v>
      </c>
      <c r="E412" s="39">
        <v>0</v>
      </c>
      <c r="F412" s="39">
        <f t="shared" ref="F412:F433" si="23">D412*(($F$249)+1)+(IF(E412&lt;101,E412,IF(E412&lt;201,E412/2,IF(E412&lt;=301,E412/3,E412/4))))</f>
        <v>548.09911260000001</v>
      </c>
      <c r="G412" s="193" t="str">
        <f>A411</f>
        <v>8th Floor (Part Refuge Area)</v>
      </c>
      <c r="H412" s="194"/>
      <c r="I412" s="34"/>
      <c r="L412" s="166"/>
      <c r="M412" s="166"/>
      <c r="N412" s="34"/>
    </row>
    <row r="413" spans="1:14" s="42" customFormat="1" ht="15.75" customHeight="1" x14ac:dyDescent="0.35">
      <c r="A413" s="128">
        <v>2</v>
      </c>
      <c r="B413" s="129"/>
      <c r="C413" s="48" t="s">
        <v>192</v>
      </c>
      <c r="D413" s="39">
        <f>(30+1.08*2.15+1.15*2.15)*10.764</f>
        <v>374.52799799999997</v>
      </c>
      <c r="E413" s="39">
        <v>0</v>
      </c>
      <c r="F413" s="39">
        <f t="shared" si="23"/>
        <v>543.06559709999999</v>
      </c>
      <c r="G413" s="195"/>
      <c r="H413" s="196"/>
      <c r="I413" s="34"/>
      <c r="L413" s="166"/>
      <c r="M413" s="166"/>
      <c r="N413" s="34"/>
    </row>
    <row r="414" spans="1:14" s="42" customFormat="1" ht="15.75" customHeight="1" x14ac:dyDescent="0.35">
      <c r="A414" s="128">
        <v>3</v>
      </c>
      <c r="B414" s="129"/>
      <c r="C414" s="48" t="s">
        <v>192</v>
      </c>
      <c r="D414" s="39">
        <f t="shared" ref="D414:D430" si="24">(30+1.08*2.15+1.15*2.15)*10.764</f>
        <v>374.52799799999997</v>
      </c>
      <c r="E414" s="39">
        <v>0</v>
      </c>
      <c r="F414" s="39">
        <f t="shared" si="23"/>
        <v>543.06559709999999</v>
      </c>
      <c r="G414" s="195"/>
      <c r="H414" s="196"/>
      <c r="I414" s="34"/>
      <c r="L414" s="166"/>
      <c r="M414" s="166"/>
      <c r="N414" s="34"/>
    </row>
    <row r="415" spans="1:14" s="42" customFormat="1" ht="15.75" customHeight="1" x14ac:dyDescent="0.35">
      <c r="A415" s="128">
        <v>4</v>
      </c>
      <c r="B415" s="129"/>
      <c r="C415" s="48" t="s">
        <v>192</v>
      </c>
      <c r="D415" s="39">
        <f>(30+1.08*2.15+1.3*2.15)*10.764</f>
        <v>377.99938800000001</v>
      </c>
      <c r="E415" s="39">
        <v>0</v>
      </c>
      <c r="F415" s="39">
        <f t="shared" si="23"/>
        <v>548.09911260000001</v>
      </c>
      <c r="G415" s="195"/>
      <c r="H415" s="196"/>
      <c r="I415" s="34"/>
      <c r="L415" s="166"/>
      <c r="M415" s="166"/>
      <c r="N415" s="34"/>
    </row>
    <row r="416" spans="1:14" s="42" customFormat="1" ht="15.75" customHeight="1" x14ac:dyDescent="0.35">
      <c r="A416" s="128">
        <v>5</v>
      </c>
      <c r="B416" s="129"/>
      <c r="C416" s="48" t="s">
        <v>192</v>
      </c>
      <c r="D416" s="39">
        <f t="shared" si="24"/>
        <v>374.52799799999997</v>
      </c>
      <c r="E416" s="39">
        <v>0</v>
      </c>
      <c r="F416" s="39">
        <f t="shared" si="23"/>
        <v>543.06559709999999</v>
      </c>
      <c r="G416" s="195"/>
      <c r="H416" s="196"/>
      <c r="I416" s="34"/>
      <c r="L416" s="166"/>
      <c r="M416" s="166"/>
      <c r="N416" s="34"/>
    </row>
    <row r="417" spans="1:14" s="42" customFormat="1" ht="15.75" customHeight="1" x14ac:dyDescent="0.35">
      <c r="A417" s="128">
        <v>6</v>
      </c>
      <c r="B417" s="129"/>
      <c r="C417" s="48" t="s">
        <v>192</v>
      </c>
      <c r="D417" s="39">
        <f t="shared" si="24"/>
        <v>374.52799799999997</v>
      </c>
      <c r="E417" s="39">
        <v>0</v>
      </c>
      <c r="F417" s="39">
        <f t="shared" si="23"/>
        <v>543.06559709999999</v>
      </c>
      <c r="G417" s="195"/>
      <c r="H417" s="196"/>
      <c r="I417" s="34"/>
      <c r="L417" s="166"/>
      <c r="M417" s="166"/>
      <c r="N417" s="34"/>
    </row>
    <row r="418" spans="1:14" s="42" customFormat="1" ht="15.75" customHeight="1" x14ac:dyDescent="0.35">
      <c r="A418" s="128">
        <v>7</v>
      </c>
      <c r="B418" s="129"/>
      <c r="C418" s="48" t="s">
        <v>192</v>
      </c>
      <c r="D418" s="39">
        <f t="shared" si="24"/>
        <v>374.52799799999997</v>
      </c>
      <c r="E418" s="39">
        <v>0</v>
      </c>
      <c r="F418" s="39">
        <f t="shared" si="23"/>
        <v>543.06559709999999</v>
      </c>
      <c r="G418" s="195"/>
      <c r="H418" s="196"/>
      <c r="I418" s="34"/>
      <c r="L418" s="166"/>
      <c r="M418" s="166"/>
      <c r="N418" s="34"/>
    </row>
    <row r="419" spans="1:14" s="42" customFormat="1" ht="15.75" customHeight="1" x14ac:dyDescent="0.35">
      <c r="A419" s="128">
        <v>8</v>
      </c>
      <c r="B419" s="129"/>
      <c r="C419" s="48" t="s">
        <v>192</v>
      </c>
      <c r="D419" s="39">
        <f t="shared" si="24"/>
        <v>374.52799799999997</v>
      </c>
      <c r="E419" s="39">
        <v>0</v>
      </c>
      <c r="F419" s="39">
        <f t="shared" si="23"/>
        <v>543.06559709999999</v>
      </c>
      <c r="G419" s="195"/>
      <c r="H419" s="196"/>
      <c r="I419" s="34"/>
      <c r="L419" s="166"/>
      <c r="M419" s="166"/>
      <c r="N419" s="34"/>
    </row>
    <row r="420" spans="1:14" s="42" customFormat="1" ht="15.75" customHeight="1" x14ac:dyDescent="0.35">
      <c r="A420" s="128">
        <v>9</v>
      </c>
      <c r="B420" s="129"/>
      <c r="C420" s="48" t="s">
        <v>192</v>
      </c>
      <c r="D420" s="39">
        <f t="shared" si="24"/>
        <v>374.52799799999997</v>
      </c>
      <c r="E420" s="39">
        <v>0</v>
      </c>
      <c r="F420" s="39">
        <f t="shared" si="23"/>
        <v>543.06559709999999</v>
      </c>
      <c r="G420" s="195"/>
      <c r="H420" s="196"/>
      <c r="I420" s="34"/>
      <c r="L420" s="166"/>
      <c r="M420" s="166"/>
      <c r="N420" s="34"/>
    </row>
    <row r="421" spans="1:14" s="42" customFormat="1" ht="15.75" customHeight="1" x14ac:dyDescent="0.35">
      <c r="A421" s="128">
        <v>10</v>
      </c>
      <c r="B421" s="129"/>
      <c r="C421" s="48" t="s">
        <v>192</v>
      </c>
      <c r="D421" s="39">
        <f t="shared" si="24"/>
        <v>374.52799799999997</v>
      </c>
      <c r="E421" s="39">
        <v>0</v>
      </c>
      <c r="F421" s="39">
        <f t="shared" si="23"/>
        <v>543.06559709999999</v>
      </c>
      <c r="G421" s="195"/>
      <c r="H421" s="196"/>
      <c r="I421" s="34"/>
      <c r="L421" s="166"/>
      <c r="M421" s="166"/>
      <c r="N421" s="34"/>
    </row>
    <row r="422" spans="1:14" s="42" customFormat="1" ht="15.75" customHeight="1" x14ac:dyDescent="0.35">
      <c r="A422" s="128">
        <v>11</v>
      </c>
      <c r="B422" s="129"/>
      <c r="C422" s="48" t="s">
        <v>192</v>
      </c>
      <c r="D422" s="39">
        <f t="shared" si="24"/>
        <v>374.52799799999997</v>
      </c>
      <c r="E422" s="39">
        <v>0</v>
      </c>
      <c r="F422" s="39">
        <f t="shared" si="23"/>
        <v>543.06559709999999</v>
      </c>
      <c r="G422" s="195"/>
      <c r="H422" s="196"/>
      <c r="I422" s="34"/>
      <c r="L422" s="166"/>
      <c r="M422" s="166"/>
      <c r="N422" s="34"/>
    </row>
    <row r="423" spans="1:14" s="42" customFormat="1" ht="15.75" customHeight="1" x14ac:dyDescent="0.35">
      <c r="A423" s="128">
        <v>12</v>
      </c>
      <c r="B423" s="129"/>
      <c r="C423" s="48" t="s">
        <v>192</v>
      </c>
      <c r="D423" s="39">
        <f t="shared" si="24"/>
        <v>374.52799799999997</v>
      </c>
      <c r="E423" s="39">
        <v>0</v>
      </c>
      <c r="F423" s="39">
        <f t="shared" si="23"/>
        <v>543.06559709999999</v>
      </c>
      <c r="G423" s="195"/>
      <c r="H423" s="196"/>
      <c r="I423" s="34"/>
      <c r="L423" s="166"/>
      <c r="M423" s="166"/>
      <c r="N423" s="34"/>
    </row>
    <row r="424" spans="1:14" s="42" customFormat="1" ht="15.75" customHeight="1" x14ac:dyDescent="0.35">
      <c r="A424" s="128">
        <v>13</v>
      </c>
      <c r="B424" s="129"/>
      <c r="C424" s="48" t="s">
        <v>192</v>
      </c>
      <c r="D424" s="39">
        <f>(30+1.08*2.15+1.3*2.15)*10.764</f>
        <v>377.99938800000001</v>
      </c>
      <c r="E424" s="39">
        <v>0</v>
      </c>
      <c r="F424" s="39">
        <f t="shared" si="23"/>
        <v>548.09911260000001</v>
      </c>
      <c r="G424" s="195"/>
      <c r="H424" s="196"/>
      <c r="I424" s="34"/>
      <c r="L424" s="166"/>
      <c r="M424" s="166"/>
      <c r="N424" s="34"/>
    </row>
    <row r="425" spans="1:14" s="42" customFormat="1" ht="15.75" customHeight="1" x14ac:dyDescent="0.35">
      <c r="A425" s="128">
        <v>14</v>
      </c>
      <c r="B425" s="129"/>
      <c r="C425" s="48" t="s">
        <v>192</v>
      </c>
      <c r="D425" s="39">
        <f>(30+1.08*2.15+1.3*2.15)*10.764</f>
        <v>377.99938800000001</v>
      </c>
      <c r="E425" s="39">
        <v>0</v>
      </c>
      <c r="F425" s="39">
        <f t="shared" si="23"/>
        <v>548.09911260000001</v>
      </c>
      <c r="G425" s="195"/>
      <c r="H425" s="196"/>
      <c r="I425" s="34"/>
      <c r="L425" s="166"/>
      <c r="M425" s="166"/>
      <c r="N425" s="34"/>
    </row>
    <row r="426" spans="1:14" s="42" customFormat="1" ht="15.75" customHeight="1" x14ac:dyDescent="0.35">
      <c r="A426" s="128">
        <v>15</v>
      </c>
      <c r="B426" s="129"/>
      <c r="C426" s="48" t="s">
        <v>192</v>
      </c>
      <c r="D426" s="39">
        <f t="shared" si="24"/>
        <v>374.52799799999997</v>
      </c>
      <c r="E426" s="39">
        <v>0</v>
      </c>
      <c r="F426" s="39">
        <f t="shared" si="23"/>
        <v>543.06559709999999</v>
      </c>
      <c r="G426" s="195"/>
      <c r="H426" s="196"/>
      <c r="I426" s="34"/>
      <c r="L426" s="166"/>
      <c r="M426" s="166"/>
      <c r="N426" s="34"/>
    </row>
    <row r="427" spans="1:14" s="42" customFormat="1" ht="15.75" customHeight="1" x14ac:dyDescent="0.35">
      <c r="A427" s="128">
        <v>16</v>
      </c>
      <c r="B427" s="129"/>
      <c r="C427" s="48" t="s">
        <v>192</v>
      </c>
      <c r="D427" s="39">
        <f t="shared" si="24"/>
        <v>374.52799799999997</v>
      </c>
      <c r="E427" s="39">
        <v>0</v>
      </c>
      <c r="F427" s="39">
        <f t="shared" si="23"/>
        <v>543.06559709999999</v>
      </c>
      <c r="G427" s="195"/>
      <c r="H427" s="196"/>
      <c r="I427" s="34"/>
      <c r="L427" s="166"/>
      <c r="M427" s="166"/>
      <c r="N427" s="34"/>
    </row>
    <row r="428" spans="1:14" s="42" customFormat="1" ht="15.75" customHeight="1" x14ac:dyDescent="0.35">
      <c r="A428" s="128">
        <v>17</v>
      </c>
      <c r="B428" s="129"/>
      <c r="C428" s="48" t="s">
        <v>192</v>
      </c>
      <c r="D428" s="39">
        <f t="shared" si="24"/>
        <v>374.52799799999997</v>
      </c>
      <c r="E428" s="39">
        <v>0</v>
      </c>
      <c r="F428" s="39">
        <f t="shared" si="23"/>
        <v>543.06559709999999</v>
      </c>
      <c r="G428" s="195"/>
      <c r="H428" s="196"/>
      <c r="I428" s="34"/>
      <c r="L428" s="166"/>
      <c r="M428" s="166"/>
      <c r="N428" s="34"/>
    </row>
    <row r="429" spans="1:14" s="42" customFormat="1" ht="15.75" customHeight="1" x14ac:dyDescent="0.35">
      <c r="A429" s="128">
        <v>18</v>
      </c>
      <c r="B429" s="129"/>
      <c r="C429" s="48" t="s">
        <v>192</v>
      </c>
      <c r="D429" s="39">
        <f t="shared" si="24"/>
        <v>374.52799799999997</v>
      </c>
      <c r="E429" s="39">
        <v>0</v>
      </c>
      <c r="F429" s="39">
        <f t="shared" si="23"/>
        <v>543.06559709999999</v>
      </c>
      <c r="G429" s="195"/>
      <c r="H429" s="196"/>
      <c r="I429" s="34"/>
      <c r="L429" s="166"/>
      <c r="M429" s="166"/>
      <c r="N429" s="34"/>
    </row>
    <row r="430" spans="1:14" s="42" customFormat="1" ht="15.75" customHeight="1" x14ac:dyDescent="0.35">
      <c r="A430" s="128">
        <v>19</v>
      </c>
      <c r="B430" s="129"/>
      <c r="C430" s="48" t="s">
        <v>192</v>
      </c>
      <c r="D430" s="39">
        <f t="shared" si="24"/>
        <v>374.52799799999997</v>
      </c>
      <c r="E430" s="39">
        <v>0</v>
      </c>
      <c r="F430" s="39">
        <f t="shared" si="23"/>
        <v>543.06559709999999</v>
      </c>
      <c r="G430" s="195"/>
      <c r="H430" s="196"/>
      <c r="I430" s="34"/>
      <c r="L430" s="166"/>
      <c r="M430" s="166"/>
      <c r="N430" s="34"/>
    </row>
    <row r="431" spans="1:14" s="42" customFormat="1" ht="15.75" customHeight="1" x14ac:dyDescent="0.35">
      <c r="A431" s="128">
        <f t="shared" ref="A431:A438" si="25">A430+1</f>
        <v>20</v>
      </c>
      <c r="B431" s="129"/>
      <c r="C431" s="48" t="s">
        <v>192</v>
      </c>
      <c r="D431" s="39">
        <f>(30+1.08*2.15+1.3*2.15)*10.764</f>
        <v>377.99938800000001</v>
      </c>
      <c r="E431" s="39">
        <v>0</v>
      </c>
      <c r="F431" s="39">
        <f t="shared" si="23"/>
        <v>548.09911260000001</v>
      </c>
      <c r="G431" s="195"/>
      <c r="H431" s="196"/>
      <c r="I431" s="34"/>
      <c r="L431" s="166"/>
      <c r="M431" s="166"/>
      <c r="N431" s="34"/>
    </row>
    <row r="432" spans="1:14" s="42" customFormat="1" ht="15.75" customHeight="1" x14ac:dyDescent="0.35">
      <c r="A432" s="128">
        <f t="shared" si="25"/>
        <v>21</v>
      </c>
      <c r="B432" s="129"/>
      <c r="C432" s="48" t="s">
        <v>192</v>
      </c>
      <c r="D432" s="39">
        <f t="shared" ref="D432:D437" si="26">(30+1.08*2.15+1.15*2.15)*10.764</f>
        <v>374.52799799999997</v>
      </c>
      <c r="E432" s="39">
        <v>0</v>
      </c>
      <c r="F432" s="39">
        <f t="shared" si="23"/>
        <v>543.06559709999999</v>
      </c>
      <c r="G432" s="195"/>
      <c r="H432" s="196"/>
      <c r="I432" s="34"/>
      <c r="L432" s="166"/>
      <c r="M432" s="166"/>
      <c r="N432" s="34"/>
    </row>
    <row r="433" spans="1:14" s="42" customFormat="1" ht="15.75" customHeight="1" x14ac:dyDescent="0.35">
      <c r="A433" s="128">
        <f t="shared" si="25"/>
        <v>22</v>
      </c>
      <c r="B433" s="129"/>
      <c r="C433" s="48" t="s">
        <v>192</v>
      </c>
      <c r="D433" s="39">
        <f t="shared" si="26"/>
        <v>374.52799799999997</v>
      </c>
      <c r="E433" s="39">
        <v>0</v>
      </c>
      <c r="F433" s="39">
        <f t="shared" si="23"/>
        <v>543.06559709999999</v>
      </c>
      <c r="G433" s="195"/>
      <c r="H433" s="196"/>
      <c r="I433" s="34"/>
      <c r="L433" s="166"/>
      <c r="M433" s="166"/>
      <c r="N433" s="34"/>
    </row>
    <row r="434" spans="1:14" s="42" customFormat="1" ht="15.75" customHeight="1" x14ac:dyDescent="0.35">
      <c r="A434" s="128">
        <f t="shared" si="25"/>
        <v>23</v>
      </c>
      <c r="B434" s="129"/>
      <c r="C434" s="199" t="s">
        <v>196</v>
      </c>
      <c r="D434" s="200"/>
      <c r="E434" s="200"/>
      <c r="F434" s="201"/>
      <c r="G434" s="195"/>
      <c r="H434" s="196"/>
      <c r="I434" s="34"/>
      <c r="L434" s="166"/>
      <c r="M434" s="166"/>
      <c r="N434" s="34"/>
    </row>
    <row r="435" spans="1:14" s="42" customFormat="1" ht="15.75" customHeight="1" x14ac:dyDescent="0.35">
      <c r="A435" s="128">
        <f t="shared" si="25"/>
        <v>24</v>
      </c>
      <c r="B435" s="129"/>
      <c r="C435" s="202"/>
      <c r="D435" s="203"/>
      <c r="E435" s="203"/>
      <c r="F435" s="204"/>
      <c r="G435" s="195"/>
      <c r="H435" s="196"/>
      <c r="I435" s="34"/>
      <c r="L435" s="166"/>
      <c r="M435" s="166"/>
      <c r="N435" s="34"/>
    </row>
    <row r="436" spans="1:14" s="42" customFormat="1" ht="15.75" customHeight="1" x14ac:dyDescent="0.35">
      <c r="A436" s="128">
        <f t="shared" si="25"/>
        <v>25</v>
      </c>
      <c r="B436" s="129"/>
      <c r="C436" s="48" t="s">
        <v>192</v>
      </c>
      <c r="D436" s="39">
        <f t="shared" si="26"/>
        <v>374.52799799999997</v>
      </c>
      <c r="E436" s="39">
        <v>0</v>
      </c>
      <c r="F436" s="39">
        <f>D436*(($F$249)+1)+(IF(E436&lt;101,E436,IF(E436&lt;201,E436/2,IF(E436&lt;=301,E436/3,E436/4))))</f>
        <v>543.06559709999999</v>
      </c>
      <c r="G436" s="195"/>
      <c r="H436" s="196"/>
      <c r="I436" s="34"/>
      <c r="L436" s="166"/>
      <c r="M436" s="166"/>
      <c r="N436" s="34"/>
    </row>
    <row r="437" spans="1:14" s="42" customFormat="1" ht="15.75" customHeight="1" x14ac:dyDescent="0.35">
      <c r="A437" s="128">
        <f t="shared" si="25"/>
        <v>26</v>
      </c>
      <c r="B437" s="129"/>
      <c r="C437" s="48" t="s">
        <v>192</v>
      </c>
      <c r="D437" s="39">
        <f t="shared" si="26"/>
        <v>374.52799799999997</v>
      </c>
      <c r="E437" s="39">
        <v>0</v>
      </c>
      <c r="F437" s="39">
        <f>D437*(($F$249)+1)+(IF(E437&lt;101,E437,IF(E437&lt;201,E437/2,IF(E437&lt;=301,E437/3,E437/4))))</f>
        <v>543.06559709999999</v>
      </c>
      <c r="G437" s="195"/>
      <c r="H437" s="196"/>
      <c r="I437" s="34"/>
      <c r="L437" s="166"/>
      <c r="M437" s="166"/>
      <c r="N437" s="34"/>
    </row>
    <row r="438" spans="1:14" s="42" customFormat="1" ht="15.75" customHeight="1" x14ac:dyDescent="0.35">
      <c r="A438" s="128">
        <f t="shared" si="25"/>
        <v>27</v>
      </c>
      <c r="B438" s="129"/>
      <c r="C438" s="48" t="s">
        <v>192</v>
      </c>
      <c r="D438" s="39">
        <f>(30+1.08*2.15+1.3*2.15)*10.764</f>
        <v>377.99938800000001</v>
      </c>
      <c r="E438" s="39">
        <v>0</v>
      </c>
      <c r="F438" s="39">
        <f>D438*(($F$249)+1)+(IF(E438&lt;101,E438,IF(E438&lt;201,E438/2,IF(E438&lt;=301,E438/3,E438/4))))</f>
        <v>548.09911260000001</v>
      </c>
      <c r="G438" s="197"/>
      <c r="H438" s="198"/>
      <c r="I438" s="34"/>
      <c r="L438" s="166"/>
      <c r="M438" s="166"/>
      <c r="N438" s="34"/>
    </row>
    <row r="439" spans="1:14" s="42" customFormat="1" x14ac:dyDescent="0.35">
      <c r="A439" s="167" t="s">
        <v>201</v>
      </c>
      <c r="B439" s="168"/>
      <c r="C439" s="168"/>
      <c r="D439" s="168"/>
      <c r="E439" s="168"/>
      <c r="F439" s="168"/>
      <c r="G439" s="168"/>
      <c r="H439" s="169"/>
      <c r="J439" s="34"/>
    </row>
    <row r="440" spans="1:14" s="42" customFormat="1" x14ac:dyDescent="0.35">
      <c r="A440" s="167" t="s">
        <v>194</v>
      </c>
      <c r="B440" s="168"/>
      <c r="C440" s="168"/>
      <c r="D440" s="168"/>
      <c r="E440" s="168"/>
      <c r="F440" s="168"/>
      <c r="G440" s="168"/>
      <c r="H440" s="169"/>
      <c r="J440" s="34"/>
    </row>
    <row r="441" spans="1:14" s="42" customFormat="1" ht="15.75" customHeight="1" x14ac:dyDescent="0.35">
      <c r="A441" s="128">
        <v>1</v>
      </c>
      <c r="B441" s="129"/>
      <c r="C441" s="48" t="s">
        <v>192</v>
      </c>
      <c r="D441" s="39">
        <f>(30+1.08*2.15+1.3*2.15)*10.764</f>
        <v>377.99938800000001</v>
      </c>
      <c r="E441" s="39">
        <v>0</v>
      </c>
      <c r="F441" s="39">
        <f t="shared" ref="F441:F451" si="27">D441*(($F$249)+1)+(IF(E441&lt;101,E441,IF(E441&lt;201,E441/2,IF(E441&lt;=301,E441/3,E441/4))))</f>
        <v>548.09911260000001</v>
      </c>
      <c r="G441" s="193" t="str">
        <f>A440</f>
        <v>Ground Floor For Residential</v>
      </c>
      <c r="H441" s="194"/>
      <c r="I441" s="34"/>
      <c r="L441" s="166"/>
      <c r="M441" s="166"/>
      <c r="N441" s="34"/>
    </row>
    <row r="442" spans="1:14" s="42" customFormat="1" ht="15.75" customHeight="1" x14ac:dyDescent="0.35">
      <c r="A442" s="128">
        <v>2</v>
      </c>
      <c r="B442" s="129"/>
      <c r="C442" s="48" t="s">
        <v>192</v>
      </c>
      <c r="D442" s="39">
        <f>(30+1.08*2.15+1.15*2.15)*10.764</f>
        <v>374.52799799999997</v>
      </c>
      <c r="E442" s="39">
        <v>0</v>
      </c>
      <c r="F442" s="39">
        <f t="shared" si="27"/>
        <v>543.06559709999999</v>
      </c>
      <c r="G442" s="195"/>
      <c r="H442" s="196"/>
      <c r="I442" s="34"/>
      <c r="L442" s="166"/>
      <c r="M442" s="166"/>
      <c r="N442" s="34"/>
    </row>
    <row r="443" spans="1:14" s="42" customFormat="1" ht="15.75" customHeight="1" x14ac:dyDescent="0.35">
      <c r="A443" s="128">
        <v>3</v>
      </c>
      <c r="B443" s="129"/>
      <c r="C443" s="48" t="s">
        <v>192</v>
      </c>
      <c r="D443" s="39">
        <f t="shared" ref="D443:D451" si="28">(30+1.08*2.15+1.15*2.15)*10.764</f>
        <v>374.52799799999997</v>
      </c>
      <c r="E443" s="39">
        <v>0</v>
      </c>
      <c r="F443" s="39">
        <f t="shared" si="27"/>
        <v>543.06559709999999</v>
      </c>
      <c r="G443" s="195"/>
      <c r="H443" s="196"/>
      <c r="I443" s="34"/>
      <c r="L443" s="166"/>
      <c r="M443" s="166"/>
      <c r="N443" s="34"/>
    </row>
    <row r="444" spans="1:14" s="42" customFormat="1" ht="15.75" customHeight="1" x14ac:dyDescent="0.35">
      <c r="A444" s="128">
        <v>4</v>
      </c>
      <c r="B444" s="129"/>
      <c r="C444" s="48" t="s">
        <v>192</v>
      </c>
      <c r="D444" s="39">
        <f t="shared" si="28"/>
        <v>374.52799799999997</v>
      </c>
      <c r="E444" s="39">
        <v>0</v>
      </c>
      <c r="F444" s="39">
        <f t="shared" si="27"/>
        <v>543.06559709999999</v>
      </c>
      <c r="G444" s="195"/>
      <c r="H444" s="196"/>
      <c r="I444" s="34"/>
      <c r="L444" s="166"/>
      <c r="M444" s="166"/>
      <c r="N444" s="34"/>
    </row>
    <row r="445" spans="1:14" s="42" customFormat="1" ht="15.75" customHeight="1" x14ac:dyDescent="0.35">
      <c r="A445" s="128">
        <v>5</v>
      </c>
      <c r="B445" s="129"/>
      <c r="C445" s="48" t="s">
        <v>192</v>
      </c>
      <c r="D445" s="39">
        <f t="shared" si="28"/>
        <v>374.52799799999997</v>
      </c>
      <c r="E445" s="39">
        <v>0</v>
      </c>
      <c r="F445" s="39">
        <f t="shared" si="27"/>
        <v>543.06559709999999</v>
      </c>
      <c r="G445" s="195"/>
      <c r="H445" s="196"/>
      <c r="I445" s="34"/>
      <c r="L445" s="166"/>
      <c r="M445" s="166"/>
      <c r="N445" s="34"/>
    </row>
    <row r="446" spans="1:14" s="42" customFormat="1" ht="15.75" customHeight="1" x14ac:dyDescent="0.35">
      <c r="A446" s="128">
        <v>6</v>
      </c>
      <c r="B446" s="129"/>
      <c r="C446" s="48" t="s">
        <v>192</v>
      </c>
      <c r="D446" s="39">
        <f>(30+1.08*2.15+1.3*2.15)*10.764</f>
        <v>377.99938800000001</v>
      </c>
      <c r="E446" s="39">
        <v>0</v>
      </c>
      <c r="F446" s="39">
        <f t="shared" si="27"/>
        <v>548.09911260000001</v>
      </c>
      <c r="G446" s="195"/>
      <c r="H446" s="196"/>
      <c r="I446" s="34"/>
      <c r="L446" s="166"/>
      <c r="M446" s="166"/>
      <c r="N446" s="34"/>
    </row>
    <row r="447" spans="1:14" s="42" customFormat="1" ht="15.75" customHeight="1" x14ac:dyDescent="0.35">
      <c r="A447" s="128">
        <v>7</v>
      </c>
      <c r="B447" s="129"/>
      <c r="C447" s="48" t="s">
        <v>192</v>
      </c>
      <c r="D447" s="39">
        <f>(30+1.08*2.15+1.3*2.15)*10.764</f>
        <v>377.99938800000001</v>
      </c>
      <c r="E447" s="39">
        <v>0</v>
      </c>
      <c r="F447" s="39">
        <f t="shared" si="27"/>
        <v>548.09911260000001</v>
      </c>
      <c r="G447" s="195"/>
      <c r="H447" s="196"/>
      <c r="I447" s="34"/>
      <c r="L447" s="166"/>
      <c r="M447" s="166"/>
      <c r="N447" s="34"/>
    </row>
    <row r="448" spans="1:14" s="42" customFormat="1" ht="15.75" customHeight="1" x14ac:dyDescent="0.35">
      <c r="A448" s="128">
        <v>8</v>
      </c>
      <c r="B448" s="129"/>
      <c r="C448" s="48" t="s">
        <v>192</v>
      </c>
      <c r="D448" s="39">
        <f t="shared" si="28"/>
        <v>374.52799799999997</v>
      </c>
      <c r="E448" s="39">
        <v>0</v>
      </c>
      <c r="F448" s="39">
        <f t="shared" si="27"/>
        <v>543.06559709999999</v>
      </c>
      <c r="G448" s="195"/>
      <c r="H448" s="196"/>
      <c r="I448" s="34"/>
      <c r="L448" s="166"/>
      <c r="M448" s="166"/>
      <c r="N448" s="34"/>
    </row>
    <row r="449" spans="1:14" s="42" customFormat="1" ht="15.75" customHeight="1" x14ac:dyDescent="0.35">
      <c r="A449" s="128">
        <v>9</v>
      </c>
      <c r="B449" s="129"/>
      <c r="C449" s="48" t="s">
        <v>192</v>
      </c>
      <c r="D449" s="39">
        <f t="shared" si="28"/>
        <v>374.52799799999997</v>
      </c>
      <c r="E449" s="39">
        <v>0</v>
      </c>
      <c r="F449" s="39">
        <f t="shared" si="27"/>
        <v>543.06559709999999</v>
      </c>
      <c r="G449" s="195"/>
      <c r="H449" s="196"/>
      <c r="I449" s="34"/>
      <c r="L449" s="166"/>
      <c r="M449" s="166"/>
      <c r="N449" s="34"/>
    </row>
    <row r="450" spans="1:14" s="42" customFormat="1" ht="15.75" customHeight="1" x14ac:dyDescent="0.35">
      <c r="A450" s="128">
        <v>10</v>
      </c>
      <c r="B450" s="129"/>
      <c r="C450" s="48" t="s">
        <v>192</v>
      </c>
      <c r="D450" s="39">
        <f t="shared" si="28"/>
        <v>374.52799799999997</v>
      </c>
      <c r="E450" s="39">
        <v>0</v>
      </c>
      <c r="F450" s="39">
        <f t="shared" si="27"/>
        <v>543.06559709999999</v>
      </c>
      <c r="G450" s="195"/>
      <c r="H450" s="196"/>
      <c r="I450" s="34"/>
      <c r="L450" s="166"/>
      <c r="M450" s="166"/>
      <c r="N450" s="34"/>
    </row>
    <row r="451" spans="1:14" s="42" customFormat="1" ht="15.75" customHeight="1" x14ac:dyDescent="0.35">
      <c r="A451" s="128">
        <v>11</v>
      </c>
      <c r="B451" s="129"/>
      <c r="C451" s="48" t="s">
        <v>192</v>
      </c>
      <c r="D451" s="39">
        <f t="shared" si="28"/>
        <v>374.52799799999997</v>
      </c>
      <c r="E451" s="39">
        <v>0</v>
      </c>
      <c r="F451" s="39">
        <f t="shared" si="27"/>
        <v>543.06559709999999</v>
      </c>
      <c r="G451" s="197"/>
      <c r="H451" s="198"/>
      <c r="I451" s="34"/>
      <c r="L451" s="166"/>
      <c r="M451" s="166"/>
      <c r="N451" s="34"/>
    </row>
    <row r="452" spans="1:14" s="42" customFormat="1" x14ac:dyDescent="0.35">
      <c r="A452" s="167" t="s">
        <v>202</v>
      </c>
      <c r="B452" s="168"/>
      <c r="C452" s="168"/>
      <c r="D452" s="168"/>
      <c r="E452" s="168"/>
      <c r="F452" s="168"/>
      <c r="G452" s="168"/>
      <c r="H452" s="169"/>
      <c r="J452" s="34"/>
    </row>
    <row r="453" spans="1:14" s="42" customFormat="1" ht="15.75" customHeight="1" x14ac:dyDescent="0.35">
      <c r="A453" s="128">
        <v>1</v>
      </c>
      <c r="B453" s="129"/>
      <c r="C453" s="48" t="s">
        <v>192</v>
      </c>
      <c r="D453" s="39">
        <f>(30+1.08*2.15+1.3*2.15)*10.764</f>
        <v>377.99938800000001</v>
      </c>
      <c r="E453" s="39">
        <v>0</v>
      </c>
      <c r="F453" s="39">
        <f t="shared" ref="F453:F463" si="29">D453*(($F$249)+1)+(IF(E453&lt;101,E453,IF(E453&lt;201,E453/2,IF(E453&lt;=301,E453/3,E453/4))))</f>
        <v>548.09911260000001</v>
      </c>
      <c r="G453" s="193" t="str">
        <f>A452</f>
        <v>1st Floor (Part Terrace Area)</v>
      </c>
      <c r="H453" s="194"/>
      <c r="I453" s="34"/>
      <c r="L453" s="166"/>
      <c r="M453" s="166"/>
      <c r="N453" s="34"/>
    </row>
    <row r="454" spans="1:14" s="42" customFormat="1" ht="15.75" customHeight="1" x14ac:dyDescent="0.35">
      <c r="A454" s="128">
        <v>2</v>
      </c>
      <c r="B454" s="129"/>
      <c r="C454" s="48" t="s">
        <v>192</v>
      </c>
      <c r="D454" s="39">
        <f>(30+1.08*2.15+1.15*2.15)*10.764</f>
        <v>374.52799799999997</v>
      </c>
      <c r="E454" s="39">
        <v>0</v>
      </c>
      <c r="F454" s="39">
        <f t="shared" si="29"/>
        <v>543.06559709999999</v>
      </c>
      <c r="G454" s="195"/>
      <c r="H454" s="196"/>
      <c r="I454" s="34"/>
      <c r="L454" s="166"/>
      <c r="M454" s="166"/>
      <c r="N454" s="34"/>
    </row>
    <row r="455" spans="1:14" s="42" customFormat="1" ht="15.75" customHeight="1" x14ac:dyDescent="0.35">
      <c r="A455" s="128">
        <v>3</v>
      </c>
      <c r="B455" s="129"/>
      <c r="C455" s="48" t="s">
        <v>192</v>
      </c>
      <c r="D455" s="39">
        <f t="shared" ref="D455:D463" si="30">(30+1.08*2.15+1.15*2.15)*10.764</f>
        <v>374.52799799999997</v>
      </c>
      <c r="E455" s="39">
        <v>0</v>
      </c>
      <c r="F455" s="39">
        <f t="shared" si="29"/>
        <v>543.06559709999999</v>
      </c>
      <c r="G455" s="195"/>
      <c r="H455" s="196"/>
      <c r="I455" s="34"/>
      <c r="L455" s="166"/>
      <c r="M455" s="166"/>
      <c r="N455" s="34"/>
    </row>
    <row r="456" spans="1:14" s="42" customFormat="1" ht="15.75" customHeight="1" x14ac:dyDescent="0.35">
      <c r="A456" s="128">
        <v>4</v>
      </c>
      <c r="B456" s="129"/>
      <c r="C456" s="48" t="s">
        <v>192</v>
      </c>
      <c r="D456" s="39">
        <f t="shared" si="30"/>
        <v>374.52799799999997</v>
      </c>
      <c r="E456" s="39">
        <v>0</v>
      </c>
      <c r="F456" s="39">
        <f t="shared" si="29"/>
        <v>543.06559709999999</v>
      </c>
      <c r="G456" s="195"/>
      <c r="H456" s="196"/>
      <c r="I456" s="34"/>
      <c r="L456" s="166"/>
      <c r="M456" s="166"/>
      <c r="N456" s="34"/>
    </row>
    <row r="457" spans="1:14" s="42" customFormat="1" ht="15.75" customHeight="1" x14ac:dyDescent="0.35">
      <c r="A457" s="128">
        <v>5</v>
      </c>
      <c r="B457" s="129"/>
      <c r="C457" s="48" t="s">
        <v>192</v>
      </c>
      <c r="D457" s="39">
        <f t="shared" si="30"/>
        <v>374.52799799999997</v>
      </c>
      <c r="E457" s="39">
        <v>0</v>
      </c>
      <c r="F457" s="39">
        <f t="shared" si="29"/>
        <v>543.06559709999999</v>
      </c>
      <c r="G457" s="195"/>
      <c r="H457" s="196"/>
      <c r="I457" s="34"/>
      <c r="L457" s="166"/>
      <c r="M457" s="166"/>
      <c r="N457" s="34"/>
    </row>
    <row r="458" spans="1:14" s="42" customFormat="1" ht="15.75" customHeight="1" x14ac:dyDescent="0.35">
      <c r="A458" s="128">
        <v>6</v>
      </c>
      <c r="B458" s="129"/>
      <c r="C458" s="48" t="s">
        <v>192</v>
      </c>
      <c r="D458" s="39">
        <f>(30+1.08*2.15+1.3*2.15)*10.764</f>
        <v>377.99938800000001</v>
      </c>
      <c r="E458" s="39">
        <v>0</v>
      </c>
      <c r="F458" s="39">
        <f t="shared" si="29"/>
        <v>548.09911260000001</v>
      </c>
      <c r="G458" s="195"/>
      <c r="H458" s="196"/>
      <c r="I458" s="34"/>
      <c r="L458" s="166"/>
      <c r="M458" s="166"/>
      <c r="N458" s="34"/>
    </row>
    <row r="459" spans="1:14" s="42" customFormat="1" ht="15.75" customHeight="1" x14ac:dyDescent="0.35">
      <c r="A459" s="128">
        <v>7</v>
      </c>
      <c r="B459" s="129"/>
      <c r="C459" s="48" t="s">
        <v>192</v>
      </c>
      <c r="D459" s="39">
        <f>(30+1.08*2.15+1.3*2.15)*10.764</f>
        <v>377.99938800000001</v>
      </c>
      <c r="E459" s="39">
        <v>0</v>
      </c>
      <c r="F459" s="39">
        <f t="shared" si="29"/>
        <v>548.09911260000001</v>
      </c>
      <c r="G459" s="195"/>
      <c r="H459" s="196"/>
      <c r="I459" s="34"/>
      <c r="L459" s="166"/>
      <c r="M459" s="166"/>
      <c r="N459" s="34"/>
    </row>
    <row r="460" spans="1:14" s="42" customFormat="1" ht="15.75" customHeight="1" x14ac:dyDescent="0.35">
      <c r="A460" s="128">
        <v>8</v>
      </c>
      <c r="B460" s="129"/>
      <c r="C460" s="48" t="s">
        <v>192</v>
      </c>
      <c r="D460" s="39">
        <f t="shared" si="30"/>
        <v>374.52799799999997</v>
      </c>
      <c r="E460" s="39">
        <v>0</v>
      </c>
      <c r="F460" s="39">
        <f t="shared" si="29"/>
        <v>543.06559709999999</v>
      </c>
      <c r="G460" s="195"/>
      <c r="H460" s="196"/>
      <c r="I460" s="34"/>
      <c r="L460" s="166"/>
      <c r="M460" s="166"/>
      <c r="N460" s="34"/>
    </row>
    <row r="461" spans="1:14" s="42" customFormat="1" ht="15.75" customHeight="1" x14ac:dyDescent="0.35">
      <c r="A461" s="128">
        <v>9</v>
      </c>
      <c r="B461" s="129"/>
      <c r="C461" s="48" t="s">
        <v>192</v>
      </c>
      <c r="D461" s="39">
        <f t="shared" si="30"/>
        <v>374.52799799999997</v>
      </c>
      <c r="E461" s="39">
        <v>0</v>
      </c>
      <c r="F461" s="39">
        <f t="shared" si="29"/>
        <v>543.06559709999999</v>
      </c>
      <c r="G461" s="195"/>
      <c r="H461" s="196"/>
      <c r="I461" s="34"/>
      <c r="L461" s="166"/>
      <c r="M461" s="166"/>
      <c r="N461" s="34"/>
    </row>
    <row r="462" spans="1:14" s="42" customFormat="1" ht="15.75" customHeight="1" x14ac:dyDescent="0.35">
      <c r="A462" s="128">
        <v>10</v>
      </c>
      <c r="B462" s="129"/>
      <c r="C462" s="48" t="s">
        <v>192</v>
      </c>
      <c r="D462" s="39">
        <f t="shared" si="30"/>
        <v>374.52799799999997</v>
      </c>
      <c r="E462" s="39">
        <v>0</v>
      </c>
      <c r="F462" s="39">
        <f t="shared" si="29"/>
        <v>543.06559709999999</v>
      </c>
      <c r="G462" s="195"/>
      <c r="H462" s="196"/>
      <c r="I462" s="34"/>
      <c r="L462" s="166"/>
      <c r="M462" s="166"/>
      <c r="N462" s="34"/>
    </row>
    <row r="463" spans="1:14" s="42" customFormat="1" ht="15.75" customHeight="1" x14ac:dyDescent="0.35">
      <c r="A463" s="128">
        <v>11</v>
      </c>
      <c r="B463" s="129"/>
      <c r="C463" s="48" t="s">
        <v>192</v>
      </c>
      <c r="D463" s="39">
        <f t="shared" si="30"/>
        <v>374.52799799999997</v>
      </c>
      <c r="E463" s="39">
        <v>0</v>
      </c>
      <c r="F463" s="39">
        <f t="shared" si="29"/>
        <v>543.06559709999999</v>
      </c>
      <c r="G463" s="197"/>
      <c r="H463" s="198"/>
      <c r="I463" s="34"/>
      <c r="L463" s="166"/>
      <c r="M463" s="166"/>
      <c r="N463" s="34"/>
    </row>
    <row r="464" spans="1:14" s="42" customFormat="1" x14ac:dyDescent="0.35">
      <c r="A464" s="167" t="s">
        <v>203</v>
      </c>
      <c r="B464" s="168"/>
      <c r="C464" s="168"/>
      <c r="D464" s="168"/>
      <c r="E464" s="168"/>
      <c r="F464" s="168"/>
      <c r="G464" s="168"/>
      <c r="H464" s="169"/>
      <c r="J464" s="34"/>
    </row>
    <row r="465" spans="1:14" s="42" customFormat="1" ht="15.75" customHeight="1" x14ac:dyDescent="0.35">
      <c r="A465" s="128">
        <v>1</v>
      </c>
      <c r="B465" s="129"/>
      <c r="C465" s="48" t="s">
        <v>192</v>
      </c>
      <c r="D465" s="39">
        <f>(30+1.08*2.15+1.3*2.15)*10.764</f>
        <v>377.99938800000001</v>
      </c>
      <c r="E465" s="39">
        <v>0</v>
      </c>
      <c r="F465" s="39">
        <f t="shared" ref="F465:F475" si="31">D465*(($F$249)+1)+(IF(E465&lt;101,E465,IF(E465&lt;201,E465/2,IF(E465&lt;=301,E465/3,E465/4))))</f>
        <v>548.09911260000001</v>
      </c>
      <c r="G465" s="193" t="str">
        <f>A464</f>
        <v>2nd to 7th Floor</v>
      </c>
      <c r="H465" s="194"/>
      <c r="I465" s="34"/>
      <c r="L465" s="166"/>
      <c r="M465" s="166"/>
      <c r="N465" s="34"/>
    </row>
    <row r="466" spans="1:14" s="42" customFormat="1" ht="15.75" customHeight="1" x14ac:dyDescent="0.35">
      <c r="A466" s="128">
        <v>2</v>
      </c>
      <c r="B466" s="129"/>
      <c r="C466" s="48" t="s">
        <v>192</v>
      </c>
      <c r="D466" s="39">
        <f>(30+1.08*2.15+1.15*2.15)*10.764</f>
        <v>374.52799799999997</v>
      </c>
      <c r="E466" s="39">
        <v>0</v>
      </c>
      <c r="F466" s="39">
        <f t="shared" si="31"/>
        <v>543.06559709999999</v>
      </c>
      <c r="G466" s="195"/>
      <c r="H466" s="196"/>
      <c r="I466" s="34"/>
      <c r="L466" s="166"/>
      <c r="M466" s="166"/>
      <c r="N466" s="34"/>
    </row>
    <row r="467" spans="1:14" s="42" customFormat="1" ht="15.75" customHeight="1" x14ac:dyDescent="0.35">
      <c r="A467" s="128">
        <v>3</v>
      </c>
      <c r="B467" s="129"/>
      <c r="C467" s="48" t="s">
        <v>192</v>
      </c>
      <c r="D467" s="39">
        <f t="shared" ref="D467:D475" si="32">(30+1.08*2.15+1.15*2.15)*10.764</f>
        <v>374.52799799999997</v>
      </c>
      <c r="E467" s="39">
        <v>0</v>
      </c>
      <c r="F467" s="39">
        <f t="shared" si="31"/>
        <v>543.06559709999999</v>
      </c>
      <c r="G467" s="195"/>
      <c r="H467" s="196"/>
      <c r="I467" s="34"/>
      <c r="L467" s="166"/>
      <c r="M467" s="166"/>
      <c r="N467" s="34"/>
    </row>
    <row r="468" spans="1:14" s="42" customFormat="1" ht="15.75" customHeight="1" x14ac:dyDescent="0.35">
      <c r="A468" s="128">
        <v>4</v>
      </c>
      <c r="B468" s="129"/>
      <c r="C468" s="48" t="s">
        <v>192</v>
      </c>
      <c r="D468" s="39">
        <f t="shared" si="32"/>
        <v>374.52799799999997</v>
      </c>
      <c r="E468" s="39">
        <v>0</v>
      </c>
      <c r="F468" s="39">
        <f t="shared" si="31"/>
        <v>543.06559709999999</v>
      </c>
      <c r="G468" s="195"/>
      <c r="H468" s="196"/>
      <c r="I468" s="34"/>
      <c r="L468" s="166"/>
      <c r="M468" s="166"/>
      <c r="N468" s="34"/>
    </row>
    <row r="469" spans="1:14" s="42" customFormat="1" ht="15.75" customHeight="1" x14ac:dyDescent="0.35">
      <c r="A469" s="128">
        <v>5</v>
      </c>
      <c r="B469" s="129"/>
      <c r="C469" s="48" t="s">
        <v>192</v>
      </c>
      <c r="D469" s="39">
        <f t="shared" si="32"/>
        <v>374.52799799999997</v>
      </c>
      <c r="E469" s="39">
        <v>0</v>
      </c>
      <c r="F469" s="39">
        <f t="shared" si="31"/>
        <v>543.06559709999999</v>
      </c>
      <c r="G469" s="195"/>
      <c r="H469" s="196"/>
      <c r="I469" s="34"/>
      <c r="L469" s="166"/>
      <c r="M469" s="166"/>
      <c r="N469" s="34"/>
    </row>
    <row r="470" spans="1:14" s="42" customFormat="1" ht="15.75" customHeight="1" x14ac:dyDescent="0.35">
      <c r="A470" s="128">
        <v>6</v>
      </c>
      <c r="B470" s="129"/>
      <c r="C470" s="48" t="s">
        <v>192</v>
      </c>
      <c r="D470" s="39">
        <f>(30+1.08*2.15+1.3*2.15)*10.764</f>
        <v>377.99938800000001</v>
      </c>
      <c r="E470" s="39">
        <v>0</v>
      </c>
      <c r="F470" s="39">
        <f t="shared" si="31"/>
        <v>548.09911260000001</v>
      </c>
      <c r="G470" s="195"/>
      <c r="H470" s="196"/>
      <c r="I470" s="34"/>
      <c r="L470" s="166"/>
      <c r="M470" s="166"/>
      <c r="N470" s="34"/>
    </row>
    <row r="471" spans="1:14" s="42" customFormat="1" ht="15.75" customHeight="1" x14ac:dyDescent="0.35">
      <c r="A471" s="128">
        <v>7</v>
      </c>
      <c r="B471" s="129"/>
      <c r="C471" s="48" t="s">
        <v>192</v>
      </c>
      <c r="D471" s="39">
        <f>(30+1.08*2.15+1.3*2.15)*10.764</f>
        <v>377.99938800000001</v>
      </c>
      <c r="E471" s="39">
        <v>0</v>
      </c>
      <c r="F471" s="39">
        <f t="shared" si="31"/>
        <v>548.09911260000001</v>
      </c>
      <c r="G471" s="195"/>
      <c r="H471" s="196"/>
      <c r="I471" s="34"/>
      <c r="L471" s="166"/>
      <c r="M471" s="166"/>
      <c r="N471" s="34"/>
    </row>
    <row r="472" spans="1:14" s="42" customFormat="1" ht="15.75" customHeight="1" x14ac:dyDescent="0.35">
      <c r="A472" s="128">
        <v>8</v>
      </c>
      <c r="B472" s="129"/>
      <c r="C472" s="48" t="s">
        <v>192</v>
      </c>
      <c r="D472" s="39">
        <f t="shared" si="32"/>
        <v>374.52799799999997</v>
      </c>
      <c r="E472" s="39">
        <v>0</v>
      </c>
      <c r="F472" s="39">
        <f t="shared" si="31"/>
        <v>543.06559709999999</v>
      </c>
      <c r="G472" s="195"/>
      <c r="H472" s="196"/>
      <c r="I472" s="34"/>
      <c r="L472" s="166"/>
      <c r="M472" s="166"/>
      <c r="N472" s="34"/>
    </row>
    <row r="473" spans="1:14" s="42" customFormat="1" ht="15.75" customHeight="1" x14ac:dyDescent="0.35">
      <c r="A473" s="128">
        <v>9</v>
      </c>
      <c r="B473" s="129"/>
      <c r="C473" s="48" t="s">
        <v>192</v>
      </c>
      <c r="D473" s="39">
        <f t="shared" si="32"/>
        <v>374.52799799999997</v>
      </c>
      <c r="E473" s="39">
        <v>0</v>
      </c>
      <c r="F473" s="39">
        <f t="shared" si="31"/>
        <v>543.06559709999999</v>
      </c>
      <c r="G473" s="195"/>
      <c r="H473" s="196"/>
      <c r="I473" s="34"/>
      <c r="L473" s="166"/>
      <c r="M473" s="166"/>
      <c r="N473" s="34"/>
    </row>
    <row r="474" spans="1:14" s="42" customFormat="1" ht="15.75" customHeight="1" x14ac:dyDescent="0.35">
      <c r="A474" s="128">
        <v>10</v>
      </c>
      <c r="B474" s="129"/>
      <c r="C474" s="48" t="s">
        <v>192</v>
      </c>
      <c r="D474" s="39">
        <f t="shared" si="32"/>
        <v>374.52799799999997</v>
      </c>
      <c r="E474" s="39">
        <v>0</v>
      </c>
      <c r="F474" s="39">
        <f t="shared" si="31"/>
        <v>543.06559709999999</v>
      </c>
      <c r="G474" s="195"/>
      <c r="H474" s="196"/>
      <c r="I474" s="34"/>
      <c r="L474" s="166"/>
      <c r="M474" s="166"/>
      <c r="N474" s="34"/>
    </row>
    <row r="475" spans="1:14" s="42" customFormat="1" ht="15.75" customHeight="1" x14ac:dyDescent="0.35">
      <c r="A475" s="128">
        <v>11</v>
      </c>
      <c r="B475" s="129"/>
      <c r="C475" s="48" t="s">
        <v>192</v>
      </c>
      <c r="D475" s="39">
        <f t="shared" si="32"/>
        <v>374.52799799999997</v>
      </c>
      <c r="E475" s="39">
        <v>0</v>
      </c>
      <c r="F475" s="39">
        <f t="shared" si="31"/>
        <v>543.06559709999999</v>
      </c>
      <c r="G475" s="197"/>
      <c r="H475" s="198"/>
      <c r="I475" s="34"/>
      <c r="L475" s="166"/>
      <c r="M475" s="166"/>
      <c r="N475" s="34"/>
    </row>
    <row r="476" spans="1:14" s="42" customFormat="1" x14ac:dyDescent="0.35">
      <c r="A476" s="167" t="s">
        <v>204</v>
      </c>
      <c r="B476" s="168"/>
      <c r="C476" s="168"/>
      <c r="D476" s="168"/>
      <c r="E476" s="168"/>
      <c r="F476" s="168"/>
      <c r="G476" s="168"/>
      <c r="H476" s="169"/>
      <c r="J476" s="34"/>
    </row>
    <row r="477" spans="1:14" s="42" customFormat="1" x14ac:dyDescent="0.35">
      <c r="A477" s="167" t="s">
        <v>194</v>
      </c>
      <c r="B477" s="168"/>
      <c r="C477" s="168"/>
      <c r="D477" s="168"/>
      <c r="E477" s="168"/>
      <c r="F477" s="168"/>
      <c r="G477" s="168"/>
      <c r="H477" s="169"/>
      <c r="J477" s="34"/>
    </row>
    <row r="478" spans="1:14" s="42" customFormat="1" ht="15.75" customHeight="1" x14ac:dyDescent="0.35">
      <c r="A478" s="128">
        <v>1</v>
      </c>
      <c r="B478" s="129"/>
      <c r="C478" s="48" t="s">
        <v>192</v>
      </c>
      <c r="D478" s="39">
        <f>(30+1.08*2.15+1.3*2.15)*10.764</f>
        <v>377.99938800000001</v>
      </c>
      <c r="E478" s="39">
        <v>0</v>
      </c>
      <c r="F478" s="39">
        <f t="shared" ref="F478:F501" si="33">D478*(($F$249)+1)+(IF(E478&lt;101,E478,IF(E478&lt;201,E478/2,IF(E478&lt;=301,E478/3,E478/4))))</f>
        <v>548.09911260000001</v>
      </c>
      <c r="G478" s="193" t="str">
        <f>A477</f>
        <v>Ground Floor For Residential</v>
      </c>
      <c r="H478" s="194"/>
      <c r="I478" s="34"/>
      <c r="L478" s="166"/>
      <c r="M478" s="166"/>
      <c r="N478" s="34"/>
    </row>
    <row r="479" spans="1:14" s="42" customFormat="1" ht="15.75" customHeight="1" x14ac:dyDescent="0.35">
      <c r="A479" s="128">
        <v>2</v>
      </c>
      <c r="B479" s="129"/>
      <c r="C479" s="48" t="s">
        <v>192</v>
      </c>
      <c r="D479" s="39">
        <f>(30+1.08*2.15+1.15*2.15)*10.764</f>
        <v>374.52799799999997</v>
      </c>
      <c r="E479" s="39">
        <v>0</v>
      </c>
      <c r="F479" s="39">
        <f t="shared" si="33"/>
        <v>543.06559709999999</v>
      </c>
      <c r="G479" s="195"/>
      <c r="H479" s="196"/>
      <c r="I479" s="34"/>
      <c r="L479" s="166"/>
      <c r="M479" s="166"/>
      <c r="N479" s="34"/>
    </row>
    <row r="480" spans="1:14" s="42" customFormat="1" ht="15.75" customHeight="1" x14ac:dyDescent="0.35">
      <c r="A480" s="128">
        <v>3</v>
      </c>
      <c r="B480" s="129"/>
      <c r="C480" s="48" t="s">
        <v>192</v>
      </c>
      <c r="D480" s="39">
        <f t="shared" ref="D480:D500" si="34">(30+1.08*2.15+1.15*2.15)*10.764</f>
        <v>374.52799799999997</v>
      </c>
      <c r="E480" s="39">
        <v>0</v>
      </c>
      <c r="F480" s="39">
        <f t="shared" si="33"/>
        <v>543.06559709999999</v>
      </c>
      <c r="G480" s="195"/>
      <c r="H480" s="196"/>
      <c r="I480" s="34"/>
      <c r="L480" s="166"/>
      <c r="M480" s="166"/>
      <c r="N480" s="34"/>
    </row>
    <row r="481" spans="1:14" s="42" customFormat="1" ht="15.75" customHeight="1" x14ac:dyDescent="0.35">
      <c r="A481" s="128">
        <v>4</v>
      </c>
      <c r="B481" s="129"/>
      <c r="C481" s="48" t="s">
        <v>192</v>
      </c>
      <c r="D481" s="39">
        <f t="shared" si="34"/>
        <v>374.52799799999997</v>
      </c>
      <c r="E481" s="39">
        <v>0</v>
      </c>
      <c r="F481" s="39">
        <f t="shared" si="33"/>
        <v>543.06559709999999</v>
      </c>
      <c r="G481" s="195"/>
      <c r="H481" s="196"/>
      <c r="I481" s="34"/>
      <c r="L481" s="166"/>
      <c r="M481" s="166"/>
      <c r="N481" s="34"/>
    </row>
    <row r="482" spans="1:14" s="42" customFormat="1" ht="15.75" customHeight="1" x14ac:dyDescent="0.35">
      <c r="A482" s="128">
        <v>5</v>
      </c>
      <c r="B482" s="129"/>
      <c r="C482" s="48" t="s">
        <v>192</v>
      </c>
      <c r="D482" s="39">
        <f t="shared" si="34"/>
        <v>374.52799799999997</v>
      </c>
      <c r="E482" s="39">
        <v>0</v>
      </c>
      <c r="F482" s="39">
        <f t="shared" si="33"/>
        <v>543.06559709999999</v>
      </c>
      <c r="G482" s="195"/>
      <c r="H482" s="196"/>
      <c r="I482" s="34"/>
      <c r="L482" s="166"/>
      <c r="M482" s="166"/>
      <c r="N482" s="34"/>
    </row>
    <row r="483" spans="1:14" s="42" customFormat="1" ht="15.75" customHeight="1" x14ac:dyDescent="0.35">
      <c r="A483" s="128">
        <v>6</v>
      </c>
      <c r="B483" s="129"/>
      <c r="C483" s="48" t="s">
        <v>192</v>
      </c>
      <c r="D483" s="39">
        <f t="shared" si="34"/>
        <v>374.52799799999997</v>
      </c>
      <c r="E483" s="39">
        <v>0</v>
      </c>
      <c r="F483" s="39">
        <f t="shared" si="33"/>
        <v>543.06559709999999</v>
      </c>
      <c r="G483" s="195"/>
      <c r="H483" s="196"/>
      <c r="I483" s="34"/>
      <c r="L483" s="166"/>
      <c r="M483" s="166"/>
      <c r="N483" s="34"/>
    </row>
    <row r="484" spans="1:14" s="42" customFormat="1" ht="15.75" customHeight="1" x14ac:dyDescent="0.35">
      <c r="A484" s="128">
        <v>7</v>
      </c>
      <c r="B484" s="129"/>
      <c r="C484" s="48" t="s">
        <v>192</v>
      </c>
      <c r="D484" s="39">
        <f t="shared" si="34"/>
        <v>374.52799799999997</v>
      </c>
      <c r="E484" s="39">
        <v>0</v>
      </c>
      <c r="F484" s="39">
        <f t="shared" si="33"/>
        <v>543.06559709999999</v>
      </c>
      <c r="G484" s="195"/>
      <c r="H484" s="196"/>
      <c r="I484" s="34"/>
      <c r="L484" s="166"/>
      <c r="M484" s="166"/>
      <c r="N484" s="34"/>
    </row>
    <row r="485" spans="1:14" s="42" customFormat="1" ht="15.75" customHeight="1" x14ac:dyDescent="0.35">
      <c r="A485" s="128">
        <v>8</v>
      </c>
      <c r="B485" s="129"/>
      <c r="C485" s="48" t="s">
        <v>192</v>
      </c>
      <c r="D485" s="39">
        <f t="shared" si="34"/>
        <v>374.52799799999997</v>
      </c>
      <c r="E485" s="39">
        <v>0</v>
      </c>
      <c r="F485" s="39">
        <f t="shared" si="33"/>
        <v>543.06559709999999</v>
      </c>
      <c r="G485" s="195"/>
      <c r="H485" s="196"/>
      <c r="I485" s="34"/>
      <c r="L485" s="166"/>
      <c r="M485" s="166"/>
      <c r="N485" s="34"/>
    </row>
    <row r="486" spans="1:14" s="42" customFormat="1" ht="15.75" customHeight="1" x14ac:dyDescent="0.35">
      <c r="A486" s="128">
        <v>9</v>
      </c>
      <c r="B486" s="129"/>
      <c r="C486" s="48" t="s">
        <v>192</v>
      </c>
      <c r="D486" s="39">
        <f t="shared" si="34"/>
        <v>374.52799799999997</v>
      </c>
      <c r="E486" s="39">
        <v>0</v>
      </c>
      <c r="F486" s="39">
        <f t="shared" si="33"/>
        <v>543.06559709999999</v>
      </c>
      <c r="G486" s="195"/>
      <c r="H486" s="196"/>
      <c r="I486" s="34"/>
      <c r="L486" s="166"/>
      <c r="M486" s="166"/>
      <c r="N486" s="34"/>
    </row>
    <row r="487" spans="1:14" s="42" customFormat="1" ht="15.75" customHeight="1" x14ac:dyDescent="0.35">
      <c r="A487" s="128">
        <v>10</v>
      </c>
      <c r="B487" s="129"/>
      <c r="C487" s="48" t="s">
        <v>192</v>
      </c>
      <c r="D487" s="39">
        <f t="shared" si="34"/>
        <v>374.52799799999997</v>
      </c>
      <c r="E487" s="39">
        <v>0</v>
      </c>
      <c r="F487" s="39">
        <f t="shared" si="33"/>
        <v>543.06559709999999</v>
      </c>
      <c r="G487" s="195"/>
      <c r="H487" s="196"/>
      <c r="I487" s="34"/>
      <c r="L487" s="166"/>
      <c r="M487" s="166"/>
      <c r="N487" s="34"/>
    </row>
    <row r="488" spans="1:14" s="42" customFormat="1" ht="15.75" customHeight="1" x14ac:dyDescent="0.35">
      <c r="A488" s="128">
        <v>11</v>
      </c>
      <c r="B488" s="129"/>
      <c r="C488" s="48" t="s">
        <v>192</v>
      </c>
      <c r="D488" s="39">
        <f>(30+1.08*2.15+1.3*2.15)*10.764</f>
        <v>377.99938800000001</v>
      </c>
      <c r="E488" s="39">
        <v>0</v>
      </c>
      <c r="F488" s="39">
        <f t="shared" si="33"/>
        <v>548.09911260000001</v>
      </c>
      <c r="G488" s="195"/>
      <c r="H488" s="196"/>
      <c r="I488" s="34"/>
      <c r="L488" s="166"/>
      <c r="M488" s="166"/>
      <c r="N488" s="34"/>
    </row>
    <row r="489" spans="1:14" s="42" customFormat="1" ht="15.75" customHeight="1" x14ac:dyDescent="0.35">
      <c r="A489" s="128">
        <v>12</v>
      </c>
      <c r="B489" s="129"/>
      <c r="C489" s="48" t="s">
        <v>192</v>
      </c>
      <c r="D489" s="39">
        <f>(30+1.08*2.15+1.3*2.15)*10.764</f>
        <v>377.99938800000001</v>
      </c>
      <c r="E489" s="39">
        <v>0</v>
      </c>
      <c r="F489" s="39">
        <f t="shared" si="33"/>
        <v>548.09911260000001</v>
      </c>
      <c r="G489" s="195"/>
      <c r="H489" s="196"/>
      <c r="I489" s="34"/>
      <c r="L489" s="166"/>
      <c r="M489" s="166"/>
      <c r="N489" s="34"/>
    </row>
    <row r="490" spans="1:14" s="42" customFormat="1" ht="15.75" customHeight="1" x14ac:dyDescent="0.35">
      <c r="A490" s="128">
        <v>13</v>
      </c>
      <c r="B490" s="129"/>
      <c r="C490" s="48" t="s">
        <v>192</v>
      </c>
      <c r="D490" s="39">
        <f t="shared" si="34"/>
        <v>374.52799799999997</v>
      </c>
      <c r="E490" s="39">
        <v>0</v>
      </c>
      <c r="F490" s="39">
        <f t="shared" si="33"/>
        <v>543.06559709999999</v>
      </c>
      <c r="G490" s="195"/>
      <c r="H490" s="196"/>
      <c r="I490" s="34"/>
      <c r="L490" s="166"/>
      <c r="M490" s="166"/>
      <c r="N490" s="34"/>
    </row>
    <row r="491" spans="1:14" s="42" customFormat="1" ht="15.75" customHeight="1" x14ac:dyDescent="0.35">
      <c r="A491" s="128">
        <v>14</v>
      </c>
      <c r="B491" s="129"/>
      <c r="C491" s="48" t="s">
        <v>192</v>
      </c>
      <c r="D491" s="39">
        <f t="shared" si="34"/>
        <v>374.52799799999997</v>
      </c>
      <c r="E491" s="39">
        <v>0</v>
      </c>
      <c r="F491" s="39">
        <f t="shared" si="33"/>
        <v>543.06559709999999</v>
      </c>
      <c r="G491" s="195"/>
      <c r="H491" s="196"/>
      <c r="I491" s="34"/>
      <c r="L491" s="166"/>
      <c r="M491" s="166"/>
      <c r="N491" s="34"/>
    </row>
    <row r="492" spans="1:14" s="42" customFormat="1" ht="15.75" customHeight="1" x14ac:dyDescent="0.35">
      <c r="A492" s="128">
        <v>15</v>
      </c>
      <c r="B492" s="129"/>
      <c r="C492" s="48" t="s">
        <v>192</v>
      </c>
      <c r="D492" s="39">
        <f>(30+1.08*2.15+1.3*2.15)*10.764</f>
        <v>377.99938800000001</v>
      </c>
      <c r="E492" s="39">
        <v>0</v>
      </c>
      <c r="F492" s="39">
        <f t="shared" si="33"/>
        <v>548.09911260000001</v>
      </c>
      <c r="G492" s="195"/>
      <c r="H492" s="196"/>
      <c r="I492" s="34"/>
      <c r="L492" s="166"/>
      <c r="M492" s="166"/>
      <c r="N492" s="34"/>
    </row>
    <row r="493" spans="1:14" s="42" customFormat="1" ht="15.75" customHeight="1" x14ac:dyDescent="0.35">
      <c r="A493" s="128">
        <v>16</v>
      </c>
      <c r="B493" s="129"/>
      <c r="C493" s="48" t="s">
        <v>192</v>
      </c>
      <c r="D493" s="39">
        <f t="shared" si="34"/>
        <v>374.52799799999997</v>
      </c>
      <c r="E493" s="39">
        <v>0</v>
      </c>
      <c r="F493" s="39">
        <f t="shared" si="33"/>
        <v>543.06559709999999</v>
      </c>
      <c r="G493" s="195"/>
      <c r="H493" s="196"/>
      <c r="I493" s="34"/>
      <c r="L493" s="166"/>
      <c r="M493" s="166"/>
      <c r="N493" s="34"/>
    </row>
    <row r="494" spans="1:14" s="42" customFormat="1" ht="15.75" customHeight="1" x14ac:dyDescent="0.35">
      <c r="A494" s="128">
        <v>17</v>
      </c>
      <c r="B494" s="129"/>
      <c r="C494" s="48" t="s">
        <v>192</v>
      </c>
      <c r="D494" s="39">
        <f t="shared" si="34"/>
        <v>374.52799799999997</v>
      </c>
      <c r="E494" s="39">
        <v>0</v>
      </c>
      <c r="F494" s="39">
        <f t="shared" si="33"/>
        <v>543.06559709999999</v>
      </c>
      <c r="G494" s="195"/>
      <c r="H494" s="196"/>
      <c r="I494" s="34"/>
      <c r="L494" s="166"/>
      <c r="M494" s="166"/>
      <c r="N494" s="34"/>
    </row>
    <row r="495" spans="1:14" s="42" customFormat="1" ht="15.75" customHeight="1" x14ac:dyDescent="0.35">
      <c r="A495" s="128">
        <v>18</v>
      </c>
      <c r="B495" s="129"/>
      <c r="C495" s="48" t="s">
        <v>192</v>
      </c>
      <c r="D495" s="39">
        <f t="shared" si="34"/>
        <v>374.52799799999997</v>
      </c>
      <c r="E495" s="39">
        <v>0</v>
      </c>
      <c r="F495" s="39">
        <f t="shared" si="33"/>
        <v>543.06559709999999</v>
      </c>
      <c r="G495" s="195"/>
      <c r="H495" s="196"/>
      <c r="I495" s="34"/>
      <c r="L495" s="166"/>
      <c r="M495" s="166"/>
      <c r="N495" s="34"/>
    </row>
    <row r="496" spans="1:14" s="42" customFormat="1" ht="15.75" customHeight="1" x14ac:dyDescent="0.35">
      <c r="A496" s="128">
        <v>19</v>
      </c>
      <c r="B496" s="129"/>
      <c r="C496" s="48" t="s">
        <v>192</v>
      </c>
      <c r="D496" s="39">
        <f t="shared" si="34"/>
        <v>374.52799799999997</v>
      </c>
      <c r="E496" s="39">
        <v>0</v>
      </c>
      <c r="F496" s="39">
        <f t="shared" si="33"/>
        <v>543.06559709999999</v>
      </c>
      <c r="G496" s="195"/>
      <c r="H496" s="196"/>
      <c r="I496" s="34"/>
      <c r="L496" s="166"/>
      <c r="M496" s="166"/>
      <c r="N496" s="34"/>
    </row>
    <row r="497" spans="1:14" s="42" customFormat="1" ht="15.75" customHeight="1" x14ac:dyDescent="0.35">
      <c r="A497" s="128">
        <f>A496+1</f>
        <v>20</v>
      </c>
      <c r="B497" s="129"/>
      <c r="C497" s="48" t="s">
        <v>192</v>
      </c>
      <c r="D497" s="39">
        <f t="shared" si="34"/>
        <v>374.52799799999997</v>
      </c>
      <c r="E497" s="39">
        <v>0</v>
      </c>
      <c r="F497" s="39">
        <f t="shared" si="33"/>
        <v>543.06559709999999</v>
      </c>
      <c r="G497" s="195"/>
      <c r="H497" s="196"/>
      <c r="I497" s="34"/>
      <c r="L497" s="166"/>
      <c r="M497" s="166"/>
      <c r="N497" s="34"/>
    </row>
    <row r="498" spans="1:14" s="42" customFormat="1" ht="15.75" customHeight="1" x14ac:dyDescent="0.35">
      <c r="A498" s="128">
        <f>A497+1</f>
        <v>21</v>
      </c>
      <c r="B498" s="129"/>
      <c r="C498" s="48" t="s">
        <v>192</v>
      </c>
      <c r="D498" s="39">
        <f t="shared" si="34"/>
        <v>374.52799799999997</v>
      </c>
      <c r="E498" s="39">
        <v>0</v>
      </c>
      <c r="F498" s="39">
        <f t="shared" si="33"/>
        <v>543.06559709999999</v>
      </c>
      <c r="G498" s="195"/>
      <c r="H498" s="196"/>
      <c r="I498" s="34"/>
      <c r="L498" s="166"/>
      <c r="M498" s="166"/>
      <c r="N498" s="34"/>
    </row>
    <row r="499" spans="1:14" s="42" customFormat="1" ht="15.75" customHeight="1" x14ac:dyDescent="0.35">
      <c r="A499" s="128">
        <f>A498+1</f>
        <v>22</v>
      </c>
      <c r="B499" s="129"/>
      <c r="C499" s="48" t="s">
        <v>192</v>
      </c>
      <c r="D499" s="39">
        <f t="shared" si="34"/>
        <v>374.52799799999997</v>
      </c>
      <c r="E499" s="39">
        <v>0</v>
      </c>
      <c r="F499" s="39">
        <f t="shared" si="33"/>
        <v>543.06559709999999</v>
      </c>
      <c r="G499" s="195"/>
      <c r="H499" s="196"/>
      <c r="I499" s="34"/>
      <c r="L499" s="166"/>
      <c r="M499" s="166"/>
      <c r="N499" s="34"/>
    </row>
    <row r="500" spans="1:14" s="42" customFormat="1" ht="15.75" customHeight="1" x14ac:dyDescent="0.35">
      <c r="A500" s="128">
        <f>A499+1</f>
        <v>23</v>
      </c>
      <c r="B500" s="129"/>
      <c r="C500" s="48" t="s">
        <v>192</v>
      </c>
      <c r="D500" s="39">
        <f t="shared" si="34"/>
        <v>374.52799799999997</v>
      </c>
      <c r="E500" s="39">
        <v>0</v>
      </c>
      <c r="F500" s="39">
        <f t="shared" si="33"/>
        <v>543.06559709999999</v>
      </c>
      <c r="G500" s="195"/>
      <c r="H500" s="196"/>
      <c r="I500" s="34"/>
      <c r="L500" s="166"/>
      <c r="M500" s="166"/>
      <c r="N500" s="34"/>
    </row>
    <row r="501" spans="1:14" s="42" customFormat="1" ht="15.75" customHeight="1" x14ac:dyDescent="0.35">
      <c r="A501" s="128">
        <f>A500+1</f>
        <v>24</v>
      </c>
      <c r="B501" s="129"/>
      <c r="C501" s="48" t="s">
        <v>192</v>
      </c>
      <c r="D501" s="39">
        <f>(30+1.08*2.15+1.3*2.15)*10.764</f>
        <v>377.99938800000001</v>
      </c>
      <c r="E501" s="39">
        <v>0</v>
      </c>
      <c r="F501" s="39">
        <f t="shared" si="33"/>
        <v>548.09911260000001</v>
      </c>
      <c r="G501" s="197"/>
      <c r="H501" s="198"/>
      <c r="I501" s="34"/>
      <c r="L501" s="166"/>
      <c r="M501" s="166"/>
      <c r="N501" s="34"/>
    </row>
    <row r="502" spans="1:14" s="42" customFormat="1" x14ac:dyDescent="0.35">
      <c r="A502" s="167" t="s">
        <v>198</v>
      </c>
      <c r="B502" s="168"/>
      <c r="C502" s="168"/>
      <c r="D502" s="168"/>
      <c r="E502" s="168"/>
      <c r="F502" s="168"/>
      <c r="G502" s="168"/>
      <c r="H502" s="169"/>
      <c r="J502" s="34"/>
    </row>
    <row r="503" spans="1:14" s="42" customFormat="1" ht="15.75" customHeight="1" x14ac:dyDescent="0.35">
      <c r="A503" s="128">
        <v>1</v>
      </c>
      <c r="B503" s="129"/>
      <c r="C503" s="48" t="s">
        <v>192</v>
      </c>
      <c r="D503" s="39">
        <f>(30+1.08*2.15+1.3*2.15)*10.764</f>
        <v>377.99938800000001</v>
      </c>
      <c r="E503" s="39">
        <v>0</v>
      </c>
      <c r="F503" s="39">
        <f t="shared" ref="F503:F526" si="35">D503*(($F$249)+1)+(IF(E503&lt;101,E503,IF(E503&lt;201,E503/2,IF(E503&lt;=301,E503/3,E503/4))))</f>
        <v>548.09911260000001</v>
      </c>
      <c r="G503" s="193" t="str">
        <f>A502</f>
        <v>1st to 7th &amp; 9th Floor</v>
      </c>
      <c r="H503" s="194"/>
      <c r="I503" s="34"/>
      <c r="L503" s="166"/>
      <c r="M503" s="166"/>
      <c r="N503" s="34"/>
    </row>
    <row r="504" spans="1:14" s="42" customFormat="1" ht="15.75" customHeight="1" x14ac:dyDescent="0.35">
      <c r="A504" s="128">
        <v>2</v>
      </c>
      <c r="B504" s="129"/>
      <c r="C504" s="48" t="s">
        <v>192</v>
      </c>
      <c r="D504" s="39">
        <f>(30+1.08*2.15+1.15*2.15)*10.764</f>
        <v>374.52799799999997</v>
      </c>
      <c r="E504" s="39">
        <v>0</v>
      </c>
      <c r="F504" s="39">
        <f t="shared" si="35"/>
        <v>543.06559709999999</v>
      </c>
      <c r="G504" s="195"/>
      <c r="H504" s="196"/>
      <c r="I504" s="34"/>
      <c r="L504" s="166"/>
      <c r="M504" s="166"/>
      <c r="N504" s="34"/>
    </row>
    <row r="505" spans="1:14" s="42" customFormat="1" ht="15.75" customHeight="1" x14ac:dyDescent="0.35">
      <c r="A505" s="128">
        <v>3</v>
      </c>
      <c r="B505" s="129"/>
      <c r="C505" s="48" t="s">
        <v>192</v>
      </c>
      <c r="D505" s="39">
        <f t="shared" ref="D505:D525" si="36">(30+1.08*2.15+1.15*2.15)*10.764</f>
        <v>374.52799799999997</v>
      </c>
      <c r="E505" s="39">
        <v>0</v>
      </c>
      <c r="F505" s="39">
        <f t="shared" si="35"/>
        <v>543.06559709999999</v>
      </c>
      <c r="G505" s="195"/>
      <c r="H505" s="196"/>
      <c r="I505" s="34"/>
      <c r="L505" s="166"/>
      <c r="M505" s="166"/>
      <c r="N505" s="34"/>
    </row>
    <row r="506" spans="1:14" s="42" customFormat="1" ht="15.75" customHeight="1" x14ac:dyDescent="0.35">
      <c r="A506" s="128">
        <v>4</v>
      </c>
      <c r="B506" s="129"/>
      <c r="C506" s="48" t="s">
        <v>192</v>
      </c>
      <c r="D506" s="39">
        <f t="shared" si="36"/>
        <v>374.52799799999997</v>
      </c>
      <c r="E506" s="39">
        <v>0</v>
      </c>
      <c r="F506" s="39">
        <f t="shared" si="35"/>
        <v>543.06559709999999</v>
      </c>
      <c r="G506" s="195"/>
      <c r="H506" s="196"/>
      <c r="I506" s="34"/>
      <c r="L506" s="166"/>
      <c r="M506" s="166"/>
      <c r="N506" s="34"/>
    </row>
    <row r="507" spans="1:14" s="42" customFormat="1" ht="15.75" customHeight="1" x14ac:dyDescent="0.35">
      <c r="A507" s="128">
        <v>5</v>
      </c>
      <c r="B507" s="129"/>
      <c r="C507" s="48" t="s">
        <v>192</v>
      </c>
      <c r="D507" s="39">
        <f t="shared" si="36"/>
        <v>374.52799799999997</v>
      </c>
      <c r="E507" s="39">
        <v>0</v>
      </c>
      <c r="F507" s="39">
        <f t="shared" si="35"/>
        <v>543.06559709999999</v>
      </c>
      <c r="G507" s="195"/>
      <c r="H507" s="196"/>
      <c r="I507" s="34"/>
      <c r="L507" s="166"/>
      <c r="M507" s="166"/>
      <c r="N507" s="34"/>
    </row>
    <row r="508" spans="1:14" s="42" customFormat="1" ht="15.75" customHeight="1" x14ac:dyDescent="0.35">
      <c r="A508" s="128">
        <v>6</v>
      </c>
      <c r="B508" s="129"/>
      <c r="C508" s="48" t="s">
        <v>192</v>
      </c>
      <c r="D508" s="39">
        <f t="shared" si="36"/>
        <v>374.52799799999997</v>
      </c>
      <c r="E508" s="39">
        <v>0</v>
      </c>
      <c r="F508" s="39">
        <f t="shared" si="35"/>
        <v>543.06559709999999</v>
      </c>
      <c r="G508" s="195"/>
      <c r="H508" s="196"/>
      <c r="I508" s="34"/>
      <c r="L508" s="166"/>
      <c r="M508" s="166"/>
      <c r="N508" s="34"/>
    </row>
    <row r="509" spans="1:14" s="42" customFormat="1" ht="15.75" customHeight="1" x14ac:dyDescent="0.35">
      <c r="A509" s="128">
        <v>7</v>
      </c>
      <c r="B509" s="129"/>
      <c r="C509" s="48" t="s">
        <v>192</v>
      </c>
      <c r="D509" s="39">
        <f t="shared" si="36"/>
        <v>374.52799799999997</v>
      </c>
      <c r="E509" s="39">
        <v>0</v>
      </c>
      <c r="F509" s="39">
        <f t="shared" si="35"/>
        <v>543.06559709999999</v>
      </c>
      <c r="G509" s="195"/>
      <c r="H509" s="196"/>
      <c r="I509" s="34"/>
      <c r="L509" s="166"/>
      <c r="M509" s="166"/>
      <c r="N509" s="34"/>
    </row>
    <row r="510" spans="1:14" s="42" customFormat="1" ht="15.75" customHeight="1" x14ac:dyDescent="0.35">
      <c r="A510" s="128">
        <v>8</v>
      </c>
      <c r="B510" s="129"/>
      <c r="C510" s="48" t="s">
        <v>192</v>
      </c>
      <c r="D510" s="39">
        <f t="shared" si="36"/>
        <v>374.52799799999997</v>
      </c>
      <c r="E510" s="39">
        <v>0</v>
      </c>
      <c r="F510" s="39">
        <f t="shared" si="35"/>
        <v>543.06559709999999</v>
      </c>
      <c r="G510" s="195"/>
      <c r="H510" s="196"/>
      <c r="I510" s="34"/>
      <c r="L510" s="166"/>
      <c r="M510" s="166"/>
      <c r="N510" s="34"/>
    </row>
    <row r="511" spans="1:14" s="42" customFormat="1" ht="15.75" customHeight="1" x14ac:dyDescent="0.35">
      <c r="A511" s="128">
        <v>9</v>
      </c>
      <c r="B511" s="129"/>
      <c r="C511" s="48" t="s">
        <v>192</v>
      </c>
      <c r="D511" s="39">
        <f t="shared" si="36"/>
        <v>374.52799799999997</v>
      </c>
      <c r="E511" s="39">
        <v>0</v>
      </c>
      <c r="F511" s="39">
        <f t="shared" si="35"/>
        <v>543.06559709999999</v>
      </c>
      <c r="G511" s="195"/>
      <c r="H511" s="196"/>
      <c r="I511" s="34"/>
      <c r="L511" s="166"/>
      <c r="M511" s="166"/>
      <c r="N511" s="34"/>
    </row>
    <row r="512" spans="1:14" s="42" customFormat="1" ht="15.75" customHeight="1" x14ac:dyDescent="0.35">
      <c r="A512" s="128">
        <v>10</v>
      </c>
      <c r="B512" s="129"/>
      <c r="C512" s="48" t="s">
        <v>192</v>
      </c>
      <c r="D512" s="39">
        <f t="shared" si="36"/>
        <v>374.52799799999997</v>
      </c>
      <c r="E512" s="39">
        <v>0</v>
      </c>
      <c r="F512" s="39">
        <f t="shared" si="35"/>
        <v>543.06559709999999</v>
      </c>
      <c r="G512" s="195"/>
      <c r="H512" s="196"/>
      <c r="I512" s="34"/>
      <c r="L512" s="166"/>
      <c r="M512" s="166"/>
      <c r="N512" s="34"/>
    </row>
    <row r="513" spans="1:14" s="42" customFormat="1" ht="15.75" customHeight="1" x14ac:dyDescent="0.35">
      <c r="A513" s="128">
        <v>11</v>
      </c>
      <c r="B513" s="129"/>
      <c r="C513" s="48" t="s">
        <v>192</v>
      </c>
      <c r="D513" s="39">
        <f>(30+1.08*2.15+1.3*2.15)*10.764</f>
        <v>377.99938800000001</v>
      </c>
      <c r="E513" s="39">
        <v>0</v>
      </c>
      <c r="F513" s="39">
        <f t="shared" si="35"/>
        <v>548.09911260000001</v>
      </c>
      <c r="G513" s="195"/>
      <c r="H513" s="196"/>
      <c r="I513" s="34"/>
      <c r="L513" s="166"/>
      <c r="M513" s="166"/>
      <c r="N513" s="34"/>
    </row>
    <row r="514" spans="1:14" s="42" customFormat="1" ht="15.75" customHeight="1" x14ac:dyDescent="0.35">
      <c r="A514" s="128">
        <v>12</v>
      </c>
      <c r="B514" s="129"/>
      <c r="C514" s="48" t="s">
        <v>192</v>
      </c>
      <c r="D514" s="39">
        <f>(30+1.08*2.15+1.3*2.15)*10.764</f>
        <v>377.99938800000001</v>
      </c>
      <c r="E514" s="39">
        <v>0</v>
      </c>
      <c r="F514" s="39">
        <f t="shared" si="35"/>
        <v>548.09911260000001</v>
      </c>
      <c r="G514" s="195"/>
      <c r="H514" s="196"/>
      <c r="I514" s="34"/>
      <c r="L514" s="166"/>
      <c r="M514" s="166"/>
      <c r="N514" s="34"/>
    </row>
    <row r="515" spans="1:14" s="42" customFormat="1" ht="15.75" customHeight="1" x14ac:dyDescent="0.35">
      <c r="A515" s="128">
        <v>13</v>
      </c>
      <c r="B515" s="129"/>
      <c r="C515" s="48" t="s">
        <v>192</v>
      </c>
      <c r="D515" s="39">
        <f t="shared" si="36"/>
        <v>374.52799799999997</v>
      </c>
      <c r="E515" s="39">
        <v>0</v>
      </c>
      <c r="F515" s="39">
        <f t="shared" si="35"/>
        <v>543.06559709999999</v>
      </c>
      <c r="G515" s="195"/>
      <c r="H515" s="196"/>
      <c r="I515" s="34"/>
      <c r="L515" s="166"/>
      <c r="M515" s="166"/>
      <c r="N515" s="34"/>
    </row>
    <row r="516" spans="1:14" s="42" customFormat="1" ht="15.75" customHeight="1" x14ac:dyDescent="0.35">
      <c r="A516" s="128">
        <v>14</v>
      </c>
      <c r="B516" s="129"/>
      <c r="C516" s="48" t="s">
        <v>192</v>
      </c>
      <c r="D516" s="39">
        <f t="shared" si="36"/>
        <v>374.52799799999997</v>
      </c>
      <c r="E516" s="39">
        <v>0</v>
      </c>
      <c r="F516" s="39">
        <f t="shared" si="35"/>
        <v>543.06559709999999</v>
      </c>
      <c r="G516" s="195"/>
      <c r="H516" s="196"/>
      <c r="I516" s="34"/>
      <c r="L516" s="166"/>
      <c r="M516" s="166"/>
      <c r="N516" s="34"/>
    </row>
    <row r="517" spans="1:14" s="42" customFormat="1" ht="15.75" customHeight="1" x14ac:dyDescent="0.35">
      <c r="A517" s="128">
        <v>15</v>
      </c>
      <c r="B517" s="129"/>
      <c r="C517" s="48" t="s">
        <v>192</v>
      </c>
      <c r="D517" s="39">
        <f>(30+1.08*2.15+1.3*2.15)*10.764</f>
        <v>377.99938800000001</v>
      </c>
      <c r="E517" s="39">
        <v>0</v>
      </c>
      <c r="F517" s="39">
        <f t="shared" si="35"/>
        <v>548.09911260000001</v>
      </c>
      <c r="G517" s="195"/>
      <c r="H517" s="196"/>
      <c r="I517" s="34"/>
      <c r="L517" s="166"/>
      <c r="M517" s="166"/>
      <c r="N517" s="34"/>
    </row>
    <row r="518" spans="1:14" s="42" customFormat="1" ht="15.75" customHeight="1" x14ac:dyDescent="0.35">
      <c r="A518" s="128">
        <v>16</v>
      </c>
      <c r="B518" s="129"/>
      <c r="C518" s="48" t="s">
        <v>192</v>
      </c>
      <c r="D518" s="39">
        <f t="shared" si="36"/>
        <v>374.52799799999997</v>
      </c>
      <c r="E518" s="39">
        <v>0</v>
      </c>
      <c r="F518" s="39">
        <f t="shared" si="35"/>
        <v>543.06559709999999</v>
      </c>
      <c r="G518" s="195"/>
      <c r="H518" s="196"/>
      <c r="I518" s="34"/>
      <c r="L518" s="166"/>
      <c r="M518" s="166"/>
      <c r="N518" s="34"/>
    </row>
    <row r="519" spans="1:14" s="42" customFormat="1" ht="15.75" customHeight="1" x14ac:dyDescent="0.35">
      <c r="A519" s="128">
        <v>17</v>
      </c>
      <c r="B519" s="129"/>
      <c r="C519" s="48" t="s">
        <v>192</v>
      </c>
      <c r="D519" s="39">
        <f t="shared" si="36"/>
        <v>374.52799799999997</v>
      </c>
      <c r="E519" s="39">
        <v>0</v>
      </c>
      <c r="F519" s="39">
        <f t="shared" si="35"/>
        <v>543.06559709999999</v>
      </c>
      <c r="G519" s="195"/>
      <c r="H519" s="196"/>
      <c r="I519" s="34"/>
      <c r="L519" s="166"/>
      <c r="M519" s="166"/>
      <c r="N519" s="34"/>
    </row>
    <row r="520" spans="1:14" s="42" customFormat="1" ht="15.75" customHeight="1" x14ac:dyDescent="0.35">
      <c r="A520" s="128">
        <v>18</v>
      </c>
      <c r="B520" s="129"/>
      <c r="C520" s="48" t="s">
        <v>192</v>
      </c>
      <c r="D520" s="39">
        <f t="shared" si="36"/>
        <v>374.52799799999997</v>
      </c>
      <c r="E520" s="39">
        <v>0</v>
      </c>
      <c r="F520" s="39">
        <f t="shared" si="35"/>
        <v>543.06559709999999</v>
      </c>
      <c r="G520" s="195"/>
      <c r="H520" s="196"/>
      <c r="I520" s="34"/>
      <c r="L520" s="166"/>
      <c r="M520" s="166"/>
      <c r="N520" s="34"/>
    </row>
    <row r="521" spans="1:14" s="42" customFormat="1" ht="15.75" customHeight="1" x14ac:dyDescent="0.35">
      <c r="A521" s="128">
        <v>19</v>
      </c>
      <c r="B521" s="129"/>
      <c r="C521" s="48" t="s">
        <v>192</v>
      </c>
      <c r="D521" s="39">
        <f t="shared" si="36"/>
        <v>374.52799799999997</v>
      </c>
      <c r="E521" s="39">
        <v>0</v>
      </c>
      <c r="F521" s="39">
        <f t="shared" si="35"/>
        <v>543.06559709999999</v>
      </c>
      <c r="G521" s="195"/>
      <c r="H521" s="196"/>
      <c r="I521" s="34"/>
      <c r="L521" s="166"/>
      <c r="M521" s="166"/>
      <c r="N521" s="34"/>
    </row>
    <row r="522" spans="1:14" s="42" customFormat="1" ht="15.75" customHeight="1" x14ac:dyDescent="0.35">
      <c r="A522" s="128">
        <f>A521+1</f>
        <v>20</v>
      </c>
      <c r="B522" s="129"/>
      <c r="C522" s="48" t="s">
        <v>192</v>
      </c>
      <c r="D522" s="39">
        <f t="shared" si="36"/>
        <v>374.52799799999997</v>
      </c>
      <c r="E522" s="39">
        <v>0</v>
      </c>
      <c r="F522" s="39">
        <f t="shared" si="35"/>
        <v>543.06559709999999</v>
      </c>
      <c r="G522" s="195"/>
      <c r="H522" s="196"/>
      <c r="I522" s="34"/>
      <c r="L522" s="166"/>
      <c r="M522" s="166"/>
      <c r="N522" s="34"/>
    </row>
    <row r="523" spans="1:14" s="42" customFormat="1" ht="15.75" customHeight="1" x14ac:dyDescent="0.35">
      <c r="A523" s="128">
        <f>A522+1</f>
        <v>21</v>
      </c>
      <c r="B523" s="129"/>
      <c r="C523" s="48" t="s">
        <v>192</v>
      </c>
      <c r="D523" s="39">
        <f t="shared" si="36"/>
        <v>374.52799799999997</v>
      </c>
      <c r="E523" s="39">
        <v>0</v>
      </c>
      <c r="F523" s="39">
        <f t="shared" si="35"/>
        <v>543.06559709999999</v>
      </c>
      <c r="G523" s="195"/>
      <c r="H523" s="196"/>
      <c r="I523" s="34"/>
      <c r="L523" s="166"/>
      <c r="M523" s="166"/>
      <c r="N523" s="34"/>
    </row>
    <row r="524" spans="1:14" s="42" customFormat="1" ht="15.75" customHeight="1" x14ac:dyDescent="0.35">
      <c r="A524" s="128">
        <f>A523+1</f>
        <v>22</v>
      </c>
      <c r="B524" s="129"/>
      <c r="C524" s="48" t="s">
        <v>192</v>
      </c>
      <c r="D524" s="39">
        <f t="shared" si="36"/>
        <v>374.52799799999997</v>
      </c>
      <c r="E524" s="39">
        <v>0</v>
      </c>
      <c r="F524" s="39">
        <f t="shared" si="35"/>
        <v>543.06559709999999</v>
      </c>
      <c r="G524" s="195"/>
      <c r="H524" s="196"/>
      <c r="I524" s="34"/>
      <c r="L524" s="166"/>
      <c r="M524" s="166"/>
      <c r="N524" s="34"/>
    </row>
    <row r="525" spans="1:14" s="42" customFormat="1" ht="15.75" customHeight="1" x14ac:dyDescent="0.35">
      <c r="A525" s="128">
        <f>A524+1</f>
        <v>23</v>
      </c>
      <c r="B525" s="129"/>
      <c r="C525" s="48" t="s">
        <v>192</v>
      </c>
      <c r="D525" s="39">
        <f t="shared" si="36"/>
        <v>374.52799799999997</v>
      </c>
      <c r="E525" s="39">
        <v>0</v>
      </c>
      <c r="F525" s="39">
        <f t="shared" si="35"/>
        <v>543.06559709999999</v>
      </c>
      <c r="G525" s="195"/>
      <c r="H525" s="196"/>
      <c r="I525" s="34"/>
      <c r="L525" s="166"/>
      <c r="M525" s="166"/>
      <c r="N525" s="34"/>
    </row>
    <row r="526" spans="1:14" s="42" customFormat="1" ht="15.75" customHeight="1" x14ac:dyDescent="0.35">
      <c r="A526" s="128">
        <f>A525+1</f>
        <v>24</v>
      </c>
      <c r="B526" s="129"/>
      <c r="C526" s="48" t="s">
        <v>192</v>
      </c>
      <c r="D526" s="39">
        <f>(30+1.08*2.15+1.3*2.15)*10.764</f>
        <v>377.99938800000001</v>
      </c>
      <c r="E526" s="39">
        <v>0</v>
      </c>
      <c r="F526" s="39">
        <f t="shared" si="35"/>
        <v>548.09911260000001</v>
      </c>
      <c r="G526" s="197"/>
      <c r="H526" s="198"/>
      <c r="I526" s="34"/>
      <c r="L526" s="166"/>
      <c r="M526" s="166"/>
      <c r="N526" s="34"/>
    </row>
    <row r="527" spans="1:14" s="42" customFormat="1" x14ac:dyDescent="0.35">
      <c r="A527" s="167" t="s">
        <v>199</v>
      </c>
      <c r="B527" s="168"/>
      <c r="C527" s="168"/>
      <c r="D527" s="168"/>
      <c r="E527" s="168"/>
      <c r="F527" s="168"/>
      <c r="G527" s="168"/>
      <c r="H527" s="169"/>
      <c r="J527" s="34"/>
    </row>
    <row r="528" spans="1:14" s="42" customFormat="1" ht="15.75" customHeight="1" x14ac:dyDescent="0.35">
      <c r="A528" s="128">
        <v>1</v>
      </c>
      <c r="B528" s="129"/>
      <c r="C528" s="48" t="s">
        <v>192</v>
      </c>
      <c r="D528" s="39">
        <f>(30+1.08*2.15+1.3*2.15)*10.764</f>
        <v>377.99938800000001</v>
      </c>
      <c r="E528" s="39">
        <v>0</v>
      </c>
      <c r="F528" s="39">
        <f t="shared" ref="F528:F545" si="37">D528*(($F$249)+1)+(IF(E528&lt;101,E528,IF(E528&lt;201,E528/2,IF(E528&lt;=301,E528/3,E528/4))))</f>
        <v>548.09911260000001</v>
      </c>
      <c r="G528" s="193" t="str">
        <f>A527</f>
        <v>8th Floor (Part Refuge Area)</v>
      </c>
      <c r="H528" s="194"/>
      <c r="I528" s="34"/>
      <c r="L528" s="166"/>
      <c r="M528" s="166"/>
      <c r="N528" s="34"/>
    </row>
    <row r="529" spans="1:14" s="42" customFormat="1" ht="15.75" customHeight="1" x14ac:dyDescent="0.35">
      <c r="A529" s="128">
        <v>2</v>
      </c>
      <c r="B529" s="129"/>
      <c r="C529" s="48" t="s">
        <v>192</v>
      </c>
      <c r="D529" s="39">
        <f>(30+1.08*2.15+1.15*2.15)*10.764</f>
        <v>374.52799799999997</v>
      </c>
      <c r="E529" s="39">
        <v>0</v>
      </c>
      <c r="F529" s="39">
        <f t="shared" si="37"/>
        <v>543.06559709999999</v>
      </c>
      <c r="G529" s="195"/>
      <c r="H529" s="196"/>
      <c r="I529" s="34"/>
      <c r="L529" s="166"/>
      <c r="M529" s="166"/>
      <c r="N529" s="34"/>
    </row>
    <row r="530" spans="1:14" s="42" customFormat="1" ht="15.75" customHeight="1" x14ac:dyDescent="0.35">
      <c r="A530" s="128">
        <v>3</v>
      </c>
      <c r="B530" s="129"/>
      <c r="C530" s="48" t="s">
        <v>192</v>
      </c>
      <c r="D530" s="39">
        <f t="shared" ref="D530:D550" si="38">(30+1.08*2.15+1.15*2.15)*10.764</f>
        <v>374.52799799999997</v>
      </c>
      <c r="E530" s="39">
        <v>0</v>
      </c>
      <c r="F530" s="39">
        <f t="shared" si="37"/>
        <v>543.06559709999999</v>
      </c>
      <c r="G530" s="195"/>
      <c r="H530" s="196"/>
      <c r="I530" s="34"/>
      <c r="L530" s="166"/>
      <c r="M530" s="166"/>
      <c r="N530" s="34"/>
    </row>
    <row r="531" spans="1:14" s="42" customFormat="1" ht="15.75" customHeight="1" x14ac:dyDescent="0.35">
      <c r="A531" s="128">
        <v>4</v>
      </c>
      <c r="B531" s="129"/>
      <c r="C531" s="48" t="s">
        <v>192</v>
      </c>
      <c r="D531" s="39">
        <f t="shared" si="38"/>
        <v>374.52799799999997</v>
      </c>
      <c r="E531" s="39">
        <v>0</v>
      </c>
      <c r="F531" s="39">
        <f t="shared" si="37"/>
        <v>543.06559709999999</v>
      </c>
      <c r="G531" s="195"/>
      <c r="H531" s="196"/>
      <c r="I531" s="34"/>
      <c r="L531" s="166"/>
      <c r="M531" s="166"/>
      <c r="N531" s="34"/>
    </row>
    <row r="532" spans="1:14" s="42" customFormat="1" ht="15.75" customHeight="1" x14ac:dyDescent="0.35">
      <c r="A532" s="128">
        <v>5</v>
      </c>
      <c r="B532" s="129"/>
      <c r="C532" s="48" t="s">
        <v>192</v>
      </c>
      <c r="D532" s="39">
        <f t="shared" si="38"/>
        <v>374.52799799999997</v>
      </c>
      <c r="E532" s="39">
        <v>0</v>
      </c>
      <c r="F532" s="39">
        <f t="shared" si="37"/>
        <v>543.06559709999999</v>
      </c>
      <c r="G532" s="195"/>
      <c r="H532" s="196"/>
      <c r="I532" s="34"/>
      <c r="L532" s="166"/>
      <c r="M532" s="166"/>
      <c r="N532" s="34"/>
    </row>
    <row r="533" spans="1:14" s="42" customFormat="1" ht="15.75" customHeight="1" x14ac:dyDescent="0.35">
      <c r="A533" s="128">
        <v>6</v>
      </c>
      <c r="B533" s="129"/>
      <c r="C533" s="48" t="s">
        <v>192</v>
      </c>
      <c r="D533" s="39">
        <f t="shared" si="38"/>
        <v>374.52799799999997</v>
      </c>
      <c r="E533" s="39">
        <v>0</v>
      </c>
      <c r="F533" s="39">
        <f t="shared" si="37"/>
        <v>543.06559709999999</v>
      </c>
      <c r="G533" s="195"/>
      <c r="H533" s="196"/>
      <c r="I533" s="34"/>
      <c r="L533" s="166"/>
      <c r="M533" s="166"/>
      <c r="N533" s="34"/>
    </row>
    <row r="534" spans="1:14" s="42" customFormat="1" ht="15.75" customHeight="1" x14ac:dyDescent="0.35">
      <c r="A534" s="128">
        <v>7</v>
      </c>
      <c r="B534" s="129"/>
      <c r="C534" s="48" t="s">
        <v>192</v>
      </c>
      <c r="D534" s="39">
        <f t="shared" si="38"/>
        <v>374.52799799999997</v>
      </c>
      <c r="E534" s="39">
        <v>0</v>
      </c>
      <c r="F534" s="39">
        <f t="shared" si="37"/>
        <v>543.06559709999999</v>
      </c>
      <c r="G534" s="195"/>
      <c r="H534" s="196"/>
      <c r="I534" s="34"/>
      <c r="L534" s="166"/>
      <c r="M534" s="166"/>
      <c r="N534" s="34"/>
    </row>
    <row r="535" spans="1:14" s="42" customFormat="1" ht="15.75" customHeight="1" x14ac:dyDescent="0.35">
      <c r="A535" s="128">
        <v>8</v>
      </c>
      <c r="B535" s="129"/>
      <c r="C535" s="48" t="s">
        <v>192</v>
      </c>
      <c r="D535" s="39">
        <f t="shared" si="38"/>
        <v>374.52799799999997</v>
      </c>
      <c r="E535" s="39">
        <v>0</v>
      </c>
      <c r="F535" s="39">
        <f t="shared" si="37"/>
        <v>543.06559709999999</v>
      </c>
      <c r="G535" s="195"/>
      <c r="H535" s="196"/>
      <c r="I535" s="34"/>
      <c r="L535" s="166"/>
      <c r="M535" s="166"/>
      <c r="N535" s="34"/>
    </row>
    <row r="536" spans="1:14" s="42" customFormat="1" ht="15.75" customHeight="1" x14ac:dyDescent="0.35">
      <c r="A536" s="128">
        <v>9</v>
      </c>
      <c r="B536" s="129"/>
      <c r="C536" s="48" t="s">
        <v>192</v>
      </c>
      <c r="D536" s="39">
        <f t="shared" si="38"/>
        <v>374.52799799999997</v>
      </c>
      <c r="E536" s="39">
        <v>0</v>
      </c>
      <c r="F536" s="39">
        <f t="shared" si="37"/>
        <v>543.06559709999999</v>
      </c>
      <c r="G536" s="195"/>
      <c r="H536" s="196"/>
      <c r="I536" s="34"/>
      <c r="L536" s="166"/>
      <c r="M536" s="166"/>
      <c r="N536" s="34"/>
    </row>
    <row r="537" spans="1:14" s="42" customFormat="1" ht="15.75" customHeight="1" x14ac:dyDescent="0.35">
      <c r="A537" s="128">
        <v>10</v>
      </c>
      <c r="B537" s="129"/>
      <c r="C537" s="48" t="s">
        <v>192</v>
      </c>
      <c r="D537" s="39">
        <f t="shared" si="38"/>
        <v>374.52799799999997</v>
      </c>
      <c r="E537" s="39">
        <v>0</v>
      </c>
      <c r="F537" s="39">
        <f t="shared" si="37"/>
        <v>543.06559709999999</v>
      </c>
      <c r="G537" s="195"/>
      <c r="H537" s="196"/>
      <c r="I537" s="34"/>
      <c r="L537" s="166"/>
      <c r="M537" s="166"/>
      <c r="N537" s="34"/>
    </row>
    <row r="538" spans="1:14" s="42" customFormat="1" ht="15.75" customHeight="1" x14ac:dyDescent="0.35">
      <c r="A538" s="128">
        <v>11</v>
      </c>
      <c r="B538" s="129"/>
      <c r="C538" s="48" t="s">
        <v>192</v>
      </c>
      <c r="D538" s="39">
        <f>(30+1.08*2.15+1.3*2.15)*10.764</f>
        <v>377.99938800000001</v>
      </c>
      <c r="E538" s="39">
        <v>0</v>
      </c>
      <c r="F538" s="39">
        <f t="shared" si="37"/>
        <v>548.09911260000001</v>
      </c>
      <c r="G538" s="195"/>
      <c r="H538" s="196"/>
      <c r="I538" s="34"/>
      <c r="L538" s="166"/>
      <c r="M538" s="166"/>
      <c r="N538" s="34"/>
    </row>
    <row r="539" spans="1:14" s="42" customFormat="1" ht="15.75" customHeight="1" x14ac:dyDescent="0.35">
      <c r="A539" s="128">
        <v>12</v>
      </c>
      <c r="B539" s="129"/>
      <c r="C539" s="48" t="s">
        <v>192</v>
      </c>
      <c r="D539" s="39">
        <f>(30+1.08*2.15+1.3*2.15)*10.764</f>
        <v>377.99938800000001</v>
      </c>
      <c r="E539" s="39">
        <v>0</v>
      </c>
      <c r="F539" s="39">
        <f t="shared" si="37"/>
        <v>548.09911260000001</v>
      </c>
      <c r="G539" s="195"/>
      <c r="H539" s="196"/>
      <c r="I539" s="34"/>
      <c r="L539" s="166"/>
      <c r="M539" s="166"/>
      <c r="N539" s="34"/>
    </row>
    <row r="540" spans="1:14" s="42" customFormat="1" ht="15.75" customHeight="1" x14ac:dyDescent="0.35">
      <c r="A540" s="128">
        <v>13</v>
      </c>
      <c r="B540" s="129"/>
      <c r="C540" s="48" t="s">
        <v>192</v>
      </c>
      <c r="D540" s="39">
        <f t="shared" si="38"/>
        <v>374.52799799999997</v>
      </c>
      <c r="E540" s="39">
        <v>0</v>
      </c>
      <c r="F540" s="39">
        <f t="shared" si="37"/>
        <v>543.06559709999999</v>
      </c>
      <c r="G540" s="195"/>
      <c r="H540" s="196"/>
      <c r="I540" s="34"/>
      <c r="L540" s="166"/>
      <c r="M540" s="166"/>
      <c r="N540" s="34"/>
    </row>
    <row r="541" spans="1:14" s="42" customFormat="1" ht="15.75" customHeight="1" x14ac:dyDescent="0.35">
      <c r="A541" s="128">
        <v>14</v>
      </c>
      <c r="B541" s="129"/>
      <c r="C541" s="48" t="s">
        <v>192</v>
      </c>
      <c r="D541" s="39">
        <f t="shared" si="38"/>
        <v>374.52799799999997</v>
      </c>
      <c r="E541" s="39">
        <v>0</v>
      </c>
      <c r="F541" s="39">
        <f t="shared" si="37"/>
        <v>543.06559709999999</v>
      </c>
      <c r="G541" s="195"/>
      <c r="H541" s="196"/>
      <c r="I541" s="34"/>
      <c r="L541" s="166"/>
      <c r="M541" s="166"/>
      <c r="N541" s="34"/>
    </row>
    <row r="542" spans="1:14" s="42" customFormat="1" ht="15.75" customHeight="1" x14ac:dyDescent="0.35">
      <c r="A542" s="128">
        <v>15</v>
      </c>
      <c r="B542" s="129"/>
      <c r="C542" s="48" t="s">
        <v>192</v>
      </c>
      <c r="D542" s="39">
        <f>(30+1.08*2.15+1.3*2.15)*10.764</f>
        <v>377.99938800000001</v>
      </c>
      <c r="E542" s="39">
        <v>0</v>
      </c>
      <c r="F542" s="39">
        <f t="shared" si="37"/>
        <v>548.09911260000001</v>
      </c>
      <c r="G542" s="195"/>
      <c r="H542" s="196"/>
      <c r="I542" s="34"/>
      <c r="L542" s="166"/>
      <c r="M542" s="166"/>
      <c r="N542" s="34"/>
    </row>
    <row r="543" spans="1:14" s="42" customFormat="1" ht="15.75" customHeight="1" x14ac:dyDescent="0.35">
      <c r="A543" s="128">
        <v>16</v>
      </c>
      <c r="B543" s="129"/>
      <c r="C543" s="48" t="s">
        <v>192</v>
      </c>
      <c r="D543" s="39">
        <f t="shared" si="38"/>
        <v>374.52799799999997</v>
      </c>
      <c r="E543" s="39">
        <v>0</v>
      </c>
      <c r="F543" s="39">
        <f t="shared" si="37"/>
        <v>543.06559709999999</v>
      </c>
      <c r="G543" s="195"/>
      <c r="H543" s="196"/>
      <c r="I543" s="34"/>
      <c r="L543" s="166"/>
      <c r="M543" s="166"/>
      <c r="N543" s="34"/>
    </row>
    <row r="544" spans="1:14" s="42" customFormat="1" ht="15.75" customHeight="1" x14ac:dyDescent="0.35">
      <c r="A544" s="128">
        <v>17</v>
      </c>
      <c r="B544" s="129"/>
      <c r="C544" s="48" t="s">
        <v>192</v>
      </c>
      <c r="D544" s="39">
        <f t="shared" si="38"/>
        <v>374.52799799999997</v>
      </c>
      <c r="E544" s="39">
        <v>0</v>
      </c>
      <c r="F544" s="39">
        <f t="shared" si="37"/>
        <v>543.06559709999999</v>
      </c>
      <c r="G544" s="195"/>
      <c r="H544" s="196"/>
      <c r="I544" s="34"/>
      <c r="L544" s="166"/>
      <c r="M544" s="166"/>
      <c r="N544" s="34"/>
    </row>
    <row r="545" spans="1:14" s="42" customFormat="1" ht="15.75" customHeight="1" x14ac:dyDescent="0.35">
      <c r="A545" s="128">
        <v>18</v>
      </c>
      <c r="B545" s="129"/>
      <c r="C545" s="48" t="s">
        <v>192</v>
      </c>
      <c r="D545" s="39">
        <f t="shared" si="38"/>
        <v>374.52799799999997</v>
      </c>
      <c r="E545" s="39">
        <v>0</v>
      </c>
      <c r="F545" s="39">
        <f t="shared" si="37"/>
        <v>543.06559709999999</v>
      </c>
      <c r="G545" s="195"/>
      <c r="H545" s="196"/>
      <c r="I545" s="34"/>
      <c r="L545" s="166"/>
      <c r="M545" s="166"/>
      <c r="N545" s="34"/>
    </row>
    <row r="546" spans="1:14" s="42" customFormat="1" ht="15.75" customHeight="1" x14ac:dyDescent="0.35">
      <c r="A546" s="128">
        <v>19</v>
      </c>
      <c r="B546" s="129"/>
      <c r="C546" s="199" t="s">
        <v>196</v>
      </c>
      <c r="D546" s="200"/>
      <c r="E546" s="200"/>
      <c r="F546" s="201"/>
      <c r="G546" s="195"/>
      <c r="H546" s="196"/>
      <c r="I546" s="34"/>
      <c r="L546" s="166"/>
      <c r="M546" s="166"/>
      <c r="N546" s="34"/>
    </row>
    <row r="547" spans="1:14" s="42" customFormat="1" ht="15.75" customHeight="1" x14ac:dyDescent="0.35">
      <c r="A547" s="128">
        <f>A546+1</f>
        <v>20</v>
      </c>
      <c r="B547" s="129"/>
      <c r="C547" s="202"/>
      <c r="D547" s="203"/>
      <c r="E547" s="203"/>
      <c r="F547" s="204"/>
      <c r="G547" s="195"/>
      <c r="H547" s="196"/>
      <c r="I547" s="34"/>
      <c r="L547" s="166"/>
      <c r="M547" s="166"/>
      <c r="N547" s="34"/>
    </row>
    <row r="548" spans="1:14" s="42" customFormat="1" ht="15.75" customHeight="1" x14ac:dyDescent="0.35">
      <c r="A548" s="128">
        <f>A547+1</f>
        <v>21</v>
      </c>
      <c r="B548" s="129"/>
      <c r="C548" s="48" t="s">
        <v>192</v>
      </c>
      <c r="D548" s="39">
        <f t="shared" si="38"/>
        <v>374.52799799999997</v>
      </c>
      <c r="E548" s="39">
        <v>0</v>
      </c>
      <c r="F548" s="39">
        <f>D548*(($F$249)+1)+(IF(E548&lt;101,E548,IF(E548&lt;201,E548/2,IF(E548&lt;=301,E548/3,E548/4))))</f>
        <v>543.06559709999999</v>
      </c>
      <c r="G548" s="195"/>
      <c r="H548" s="196"/>
      <c r="I548" s="34"/>
      <c r="L548" s="166"/>
      <c r="M548" s="166"/>
      <c r="N548" s="34"/>
    </row>
    <row r="549" spans="1:14" s="42" customFormat="1" ht="15.75" customHeight="1" x14ac:dyDescent="0.35">
      <c r="A549" s="128">
        <f>A548+1</f>
        <v>22</v>
      </c>
      <c r="B549" s="129"/>
      <c r="C549" s="48" t="s">
        <v>192</v>
      </c>
      <c r="D549" s="39">
        <f t="shared" si="38"/>
        <v>374.52799799999997</v>
      </c>
      <c r="E549" s="39">
        <v>0</v>
      </c>
      <c r="F549" s="39">
        <f>D549*(($F$249)+1)+(IF(E549&lt;101,E549,IF(E549&lt;201,E549/2,IF(E549&lt;=301,E549/3,E549/4))))</f>
        <v>543.06559709999999</v>
      </c>
      <c r="G549" s="195"/>
      <c r="H549" s="196"/>
      <c r="I549" s="34"/>
      <c r="L549" s="166"/>
      <c r="M549" s="166"/>
      <c r="N549" s="34"/>
    </row>
    <row r="550" spans="1:14" s="42" customFormat="1" ht="15.75" customHeight="1" x14ac:dyDescent="0.35">
      <c r="A550" s="128">
        <f>A549+1</f>
        <v>23</v>
      </c>
      <c r="B550" s="129"/>
      <c r="C550" s="48" t="s">
        <v>192</v>
      </c>
      <c r="D550" s="39">
        <f t="shared" si="38"/>
        <v>374.52799799999997</v>
      </c>
      <c r="E550" s="39">
        <v>0</v>
      </c>
      <c r="F550" s="39">
        <f>D550*(($F$249)+1)+(IF(E550&lt;101,E550,IF(E550&lt;201,E550/2,IF(E550&lt;=301,E550/3,E550/4))))</f>
        <v>543.06559709999999</v>
      </c>
      <c r="G550" s="195"/>
      <c r="H550" s="196"/>
      <c r="I550" s="34"/>
      <c r="L550" s="166"/>
      <c r="M550" s="166"/>
      <c r="N550" s="34"/>
    </row>
    <row r="551" spans="1:14" s="42" customFormat="1" ht="15.75" customHeight="1" x14ac:dyDescent="0.35">
      <c r="A551" s="128">
        <f>A550+1</f>
        <v>24</v>
      </c>
      <c r="B551" s="129"/>
      <c r="C551" s="48" t="s">
        <v>192</v>
      </c>
      <c r="D551" s="39">
        <f>(30+1.08*2.15+1.3*2.15)*10.764</f>
        <v>377.99938800000001</v>
      </c>
      <c r="E551" s="39">
        <v>0</v>
      </c>
      <c r="F551" s="39">
        <f>D551*(($F$249)+1)+(IF(E551&lt;101,E551,IF(E551&lt;201,E551/2,IF(E551&lt;=301,E551/3,E551/4))))</f>
        <v>548.09911260000001</v>
      </c>
      <c r="G551" s="197"/>
      <c r="H551" s="198"/>
      <c r="I551" s="34"/>
      <c r="L551" s="166"/>
      <c r="M551" s="166"/>
      <c r="N551" s="34"/>
    </row>
    <row r="552" spans="1:14" s="33" customFormat="1" x14ac:dyDescent="0.35">
      <c r="A552" s="79" t="s">
        <v>71</v>
      </c>
      <c r="B552" s="79"/>
      <c r="C552" s="79"/>
      <c r="D552" s="79"/>
      <c r="E552" s="79"/>
      <c r="F552" s="79"/>
      <c r="G552" s="79"/>
      <c r="H552" s="79"/>
    </row>
    <row r="553" spans="1:14" s="33" customFormat="1" x14ac:dyDescent="0.35">
      <c r="A553" s="41" t="s">
        <v>157</v>
      </c>
      <c r="B553" s="69" t="s">
        <v>243</v>
      </c>
      <c r="C553" s="70"/>
      <c r="D553" s="70"/>
      <c r="E553" s="70"/>
      <c r="F553" s="70"/>
      <c r="G553" s="70"/>
      <c r="H553" s="71"/>
    </row>
    <row r="554" spans="1:14" s="33" customFormat="1" x14ac:dyDescent="0.35">
      <c r="A554" s="41" t="s">
        <v>157</v>
      </c>
      <c r="B554" s="69" t="str">
        <f>(IF(F248="Saleable area Loading :","We have considered Saleable area of Flats as per our Calculation.","We considered Saleable area of Flat as per Builder area Sheet."))</f>
        <v>We have considered Saleable area of Flats as per our Calculation.</v>
      </c>
      <c r="C554" s="70"/>
      <c r="D554" s="70"/>
      <c r="E554" s="70"/>
      <c r="F554" s="70"/>
      <c r="G554" s="70"/>
      <c r="H554" s="71"/>
    </row>
    <row r="555" spans="1:14" s="33" customFormat="1" x14ac:dyDescent="0.35">
      <c r="A555" s="41" t="s">
        <v>157</v>
      </c>
      <c r="B555" s="69" t="str">
        <f>(IF(F232="Saleable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555" s="70"/>
      <c r="D555" s="70"/>
      <c r="E555" s="70"/>
      <c r="F555" s="70"/>
      <c r="G555" s="70"/>
      <c r="H555" s="71"/>
    </row>
    <row r="556" spans="1:14" s="33" customFormat="1" x14ac:dyDescent="0.35">
      <c r="A556" s="41" t="s">
        <v>157</v>
      </c>
      <c r="B556" s="76" t="s">
        <v>127</v>
      </c>
      <c r="C556" s="77"/>
      <c r="D556" s="77"/>
      <c r="E556" s="77"/>
      <c r="F556" s="77"/>
      <c r="G556" s="77"/>
      <c r="H556" s="78"/>
    </row>
    <row r="557" spans="1:14" s="33" customFormat="1" x14ac:dyDescent="0.35">
      <c r="A557" s="41" t="s">
        <v>157</v>
      </c>
      <c r="B557" s="76" t="s">
        <v>206</v>
      </c>
      <c r="C557" s="77"/>
      <c r="D557" s="77"/>
      <c r="E557" s="77"/>
      <c r="F557" s="77"/>
      <c r="G557" s="77"/>
      <c r="H557" s="78"/>
    </row>
    <row r="558" spans="1:14" s="33" customFormat="1" x14ac:dyDescent="0.35">
      <c r="A558" s="41" t="s">
        <v>157</v>
      </c>
      <c r="B558" s="76" t="s">
        <v>156</v>
      </c>
      <c r="C558" s="77"/>
      <c r="D558" s="77"/>
      <c r="E558" s="77"/>
      <c r="F558" s="77"/>
      <c r="G558" s="77"/>
      <c r="H558" s="78"/>
    </row>
    <row r="559" spans="1:14" s="33" customFormat="1" x14ac:dyDescent="0.35">
      <c r="A559" s="41" t="s">
        <v>157</v>
      </c>
      <c r="B559" s="76" t="s">
        <v>128</v>
      </c>
      <c r="C559" s="77"/>
      <c r="D559" s="77"/>
      <c r="E559" s="77"/>
      <c r="F559" s="77"/>
      <c r="G559" s="77"/>
      <c r="H559" s="78"/>
    </row>
    <row r="560" spans="1:14" s="33" customFormat="1" ht="34.5" customHeight="1" x14ac:dyDescent="0.35">
      <c r="A560" s="41" t="s">
        <v>157</v>
      </c>
      <c r="B560" s="76" t="s">
        <v>158</v>
      </c>
      <c r="C560" s="77"/>
      <c r="D560" s="77"/>
      <c r="E560" s="77"/>
      <c r="F560" s="77"/>
      <c r="G560" s="77"/>
      <c r="H560" s="78"/>
    </row>
    <row r="561" spans="1:8" s="33" customFormat="1" x14ac:dyDescent="0.35">
      <c r="A561" s="41" t="s">
        <v>157</v>
      </c>
      <c r="B561" s="76" t="s">
        <v>129</v>
      </c>
      <c r="C561" s="77"/>
      <c r="D561" s="77"/>
      <c r="E561" s="77"/>
      <c r="F561" s="77"/>
      <c r="G561" s="77"/>
      <c r="H561" s="78"/>
    </row>
    <row r="562" spans="1:8" s="33" customFormat="1" hidden="1" x14ac:dyDescent="0.35">
      <c r="A562" s="56" t="s">
        <v>157</v>
      </c>
      <c r="B562" s="69" t="s">
        <v>237</v>
      </c>
      <c r="C562" s="70"/>
      <c r="D562" s="70"/>
      <c r="E562" s="70"/>
      <c r="F562" s="70"/>
      <c r="G562" s="70"/>
      <c r="H562" s="71"/>
    </row>
    <row r="563" spans="1:8" s="33" customFormat="1" x14ac:dyDescent="0.35">
      <c r="A563" s="41" t="s">
        <v>157</v>
      </c>
      <c r="B563" s="69" t="s">
        <v>244</v>
      </c>
      <c r="C563" s="70"/>
      <c r="D563" s="70"/>
      <c r="E563" s="70"/>
      <c r="F563" s="70"/>
      <c r="G563" s="70"/>
      <c r="H563" s="71"/>
    </row>
    <row r="564" spans="1:8" s="33" customFormat="1" hidden="1" x14ac:dyDescent="0.35">
      <c r="A564" s="55" t="s">
        <v>157</v>
      </c>
      <c r="B564" s="205" t="s">
        <v>221</v>
      </c>
      <c r="C564" s="206"/>
      <c r="D564" s="206"/>
      <c r="E564" s="206"/>
      <c r="F564" s="206"/>
      <c r="G564" s="206"/>
      <c r="H564" s="207"/>
    </row>
    <row r="565" spans="1:8" s="33" customFormat="1" hidden="1" x14ac:dyDescent="0.35">
      <c r="A565" s="57" t="s">
        <v>157</v>
      </c>
      <c r="B565" s="76" t="s">
        <v>238</v>
      </c>
      <c r="C565" s="77"/>
      <c r="D565" s="77"/>
      <c r="E565" s="77"/>
      <c r="F565" s="77"/>
      <c r="G565" s="77"/>
      <c r="H565" s="78"/>
    </row>
    <row r="566" spans="1:8" x14ac:dyDescent="0.35">
      <c r="A566" s="115" t="s">
        <v>64</v>
      </c>
      <c r="B566" s="115"/>
      <c r="C566" s="115"/>
      <c r="D566" s="115"/>
      <c r="E566" s="115"/>
      <c r="F566" s="115"/>
      <c r="G566" s="115"/>
      <c r="H566" s="115"/>
    </row>
    <row r="567" spans="1:8" x14ac:dyDescent="0.35">
      <c r="A567" s="98" t="s">
        <v>65</v>
      </c>
      <c r="B567" s="98"/>
      <c r="C567" s="98"/>
      <c r="D567" s="98"/>
      <c r="E567" s="98"/>
      <c r="F567" s="98"/>
      <c r="G567" s="98"/>
      <c r="H567" s="98"/>
    </row>
    <row r="568" spans="1:8" ht="15.75" customHeight="1" x14ac:dyDescent="0.35">
      <c r="A568" s="99" t="s">
        <v>66</v>
      </c>
      <c r="B568" s="99"/>
      <c r="C568" s="99"/>
      <c r="D568" s="99"/>
      <c r="E568" s="99"/>
      <c r="F568" s="99"/>
      <c r="G568" s="99"/>
      <c r="H568" s="99"/>
    </row>
    <row r="569" spans="1:8" x14ac:dyDescent="0.35">
      <c r="A569" s="98" t="s">
        <v>67</v>
      </c>
      <c r="B569" s="98"/>
      <c r="C569" s="98"/>
      <c r="D569" s="98"/>
      <c r="E569" s="98"/>
      <c r="F569" s="98"/>
      <c r="G569" s="98"/>
      <c r="H569" s="98"/>
    </row>
    <row r="570" spans="1:8" x14ac:dyDescent="0.35">
      <c r="A570" s="98" t="s">
        <v>68</v>
      </c>
      <c r="B570" s="98"/>
      <c r="C570" s="98"/>
      <c r="D570" s="98"/>
      <c r="E570" s="98"/>
      <c r="F570" s="98"/>
      <c r="G570" s="98"/>
      <c r="H570" s="98"/>
    </row>
    <row r="571" spans="1:8" x14ac:dyDescent="0.35">
      <c r="A571" s="98" t="s">
        <v>130</v>
      </c>
      <c r="B571" s="98"/>
      <c r="C571" s="98"/>
      <c r="D571" s="98"/>
      <c r="E571" s="98"/>
      <c r="F571" s="98"/>
      <c r="G571" s="98"/>
      <c r="H571" s="98"/>
    </row>
    <row r="572" spans="1:8" ht="35.25" customHeight="1" x14ac:dyDescent="0.35">
      <c r="A572" s="116" t="s">
        <v>131</v>
      </c>
      <c r="B572" s="116"/>
      <c r="C572" s="116"/>
      <c r="D572" s="116"/>
      <c r="E572" s="116"/>
      <c r="F572" s="116"/>
      <c r="G572" s="116"/>
      <c r="H572" s="116"/>
    </row>
    <row r="573" spans="1:8" x14ac:dyDescent="0.35">
      <c r="A573" s="124" t="s">
        <v>80</v>
      </c>
      <c r="B573" s="124"/>
      <c r="C573" s="124" t="s">
        <v>247</v>
      </c>
      <c r="D573" s="124"/>
      <c r="E573" s="124" t="s">
        <v>108</v>
      </c>
      <c r="F573" s="124"/>
      <c r="G573" s="124" t="s">
        <v>245</v>
      </c>
      <c r="H573" s="124"/>
    </row>
    <row r="574" spans="1:8" x14ac:dyDescent="0.35">
      <c r="A574" s="123" t="s">
        <v>82</v>
      </c>
      <c r="B574" s="123"/>
      <c r="C574" s="123"/>
      <c r="D574" s="123"/>
      <c r="E574" s="123"/>
      <c r="F574" s="123"/>
      <c r="G574" s="123"/>
      <c r="H574" s="123"/>
    </row>
    <row r="575" spans="1:8" x14ac:dyDescent="0.35">
      <c r="A575" s="123"/>
      <c r="B575" s="123"/>
      <c r="C575" s="123"/>
      <c r="D575" s="123"/>
      <c r="E575" s="123"/>
      <c r="F575" s="123"/>
      <c r="G575" s="123"/>
      <c r="H575" s="123"/>
    </row>
    <row r="576" spans="1:8" x14ac:dyDescent="0.35">
      <c r="A576" s="123"/>
      <c r="B576" s="123"/>
      <c r="C576" s="123"/>
      <c r="D576" s="123"/>
      <c r="E576" s="123"/>
      <c r="F576" s="123"/>
      <c r="G576" s="123"/>
      <c r="H576" s="123"/>
    </row>
    <row r="577" spans="1:8" x14ac:dyDescent="0.35">
      <c r="A577" s="123"/>
      <c r="B577" s="123"/>
      <c r="C577" s="123"/>
      <c r="D577" s="123"/>
      <c r="E577" s="123"/>
      <c r="F577" s="123"/>
      <c r="G577" s="123"/>
      <c r="H577" s="123"/>
    </row>
    <row r="578" spans="1:8" x14ac:dyDescent="0.35">
      <c r="A578" s="35" t="s">
        <v>69</v>
      </c>
      <c r="B578" s="36"/>
      <c r="C578" s="36"/>
      <c r="D578" s="35" t="str">
        <f>E8</f>
        <v>Kalas Darshan</v>
      </c>
      <c r="F578" s="36"/>
      <c r="G578" s="36"/>
      <c r="H578" s="36"/>
    </row>
    <row r="579" spans="1:8" x14ac:dyDescent="0.35">
      <c r="A579" s="36"/>
      <c r="B579" s="36"/>
      <c r="C579" s="36"/>
      <c r="D579" s="36"/>
      <c r="E579" s="36"/>
      <c r="F579" s="36"/>
      <c r="G579" s="36"/>
      <c r="H579" s="36"/>
    </row>
    <row r="580" spans="1:8" x14ac:dyDescent="0.35">
      <c r="A580" s="36"/>
      <c r="B580" s="36"/>
      <c r="C580" s="36"/>
      <c r="D580" s="36"/>
      <c r="E580" s="36"/>
      <c r="F580" s="36"/>
      <c r="G580" s="36"/>
      <c r="H580" s="36"/>
    </row>
    <row r="581" spans="1:8" ht="15" customHeight="1" x14ac:dyDescent="0.35"/>
    <row r="621" spans="1:1" x14ac:dyDescent="0.35">
      <c r="A621" s="38" t="s">
        <v>70</v>
      </c>
    </row>
  </sheetData>
  <mergeCells count="1082">
    <mergeCell ref="B564:H564"/>
    <mergeCell ref="C132:H132"/>
    <mergeCell ref="A134:B134"/>
    <mergeCell ref="C134:H134"/>
    <mergeCell ref="A135:B135"/>
    <mergeCell ref="E135:F135"/>
    <mergeCell ref="G135:H135"/>
    <mergeCell ref="A136:B136"/>
    <mergeCell ref="E136:F145"/>
    <mergeCell ref="G136:H145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549:B549"/>
    <mergeCell ref="A524:B524"/>
    <mergeCell ref="A510:B510"/>
    <mergeCell ref="A496:B496"/>
    <mergeCell ref="A482:B482"/>
    <mergeCell ref="A470:B470"/>
    <mergeCell ref="A454:B454"/>
    <mergeCell ref="A439:H439"/>
    <mergeCell ref="A440:H440"/>
    <mergeCell ref="A436:B436"/>
    <mergeCell ref="A387:B387"/>
    <mergeCell ref="A371:B371"/>
    <mergeCell ref="A359:B359"/>
    <mergeCell ref="L549:M549"/>
    <mergeCell ref="A550:B550"/>
    <mergeCell ref="L550:M550"/>
    <mergeCell ref="A551:B551"/>
    <mergeCell ref="L551:M551"/>
    <mergeCell ref="A546:B546"/>
    <mergeCell ref="L546:M546"/>
    <mergeCell ref="A547:B547"/>
    <mergeCell ref="L547:M547"/>
    <mergeCell ref="A548:B548"/>
    <mergeCell ref="L548:M548"/>
    <mergeCell ref="C546:F547"/>
    <mergeCell ref="G528:H551"/>
    <mergeCell ref="A543:B543"/>
    <mergeCell ref="L543:M543"/>
    <mergeCell ref="A544:B544"/>
    <mergeCell ref="L544:M544"/>
    <mergeCell ref="A545:B545"/>
    <mergeCell ref="L545:M545"/>
    <mergeCell ref="A540:B540"/>
    <mergeCell ref="L540:M540"/>
    <mergeCell ref="A541:B541"/>
    <mergeCell ref="L541:M541"/>
    <mergeCell ref="A542:B542"/>
    <mergeCell ref="L542:M542"/>
    <mergeCell ref="A537:B537"/>
    <mergeCell ref="L537:M537"/>
    <mergeCell ref="A538:B538"/>
    <mergeCell ref="L538:M538"/>
    <mergeCell ref="A539:B539"/>
    <mergeCell ref="L539:M539"/>
    <mergeCell ref="A534:B534"/>
    <mergeCell ref="L534:M534"/>
    <mergeCell ref="A535:B535"/>
    <mergeCell ref="L535:M535"/>
    <mergeCell ref="A536:B536"/>
    <mergeCell ref="L536:M536"/>
    <mergeCell ref="A531:B531"/>
    <mergeCell ref="L531:M531"/>
    <mergeCell ref="A532:B532"/>
    <mergeCell ref="L532:M532"/>
    <mergeCell ref="A533:B533"/>
    <mergeCell ref="L533:M533"/>
    <mergeCell ref="A527:H527"/>
    <mergeCell ref="A528:B528"/>
    <mergeCell ref="L528:M528"/>
    <mergeCell ref="A529:B529"/>
    <mergeCell ref="L529:M529"/>
    <mergeCell ref="A530:B530"/>
    <mergeCell ref="L530:M530"/>
    <mergeCell ref="L524:M524"/>
    <mergeCell ref="A525:B525"/>
    <mergeCell ref="L525:M525"/>
    <mergeCell ref="A526:B526"/>
    <mergeCell ref="L526:M526"/>
    <mergeCell ref="A521:B521"/>
    <mergeCell ref="L521:M521"/>
    <mergeCell ref="A522:B522"/>
    <mergeCell ref="L522:M522"/>
    <mergeCell ref="A523:B523"/>
    <mergeCell ref="L523:M523"/>
    <mergeCell ref="G503:H526"/>
    <mergeCell ref="A518:B518"/>
    <mergeCell ref="L518:M518"/>
    <mergeCell ref="A519:B519"/>
    <mergeCell ref="L519:M519"/>
    <mergeCell ref="A520:B520"/>
    <mergeCell ref="L520:M520"/>
    <mergeCell ref="A515:B515"/>
    <mergeCell ref="L515:M515"/>
    <mergeCell ref="A516:B516"/>
    <mergeCell ref="L516:M516"/>
    <mergeCell ref="A517:B517"/>
    <mergeCell ref="L517:M517"/>
    <mergeCell ref="A512:B512"/>
    <mergeCell ref="L512:M512"/>
    <mergeCell ref="A513:B513"/>
    <mergeCell ref="L513:M513"/>
    <mergeCell ref="A514:B514"/>
    <mergeCell ref="L514:M514"/>
    <mergeCell ref="A509:B509"/>
    <mergeCell ref="L509:M509"/>
    <mergeCell ref="L510:M510"/>
    <mergeCell ref="A511:B511"/>
    <mergeCell ref="L511:M511"/>
    <mergeCell ref="A506:B506"/>
    <mergeCell ref="L506:M506"/>
    <mergeCell ref="A507:B507"/>
    <mergeCell ref="L507:M507"/>
    <mergeCell ref="A508:B508"/>
    <mergeCell ref="L508:M508"/>
    <mergeCell ref="A502:H502"/>
    <mergeCell ref="A503:B503"/>
    <mergeCell ref="L503:M503"/>
    <mergeCell ref="A504:B504"/>
    <mergeCell ref="L504:M504"/>
    <mergeCell ref="A505:B505"/>
    <mergeCell ref="L505:M505"/>
    <mergeCell ref="A499:B499"/>
    <mergeCell ref="L499:M499"/>
    <mergeCell ref="A500:B500"/>
    <mergeCell ref="L500:M500"/>
    <mergeCell ref="A501:B501"/>
    <mergeCell ref="L501:M501"/>
    <mergeCell ref="L496:M496"/>
    <mergeCell ref="A497:B497"/>
    <mergeCell ref="L497:M497"/>
    <mergeCell ref="A498:B498"/>
    <mergeCell ref="L498:M498"/>
    <mergeCell ref="G478:H501"/>
    <mergeCell ref="A493:B493"/>
    <mergeCell ref="L493:M493"/>
    <mergeCell ref="A494:B494"/>
    <mergeCell ref="L494:M494"/>
    <mergeCell ref="A495:B495"/>
    <mergeCell ref="L495:M495"/>
    <mergeCell ref="A490:B490"/>
    <mergeCell ref="L490:M490"/>
    <mergeCell ref="A491:B491"/>
    <mergeCell ref="L491:M491"/>
    <mergeCell ref="A492:B492"/>
    <mergeCell ref="L492:M492"/>
    <mergeCell ref="A487:B487"/>
    <mergeCell ref="L487:M487"/>
    <mergeCell ref="A488:B488"/>
    <mergeCell ref="L488:M488"/>
    <mergeCell ref="A489:B489"/>
    <mergeCell ref="L489:M489"/>
    <mergeCell ref="A484:B484"/>
    <mergeCell ref="L484:M484"/>
    <mergeCell ref="A485:B485"/>
    <mergeCell ref="L485:M485"/>
    <mergeCell ref="A486:B486"/>
    <mergeCell ref="L486:M486"/>
    <mergeCell ref="A481:B481"/>
    <mergeCell ref="L481:M481"/>
    <mergeCell ref="L482:M482"/>
    <mergeCell ref="A483:B483"/>
    <mergeCell ref="L483:M483"/>
    <mergeCell ref="A476:H476"/>
    <mergeCell ref="A477:H477"/>
    <mergeCell ref="A478:B478"/>
    <mergeCell ref="L478:M478"/>
    <mergeCell ref="A479:B479"/>
    <mergeCell ref="L479:M479"/>
    <mergeCell ref="A480:B480"/>
    <mergeCell ref="L480:M480"/>
    <mergeCell ref="A473:B473"/>
    <mergeCell ref="L473:M473"/>
    <mergeCell ref="A474:B474"/>
    <mergeCell ref="L474:M474"/>
    <mergeCell ref="A475:B475"/>
    <mergeCell ref="L475:M475"/>
    <mergeCell ref="L470:M470"/>
    <mergeCell ref="A471:B471"/>
    <mergeCell ref="L471:M471"/>
    <mergeCell ref="A472:B472"/>
    <mergeCell ref="L472:M472"/>
    <mergeCell ref="G465:H475"/>
    <mergeCell ref="A467:B467"/>
    <mergeCell ref="L467:M467"/>
    <mergeCell ref="A468:B468"/>
    <mergeCell ref="L468:M468"/>
    <mergeCell ref="A469:B469"/>
    <mergeCell ref="L469:M469"/>
    <mergeCell ref="A463:B463"/>
    <mergeCell ref="L463:M463"/>
    <mergeCell ref="A464:H464"/>
    <mergeCell ref="A465:B465"/>
    <mergeCell ref="L465:M465"/>
    <mergeCell ref="A466:B466"/>
    <mergeCell ref="L466:M466"/>
    <mergeCell ref="G453:H463"/>
    <mergeCell ref="A460:B460"/>
    <mergeCell ref="L460:M460"/>
    <mergeCell ref="A461:B461"/>
    <mergeCell ref="L461:M461"/>
    <mergeCell ref="A462:B462"/>
    <mergeCell ref="L462:M462"/>
    <mergeCell ref="A457:B457"/>
    <mergeCell ref="L457:M457"/>
    <mergeCell ref="A458:B458"/>
    <mergeCell ref="L458:M458"/>
    <mergeCell ref="A459:B459"/>
    <mergeCell ref="L459:M459"/>
    <mergeCell ref="L454:M454"/>
    <mergeCell ref="A455:B455"/>
    <mergeCell ref="L455:M455"/>
    <mergeCell ref="A456:B456"/>
    <mergeCell ref="L456:M456"/>
    <mergeCell ref="A450:B450"/>
    <mergeCell ref="L450:M450"/>
    <mergeCell ref="A451:B451"/>
    <mergeCell ref="L451:M451"/>
    <mergeCell ref="A452:H452"/>
    <mergeCell ref="A453:B453"/>
    <mergeCell ref="L453:M453"/>
    <mergeCell ref="G441:H451"/>
    <mergeCell ref="A447:B447"/>
    <mergeCell ref="L447:M447"/>
    <mergeCell ref="A448:B448"/>
    <mergeCell ref="L448:M448"/>
    <mergeCell ref="A449:B449"/>
    <mergeCell ref="L449:M449"/>
    <mergeCell ref="A444:B444"/>
    <mergeCell ref="L444:M444"/>
    <mergeCell ref="A445:B445"/>
    <mergeCell ref="L445:M445"/>
    <mergeCell ref="A446:B446"/>
    <mergeCell ref="L446:M446"/>
    <mergeCell ref="A441:B441"/>
    <mergeCell ref="L441:M441"/>
    <mergeCell ref="A442:B442"/>
    <mergeCell ref="L442:M442"/>
    <mergeCell ref="A443:B443"/>
    <mergeCell ref="L443:M443"/>
    <mergeCell ref="L436:M436"/>
    <mergeCell ref="A437:B437"/>
    <mergeCell ref="L437:M437"/>
    <mergeCell ref="A438:B438"/>
    <mergeCell ref="L438:M438"/>
    <mergeCell ref="A433:B433"/>
    <mergeCell ref="L433:M433"/>
    <mergeCell ref="A434:B434"/>
    <mergeCell ref="L434:M434"/>
    <mergeCell ref="A435:B435"/>
    <mergeCell ref="L435:M435"/>
    <mergeCell ref="C434:F435"/>
    <mergeCell ref="G412:H438"/>
    <mergeCell ref="A430:B430"/>
    <mergeCell ref="A421:B421"/>
    <mergeCell ref="A412:B412"/>
    <mergeCell ref="L430:M430"/>
    <mergeCell ref="A431:B431"/>
    <mergeCell ref="L431:M431"/>
    <mergeCell ref="A432:B432"/>
    <mergeCell ref="L432:M432"/>
    <mergeCell ref="A427:B427"/>
    <mergeCell ref="L427:M427"/>
    <mergeCell ref="A428:B428"/>
    <mergeCell ref="L428:M428"/>
    <mergeCell ref="A429:B429"/>
    <mergeCell ref="L429:M429"/>
    <mergeCell ref="A424:B424"/>
    <mergeCell ref="L424:M424"/>
    <mergeCell ref="A425:B425"/>
    <mergeCell ref="L425:M425"/>
    <mergeCell ref="A426:B426"/>
    <mergeCell ref="L426:M426"/>
    <mergeCell ref="L421:M421"/>
    <mergeCell ref="A422:B422"/>
    <mergeCell ref="L422:M422"/>
    <mergeCell ref="A423:B423"/>
    <mergeCell ref="L423:M423"/>
    <mergeCell ref="A418:B418"/>
    <mergeCell ref="L418:M418"/>
    <mergeCell ref="A419:B419"/>
    <mergeCell ref="L419:M419"/>
    <mergeCell ref="A420:B420"/>
    <mergeCell ref="L420:M420"/>
    <mergeCell ref="A415:B415"/>
    <mergeCell ref="L415:M415"/>
    <mergeCell ref="A416:B416"/>
    <mergeCell ref="L416:M416"/>
    <mergeCell ref="A417:B417"/>
    <mergeCell ref="L417:M417"/>
    <mergeCell ref="L412:M412"/>
    <mergeCell ref="A413:B413"/>
    <mergeCell ref="L413:M413"/>
    <mergeCell ref="A414:B414"/>
    <mergeCell ref="L414:M414"/>
    <mergeCell ref="A408:B408"/>
    <mergeCell ref="L408:M408"/>
    <mergeCell ref="A409:B409"/>
    <mergeCell ref="L409:M409"/>
    <mergeCell ref="A410:B410"/>
    <mergeCell ref="L410:M410"/>
    <mergeCell ref="A405:B405"/>
    <mergeCell ref="L405:M405"/>
    <mergeCell ref="A406:B406"/>
    <mergeCell ref="L406:M406"/>
    <mergeCell ref="A407:B407"/>
    <mergeCell ref="L407:M407"/>
    <mergeCell ref="G384:H410"/>
    <mergeCell ref="A411:H411"/>
    <mergeCell ref="A402:B402"/>
    <mergeCell ref="A393:B393"/>
    <mergeCell ref="A384:B384"/>
    <mergeCell ref="L402:M402"/>
    <mergeCell ref="A403:B403"/>
    <mergeCell ref="L403:M403"/>
    <mergeCell ref="A404:B404"/>
    <mergeCell ref="L404:M404"/>
    <mergeCell ref="A399:B399"/>
    <mergeCell ref="L399:M399"/>
    <mergeCell ref="A400:B400"/>
    <mergeCell ref="L400:M400"/>
    <mergeCell ref="A401:B401"/>
    <mergeCell ref="L401:M401"/>
    <mergeCell ref="A396:B396"/>
    <mergeCell ref="L396:M396"/>
    <mergeCell ref="A397:B397"/>
    <mergeCell ref="L397:M397"/>
    <mergeCell ref="A398:B398"/>
    <mergeCell ref="L398:M398"/>
    <mergeCell ref="L393:M393"/>
    <mergeCell ref="A394:B394"/>
    <mergeCell ref="L394:M394"/>
    <mergeCell ref="A395:B395"/>
    <mergeCell ref="L395:M395"/>
    <mergeCell ref="A390:B390"/>
    <mergeCell ref="L390:M390"/>
    <mergeCell ref="A391:B391"/>
    <mergeCell ref="L391:M391"/>
    <mergeCell ref="A392:B392"/>
    <mergeCell ref="L392:M392"/>
    <mergeCell ref="L387:M387"/>
    <mergeCell ref="A388:B388"/>
    <mergeCell ref="L388:M388"/>
    <mergeCell ref="A389:B389"/>
    <mergeCell ref="L389:M389"/>
    <mergeCell ref="L384:M384"/>
    <mergeCell ref="A385:B385"/>
    <mergeCell ref="L385:M385"/>
    <mergeCell ref="A386:B386"/>
    <mergeCell ref="L386:M386"/>
    <mergeCell ref="A380:B380"/>
    <mergeCell ref="L380:M380"/>
    <mergeCell ref="A381:B381"/>
    <mergeCell ref="L381:M381"/>
    <mergeCell ref="A382:B382"/>
    <mergeCell ref="L382:M382"/>
    <mergeCell ref="A377:B377"/>
    <mergeCell ref="L377:M377"/>
    <mergeCell ref="A378:B378"/>
    <mergeCell ref="L378:M378"/>
    <mergeCell ref="A379:B379"/>
    <mergeCell ref="L379:M379"/>
    <mergeCell ref="G356:H382"/>
    <mergeCell ref="A383:H383"/>
    <mergeCell ref="A374:B374"/>
    <mergeCell ref="A365:B365"/>
    <mergeCell ref="A356:B356"/>
    <mergeCell ref="L374:M374"/>
    <mergeCell ref="A375:B375"/>
    <mergeCell ref="L375:M375"/>
    <mergeCell ref="A376:B376"/>
    <mergeCell ref="L376:M376"/>
    <mergeCell ref="L371:M371"/>
    <mergeCell ref="A372:B372"/>
    <mergeCell ref="L372:M372"/>
    <mergeCell ref="A373:B373"/>
    <mergeCell ref="L373:M373"/>
    <mergeCell ref="A368:B368"/>
    <mergeCell ref="L368:M368"/>
    <mergeCell ref="A369:B369"/>
    <mergeCell ref="L369:M369"/>
    <mergeCell ref="A370:B370"/>
    <mergeCell ref="L370:M370"/>
    <mergeCell ref="L365:M365"/>
    <mergeCell ref="A366:B366"/>
    <mergeCell ref="L366:M366"/>
    <mergeCell ref="A367:B367"/>
    <mergeCell ref="L367:M367"/>
    <mergeCell ref="A362:B362"/>
    <mergeCell ref="L362:M362"/>
    <mergeCell ref="A363:B363"/>
    <mergeCell ref="L363:M363"/>
    <mergeCell ref="A364:B364"/>
    <mergeCell ref="L364:M364"/>
    <mergeCell ref="L359:M359"/>
    <mergeCell ref="A360:B360"/>
    <mergeCell ref="L360:M360"/>
    <mergeCell ref="A361:B361"/>
    <mergeCell ref="L361:M361"/>
    <mergeCell ref="L356:M356"/>
    <mergeCell ref="A357:B357"/>
    <mergeCell ref="L357:M357"/>
    <mergeCell ref="A358:B358"/>
    <mergeCell ref="L358:M358"/>
    <mergeCell ref="A352:B352"/>
    <mergeCell ref="L352:M352"/>
    <mergeCell ref="A353:B353"/>
    <mergeCell ref="L353:M353"/>
    <mergeCell ref="C349:F350"/>
    <mergeCell ref="A354:H354"/>
    <mergeCell ref="A349:B349"/>
    <mergeCell ref="L349:M349"/>
    <mergeCell ref="A350:B350"/>
    <mergeCell ref="L350:M350"/>
    <mergeCell ref="A351:B351"/>
    <mergeCell ref="L351:M351"/>
    <mergeCell ref="G334:H353"/>
    <mergeCell ref="A355:H355"/>
    <mergeCell ref="A346:B346"/>
    <mergeCell ref="A337:B337"/>
    <mergeCell ref="L346:M346"/>
    <mergeCell ref="A347:B347"/>
    <mergeCell ref="L347:M347"/>
    <mergeCell ref="A348:B348"/>
    <mergeCell ref="L348:M348"/>
    <mergeCell ref="A343:B343"/>
    <mergeCell ref="L343:M343"/>
    <mergeCell ref="A344:B344"/>
    <mergeCell ref="L344:M344"/>
    <mergeCell ref="A345:B345"/>
    <mergeCell ref="L345:M345"/>
    <mergeCell ref="A340:B340"/>
    <mergeCell ref="L340:M340"/>
    <mergeCell ref="A341:B341"/>
    <mergeCell ref="L341:M341"/>
    <mergeCell ref="A342:B342"/>
    <mergeCell ref="L342:M342"/>
    <mergeCell ref="L337:M337"/>
    <mergeCell ref="A338:B338"/>
    <mergeCell ref="L338:M338"/>
    <mergeCell ref="A339:B339"/>
    <mergeCell ref="L339:M339"/>
    <mergeCell ref="A333:H333"/>
    <mergeCell ref="A334:B334"/>
    <mergeCell ref="L334:M334"/>
    <mergeCell ref="A335:B335"/>
    <mergeCell ref="L335:M335"/>
    <mergeCell ref="A336:B336"/>
    <mergeCell ref="L336:M336"/>
    <mergeCell ref="A330:B330"/>
    <mergeCell ref="L330:M330"/>
    <mergeCell ref="A331:B331"/>
    <mergeCell ref="L331:M331"/>
    <mergeCell ref="A332:B332"/>
    <mergeCell ref="L332:M332"/>
    <mergeCell ref="G313:H332"/>
    <mergeCell ref="A327:B327"/>
    <mergeCell ref="L327:M327"/>
    <mergeCell ref="A328:B328"/>
    <mergeCell ref="L328:M328"/>
    <mergeCell ref="A329:B329"/>
    <mergeCell ref="L329:M329"/>
    <mergeCell ref="A324:B324"/>
    <mergeCell ref="L324:M324"/>
    <mergeCell ref="A325:B325"/>
    <mergeCell ref="L325:M325"/>
    <mergeCell ref="A326:B326"/>
    <mergeCell ref="L326:M326"/>
    <mergeCell ref="A321:B321"/>
    <mergeCell ref="L321:M321"/>
    <mergeCell ref="A322:B322"/>
    <mergeCell ref="L322:M322"/>
    <mergeCell ref="A323:B323"/>
    <mergeCell ref="L323:M323"/>
    <mergeCell ref="A318:B318"/>
    <mergeCell ref="L318:M318"/>
    <mergeCell ref="A319:B319"/>
    <mergeCell ref="L319:M319"/>
    <mergeCell ref="A320:B320"/>
    <mergeCell ref="L320:M320"/>
    <mergeCell ref="A315:B315"/>
    <mergeCell ref="L315:M315"/>
    <mergeCell ref="A316:B316"/>
    <mergeCell ref="L316:M316"/>
    <mergeCell ref="A317:B317"/>
    <mergeCell ref="L317:M317"/>
    <mergeCell ref="A313:B313"/>
    <mergeCell ref="L313:M313"/>
    <mergeCell ref="A312:H312"/>
    <mergeCell ref="A314:B314"/>
    <mergeCell ref="L314:M314"/>
    <mergeCell ref="A310:B310"/>
    <mergeCell ref="L310:M310"/>
    <mergeCell ref="A311:B311"/>
    <mergeCell ref="L311:M311"/>
    <mergeCell ref="A307:B307"/>
    <mergeCell ref="L307:M307"/>
    <mergeCell ref="A308:B308"/>
    <mergeCell ref="L308:M308"/>
    <mergeCell ref="A309:B309"/>
    <mergeCell ref="L309:M309"/>
    <mergeCell ref="A304:B304"/>
    <mergeCell ref="L304:M304"/>
    <mergeCell ref="A305:B305"/>
    <mergeCell ref="L305:M305"/>
    <mergeCell ref="A306:B306"/>
    <mergeCell ref="L306:M306"/>
    <mergeCell ref="A301:B301"/>
    <mergeCell ref="L301:M301"/>
    <mergeCell ref="A302:B302"/>
    <mergeCell ref="L302:M302"/>
    <mergeCell ref="A303:B303"/>
    <mergeCell ref="L303:M303"/>
    <mergeCell ref="G292:H311"/>
    <mergeCell ref="A298:B298"/>
    <mergeCell ref="L298:M298"/>
    <mergeCell ref="A299:B299"/>
    <mergeCell ref="L299:M299"/>
    <mergeCell ref="A300:B300"/>
    <mergeCell ref="L300:M300"/>
    <mergeCell ref="A295:B295"/>
    <mergeCell ref="L295:M295"/>
    <mergeCell ref="A296:B296"/>
    <mergeCell ref="L296:M296"/>
    <mergeCell ref="A297:B297"/>
    <mergeCell ref="L297:M297"/>
    <mergeCell ref="A292:B292"/>
    <mergeCell ref="L292:M292"/>
    <mergeCell ref="A293:B293"/>
    <mergeCell ref="L293:M293"/>
    <mergeCell ref="A294:B294"/>
    <mergeCell ref="L294:M294"/>
    <mergeCell ref="A288:B288"/>
    <mergeCell ref="L288:M288"/>
    <mergeCell ref="A289:B289"/>
    <mergeCell ref="L289:M289"/>
    <mergeCell ref="C281:F281"/>
    <mergeCell ref="A290:H290"/>
    <mergeCell ref="A291:H291"/>
    <mergeCell ref="A285:B285"/>
    <mergeCell ref="L285:M285"/>
    <mergeCell ref="A286:B286"/>
    <mergeCell ref="L286:M286"/>
    <mergeCell ref="A287:B287"/>
    <mergeCell ref="L287:M287"/>
    <mergeCell ref="A282:B282"/>
    <mergeCell ref="L282:M282"/>
    <mergeCell ref="A283:B283"/>
    <mergeCell ref="L283:M283"/>
    <mergeCell ref="A284:B284"/>
    <mergeCell ref="L284:M284"/>
    <mergeCell ref="G278:H289"/>
    <mergeCell ref="A279:B279"/>
    <mergeCell ref="L279:M279"/>
    <mergeCell ref="A280:B280"/>
    <mergeCell ref="L280:M280"/>
    <mergeCell ref="A281:B281"/>
    <mergeCell ref="L281:M281"/>
    <mergeCell ref="A275:B275"/>
    <mergeCell ref="L275:M275"/>
    <mergeCell ref="A276:B276"/>
    <mergeCell ref="L276:M276"/>
    <mergeCell ref="A277:H277"/>
    <mergeCell ref="A278:B278"/>
    <mergeCell ref="L278:M278"/>
    <mergeCell ref="A272:B272"/>
    <mergeCell ref="L272:M272"/>
    <mergeCell ref="A273:B273"/>
    <mergeCell ref="L273:M273"/>
    <mergeCell ref="A274:B274"/>
    <mergeCell ref="L274:M274"/>
    <mergeCell ref="G265:H276"/>
    <mergeCell ref="A269:B269"/>
    <mergeCell ref="L269:M269"/>
    <mergeCell ref="A270:B270"/>
    <mergeCell ref="L270:M270"/>
    <mergeCell ref="A271:B271"/>
    <mergeCell ref="L271:M271"/>
    <mergeCell ref="A266:B266"/>
    <mergeCell ref="L266:M266"/>
    <mergeCell ref="A267:B267"/>
    <mergeCell ref="L267:M267"/>
    <mergeCell ref="A268:B268"/>
    <mergeCell ref="L268:M268"/>
    <mergeCell ref="A262:B262"/>
    <mergeCell ref="L262:M262"/>
    <mergeCell ref="A263:B263"/>
    <mergeCell ref="L263:M263"/>
    <mergeCell ref="A264:H264"/>
    <mergeCell ref="A265:B265"/>
    <mergeCell ref="L265:M265"/>
    <mergeCell ref="G252:H263"/>
    <mergeCell ref="L259:M259"/>
    <mergeCell ref="A260:B260"/>
    <mergeCell ref="L260:M260"/>
    <mergeCell ref="A261:B261"/>
    <mergeCell ref="L261:M261"/>
    <mergeCell ref="A258:B258"/>
    <mergeCell ref="L258:M258"/>
    <mergeCell ref="A250:H250"/>
    <mergeCell ref="A189:B189"/>
    <mergeCell ref="C189:H189"/>
    <mergeCell ref="A191:B191"/>
    <mergeCell ref="C191:H191"/>
    <mergeCell ref="A192:B192"/>
    <mergeCell ref="E192:F192"/>
    <mergeCell ref="G192:H192"/>
    <mergeCell ref="A193:B193"/>
    <mergeCell ref="E193:F202"/>
    <mergeCell ref="G193:H202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L243:M243"/>
    <mergeCell ref="A244:B244"/>
    <mergeCell ref="G244:H244"/>
    <mergeCell ref="L244:M244"/>
    <mergeCell ref="A226:B226"/>
    <mergeCell ref="A175:B175"/>
    <mergeCell ref="C175:H175"/>
    <mergeCell ref="A177:B177"/>
    <mergeCell ref="C177:H177"/>
    <mergeCell ref="A178:B178"/>
    <mergeCell ref="E178:F178"/>
    <mergeCell ref="G178:H178"/>
    <mergeCell ref="A179:B179"/>
    <mergeCell ref="E179:F188"/>
    <mergeCell ref="G179:H188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210:E210"/>
    <mergeCell ref="A212:E212"/>
    <mergeCell ref="F206:H206"/>
    <mergeCell ref="A211:E211"/>
    <mergeCell ref="A228:B228"/>
    <mergeCell ref="E164:F164"/>
    <mergeCell ref="G164:H164"/>
    <mergeCell ref="A165:B165"/>
    <mergeCell ref="E165:F174"/>
    <mergeCell ref="G165:H174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D64:H64"/>
    <mergeCell ref="D65:H65"/>
    <mergeCell ref="D67:H67"/>
    <mergeCell ref="A161:B161"/>
    <mergeCell ref="C161:H161"/>
    <mergeCell ref="A163:B163"/>
    <mergeCell ref="C163:H163"/>
    <mergeCell ref="G121:H121"/>
    <mergeCell ref="A106:B106"/>
    <mergeCell ref="C106:H106"/>
    <mergeCell ref="A107:B107"/>
    <mergeCell ref="E107:F107"/>
    <mergeCell ref="G107:H107"/>
    <mergeCell ref="A125:B125"/>
    <mergeCell ref="A126:B126"/>
    <mergeCell ref="A127:B127"/>
    <mergeCell ref="A129:B129"/>
    <mergeCell ref="A132:B132"/>
    <mergeCell ref="L257:M257"/>
    <mergeCell ref="A245:B245"/>
    <mergeCell ref="G245:H245"/>
    <mergeCell ref="L245:M245"/>
    <mergeCell ref="A246:B246"/>
    <mergeCell ref="G246:H246"/>
    <mergeCell ref="L246:M246"/>
    <mergeCell ref="A256:B256"/>
    <mergeCell ref="L256:M256"/>
    <mergeCell ref="L255:M255"/>
    <mergeCell ref="L252:M252"/>
    <mergeCell ref="L253:M253"/>
    <mergeCell ref="L254:M254"/>
    <mergeCell ref="L239:M239"/>
    <mergeCell ref="A240:B240"/>
    <mergeCell ref="G240:H240"/>
    <mergeCell ref="L240:M240"/>
    <mergeCell ref="A241:B241"/>
    <mergeCell ref="G241:H241"/>
    <mergeCell ref="L241:M241"/>
    <mergeCell ref="A242:B242"/>
    <mergeCell ref="G242:H242"/>
    <mergeCell ref="L242:M242"/>
    <mergeCell ref="A254:B254"/>
    <mergeCell ref="A243:B243"/>
    <mergeCell ref="G243:H243"/>
    <mergeCell ref="A255:B255"/>
    <mergeCell ref="A37:B37"/>
    <mergeCell ref="C37:H37"/>
    <mergeCell ref="B560:H560"/>
    <mergeCell ref="A46:B46"/>
    <mergeCell ref="C46:H46"/>
    <mergeCell ref="B558:H558"/>
    <mergeCell ref="A123:B123"/>
    <mergeCell ref="A124:B124"/>
    <mergeCell ref="G108:H117"/>
    <mergeCell ref="A109:B109"/>
    <mergeCell ref="A110:B110"/>
    <mergeCell ref="A111:B111"/>
    <mergeCell ref="F205:H205"/>
    <mergeCell ref="A205:E205"/>
    <mergeCell ref="D232:D233"/>
    <mergeCell ref="A207:E207"/>
    <mergeCell ref="A235:B235"/>
    <mergeCell ref="A236:B236"/>
    <mergeCell ref="A237:B237"/>
    <mergeCell ref="F207:H207"/>
    <mergeCell ref="C221:D221"/>
    <mergeCell ref="E221:F221"/>
    <mergeCell ref="G221:H221"/>
    <mergeCell ref="C223:D223"/>
    <mergeCell ref="G223:H223"/>
    <mergeCell ref="A206:E206"/>
    <mergeCell ref="A203:E203"/>
    <mergeCell ref="A252:B252"/>
    <mergeCell ref="A209:E209"/>
    <mergeCell ref="F209:H209"/>
    <mergeCell ref="A257:B257"/>
    <mergeCell ref="A164:B164"/>
    <mergeCell ref="A259:B259"/>
    <mergeCell ref="C228:D228"/>
    <mergeCell ref="E228:F228"/>
    <mergeCell ref="G228:H228"/>
    <mergeCell ref="A224:B224"/>
    <mergeCell ref="C224:D224"/>
    <mergeCell ref="E224:F224"/>
    <mergeCell ref="G224:H224"/>
    <mergeCell ref="A225:B225"/>
    <mergeCell ref="C225:D225"/>
    <mergeCell ref="E225:F225"/>
    <mergeCell ref="G225:H225"/>
    <mergeCell ref="C226:D226"/>
    <mergeCell ref="E226:F226"/>
    <mergeCell ref="G226:H226"/>
    <mergeCell ref="A227:B227"/>
    <mergeCell ref="C227:D227"/>
    <mergeCell ref="E227:F227"/>
    <mergeCell ref="G227:H227"/>
    <mergeCell ref="G218:H218"/>
    <mergeCell ref="A213:E213"/>
    <mergeCell ref="C219:D219"/>
    <mergeCell ref="E219:F219"/>
    <mergeCell ref="B232:B233"/>
    <mergeCell ref="A232:A233"/>
    <mergeCell ref="C248:C249"/>
    <mergeCell ref="C229:D229"/>
    <mergeCell ref="A251:H251"/>
    <mergeCell ref="E229:F229"/>
    <mergeCell ref="A239:B239"/>
    <mergeCell ref="G239:H239"/>
    <mergeCell ref="A247:H247"/>
    <mergeCell ref="A248:A249"/>
    <mergeCell ref="A253:B253"/>
    <mergeCell ref="F213:H213"/>
    <mergeCell ref="A220:B220"/>
    <mergeCell ref="A214:E214"/>
    <mergeCell ref="G229:H229"/>
    <mergeCell ref="C220:D220"/>
    <mergeCell ref="F214:H214"/>
    <mergeCell ref="C218:D218"/>
    <mergeCell ref="L238:M238"/>
    <mergeCell ref="L237:M237"/>
    <mergeCell ref="L236:M236"/>
    <mergeCell ref="L235:M235"/>
    <mergeCell ref="A101:B101"/>
    <mergeCell ref="F210:H210"/>
    <mergeCell ref="A204:E204"/>
    <mergeCell ref="A118:B118"/>
    <mergeCell ref="C118:H118"/>
    <mergeCell ref="A234:H234"/>
    <mergeCell ref="E232:E233"/>
    <mergeCell ref="G232:H233"/>
    <mergeCell ref="A108:B108"/>
    <mergeCell ref="E108:F117"/>
    <mergeCell ref="A115:B115"/>
    <mergeCell ref="A116:B116"/>
    <mergeCell ref="A117:B117"/>
    <mergeCell ref="A122:B122"/>
    <mergeCell ref="E122:F131"/>
    <mergeCell ref="F203:H203"/>
    <mergeCell ref="F208:H208"/>
    <mergeCell ref="A120:B120"/>
    <mergeCell ref="C120:H120"/>
    <mergeCell ref="A121:B121"/>
    <mergeCell ref="E121:F121"/>
    <mergeCell ref="G122:H131"/>
    <mergeCell ref="A130:B130"/>
    <mergeCell ref="A238:B238"/>
    <mergeCell ref="A208:E208"/>
    <mergeCell ref="E220:F220"/>
    <mergeCell ref="G220:H220"/>
    <mergeCell ref="A221:B221"/>
    <mergeCell ref="A39:D39"/>
    <mergeCell ref="E39:H39"/>
    <mergeCell ref="F31:H31"/>
    <mergeCell ref="F32:H32"/>
    <mergeCell ref="A38:H38"/>
    <mergeCell ref="A69:C69"/>
    <mergeCell ref="A70:C70"/>
    <mergeCell ref="D69:H69"/>
    <mergeCell ref="E94:F103"/>
    <mergeCell ref="G94:H103"/>
    <mergeCell ref="A102:B102"/>
    <mergeCell ref="A103:B103"/>
    <mergeCell ref="D70:H70"/>
    <mergeCell ref="A41:D41"/>
    <mergeCell ref="E41:H41"/>
    <mergeCell ref="E42:H42"/>
    <mergeCell ref="E43:H43"/>
    <mergeCell ref="E44:H44"/>
    <mergeCell ref="A42:D42"/>
    <mergeCell ref="F34:H34"/>
    <mergeCell ref="A36:B36"/>
    <mergeCell ref="E36:F36"/>
    <mergeCell ref="C36:D36"/>
    <mergeCell ref="G36:H36"/>
    <mergeCell ref="A43:D43"/>
    <mergeCell ref="A44:D44"/>
    <mergeCell ref="A45:H45"/>
    <mergeCell ref="D60:H60"/>
    <mergeCell ref="A60:C60"/>
    <mergeCell ref="G48:H48"/>
    <mergeCell ref="A49:B50"/>
    <mergeCell ref="A100:B100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5:B15"/>
    <mergeCell ref="C15:H15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93:B93"/>
    <mergeCell ref="A96:B96"/>
    <mergeCell ref="A92:B92"/>
    <mergeCell ref="A90:B90"/>
    <mergeCell ref="C90:H90"/>
    <mergeCell ref="A98:B98"/>
    <mergeCell ref="A71:C71"/>
    <mergeCell ref="D71:H71"/>
    <mergeCell ref="C92:H92"/>
    <mergeCell ref="A95:B95"/>
    <mergeCell ref="A97:B97"/>
    <mergeCell ref="E93:F93"/>
    <mergeCell ref="A72:C72"/>
    <mergeCell ref="D72:H72"/>
    <mergeCell ref="A75:C75"/>
    <mergeCell ref="D75:H75"/>
    <mergeCell ref="A73:C73"/>
    <mergeCell ref="D73:H73"/>
    <mergeCell ref="A74:C74"/>
    <mergeCell ref="D74:H74"/>
    <mergeCell ref="A94:B94"/>
    <mergeCell ref="G93:H93"/>
    <mergeCell ref="E80:F89"/>
    <mergeCell ref="G80:H89"/>
    <mergeCell ref="A81:B81"/>
    <mergeCell ref="A82:B82"/>
    <mergeCell ref="A83:B83"/>
    <mergeCell ref="A84:B84"/>
    <mergeCell ref="A85:B85"/>
    <mergeCell ref="A86:B86"/>
    <mergeCell ref="A87:B87"/>
    <mergeCell ref="A88:B88"/>
    <mergeCell ref="A574:H577"/>
    <mergeCell ref="A573:B573"/>
    <mergeCell ref="E573:F573"/>
    <mergeCell ref="C573:D573"/>
    <mergeCell ref="G573:H573"/>
    <mergeCell ref="A217:H217"/>
    <mergeCell ref="A215:E215"/>
    <mergeCell ref="F215:H215"/>
    <mergeCell ref="A216:E216"/>
    <mergeCell ref="F216:H216"/>
    <mergeCell ref="A219:B219"/>
    <mergeCell ref="A569:H569"/>
    <mergeCell ref="A222:H222"/>
    <mergeCell ref="A572:H572"/>
    <mergeCell ref="A570:H570"/>
    <mergeCell ref="A566:H566"/>
    <mergeCell ref="A567:H567"/>
    <mergeCell ref="E223:F223"/>
    <mergeCell ref="B561:H561"/>
    <mergeCell ref="B563:H563"/>
    <mergeCell ref="G237:H237"/>
    <mergeCell ref="G235:H235"/>
    <mergeCell ref="G236:H236"/>
    <mergeCell ref="G238:H238"/>
    <mergeCell ref="B559:H559"/>
    <mergeCell ref="B555:H555"/>
    <mergeCell ref="A230:H230"/>
    <mergeCell ref="A231:H231"/>
    <mergeCell ref="A229:B229"/>
    <mergeCell ref="B553:H553"/>
    <mergeCell ref="B554:H554"/>
    <mergeCell ref="B556:H556"/>
    <mergeCell ref="A79:B79"/>
    <mergeCell ref="E79:F79"/>
    <mergeCell ref="G79:H79"/>
    <mergeCell ref="A80:B80"/>
    <mergeCell ref="G47:H47"/>
    <mergeCell ref="G49:H49"/>
    <mergeCell ref="D58:H58"/>
    <mergeCell ref="C49:E49"/>
    <mergeCell ref="D62:H62"/>
    <mergeCell ref="D63:H63"/>
    <mergeCell ref="C48:E48"/>
    <mergeCell ref="C55:E55"/>
    <mergeCell ref="A48:B48"/>
    <mergeCell ref="A57:H57"/>
    <mergeCell ref="A58:C58"/>
    <mergeCell ref="A59:C59"/>
    <mergeCell ref="D59:H59"/>
    <mergeCell ref="G55:H55"/>
    <mergeCell ref="D68:H68"/>
    <mergeCell ref="A55:B56"/>
    <mergeCell ref="C56:H56"/>
    <mergeCell ref="D66:H66"/>
    <mergeCell ref="C50:H50"/>
    <mergeCell ref="A53:B54"/>
    <mergeCell ref="C53:E53"/>
    <mergeCell ref="G53:H53"/>
    <mergeCell ref="C54:H54"/>
    <mergeCell ref="A89:B89"/>
    <mergeCell ref="A51:B52"/>
    <mergeCell ref="C51:E51"/>
    <mergeCell ref="G51:H51"/>
    <mergeCell ref="C52:H52"/>
    <mergeCell ref="E40:H40"/>
    <mergeCell ref="A40:D40"/>
    <mergeCell ref="A571:H571"/>
    <mergeCell ref="A568:H568"/>
    <mergeCell ref="A223:B223"/>
    <mergeCell ref="D248:D249"/>
    <mergeCell ref="E248:E249"/>
    <mergeCell ref="G248:H249"/>
    <mergeCell ref="A112:B112"/>
    <mergeCell ref="A113:B113"/>
    <mergeCell ref="A114:B114"/>
    <mergeCell ref="A104:B104"/>
    <mergeCell ref="C104:H104"/>
    <mergeCell ref="A128:B128"/>
    <mergeCell ref="A99:B99"/>
    <mergeCell ref="F204:H204"/>
    <mergeCell ref="G219:H219"/>
    <mergeCell ref="A131:B131"/>
    <mergeCell ref="A47:B47"/>
    <mergeCell ref="C47:E47"/>
    <mergeCell ref="D61:H61"/>
    <mergeCell ref="A61:C68"/>
    <mergeCell ref="A76:B76"/>
    <mergeCell ref="C76:H76"/>
    <mergeCell ref="A78:B78"/>
    <mergeCell ref="C78:H78"/>
    <mergeCell ref="B565:H565"/>
    <mergeCell ref="A160:B160"/>
    <mergeCell ref="C160:D160"/>
    <mergeCell ref="E160:F160"/>
    <mergeCell ref="G160:H160"/>
    <mergeCell ref="B562:H562"/>
    <mergeCell ref="A146:B146"/>
    <mergeCell ref="C146:H146"/>
    <mergeCell ref="A148:B148"/>
    <mergeCell ref="C148:H148"/>
    <mergeCell ref="A149:B149"/>
    <mergeCell ref="E149:F149"/>
    <mergeCell ref="G149:H149"/>
    <mergeCell ref="A150:B150"/>
    <mergeCell ref="E150:F159"/>
    <mergeCell ref="G150:H159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B557:H557"/>
    <mergeCell ref="A552:H552"/>
    <mergeCell ref="C232:C233"/>
    <mergeCell ref="B248:B249"/>
    <mergeCell ref="E218:F218"/>
    <mergeCell ref="A218:B218"/>
    <mergeCell ref="F211:H211"/>
    <mergeCell ref="F212:H212"/>
  </mergeCells>
  <hyperlinks>
    <hyperlink ref="C37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17" max="16383" man="1"/>
    <brk id="160" max="16383" man="1"/>
    <brk id="577" max="16383" man="1"/>
    <brk id="62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8" t="s">
        <v>109</v>
      </c>
      <c r="C3" s="208"/>
      <c r="D3" s="208"/>
      <c r="E3" s="208"/>
      <c r="F3" s="208"/>
      <c r="G3" s="208"/>
      <c r="H3" s="208"/>
    </row>
    <row r="4" spans="1:9" x14ac:dyDescent="0.35">
      <c r="A4" s="2"/>
      <c r="B4" s="3" t="s">
        <v>110</v>
      </c>
      <c r="C4" s="3" t="s">
        <v>111</v>
      </c>
      <c r="D4" s="3" t="s">
        <v>72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2025-07-18T07:41:07Z</cp:lastPrinted>
  <dcterms:created xsi:type="dcterms:W3CDTF">2019-07-16T09:29:46Z</dcterms:created>
  <dcterms:modified xsi:type="dcterms:W3CDTF">2025-09-17T05:08:35Z</dcterms:modified>
</cp:coreProperties>
</file>