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Vsjadon\common drive\APF\25-26\Sep 2025\Samman\New\Kunal\21436 - Dwarika Majestica\"/>
    </mc:Choice>
  </mc:AlternateContent>
  <xr:revisionPtr revIDLastSave="0" documentId="13_ncr:1_{96F1AEF7-0BDF-4651-96E1-62E674A5B83A}"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Report!$A$1:$H$422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4" i="1" l="1"/>
  <c r="E158" i="1" s="1"/>
  <c r="G158" i="1"/>
  <c r="C158" i="1"/>
  <c r="L177" i="1"/>
  <c r="M177" i="1" s="1"/>
  <c r="N177" i="1" s="1"/>
  <c r="N241" i="1"/>
  <c r="N229" i="1"/>
  <c r="L229" i="1"/>
  <c r="L241" i="1"/>
  <c r="L208" i="1"/>
  <c r="N208" i="1" s="1"/>
  <c r="N253" i="1"/>
  <c r="N228" i="1"/>
  <c r="G265" i="1"/>
  <c r="G269" i="1"/>
  <c r="G268" i="1"/>
  <c r="E269" i="1"/>
  <c r="D269" i="1"/>
  <c r="E268" i="1"/>
  <c r="D268" i="1"/>
  <c r="E265" i="1"/>
  <c r="D265" i="1"/>
  <c r="E263" i="1"/>
  <c r="D263" i="1"/>
  <c r="E262" i="1"/>
  <c r="D262" i="1"/>
  <c r="E261" i="1"/>
  <c r="D261" i="1"/>
  <c r="E260" i="1"/>
  <c r="D260" i="1"/>
  <c r="E259" i="1"/>
  <c r="D259" i="1"/>
  <c r="E257" i="1"/>
  <c r="D257" i="1"/>
  <c r="E256" i="1"/>
  <c r="D256" i="1"/>
  <c r="E255" i="1"/>
  <c r="D255" i="1"/>
  <c r="E254" i="1"/>
  <c r="D254" i="1"/>
  <c r="E253" i="1"/>
  <c r="D253" i="1"/>
  <c r="C157" i="1" s="1"/>
  <c r="E248" i="1"/>
  <c r="D248" i="1"/>
  <c r="E247" i="1"/>
  <c r="D247" i="1"/>
  <c r="E245" i="1"/>
  <c r="D245" i="1"/>
  <c r="E243" i="1"/>
  <c r="D243" i="1"/>
  <c r="E241" i="1"/>
  <c r="D241" i="1"/>
  <c r="E240" i="1"/>
  <c r="D240" i="1"/>
  <c r="E237" i="1"/>
  <c r="D237" i="1"/>
  <c r="E236" i="1"/>
  <c r="D236" i="1"/>
  <c r="E235" i="1"/>
  <c r="D235" i="1"/>
  <c r="E234" i="1"/>
  <c r="D234" i="1"/>
  <c r="E233" i="1"/>
  <c r="D233" i="1"/>
  <c r="E232" i="1"/>
  <c r="D232" i="1"/>
  <c r="E231" i="1"/>
  <c r="D231" i="1"/>
  <c r="E230" i="1"/>
  <c r="D230" i="1"/>
  <c r="E229" i="1"/>
  <c r="D229" i="1"/>
  <c r="E228" i="1"/>
  <c r="D228" i="1"/>
  <c r="E227" i="1"/>
  <c r="D227" i="1"/>
  <c r="E223" i="1"/>
  <c r="D223" i="1"/>
  <c r="E221" i="1"/>
  <c r="D221" i="1"/>
  <c r="E218" i="1"/>
  <c r="D218" i="1"/>
  <c r="E216" i="1"/>
  <c r="D216" i="1"/>
  <c r="E214" i="1"/>
  <c r="D214" i="1"/>
  <c r="E213" i="1"/>
  <c r="D213" i="1"/>
  <c r="E212" i="1"/>
  <c r="D212" i="1"/>
  <c r="E211" i="1"/>
  <c r="D211" i="1"/>
  <c r="E210" i="1"/>
  <c r="D210" i="1"/>
  <c r="E209" i="1"/>
  <c r="D209" i="1"/>
  <c r="E208" i="1"/>
  <c r="D208" i="1"/>
  <c r="E207" i="1"/>
  <c r="D207" i="1"/>
  <c r="E205" i="1"/>
  <c r="D205" i="1"/>
  <c r="E204" i="1"/>
  <c r="D204" i="1"/>
  <c r="E203" i="1"/>
  <c r="D203" i="1"/>
  <c r="E202" i="1"/>
  <c r="D202" i="1"/>
  <c r="E199" i="1"/>
  <c r="D199" i="1"/>
  <c r="E198" i="1"/>
  <c r="D198" i="1"/>
  <c r="E193" i="1"/>
  <c r="D193" i="1"/>
  <c r="E192" i="1"/>
  <c r="D192" i="1"/>
  <c r="E190" i="1"/>
  <c r="D190" i="1"/>
  <c r="E189" i="1"/>
  <c r="D189" i="1"/>
  <c r="E186" i="1"/>
  <c r="D186" i="1"/>
  <c r="E185" i="1"/>
  <c r="D185" i="1"/>
  <c r="E183" i="1"/>
  <c r="D183" i="1"/>
  <c r="E182" i="1"/>
  <c r="D182" i="1"/>
  <c r="E181" i="1"/>
  <c r="D181" i="1"/>
  <c r="E180" i="1"/>
  <c r="D180" i="1"/>
  <c r="E179" i="1"/>
  <c r="D179" i="1"/>
  <c r="E178" i="1"/>
  <c r="D178" i="1"/>
  <c r="E177" i="1"/>
  <c r="D177" i="1"/>
  <c r="E176" i="1"/>
  <c r="D176" i="1"/>
  <c r="E175" i="1"/>
  <c r="D175" i="1"/>
  <c r="E174" i="1"/>
  <c r="D174" i="1"/>
  <c r="J181" i="1"/>
  <c r="J174" i="1"/>
  <c r="J175" i="1"/>
  <c r="K175" i="1"/>
  <c r="A266" i="1"/>
  <c r="A267" i="1" s="1"/>
  <c r="A268" i="1" s="1"/>
  <c r="A269" i="1" s="1"/>
  <c r="A260" i="1"/>
  <c r="A261" i="1" s="1"/>
  <c r="A262" i="1" s="1"/>
  <c r="A263" i="1" s="1"/>
  <c r="A254" i="1"/>
  <c r="A255" i="1" s="1"/>
  <c r="A256" i="1" s="1"/>
  <c r="A257" i="1" s="1"/>
  <c r="A240" i="1"/>
  <c r="A241" i="1" s="1"/>
  <c r="A242" i="1" s="1"/>
  <c r="A243" i="1" s="1"/>
  <c r="A244" i="1" s="1"/>
  <c r="A245" i="1" s="1"/>
  <c r="A246" i="1" s="1"/>
  <c r="A247" i="1" s="1"/>
  <c r="A248" i="1" s="1"/>
  <c r="A249" i="1" s="1"/>
  <c r="A228" i="1"/>
  <c r="A229" i="1" s="1"/>
  <c r="A230" i="1" s="1"/>
  <c r="A231" i="1" s="1"/>
  <c r="A232" i="1" s="1"/>
  <c r="A233" i="1" s="1"/>
  <c r="A234" i="1" s="1"/>
  <c r="A235" i="1" s="1"/>
  <c r="A236" i="1" s="1"/>
  <c r="A237" i="1" s="1"/>
  <c r="A199" i="1"/>
  <c r="A200" i="1" s="1"/>
  <c r="A201" i="1" s="1"/>
  <c r="A202" i="1" s="1"/>
  <c r="A203" i="1" s="1"/>
  <c r="A204" i="1" s="1"/>
  <c r="A205" i="1" s="1"/>
  <c r="A217" i="1"/>
  <c r="A218" i="1" s="1"/>
  <c r="A219" i="1" s="1"/>
  <c r="A220" i="1" s="1"/>
  <c r="A221" i="1" s="1"/>
  <c r="A222" i="1" s="1"/>
  <c r="A223" i="1" s="1"/>
  <c r="A208" i="1"/>
  <c r="A209" i="1" s="1"/>
  <c r="A210" i="1" s="1"/>
  <c r="A211" i="1" s="1"/>
  <c r="A212" i="1" s="1"/>
  <c r="A213" i="1" s="1"/>
  <c r="A214" i="1" s="1"/>
  <c r="A186" i="1"/>
  <c r="A187" i="1" s="1"/>
  <c r="A188" i="1" s="1"/>
  <c r="A189" i="1" s="1"/>
  <c r="A190" i="1" s="1"/>
  <c r="A191" i="1" s="1"/>
  <c r="A192" i="1" s="1"/>
  <c r="A193" i="1" s="1"/>
  <c r="A194" i="1" s="1"/>
  <c r="E43" i="1"/>
  <c r="C120" i="1"/>
  <c r="C78" i="1"/>
  <c r="L187" i="1" l="1"/>
  <c r="M187" i="1" s="1"/>
  <c r="N187" i="1" s="1"/>
  <c r="L175" i="1"/>
  <c r="M175" i="1" s="1"/>
  <c r="N175" i="1" s="1"/>
  <c r="L186" i="1"/>
  <c r="M186" i="1" s="1"/>
  <c r="N186" i="1" s="1"/>
  <c r="L198" i="1"/>
  <c r="N198" i="1" s="1"/>
  <c r="L176" i="1"/>
  <c r="M176" i="1" s="1"/>
  <c r="N176" i="1" s="1"/>
  <c r="L185" i="1"/>
  <c r="M185" i="1" s="1"/>
  <c r="N185" i="1" s="1"/>
  <c r="L184" i="1"/>
  <c r="M184" i="1" s="1"/>
  <c r="N184" i="1" s="1"/>
  <c r="L196" i="1"/>
  <c r="L183" i="1"/>
  <c r="M183" i="1" s="1"/>
  <c r="N183" i="1" s="1"/>
  <c r="L195" i="1"/>
  <c r="L188" i="1"/>
  <c r="M188" i="1" s="1"/>
  <c r="N188" i="1" s="1"/>
  <c r="L194" i="1"/>
  <c r="L193" i="1"/>
  <c r="M193" i="1" s="1"/>
  <c r="N193" i="1" s="1"/>
  <c r="L181" i="1"/>
  <c r="M181" i="1" s="1"/>
  <c r="N181" i="1" s="1"/>
  <c r="L199" i="1"/>
  <c r="L197" i="1"/>
  <c r="L182" i="1"/>
  <c r="M182" i="1" s="1"/>
  <c r="N182" i="1" s="1"/>
  <c r="L192" i="1"/>
  <c r="M192" i="1" s="1"/>
  <c r="N192" i="1" s="1"/>
  <c r="L180" i="1"/>
  <c r="M180" i="1" s="1"/>
  <c r="N180" i="1" s="1"/>
  <c r="L191" i="1"/>
  <c r="M191" i="1" s="1"/>
  <c r="N191" i="1" s="1"/>
  <c r="L179" i="1"/>
  <c r="M179" i="1" s="1"/>
  <c r="N179" i="1" s="1"/>
  <c r="L190" i="1"/>
  <c r="M190" i="1" s="1"/>
  <c r="N190" i="1" s="1"/>
  <c r="L178" i="1"/>
  <c r="M178" i="1" s="1"/>
  <c r="N178" i="1" s="1"/>
  <c r="L174" i="1"/>
  <c r="M174" i="1" s="1"/>
  <c r="N174" i="1" s="1"/>
  <c r="L189" i="1"/>
  <c r="M189" i="1" s="1"/>
  <c r="N189" i="1" s="1"/>
  <c r="C154" i="1"/>
  <c r="C155" i="1"/>
  <c r="F262" i="1"/>
  <c r="H262" i="1" s="1"/>
  <c r="F223" i="1"/>
  <c r="H223" i="1" s="1"/>
  <c r="F234" i="1"/>
  <c r="H234" i="1" s="1"/>
  <c r="F240" i="1"/>
  <c r="H240" i="1" s="1"/>
  <c r="F227" i="1"/>
  <c r="H227" i="1" s="1"/>
  <c r="F253" i="1"/>
  <c r="H253" i="1" s="1"/>
  <c r="C156" i="1"/>
  <c r="F260" i="1"/>
  <c r="H260" i="1" s="1"/>
  <c r="F257" i="1"/>
  <c r="H257" i="1" s="1"/>
  <c r="F254" i="1"/>
  <c r="H254" i="1" s="1"/>
  <c r="F259" i="1"/>
  <c r="H259" i="1" s="1"/>
  <c r="F263" i="1"/>
  <c r="H263" i="1" s="1"/>
  <c r="F181" i="1"/>
  <c r="H181" i="1" s="1"/>
  <c r="F186" i="1"/>
  <c r="H186" i="1" s="1"/>
  <c r="F208" i="1"/>
  <c r="H208" i="1" s="1"/>
  <c r="F248" i="1"/>
  <c r="H248" i="1" s="1"/>
  <c r="F185" i="1"/>
  <c r="H185" i="1" s="1"/>
  <c r="F192" i="1"/>
  <c r="H192" i="1" s="1"/>
  <c r="F202" i="1"/>
  <c r="H202" i="1" s="1"/>
  <c r="F207" i="1"/>
  <c r="H207" i="1" s="1"/>
  <c r="F261" i="1"/>
  <c r="H261" i="1" s="1"/>
  <c r="F268" i="1"/>
  <c r="H268" i="1" s="1"/>
  <c r="F233" i="1"/>
  <c r="H233" i="1" s="1"/>
  <c r="F218" i="1"/>
  <c r="H218" i="1" s="1"/>
  <c r="F269" i="1"/>
  <c r="H269" i="1" s="1"/>
  <c r="F265" i="1"/>
  <c r="H265" i="1" s="1"/>
  <c r="F256" i="1"/>
  <c r="H256" i="1" s="1"/>
  <c r="F255" i="1"/>
  <c r="H255" i="1" s="1"/>
  <c r="F247" i="1"/>
  <c r="H247" i="1" s="1"/>
  <c r="F245" i="1"/>
  <c r="H245" i="1" s="1"/>
  <c r="F243" i="1"/>
  <c r="H243" i="1" s="1"/>
  <c r="F241" i="1"/>
  <c r="H241" i="1" s="1"/>
  <c r="F237" i="1"/>
  <c r="H237" i="1" s="1"/>
  <c r="F236" i="1"/>
  <c r="H236" i="1" s="1"/>
  <c r="F235" i="1"/>
  <c r="H235" i="1" s="1"/>
  <c r="F232" i="1"/>
  <c r="H232" i="1" s="1"/>
  <c r="F231" i="1"/>
  <c r="H231" i="1" s="1"/>
  <c r="F230" i="1"/>
  <c r="H230" i="1" s="1"/>
  <c r="F229" i="1"/>
  <c r="H229" i="1" s="1"/>
  <c r="F228" i="1"/>
  <c r="H228" i="1" s="1"/>
  <c r="F221" i="1"/>
  <c r="H221" i="1" s="1"/>
  <c r="F216" i="1"/>
  <c r="H216" i="1" s="1"/>
  <c r="F214" i="1"/>
  <c r="H214" i="1" s="1"/>
  <c r="F213" i="1"/>
  <c r="H213" i="1" s="1"/>
  <c r="F212" i="1"/>
  <c r="H212" i="1" s="1"/>
  <c r="F211" i="1"/>
  <c r="H211" i="1" s="1"/>
  <c r="F210" i="1"/>
  <c r="H210" i="1" s="1"/>
  <c r="F209" i="1"/>
  <c r="H209" i="1" s="1"/>
  <c r="F205" i="1"/>
  <c r="H205" i="1" s="1"/>
  <c r="F204" i="1"/>
  <c r="H204" i="1" s="1"/>
  <c r="F203" i="1"/>
  <c r="H203" i="1" s="1"/>
  <c r="F199" i="1"/>
  <c r="H199" i="1" s="1"/>
  <c r="F198" i="1"/>
  <c r="F193" i="1"/>
  <c r="H193" i="1" s="1"/>
  <c r="F189" i="1"/>
  <c r="H189" i="1" s="1"/>
  <c r="F190" i="1"/>
  <c r="H190" i="1" s="1"/>
  <c r="F183" i="1"/>
  <c r="H183" i="1" s="1"/>
  <c r="F182" i="1"/>
  <c r="H182" i="1" s="1"/>
  <c r="F180" i="1"/>
  <c r="H180" i="1" s="1"/>
  <c r="F179" i="1"/>
  <c r="H179" i="1" s="1"/>
  <c r="F178" i="1"/>
  <c r="H178" i="1" s="1"/>
  <c r="F164" i="1"/>
  <c r="B38" i="6"/>
  <c r="B39" i="6" s="1"/>
  <c r="B40" i="6" s="1"/>
  <c r="B41" i="6" s="1"/>
  <c r="B42" i="6" s="1"/>
  <c r="B43" i="6" s="1"/>
  <c r="B44" i="6" s="1"/>
  <c r="B45" i="6" s="1"/>
  <c r="B46" i="6" s="1"/>
  <c r="B47" i="6" s="1"/>
  <c r="B48" i="6" s="1"/>
  <c r="B49" i="6" s="1"/>
  <c r="B50" i="6" s="1"/>
  <c r="B51" i="6" s="1"/>
  <c r="B52" i="6" s="1"/>
  <c r="B53" i="6" s="1"/>
  <c r="B54" i="6" s="1"/>
  <c r="G157" i="1" l="1"/>
  <c r="G156" i="1"/>
  <c r="E156" i="1"/>
  <c r="H198" i="1"/>
  <c r="G155" i="1" s="1"/>
  <c r="E155" i="1"/>
  <c r="E157" i="1"/>
  <c r="H164" i="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97" i="1"/>
  <c r="B273" i="1"/>
  <c r="B272" i="1"/>
  <c r="F177" i="1"/>
  <c r="H177" i="1" s="1"/>
  <c r="F176" i="1"/>
  <c r="H176" i="1" s="1"/>
  <c r="F175" i="1"/>
  <c r="H175" i="1" s="1"/>
  <c r="A175" i="1"/>
  <c r="A176" i="1" s="1"/>
  <c r="A177" i="1" s="1"/>
  <c r="A178" i="1" s="1"/>
  <c r="A179" i="1" s="1"/>
  <c r="A180" i="1" s="1"/>
  <c r="A181" i="1" s="1"/>
  <c r="A182" i="1" s="1"/>
  <c r="A183" i="1" s="1"/>
  <c r="F174" i="1"/>
  <c r="F167" i="1"/>
  <c r="H167" i="1" s="1"/>
  <c r="F166" i="1"/>
  <c r="H166" i="1" s="1"/>
  <c r="F165" i="1"/>
  <c r="H165" i="1" s="1"/>
  <c r="A165" i="1"/>
  <c r="A166" i="1" s="1"/>
  <c r="A167" i="1" s="1"/>
  <c r="F146" i="1"/>
  <c r="C106" i="1"/>
  <c r="C92" i="1"/>
  <c r="B79" i="1"/>
  <c r="D72" i="1"/>
  <c r="D64" i="1"/>
  <c r="G57" i="1"/>
  <c r="C57" i="1"/>
  <c r="K55" i="1"/>
  <c r="C55" i="1"/>
  <c r="G51" i="1"/>
  <c r="C51" i="1"/>
  <c r="E44" i="1"/>
  <c r="E45" i="1" s="1"/>
  <c r="S33" i="1"/>
  <c r="E31" i="1"/>
  <c r="E28" i="1"/>
  <c r="E26" i="1"/>
  <c r="C16" i="1"/>
  <c r="I15" i="1"/>
  <c r="Z13" i="1"/>
  <c r="E8" i="1"/>
  <c r="E3" i="1"/>
  <c r="B283" i="1" s="1"/>
  <c r="H93" i="1"/>
  <c r="H107" i="1"/>
  <c r="H174" i="1" l="1"/>
  <c r="G154" i="1" s="1"/>
  <c r="E42" i="7"/>
  <c r="J86" i="1"/>
  <c r="J87" i="1"/>
  <c r="B107" i="1"/>
  <c r="J115" i="1" s="1"/>
  <c r="I42" i="7"/>
  <c r="H42" i="7" s="1"/>
  <c r="L42" i="7"/>
  <c r="K42" i="7" s="1"/>
  <c r="J92" i="1"/>
  <c r="J94" i="1" s="1"/>
  <c r="D101" i="1"/>
  <c r="D100" i="1"/>
  <c r="D105" i="1"/>
  <c r="D99" i="1"/>
  <c r="J95" i="1"/>
  <c r="D104" i="1"/>
  <c r="J97" i="1"/>
  <c r="D98" i="1"/>
  <c r="D103" i="1"/>
  <c r="J96" i="1"/>
  <c r="D102" i="1"/>
  <c r="D116" i="1"/>
  <c r="J110" i="1"/>
  <c r="J106" i="1"/>
  <c r="J108" i="1" s="1"/>
  <c r="J109" i="1"/>
  <c r="D114" i="1"/>
  <c r="D119" i="1"/>
  <c r="D113" i="1"/>
  <c r="D118" i="1"/>
  <c r="D112" i="1"/>
  <c r="D115" i="1"/>
  <c r="J111" i="1"/>
  <c r="C110" i="1" s="1"/>
  <c r="D110" i="1" s="1"/>
  <c r="D117" i="1"/>
  <c r="D42" i="7"/>
  <c r="L55" i="1"/>
  <c r="B93" i="1"/>
  <c r="J88" i="1"/>
  <c r="J89" i="1"/>
  <c r="I52" i="1"/>
  <c r="H79" i="1"/>
  <c r="D90" i="1" l="1"/>
  <c r="D84" i="1"/>
  <c r="J84" i="1"/>
  <c r="J85" i="1" s="1"/>
  <c r="J90" i="1" s="1"/>
  <c r="J91" i="1" s="1"/>
  <c r="C83" i="1" s="1"/>
  <c r="E82" i="1" s="1"/>
  <c r="J83" i="1"/>
  <c r="C82" i="1" s="1"/>
  <c r="D82" i="1" s="1"/>
  <c r="D89" i="1"/>
  <c r="D88" i="1"/>
  <c r="J78" i="1"/>
  <c r="J80" i="1" s="1"/>
  <c r="D87" i="1"/>
  <c r="D91" i="1"/>
  <c r="D85" i="1"/>
  <c r="J82" i="1"/>
  <c r="J81" i="1"/>
  <c r="D86" i="1"/>
  <c r="J117" i="1"/>
  <c r="J116" i="1"/>
  <c r="D44" i="7"/>
  <c r="E44" i="7"/>
  <c r="J114" i="1"/>
  <c r="J112" i="1"/>
  <c r="J113" i="1" s="1"/>
  <c r="J118" i="1" s="1"/>
  <c r="J119" i="1" s="1"/>
  <c r="C111" i="1" s="1"/>
  <c r="G110" i="1" s="1"/>
  <c r="D96" i="1"/>
  <c r="J101" i="1"/>
  <c r="J98" i="1"/>
  <c r="J99" i="1" s="1"/>
  <c r="J104" i="1" s="1"/>
  <c r="J105" i="1" s="1"/>
  <c r="J103" i="1"/>
  <c r="J100" i="1"/>
  <c r="J102" i="1"/>
  <c r="B121" i="1" l="1"/>
  <c r="G82" i="1"/>
  <c r="D76" i="1" s="1"/>
  <c r="D77" i="1" s="1"/>
  <c r="D83" i="1"/>
  <c r="I79" i="1" s="1"/>
  <c r="I80" i="1" s="1"/>
  <c r="D111" i="1"/>
  <c r="I107" i="1" s="1"/>
  <c r="I108" i="1" s="1"/>
  <c r="J107" i="1"/>
  <c r="E110" i="1"/>
  <c r="J79" i="1"/>
  <c r="E96" i="1"/>
  <c r="D97" i="1"/>
  <c r="I93" i="1" s="1"/>
  <c r="J93" i="1"/>
  <c r="G96" i="1"/>
  <c r="H121" i="1"/>
  <c r="D133" i="1" l="1"/>
  <c r="D132" i="1"/>
  <c r="D128" i="1"/>
  <c r="J124" i="1"/>
  <c r="D131" i="1"/>
  <c r="D126" i="1"/>
  <c r="J125" i="1"/>
  <c r="C124" i="1" s="1"/>
  <c r="J123" i="1"/>
  <c r="J120" i="1"/>
  <c r="J122" i="1" s="1"/>
  <c r="D129" i="1"/>
  <c r="D127" i="1"/>
  <c r="D130" i="1"/>
  <c r="J131" i="1"/>
  <c r="J130" i="1"/>
  <c r="J126" i="1"/>
  <c r="J127" i="1" s="1"/>
  <c r="J132" i="1" s="1"/>
  <c r="J133" i="1" s="1"/>
  <c r="C125" i="1" s="1"/>
  <c r="J129" i="1"/>
  <c r="J128" i="1"/>
  <c r="F77" i="1"/>
  <c r="I106" i="1"/>
  <c r="C108" i="1" s="1"/>
  <c r="I78" i="1"/>
  <c r="C80" i="1" s="1"/>
  <c r="I94" i="1"/>
  <c r="I92" i="1" s="1"/>
  <c r="C94" i="1" s="1"/>
  <c r="E124" i="1" l="1"/>
  <c r="D125" i="1"/>
  <c r="G124" i="1"/>
  <c r="D124" i="1"/>
  <c r="J121" i="1" s="1"/>
  <c r="I121" i="1" l="1"/>
  <c r="I122" i="1" l="1"/>
  <c r="I120" i="1" s="1"/>
  <c r="C1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3000000}">
      <text>
        <r>
          <rPr>
            <b/>
            <sz val="9"/>
            <color indexed="81"/>
            <rFont val="Tahoma"/>
            <family val="2"/>
          </rPr>
          <t>SACHIN:</t>
        </r>
        <r>
          <rPr>
            <sz val="9"/>
            <color indexed="81"/>
            <rFont val="Tahoma"/>
            <family val="2"/>
          </rPr>
          <t xml:space="preserve">
Floor with height</t>
        </r>
      </text>
    </comment>
    <comment ref="C58" authorId="1" shapeId="0" xr:uid="{00000000-0006-0000-0000-000004000000}">
      <text>
        <r>
          <rPr>
            <b/>
            <sz val="9"/>
            <color indexed="81"/>
            <rFont val="Tahoma"/>
            <family val="2"/>
          </rPr>
          <t>SACHIN:</t>
        </r>
        <r>
          <rPr>
            <sz val="9"/>
            <color indexed="81"/>
            <rFont val="Tahoma"/>
            <family val="2"/>
          </rPr>
          <t xml:space="preserve">
Survey Nos.</t>
        </r>
      </text>
    </comment>
    <comment ref="D64" authorId="0" shapeId="0" xr:uid="{00000000-0006-0000-0000-000005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39" authorId="1" shapeId="0" xr:uid="{00000000-0006-0000-0000-000006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70" authorId="1" shapeId="0" xr:uid="{00000000-0006-0000-0000-000007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<sst xmlns="http://schemas.openxmlformats.org/spreadsheetml/2006/main" count="836" uniqueCount="452">
  <si>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</si>
  <si>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</si>
  <si>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</si>
  <si>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</si>
  <si>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</si>
  <si>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</si>
  <si>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</si>
  <si>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</si>
  <si>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</si>
  <si>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</si>
  <si>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</si>
  <si>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</si>
  <si>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</si>
  <si>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</si>
  <si>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</si>
  <si>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</si>
  <si>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</si>
  <si>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</si>
  <si>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</si>
  <si>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</si>
  <si>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</si>
  <si>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</si>
  <si>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</si>
  <si>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</si>
  <si>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</si>
  <si>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</si>
  <si>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</si>
  <si>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</si>
  <si>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</si>
  <si>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</si>
  <si>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</si>
  <si>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</si>
  <si>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</si>
  <si>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</si>
  <si>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</si>
  <si>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</si>
  <si>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</si>
  <si>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</si>
  <si>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</si>
  <si>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</si>
  <si>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</si>
  <si>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</si>
  <si>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</si>
  <si>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</si>
  <si>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</si>
  <si>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</si>
  <si>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</si>
  <si>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</si>
  <si>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</si>
  <si>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</si>
  <si>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</si>
  <si>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</si>
  <si>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</si>
  <si>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</si>
  <si>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</si>
  <si>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</si>
  <si>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</si>
  <si>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</si>
  <si>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</si>
  <si>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</si>
  <si>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</si>
  <si>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</si>
  <si>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</si>
  <si>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</si>
  <si>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</si>
  <si>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</si>
  <si>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</si>
  <si>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</si>
  <si>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</si>
  <si>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</si>
  <si>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</si>
  <si>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</si>
  <si>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</si>
  <si>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</si>
  <si>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</si>
  <si>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</si>
  <si>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</si>
  <si>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</si>
  <si>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</si>
  <si>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</si>
  <si>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</si>
  <si>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</si>
  <si>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</si>
  <si>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</si>
  <si>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</si>
  <si>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</si>
  <si>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</si>
  <si>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</si>
  <si>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</si>
  <si>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</si>
  <si>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</si>
  <si>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</si>
  <si>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</si>
  <si>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</si>
  <si>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</si>
  <si>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</si>
  <si>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</si>
  <si>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</si>
  <si>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</si>
  <si>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</si>
  <si>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</si>
  <si>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</si>
  <si>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</si>
  <si>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</si>
  <si>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</si>
  <si>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</si>
  <si>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</si>
  <si>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</si>
  <si>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</si>
  <si>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</si>
  <si>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</si>
  <si>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</si>
  <si>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</si>
  <si>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</si>
  <si>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</si>
  <si>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</si>
  <si>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</si>
  <si>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</si>
  <si>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</si>
  <si>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</si>
  <si>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</si>
  <si>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</si>
  <si>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</si>
  <si>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</si>
  <si>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</si>
  <si>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</si>
  <si>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</si>
  <si>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</si>
  <si>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</si>
  <si>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</si>
  <si>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</si>
  <si>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</si>
  <si>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</si>
  <si>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</si>
  <si>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</si>
  <si>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</si>
  <si>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</si>
  <si>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</si>
  <si>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</si>
  <si>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</si>
  <si>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</si>
  <si>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</si>
  <si>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</si>
  <si>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</si>
  <si>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</si>
  <si>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</si>
  <si>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</si>
  <si>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</si>
  <si>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Only For MCGM &amp; MHADA or SRA</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</si>
  <si>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</si>
  <si>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</si>
  <si>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</si>
  <si>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</si>
  <si>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</si>
  <si>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</si>
  <si>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</si>
  <si>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</si>
  <si>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</si>
  <si>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</si>
  <si>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</si>
  <si>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</si>
  <si>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</si>
  <si>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</si>
  <si>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</si>
  <si>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</si>
  <si>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</si>
  <si>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</si>
  <si>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</si>
  <si>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</si>
  <si>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</si>
  <si>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</si>
  <si>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</si>
  <si>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</si>
  <si>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</si>
  <si>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</si>
  <si>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</si>
  <si>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</si>
  <si>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</si>
  <si>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</si>
  <si>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</si>
  <si>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</si>
  <si>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</si>
  <si>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</si>
  <si>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</si>
  <si>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</si>
  <si>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</si>
  <si>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</si>
  <si>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</si>
  <si>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</si>
  <si>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</si>
  <si>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</si>
  <si>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</si>
  <si>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</si>
  <si>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</si>
  <si>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</si>
  <si>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</si>
  <si>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</si>
  <si>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</si>
  <si>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</si>
  <si>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</si>
  <si>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</si>
  <si>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</si>
  <si>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</si>
  <si>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</si>
  <si>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</si>
  <si>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</si>
  <si>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</si>
  <si>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</si>
  <si>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</si>
  <si>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</si>
  <si>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</si>
  <si>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</si>
  <si>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</si>
  <si>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</si>
  <si>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</si>
  <si>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</si>
  <si>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</si>
  <si>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</si>
  <si>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</si>
  <si>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</si>
  <si>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</si>
  <si>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</si>
  <si>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</si>
  <si>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</si>
  <si>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</si>
  <si>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</si>
  <si>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</si>
  <si>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</si>
  <si>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</si>
  <si>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</si>
  <si>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</si>
  <si>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</si>
  <si>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</si>
  <si>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</si>
  <si>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</si>
  <si>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</si>
  <si>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</si>
  <si>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</si>
  <si>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</si>
  <si>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</si>
  <si>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</si>
  <si>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</si>
  <si>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</si>
  <si>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</si>
  <si>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</si>
  <si>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</si>
  <si>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</si>
  <si>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</si>
  <si>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</si>
  <si>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</si>
  <si>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</si>
  <si>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</si>
  <si>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</si>
  <si>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</si>
  <si>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</si>
  <si>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</si>
  <si>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</si>
  <si>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</si>
  <si>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</si>
  <si>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</si>
  <si>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</si>
  <si>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</si>
  <si>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</si>
  <si>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</si>
  <si>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</si>
  <si>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</si>
  <si>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</si>
  <si>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</si>
  <si>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</si>
  <si>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</si>
  <si>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</si>
  <si>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</si>
  <si>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</si>
  <si>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</si>
  <si>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</si>
  <si>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</si>
  <si>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</si>
  <si>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</si>
  <si>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</si>
  <si>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</si>
  <si>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</si>
  <si>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</si>
  <si>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</si>
  <si>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</si>
  <si>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</si>
  <si>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</si>
  <si>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</si>
  <si>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</si>
  <si>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</si>
  <si>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</si>
  <si>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</si>
  <si>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</si>
  <si>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</si>
  <si>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</si>
  <si>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</si>
  <si>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</si>
  <si>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</si>
  <si>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</si>
  <si>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</si>
  <si>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</si>
  <si>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</si>
  <si>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</si>
  <si>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</si>
  <si>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</si>
  <si>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</si>
  <si>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</si>
  <si>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</si>
  <si>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</si>
  <si>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</si>
  <si>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</si>
  <si>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</si>
  <si>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</si>
  <si>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</si>
  <si>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</si>
  <si>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</si>
  <si>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</si>
  <si>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</si>
  <si>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</si>
  <si>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</si>
  <si>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</si>
  <si>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</si>
  <si>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</si>
  <si>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</si>
  <si>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</si>
  <si>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</si>
  <si>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</si>
  <si>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</si>
  <si>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</si>
  <si>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</si>
  <si>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</si>
  <si>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</si>
  <si>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</si>
  <si>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</si>
  <si>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</si>
  <si>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</si>
  <si>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</si>
  <si>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</si>
  <si>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</si>
  <si>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</si>
  <si>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</si>
  <si>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</si>
  <si>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</si>
  <si>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</si>
  <si>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</si>
  <si>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</si>
  <si>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</si>
  <si>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</si>
  <si>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</si>
  <si>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</si>
  <si>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</si>
  <si>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</si>
  <si>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</si>
  <si>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</si>
  <si>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</si>
  <si>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</si>
  <si>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</si>
  <si>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</si>
  <si>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</si>
  <si>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</si>
  <si>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</si>
  <si>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</si>
  <si>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</si>
  <si>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</si>
  <si>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</si>
  <si>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</si>
  <si>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</si>
  <si>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</si>
  <si>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</si>
  <si>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</si>
  <si>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</si>
  <si>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</si>
  <si>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</si>
  <si>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</si>
  <si>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</si>
  <si>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</si>
  <si>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</si>
  <si>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</si>
  <si>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</si>
  <si>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</si>
  <si>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</si>
  <si>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</si>
  <si>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</si>
  <si>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</si>
  <si>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</si>
  <si>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</si>
  <si>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Namastey Group</t>
  </si>
  <si>
    <t>Dwarika Majestica</t>
  </si>
  <si>
    <t>Mr. Rakesh Sontakke 8828805353</t>
  </si>
  <si>
    <t>Mr. Rushikesh Joshi 8169522120</t>
  </si>
  <si>
    <t>Wing A to D</t>
  </si>
  <si>
    <t>PR1270002500093</t>
  </si>
  <si>
    <t>Survey No</t>
  </si>
  <si>
    <t>164/3/B, 164/4/A/5 &amp; 164/4/A/6</t>
  </si>
  <si>
    <t>Rees</t>
  </si>
  <si>
    <t>Rasayani</t>
  </si>
  <si>
    <t>Dand apta Road</t>
  </si>
  <si>
    <t>Mangal Niwas Building</t>
  </si>
  <si>
    <t>18.892747,73.199245</t>
  </si>
  <si>
    <t>https://maps.app.goo.gl/ANwPA7iaJXyQDW2u9</t>
  </si>
  <si>
    <t>MSRDC/SPA/Rees/BP-616/CC/2025/1339</t>
  </si>
  <si>
    <t>Total Builtup Area (Wing A to D) = 11598.862 Sqm</t>
  </si>
  <si>
    <r>
      <t xml:space="preserve">Proposed Amenities :                                                                                                                                                                                                                         </t>
    </r>
    <r>
      <rPr>
        <b/>
        <sz val="12"/>
        <rFont val="Times New Roman"/>
        <family val="1"/>
      </rPr>
      <t xml:space="preserve">                                               </t>
    </r>
  </si>
  <si>
    <t>Gymnasium, Jogging Track, Club House, Recreational Area, Landscaped Garden, Children's Play Area, Well Designed Lobbies, etc.</t>
  </si>
  <si>
    <t>C Wing = Gr + 1st to 7th Floor</t>
  </si>
  <si>
    <t>D Wing = Gr + 1st to 7th Floor</t>
  </si>
  <si>
    <r>
      <t xml:space="preserve">Shop No.
</t>
    </r>
    <r>
      <rPr>
        <b/>
        <sz val="11"/>
        <rFont val="Times New Roman"/>
        <family val="1"/>
      </rPr>
      <t>(Approved Plan)</t>
    </r>
  </si>
  <si>
    <r>
      <t xml:space="preserve">Flat No.
</t>
    </r>
    <r>
      <rPr>
        <b/>
        <sz val="11"/>
        <rFont val="Times New Roman"/>
        <family val="1"/>
      </rPr>
      <t>(Approved Plan)</t>
    </r>
  </si>
  <si>
    <t>As per RERA - 31/12/2029</t>
  </si>
  <si>
    <t>04 Wings</t>
  </si>
  <si>
    <t>Kunal Kadam</t>
  </si>
  <si>
    <t>Nitesh patil</t>
  </si>
  <si>
    <t>Construction work is in process at the time of Visit.</t>
  </si>
  <si>
    <t>S.No. 128</t>
  </si>
  <si>
    <t>S.No. 162</t>
  </si>
  <si>
    <t>6.00 M Wide Road</t>
  </si>
  <si>
    <t>A.D.J. H. No. 04</t>
  </si>
  <si>
    <t>Internal Road/Mangalmurti Apartment</t>
  </si>
  <si>
    <t>Open Plot</t>
  </si>
  <si>
    <t>Houses</t>
  </si>
  <si>
    <t>Wing A</t>
  </si>
  <si>
    <t>Ground Floor For Entrance Lobby &amp; Parking</t>
  </si>
  <si>
    <t>1st to 6th Floor For Residential</t>
  </si>
  <si>
    <t>1BHK</t>
  </si>
  <si>
    <t>2BHK</t>
  </si>
  <si>
    <t>Wing B</t>
  </si>
  <si>
    <t>2nd to 6th Floor For Residential</t>
  </si>
  <si>
    <t>Wing C</t>
  </si>
  <si>
    <t>Wing D</t>
  </si>
  <si>
    <t>1st to 5th Floor For Residential</t>
  </si>
  <si>
    <t>6th Floor For Residential</t>
  </si>
  <si>
    <t>3BHK</t>
  </si>
  <si>
    <t>Ground Floor For Entrance Lobby, Meter Room &amp; Parking</t>
  </si>
  <si>
    <t>7th Floor (Part Terrace Area)</t>
  </si>
  <si>
    <t>Terrace Area</t>
  </si>
  <si>
    <t>1st Floor For Residential (Part Society office &amp; Drivers Room)</t>
  </si>
  <si>
    <t>Society Office</t>
  </si>
  <si>
    <t>Drivers Room</t>
  </si>
  <si>
    <t>1RK</t>
  </si>
  <si>
    <t>Balcony Area + Arch Proj + Chajja Area</t>
  </si>
  <si>
    <t>We considered Gross carpet area = Net carpet + Balcony Area + Arch Proj + Chajja Area.</t>
  </si>
  <si>
    <t>17.90KM from Panvel Railway Station</t>
  </si>
  <si>
    <t xml:space="preserve">Details of Residential  in Building   </t>
  </si>
  <si>
    <t>Flats - 221</t>
  </si>
  <si>
    <t>Approved Plans, CC &amp; Cost Sheet.</t>
  </si>
  <si>
    <t xml:space="preserve">Cost sheet </t>
  </si>
  <si>
    <t>6000-7000</t>
  </si>
  <si>
    <t xml:space="preserve">online </t>
  </si>
  <si>
    <t xml:space="preserve">nearby </t>
  </si>
  <si>
    <t>3500-3800</t>
  </si>
  <si>
    <t>Wing A to D  = Gr + 1st to 7th Floor</t>
  </si>
  <si>
    <t>Wing B to D = Gr + 1st to 7th Floor</t>
  </si>
  <si>
    <t>Wing A = Gr + 1st to 7th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</si>
</sst>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309">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4" xfId="0" applyBorder="1" applyAlignment="1">
      <alignment vertical="top"/>
    </xf>
    <xf numFmtId="0" fontId="0" fillId="0" borderId="35" xfId="0" applyBorder="1" applyAlignment="1">
      <alignment vertical="top" wrapText="1"/>
    </xf>
    <xf numFmtId="0" fontId="0" fillId="0" borderId="36"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5"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6" fillId="0" borderId="0" xfId="1" applyNumberFormat="1" applyFont="1"/>
    <xf numFmtId="0" fontId="0" fillId="0" borderId="37" xfId="0" applyBorder="1" applyAlignment="1">
      <alignment vertical="top" wrapText="1"/>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68" fontId="6" fillId="0" borderId="0" xfId="1" applyNumberFormat="1" applyFont="1" applyAlignment="1">
      <alignment horizontal="center" vertical="center"/>
    </xf>
    <xf numFmtId="1" fontId="14" fillId="0" borderId="0" xfId="1" applyNumberFormat="1" applyFont="1" applyAlignment="1">
      <alignment horizontal="center" vertical="center"/>
    </xf>
    <xf numFmtId="0" fontId="6" fillId="0" borderId="0" xfId="1" applyFont="1" applyAlignment="1">
      <alignment vertical="center"/>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2" fillId="3" borderId="8" xfId="1" applyNumberFormat="1" applyFont="1" applyFill="1" applyBorder="1" applyAlignment="1" applyProtection="1">
      <alignment horizontal="center" vertical="center" wrapText="1"/>
      <protection locked="0"/>
    </xf>
    <xf numFmtId="1" fontId="12" fillId="3" borderId="21" xfId="1" applyNumberFormat="1" applyFont="1" applyFill="1" applyBorder="1" applyAlignment="1" applyProtection="1">
      <alignment horizontal="center" vertical="center" wrapText="1"/>
      <protection locked="0"/>
    </xf>
    <xf numFmtId="1" fontId="12" fillId="3" borderId="9" xfId="1" applyNumberFormat="1" applyFont="1" applyFill="1" applyBorder="1" applyAlignment="1" applyProtection="1">
      <alignment horizontal="center" vertical="center" wrapText="1"/>
      <protection locked="0"/>
    </xf>
    <xf numFmtId="0" fontId="14" fillId="0" borderId="0" xfId="1" applyFont="1" applyAlignment="1">
      <alignment horizontal="center" vertical="center"/>
    </xf>
    <xf numFmtId="1" fontId="11" fillId="0" borderId="17" xfId="1" applyNumberFormat="1" applyFont="1" applyBorder="1" applyAlignment="1" applyProtection="1">
      <alignment horizontal="center" vertical="center" wrapText="1"/>
      <protection locked="0"/>
    </xf>
    <xf numFmtId="1" fontId="11" fillId="0" borderId="24" xfId="1" applyNumberFormat="1" applyFont="1" applyBorder="1" applyAlignment="1" applyProtection="1">
      <alignment horizontal="center" vertical="center" wrapText="1"/>
      <protection locked="0"/>
    </xf>
    <xf numFmtId="1" fontId="11" fillId="0" borderId="18" xfId="1" applyNumberFormat="1" applyFont="1" applyBorder="1" applyAlignment="1" applyProtection="1">
      <alignment horizontal="center" vertical="center" wrapText="1"/>
      <protection locked="0"/>
    </xf>
    <xf numFmtId="1" fontId="11" fillId="0" borderId="19" xfId="1" applyNumberFormat="1" applyFont="1" applyBorder="1" applyAlignment="1" applyProtection="1">
      <alignment horizontal="center" vertical="center" wrapText="1"/>
      <protection locked="0"/>
    </xf>
    <xf numFmtId="1" fontId="11" fillId="0" borderId="2" xfId="1" applyNumberFormat="1" applyFont="1" applyBorder="1" applyAlignment="1" applyProtection="1">
      <alignment horizontal="center" vertical="center" wrapText="1"/>
      <protection locked="0"/>
    </xf>
    <xf numFmtId="1" fontId="11" fillId="0" borderId="20"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8" xfId="0" applyFont="1" applyBorder="1" applyAlignment="1" applyProtection="1">
      <alignment horizontal="center" vertical="top" wrapText="1"/>
      <protection locked="0"/>
    </xf>
    <xf numFmtId="0" fontId="6" fillId="0" borderId="9" xfId="0" applyFont="1" applyBorder="1" applyAlignment="1" applyProtection="1">
      <alignment horizontal="center" vertical="top" wrapText="1"/>
      <protection locked="0"/>
    </xf>
    <xf numFmtId="1" fontId="5" fillId="0" borderId="8" xfId="0" applyNumberFormat="1" applyFont="1" applyBorder="1" applyAlignment="1" applyProtection="1">
      <alignment horizontal="center" vertical="top" wrapText="1"/>
      <protection locked="0"/>
    </xf>
    <xf numFmtId="1" fontId="5" fillId="0" borderId="9"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horizontal="center" vertical="center" wrapText="1"/>
      <protection locked="0"/>
    </xf>
    <xf numFmtId="1" fontId="7" fillId="0" borderId="9" xfId="0" applyNumberFormat="1" applyFont="1" applyBorder="1" applyAlignment="1" applyProtection="1">
      <alignment horizontal="center" vertical="center" wrapText="1"/>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8" xfId="0" applyFont="1" applyBorder="1" applyAlignment="1" applyProtection="1">
      <alignment horizontal="center" vertical="top" wrapText="1"/>
      <protection locked="0"/>
    </xf>
    <xf numFmtId="0" fontId="9" fillId="0" borderId="9" xfId="0" applyFont="1" applyBorder="1" applyAlignment="1" applyProtection="1">
      <alignment horizontal="center" vertical="top" wrapText="1"/>
      <protection locked="0"/>
    </xf>
    <xf numFmtId="1" fontId="7" fillId="0" borderId="8" xfId="0" applyNumberFormat="1" applyFont="1" applyBorder="1" applyAlignment="1" applyProtection="1">
      <alignment horizontal="center" vertical="top" wrapText="1"/>
      <protection locked="0"/>
    </xf>
    <xf numFmtId="1" fontId="7" fillId="0" borderId="9"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5" fillId="0" borderId="8" xfId="1" applyFont="1" applyBorder="1" applyAlignment="1" applyProtection="1">
      <alignment horizontal="left" vertical="top"/>
      <protection locked="0"/>
    </xf>
    <xf numFmtId="0" fontId="5" fillId="0" borderId="21" xfId="1" applyFont="1" applyBorder="1" applyAlignment="1" applyProtection="1">
      <alignment horizontal="left" vertical="top"/>
      <protection locked="0"/>
    </xf>
    <xf numFmtId="0" fontId="5" fillId="0" borderId="9"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25" xfId="1" applyFont="1" applyBorder="1" applyAlignment="1" applyProtection="1">
      <alignment horizontal="left" vertical="top" wrapText="1"/>
      <protection locked="0"/>
    </xf>
    <xf numFmtId="0" fontId="5" fillId="0" borderId="26"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protection locked="0"/>
    </xf>
    <xf numFmtId="0" fontId="5" fillId="0" borderId="24" xfId="1" applyFont="1" applyBorder="1" applyAlignment="1" applyProtection="1">
      <alignment horizontal="left" vertical="top"/>
      <protection locked="0"/>
    </xf>
    <xf numFmtId="0" fontId="5" fillId="0" borderId="18" xfId="1" applyFont="1" applyBorder="1" applyAlignment="1" applyProtection="1">
      <alignment horizontal="left" vertical="top"/>
      <protection locked="0"/>
    </xf>
    <xf numFmtId="0" fontId="5" fillId="0" borderId="19" xfId="1" applyFont="1" applyBorder="1" applyAlignment="1" applyProtection="1">
      <alignment horizontal="left" vertical="top"/>
      <protection locked="0"/>
    </xf>
    <xf numFmtId="0" fontId="5" fillId="0" borderId="2" xfId="1" applyFont="1" applyBorder="1" applyAlignment="1" applyProtection="1">
      <alignment horizontal="left" vertical="top"/>
      <protection locked="0"/>
    </xf>
    <xf numFmtId="0" fontId="5" fillId="0" borderId="20" xfId="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4" fillId="0" borderId="25"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5" fillId="0" borderId="1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0" fontId="11" fillId="0" borderId="1" xfId="1" applyFont="1" applyBorder="1" applyAlignment="1" applyProtection="1">
      <alignment horizontal="center"/>
      <protection locked="0"/>
    </xf>
    <xf numFmtId="0" fontId="11" fillId="0" borderId="3" xfId="1" applyFont="1" applyBorder="1" applyAlignment="1" applyProtection="1">
      <alignment horizontal="left" vertical="top"/>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21" xfId="0" applyNumberFormat="1" applyFont="1" applyBorder="1" applyAlignment="1" applyProtection="1">
      <alignment horizontal="center" vertical="center" wrapText="1"/>
      <protection locked="0"/>
    </xf>
    <xf numFmtId="1" fontId="5" fillId="0" borderId="8" xfId="0" applyNumberFormat="1" applyFont="1" applyBorder="1" applyAlignment="1" applyProtection="1">
      <alignment horizontal="center" vertical="center" wrapText="1"/>
      <protection locked="0"/>
    </xf>
    <xf numFmtId="1" fontId="5" fillId="0" borderId="9"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12"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1" fontId="7" fillId="0" borderId="1" xfId="0" applyNumberFormat="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1" fillId="0" borderId="25"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26" xfId="1" applyFont="1" applyBorder="1" applyAlignment="1" applyProtection="1">
      <alignment horizontal="left" vertical="top"/>
      <protection locked="0"/>
    </xf>
    <xf numFmtId="0" fontId="9" fillId="0" borderId="1" xfId="0"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0" fontId="8"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2" fillId="0" borderId="22" xfId="1" applyFont="1" applyBorder="1" applyAlignment="1" applyProtection="1">
      <alignment horizontal="left" vertical="center" wrapText="1"/>
      <protection locked="0"/>
    </xf>
    <xf numFmtId="0" fontId="12" fillId="0" borderId="15" xfId="1" applyFont="1" applyBorder="1" applyAlignment="1" applyProtection="1">
      <alignment horizontal="left" vertical="center" wrapText="1"/>
      <protection locked="0"/>
    </xf>
    <xf numFmtId="0" fontId="12" fillId="0" borderId="13" xfId="1" applyFont="1" applyBorder="1" applyAlignment="1" applyProtection="1">
      <alignment horizontal="left" vertical="center" wrapText="1"/>
      <protection locked="0"/>
    </xf>
    <xf numFmtId="0" fontId="12" fillId="0" borderId="14" xfId="1" applyFont="1" applyBorder="1" applyAlignment="1" applyProtection="1">
      <alignment horizontal="left" vertical="center" wrapText="1"/>
      <protection locked="0"/>
    </xf>
    <xf numFmtId="0" fontId="12" fillId="0" borderId="23" xfId="1" applyFont="1" applyBorder="1" applyAlignment="1" applyProtection="1">
      <alignment horizontal="left" vertical="center" wrapText="1"/>
      <protection locked="0"/>
    </xf>
    <xf numFmtId="0" fontId="7" fillId="0" borderId="22" xfId="1" applyFont="1" applyBorder="1" applyAlignment="1" applyProtection="1">
      <alignment horizontal="left" vertical="center" wrapText="1"/>
      <protection locked="0"/>
    </xf>
    <xf numFmtId="0" fontId="7" fillId="0" borderId="15" xfId="1" applyFont="1" applyBorder="1" applyAlignment="1" applyProtection="1">
      <alignment horizontal="left" vertical="center" wrapText="1"/>
      <protection locked="0"/>
    </xf>
    <xf numFmtId="0" fontId="7" fillId="0" borderId="13" xfId="1" applyFont="1" applyBorder="1" applyAlignment="1" applyProtection="1">
      <alignment horizontal="left" vertical="center" wrapText="1"/>
      <protection locked="0"/>
    </xf>
    <xf numFmtId="0" fontId="7" fillId="0" borderId="14" xfId="1" applyFont="1" applyBorder="1" applyAlignment="1" applyProtection="1">
      <alignment horizontal="left" vertical="center" wrapText="1"/>
      <protection locked="0"/>
    </xf>
    <xf numFmtId="0" fontId="7" fillId="0" borderId="23" xfId="1" applyFont="1" applyBorder="1" applyAlignment="1" applyProtection="1">
      <alignment horizontal="left" vertical="center" wrapText="1"/>
      <protection locked="0"/>
    </xf>
    <xf numFmtId="0" fontId="11" fillId="0" borderId="4" xfId="1" applyFont="1" applyBorder="1" applyAlignment="1" applyProtection="1">
      <alignment horizontal="center" vertical="center"/>
      <protection locked="0"/>
    </xf>
    <xf numFmtId="0" fontId="11" fillId="0" borderId="1" xfId="1" applyFont="1" applyBorder="1" applyAlignment="1" applyProtection="1">
      <alignment horizontal="center" vertical="center"/>
      <protection locked="0"/>
    </xf>
    <xf numFmtId="0" fontId="11" fillId="0" borderId="5" xfId="1" applyFont="1" applyBorder="1" applyAlignment="1" applyProtection="1">
      <alignment horizontal="center" vertical="center"/>
      <protection locked="0"/>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eg"/><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52</xdr:row>
      <xdr:rowOff>0</xdr:rowOff>
    </xdr:from>
    <xdr:to>
      <xdr:col>14</xdr:col>
      <xdr:colOff>251845</xdr:colOff>
      <xdr:row>66</xdr:row>
      <xdr:rowOff>122034</xdr:rowOff>
    </xdr:to>
    <xdr:pic>
      <xdr:nvPicPr>
        <xdr:cNvPr id="2" name="Picture 1">
          <a:extLst>
            <a:ext uri="{FF2B5EF4-FFF2-40B4-BE49-F238E27FC236}">
              <a16:creationId xmlns:a16="http://schemas.microsoft.com/office/drawing/2014/main" id="{FD611480-DF5E-7B28-A137-4921A5A77D38}"/>
            </a:ext>
          </a:extLst>
        </xdr:cNvPr>
        <xdr:cNvPicPr>
          <a:picLocks noChangeAspect="1"/>
        </xdr:cNvPicPr>
      </xdr:nvPicPr>
      <xdr:blipFill>
        <a:blip xmlns:r="http://schemas.openxmlformats.org/officeDocument/2006/relationships" r:embed="rId1"/>
        <a:stretch>
          <a:fillRect/>
        </a:stretch>
      </xdr:blipFill>
      <xdr:spPr>
        <a:xfrm>
          <a:off x="7680960" y="11750040"/>
          <a:ext cx="4442845" cy="1310754"/>
        </a:xfrm>
        <a:prstGeom prst="rect">
          <a:avLst/>
        </a:prstGeom>
      </xdr:spPr>
    </xdr:pic>
    <xdr:clientData/>
  </xdr:twoCellAnchor>
  <xdr:twoCellAnchor>
    <xdr:from>
      <xdr:col>0</xdr:col>
      <xdr:colOff>129540</xdr:colOff>
      <xdr:row>298</xdr:row>
      <xdr:rowOff>22860</xdr:rowOff>
    </xdr:from>
    <xdr:to>
      <xdr:col>7</xdr:col>
      <xdr:colOff>579120</xdr:colOff>
      <xdr:row>332</xdr:row>
      <xdr:rowOff>16608</xdr:rowOff>
    </xdr:to>
    <xdr:grpSp>
      <xdr:nvGrpSpPr>
        <xdr:cNvPr id="3" name="Group 2">
          <a:extLst>
            <a:ext uri="{FF2B5EF4-FFF2-40B4-BE49-F238E27FC236}">
              <a16:creationId xmlns:a16="http://schemas.microsoft.com/office/drawing/2014/main" id="{3CA40D59-DD15-210E-3B1F-081EA4DF5348}"/>
            </a:ext>
          </a:extLst>
        </xdr:cNvPr>
        <xdr:cNvGrpSpPr/>
      </xdr:nvGrpSpPr>
      <xdr:grpSpPr>
        <a:xfrm>
          <a:off x="129540" y="49286160"/>
          <a:ext cx="6179820" cy="6722208"/>
          <a:chOff x="-147376" y="121920"/>
          <a:chExt cx="6874506" cy="7217508"/>
        </a:xfrm>
      </xdr:grpSpPr>
      <xdr:grpSp>
        <xdr:nvGrpSpPr>
          <xdr:cNvPr id="4" name="Group 3">
            <a:extLst>
              <a:ext uri="{FF2B5EF4-FFF2-40B4-BE49-F238E27FC236}">
                <a16:creationId xmlns:a16="http://schemas.microsoft.com/office/drawing/2014/main" id="{8A696667-4BAD-DEE9-1FFC-0D8D2110DBE3}"/>
              </a:ext>
            </a:extLst>
          </xdr:cNvPr>
          <xdr:cNvGrpSpPr/>
        </xdr:nvGrpSpPr>
        <xdr:grpSpPr>
          <a:xfrm>
            <a:off x="-147376" y="121920"/>
            <a:ext cx="6874506" cy="5220953"/>
            <a:chOff x="129273" y="121920"/>
            <a:chExt cx="6874506" cy="5220953"/>
          </a:xfrm>
        </xdr:grpSpPr>
        <xdr:pic>
          <xdr:nvPicPr>
            <xdr:cNvPr id="9" name="Picture 8">
              <a:extLst>
                <a:ext uri="{FF2B5EF4-FFF2-40B4-BE49-F238E27FC236}">
                  <a16:creationId xmlns:a16="http://schemas.microsoft.com/office/drawing/2014/main" id="{B7C8E686-B33C-2992-C72B-B448EF9006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29273" y="2822873"/>
              <a:ext cx="3355333"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390ACF1B-75A5-1D20-ED55-C7C723C601E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3648446" y="2822873"/>
              <a:ext cx="3355333"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E390BB20-6AE8-E0C9-68F5-6A7074634D7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tretch>
              <a:fillRect/>
            </a:stretch>
          </xdr:blipFill>
          <xdr:spPr>
            <a:xfrm>
              <a:off x="129273" y="121920"/>
              <a:ext cx="3355333"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4ED791F1-A4F0-0F15-2B42-73ED7B6FABE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3648446" y="121920"/>
              <a:ext cx="3355333" cy="252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4576862C-CAAD-90EA-308F-40B39D6D3109}"/>
              </a:ext>
            </a:extLst>
          </xdr:cNvPr>
          <xdr:cNvGrpSpPr/>
        </xdr:nvGrpSpPr>
        <xdr:grpSpPr>
          <a:xfrm>
            <a:off x="579579" y="5523826"/>
            <a:ext cx="5420596" cy="1815602"/>
            <a:chOff x="-424025" y="5523826"/>
            <a:chExt cx="5420596" cy="1815602"/>
          </a:xfrm>
        </xdr:grpSpPr>
        <xdr:pic>
          <xdr:nvPicPr>
            <xdr:cNvPr id="6" name="Picture 5">
              <a:extLst>
                <a:ext uri="{FF2B5EF4-FFF2-40B4-BE49-F238E27FC236}">
                  <a16:creationId xmlns:a16="http://schemas.microsoft.com/office/drawing/2014/main" id="{07705751-A4C6-B3A9-4EE3-F8A2420CCE6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424025" y="5523826"/>
              <a:ext cx="2396666" cy="1800000"/>
            </a:xfrm>
            <a:prstGeom prst="rect">
              <a:avLst/>
            </a:prstGeom>
            <a:ln>
              <a:solidFill>
                <a:schemeClr val="tx1"/>
              </a:solidFill>
            </a:ln>
          </xdr:spPr>
        </xdr:pic>
        <xdr:pic>
          <xdr:nvPicPr>
            <xdr:cNvPr id="7" name="Picture 6">
              <a:extLst>
                <a:ext uri="{FF2B5EF4-FFF2-40B4-BE49-F238E27FC236}">
                  <a16:creationId xmlns:a16="http://schemas.microsoft.com/office/drawing/2014/main" id="{8BFA797C-D288-151A-67E1-4B0B3EFFC76A}"/>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a:ext>
              </a:extLst>
            </a:blip>
            <a:stretch>
              <a:fillRect/>
            </a:stretch>
          </xdr:blipFill>
          <xdr:spPr>
            <a:xfrm>
              <a:off x="3648446" y="5539428"/>
              <a:ext cx="1348125" cy="1800000"/>
            </a:xfrm>
            <a:prstGeom prst="rect">
              <a:avLst/>
            </a:prstGeom>
            <a:ln>
              <a:solidFill>
                <a:schemeClr val="tx1"/>
              </a:solidFill>
            </a:ln>
          </xdr:spPr>
        </xdr:pic>
        <xdr:pic>
          <xdr:nvPicPr>
            <xdr:cNvPr id="8" name="Picture 7">
              <a:extLst>
                <a:ext uri="{FF2B5EF4-FFF2-40B4-BE49-F238E27FC236}">
                  <a16:creationId xmlns:a16="http://schemas.microsoft.com/office/drawing/2014/main" id="{08B3C68D-E13E-D5BA-527E-68B297569871}"/>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2136481" y="5523826"/>
              <a:ext cx="1348125" cy="1800000"/>
            </a:xfrm>
            <a:prstGeom prst="rect">
              <a:avLst/>
            </a:prstGeom>
            <a:ln>
              <a:solidFill>
                <a:schemeClr val="tx1"/>
              </a:solidFill>
            </a:ln>
          </xdr:spPr>
        </xdr:pic>
      </xdr:grpSp>
    </xdr:grpSp>
    <xdr:clientData/>
  </xdr:twoCellAnchor>
  <xdr:twoCellAnchor>
    <xdr:from>
      <xdr:col>0</xdr:col>
      <xdr:colOff>350520</xdr:colOff>
      <xdr:row>340</xdr:row>
      <xdr:rowOff>15240</xdr:rowOff>
    </xdr:from>
    <xdr:to>
      <xdr:col>7</xdr:col>
      <xdr:colOff>380280</xdr:colOff>
      <xdr:row>373</xdr:row>
      <xdr:rowOff>179634</xdr:rowOff>
    </xdr:to>
    <xdr:grpSp>
      <xdr:nvGrpSpPr>
        <xdr:cNvPr id="13" name="Group 12">
          <a:extLst>
            <a:ext uri="{FF2B5EF4-FFF2-40B4-BE49-F238E27FC236}">
              <a16:creationId xmlns:a16="http://schemas.microsoft.com/office/drawing/2014/main" id="{F256B7F1-759D-215E-9E8F-9E4C91D3B9C3}"/>
            </a:ext>
          </a:extLst>
        </xdr:cNvPr>
        <xdr:cNvGrpSpPr/>
      </xdr:nvGrpSpPr>
      <xdr:grpSpPr>
        <a:xfrm>
          <a:off x="350520" y="57591960"/>
          <a:ext cx="5760000" cy="6702354"/>
          <a:chOff x="445046" y="528806"/>
          <a:chExt cx="5760000" cy="6702354"/>
        </a:xfrm>
      </xdr:grpSpPr>
      <xdr:pic>
        <xdr:nvPicPr>
          <xdr:cNvPr id="14" name="Picture 13">
            <a:extLst>
              <a:ext uri="{FF2B5EF4-FFF2-40B4-BE49-F238E27FC236}">
                <a16:creationId xmlns:a16="http://schemas.microsoft.com/office/drawing/2014/main" id="{EC48C1CA-C8D6-966F-7A5F-A49D9F3F848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l="13778" t="2334" r="1556" b="4499"/>
          <a:stretch/>
        </xdr:blipFill>
        <xdr:spPr>
          <a:xfrm rot="16200000">
            <a:off x="1362112" y="-388260"/>
            <a:ext cx="3925868" cy="5760000"/>
          </a:xfrm>
          <a:prstGeom prst="rect">
            <a:avLst/>
          </a:prstGeom>
          <a:ln>
            <a:solidFill>
              <a:schemeClr val="tx1"/>
            </a:solidFill>
          </a:ln>
        </xdr:spPr>
      </xdr:pic>
      <xdr:pic>
        <xdr:nvPicPr>
          <xdr:cNvPr id="15" name="Picture 14">
            <a:extLst>
              <a:ext uri="{FF2B5EF4-FFF2-40B4-BE49-F238E27FC236}">
                <a16:creationId xmlns:a16="http://schemas.microsoft.com/office/drawing/2014/main" id="{899555B0-2111-9CA3-D867-994FC1988FCA}"/>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l="18889" t="10333" r="16000" b="10333"/>
          <a:stretch/>
        </xdr:blipFill>
        <xdr:spPr>
          <a:xfrm rot="16200000">
            <a:off x="2099420" y="3741580"/>
            <a:ext cx="2659160" cy="4320000"/>
          </a:xfrm>
          <a:prstGeom prst="rect">
            <a:avLst/>
          </a:prstGeom>
          <a:ln>
            <a:solidFill>
              <a:schemeClr val="tx1"/>
            </a:solidFill>
          </a:ln>
        </xdr:spPr>
      </xdr:pic>
      <xdr:sp macro="" textlink="">
        <xdr:nvSpPr>
          <xdr:cNvPr id="16" name="Rectangle 15">
            <a:extLst>
              <a:ext uri="{FF2B5EF4-FFF2-40B4-BE49-F238E27FC236}">
                <a16:creationId xmlns:a16="http://schemas.microsoft.com/office/drawing/2014/main" id="{BC842C57-1D0E-00E7-6A42-528A1DCD47ED}"/>
              </a:ext>
            </a:extLst>
          </xdr:cNvPr>
          <xdr:cNvSpPr/>
        </xdr:nvSpPr>
        <xdr:spPr>
          <a:xfrm>
            <a:off x="548640" y="2095500"/>
            <a:ext cx="1874520" cy="12954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7" name="Rectangle 16">
            <a:extLst>
              <a:ext uri="{FF2B5EF4-FFF2-40B4-BE49-F238E27FC236}">
                <a16:creationId xmlns:a16="http://schemas.microsoft.com/office/drawing/2014/main" id="{5A2E90CC-FBEC-002D-A7B1-EFCB3A712830}"/>
              </a:ext>
            </a:extLst>
          </xdr:cNvPr>
          <xdr:cNvSpPr/>
        </xdr:nvSpPr>
        <xdr:spPr>
          <a:xfrm>
            <a:off x="4198620" y="1584960"/>
            <a:ext cx="1874520" cy="162328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8" name="Rectangle 17">
            <a:extLst>
              <a:ext uri="{FF2B5EF4-FFF2-40B4-BE49-F238E27FC236}">
                <a16:creationId xmlns:a16="http://schemas.microsoft.com/office/drawing/2014/main" id="{F81A7610-5580-A082-F763-C6B764806AD7}"/>
              </a:ext>
            </a:extLst>
          </xdr:cNvPr>
          <xdr:cNvSpPr/>
        </xdr:nvSpPr>
        <xdr:spPr>
          <a:xfrm rot="21302030">
            <a:off x="2560246" y="2324100"/>
            <a:ext cx="1485900" cy="8382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9" name="Rectangle 18">
            <a:extLst>
              <a:ext uri="{FF2B5EF4-FFF2-40B4-BE49-F238E27FC236}">
                <a16:creationId xmlns:a16="http://schemas.microsoft.com/office/drawing/2014/main" id="{4E4B262E-AADB-DDBF-A1E9-697BDE65879F}"/>
              </a:ext>
            </a:extLst>
          </xdr:cNvPr>
          <xdr:cNvSpPr/>
        </xdr:nvSpPr>
        <xdr:spPr>
          <a:xfrm rot="5102409">
            <a:off x="3004956" y="1093066"/>
            <a:ext cx="1266915" cy="98378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0" name="TextBox 9">
            <a:extLst>
              <a:ext uri="{FF2B5EF4-FFF2-40B4-BE49-F238E27FC236}">
                <a16:creationId xmlns:a16="http://schemas.microsoft.com/office/drawing/2014/main" id="{1ECF9FAD-62BB-4D42-2DD7-BF3A57161C5A}"/>
              </a:ext>
            </a:extLst>
          </xdr:cNvPr>
          <xdr:cNvSpPr txBox="1"/>
        </xdr:nvSpPr>
        <xdr:spPr>
          <a:xfrm>
            <a:off x="4079638" y="794021"/>
            <a:ext cx="647934"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Wing D</a:t>
            </a:r>
            <a:endParaRPr lang="en-IN" sz="1200" b="1">
              <a:solidFill>
                <a:srgbClr val="FF0000"/>
              </a:solidFill>
            </a:endParaRPr>
          </a:p>
        </xdr:txBody>
      </xdr:sp>
      <xdr:sp macro="" textlink="">
        <xdr:nvSpPr>
          <xdr:cNvPr id="21" name="TextBox 10">
            <a:extLst>
              <a:ext uri="{FF2B5EF4-FFF2-40B4-BE49-F238E27FC236}">
                <a16:creationId xmlns:a16="http://schemas.microsoft.com/office/drawing/2014/main" id="{A93C361F-70DD-57F9-5479-0344D90EAE52}"/>
              </a:ext>
            </a:extLst>
          </xdr:cNvPr>
          <xdr:cNvSpPr txBox="1"/>
        </xdr:nvSpPr>
        <xdr:spPr>
          <a:xfrm>
            <a:off x="4734244" y="3187065"/>
            <a:ext cx="647934"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Wing C</a:t>
            </a:r>
            <a:endParaRPr lang="en-IN" sz="1200" b="1">
              <a:solidFill>
                <a:srgbClr val="FF0000"/>
              </a:solidFill>
            </a:endParaRPr>
          </a:p>
        </xdr:txBody>
      </xdr:sp>
      <xdr:sp macro="" textlink="">
        <xdr:nvSpPr>
          <xdr:cNvPr id="22" name="TextBox 11">
            <a:extLst>
              <a:ext uri="{FF2B5EF4-FFF2-40B4-BE49-F238E27FC236}">
                <a16:creationId xmlns:a16="http://schemas.microsoft.com/office/drawing/2014/main" id="{D3D2B14D-C9E6-B206-C614-4B86BD4132AB}"/>
              </a:ext>
            </a:extLst>
          </xdr:cNvPr>
          <xdr:cNvSpPr txBox="1"/>
        </xdr:nvSpPr>
        <xdr:spPr>
          <a:xfrm>
            <a:off x="3247115" y="3225042"/>
            <a:ext cx="647934"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Wing B</a:t>
            </a:r>
            <a:endParaRPr lang="en-IN" sz="1200" b="1">
              <a:solidFill>
                <a:srgbClr val="FF0000"/>
              </a:solidFill>
            </a:endParaRPr>
          </a:p>
        </xdr:txBody>
      </xdr:sp>
      <xdr:sp macro="" textlink="">
        <xdr:nvSpPr>
          <xdr:cNvPr id="23" name="TextBox 12">
            <a:extLst>
              <a:ext uri="{FF2B5EF4-FFF2-40B4-BE49-F238E27FC236}">
                <a16:creationId xmlns:a16="http://schemas.microsoft.com/office/drawing/2014/main" id="{8AF5D7D0-F103-EC54-85B5-D871AB7BC21C}"/>
              </a:ext>
            </a:extLst>
          </xdr:cNvPr>
          <xdr:cNvSpPr txBox="1"/>
        </xdr:nvSpPr>
        <xdr:spPr>
          <a:xfrm>
            <a:off x="1269000" y="3451860"/>
            <a:ext cx="647934"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Wing A</a:t>
            </a:r>
            <a:endParaRPr lang="en-IN" sz="1200" b="1">
              <a:solidFill>
                <a:srgbClr val="FF0000"/>
              </a:solidFill>
            </a:endParaRPr>
          </a:p>
        </xdr:txBody>
      </xdr:sp>
    </xdr:grpSp>
    <xdr:clientData/>
  </xdr:twoCellAnchor>
  <xdr:twoCellAnchor>
    <xdr:from>
      <xdr:col>0</xdr:col>
      <xdr:colOff>510540</xdr:colOff>
      <xdr:row>382</xdr:row>
      <xdr:rowOff>22860</xdr:rowOff>
    </xdr:from>
    <xdr:to>
      <xdr:col>7</xdr:col>
      <xdr:colOff>180300</xdr:colOff>
      <xdr:row>419</xdr:row>
      <xdr:rowOff>193152</xdr:rowOff>
    </xdr:to>
    <xdr:grpSp>
      <xdr:nvGrpSpPr>
        <xdr:cNvPr id="24" name="Group 23">
          <a:extLst>
            <a:ext uri="{FF2B5EF4-FFF2-40B4-BE49-F238E27FC236}">
              <a16:creationId xmlns:a16="http://schemas.microsoft.com/office/drawing/2014/main" id="{AD23C275-983C-2FE1-4567-2B179D7F532D}"/>
            </a:ext>
          </a:extLst>
        </xdr:cNvPr>
        <xdr:cNvGrpSpPr/>
      </xdr:nvGrpSpPr>
      <xdr:grpSpPr>
        <a:xfrm>
          <a:off x="510540" y="65920620"/>
          <a:ext cx="5400000" cy="7500732"/>
          <a:chOff x="729000" y="316937"/>
          <a:chExt cx="5400000" cy="7500732"/>
        </a:xfrm>
      </xdr:grpSpPr>
      <xdr:pic>
        <xdr:nvPicPr>
          <xdr:cNvPr id="25" name="Picture 24">
            <a:extLst>
              <a:ext uri="{FF2B5EF4-FFF2-40B4-BE49-F238E27FC236}">
                <a16:creationId xmlns:a16="http://schemas.microsoft.com/office/drawing/2014/main" id="{35381F4B-CB70-BF85-3006-90B95739DE9B}"/>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rcRect/>
          <a:stretch/>
        </xdr:blipFill>
        <xdr:spPr>
          <a:xfrm>
            <a:off x="1269000" y="316937"/>
            <a:ext cx="4320000" cy="3404050"/>
          </a:xfrm>
          <a:prstGeom prst="rect">
            <a:avLst/>
          </a:prstGeom>
          <a:ln>
            <a:solidFill>
              <a:schemeClr val="tx1"/>
            </a:solidFill>
          </a:ln>
        </xdr:spPr>
      </xdr:pic>
      <xdr:grpSp>
        <xdr:nvGrpSpPr>
          <xdr:cNvPr id="26" name="Group 25">
            <a:extLst>
              <a:ext uri="{FF2B5EF4-FFF2-40B4-BE49-F238E27FC236}">
                <a16:creationId xmlns:a16="http://schemas.microsoft.com/office/drawing/2014/main" id="{914A625A-EF16-316D-F889-BCA73DDEE5E9}"/>
              </a:ext>
            </a:extLst>
          </xdr:cNvPr>
          <xdr:cNvGrpSpPr/>
        </xdr:nvGrpSpPr>
        <xdr:grpSpPr>
          <a:xfrm>
            <a:off x="729000" y="3892857"/>
            <a:ext cx="5400000" cy="3924812"/>
            <a:chOff x="729000" y="3892857"/>
            <a:chExt cx="5400000" cy="3924812"/>
          </a:xfrm>
        </xdr:grpSpPr>
        <xdr:pic>
          <xdr:nvPicPr>
            <xdr:cNvPr id="27" name="Picture 26">
              <a:extLst>
                <a:ext uri="{FF2B5EF4-FFF2-40B4-BE49-F238E27FC236}">
                  <a16:creationId xmlns:a16="http://schemas.microsoft.com/office/drawing/2014/main" id="{6771AC73-D03F-DAB4-47D1-A485093BF478}"/>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rcRect/>
            <a:stretch/>
          </xdr:blipFill>
          <xdr:spPr>
            <a:xfrm>
              <a:off x="729000" y="3892857"/>
              <a:ext cx="5400000" cy="3924812"/>
            </a:xfrm>
            <a:prstGeom prst="rect">
              <a:avLst/>
            </a:prstGeom>
            <a:ln>
              <a:solidFill>
                <a:schemeClr val="tx1"/>
              </a:solidFill>
            </a:ln>
          </xdr:spPr>
        </xdr:pic>
        <xdr:sp macro="" textlink="">
          <xdr:nvSpPr>
            <xdr:cNvPr id="28" name="Rectangle 27">
              <a:extLst>
                <a:ext uri="{FF2B5EF4-FFF2-40B4-BE49-F238E27FC236}">
                  <a16:creationId xmlns:a16="http://schemas.microsoft.com/office/drawing/2014/main" id="{F40913CC-7FFE-CC7E-7E17-4064A9C146AE}"/>
                </a:ext>
              </a:extLst>
            </xdr:cNvPr>
            <xdr:cNvSpPr/>
          </xdr:nvSpPr>
          <xdr:spPr>
            <a:xfrm rot="20813117">
              <a:off x="3072953" y="4926154"/>
              <a:ext cx="1110967" cy="1676906"/>
            </a:xfrm>
            <a:prstGeom prst="rect">
              <a:avLst/>
            </a:prstGeom>
            <a:noFill/>
            <a:ln w="28575">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10</xdr:col>
      <xdr:colOff>723900</xdr:colOff>
      <xdr:row>153</xdr:row>
      <xdr:rowOff>137160</xdr:rowOff>
    </xdr:from>
    <xdr:to>
      <xdr:col>15</xdr:col>
      <xdr:colOff>87180</xdr:colOff>
      <xdr:row>169</xdr:row>
      <xdr:rowOff>165720</xdr:rowOff>
    </xdr:to>
    <xdr:pic>
      <xdr:nvPicPr>
        <xdr:cNvPr id="29" name="Picture 28">
          <a:extLst>
            <a:ext uri="{FF2B5EF4-FFF2-40B4-BE49-F238E27FC236}">
              <a16:creationId xmlns:a16="http://schemas.microsoft.com/office/drawing/2014/main" id="{DFB1E100-D0A5-E79B-2032-6EF83B9F146D}"/>
            </a:ext>
          </a:extLst>
        </xdr:cNvPr>
        <xdr:cNvPicPr>
          <a:picLocks noChangeAspect="1"/>
        </xdr:cNvPicPr>
      </xdr:nvPicPr>
      <xdr:blipFill>
        <a:blip xmlns:r="http://schemas.openxmlformats.org/officeDocument/2006/relationships" r:embed="rId13"/>
        <a:stretch>
          <a:fillRect/>
        </a:stretch>
      </xdr:blipFill>
      <xdr:spPr>
        <a:xfrm>
          <a:off x="9189720" y="22250400"/>
          <a:ext cx="3600000" cy="202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ANwPA7iaJXyQDW2u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381"/>
  <sheetViews>
    <sheetView tabSelected="1" showWhiteSpace="0" view="pageBreakPreview" topLeftCell="A94" zoomScaleNormal="100" zoomScaleSheetLayoutView="100" zoomScalePageLayoutView="85" workbookViewId="0">
      <selection activeCell="N145" sqref="N145"/>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11.3320312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251" t="s">
        <v>376</v>
      </c>
      <c r="B1" s="251"/>
      <c r="C1" s="251"/>
      <c r="D1" s="251"/>
      <c r="E1" s="251"/>
      <c r="F1" s="251"/>
      <c r="G1" s="251"/>
      <c r="H1" s="251"/>
    </row>
    <row r="2" spans="1:26" ht="16.5" customHeight="1" x14ac:dyDescent="0.3">
      <c r="A2" s="252" t="s">
        <v>0</v>
      </c>
      <c r="B2" s="252"/>
      <c r="C2" s="252"/>
      <c r="D2" s="252"/>
      <c r="E2" s="252"/>
      <c r="F2" s="252"/>
      <c r="G2" s="252"/>
      <c r="H2" s="252"/>
    </row>
    <row r="3" spans="1:26" x14ac:dyDescent="0.3">
      <c r="A3" s="179" t="s">
        <v>1</v>
      </c>
      <c r="B3" s="179"/>
      <c r="C3" s="179"/>
      <c r="D3" s="179"/>
      <c r="E3" s="179" t="str">
        <f ca="1">TEXT(TODAY(),"DD/MM/YYYY")</f>
        <v>17/09/2025</v>
      </c>
      <c r="F3" s="179"/>
      <c r="G3" s="179"/>
      <c r="H3" s="179"/>
      <c r="K3" s="49" t="s">
        <v>232</v>
      </c>
      <c r="L3" s="48" t="s">
        <v>230</v>
      </c>
      <c r="M3" s="48" t="s">
        <v>235</v>
      </c>
      <c r="N3" s="48" t="s">
        <v>233</v>
      </c>
      <c r="O3" s="48" t="s">
        <v>353</v>
      </c>
      <c r="P3" s="48" t="s">
        <v>379</v>
      </c>
    </row>
    <row r="4" spans="1:26" ht="15" customHeight="1" x14ac:dyDescent="0.3">
      <c r="A4" s="179" t="s">
        <v>229</v>
      </c>
      <c r="B4" s="179"/>
      <c r="C4" s="179"/>
      <c r="D4" s="179"/>
      <c r="E4" s="179" t="s">
        <v>353</v>
      </c>
      <c r="F4" s="179"/>
      <c r="G4" s="179"/>
      <c r="H4" s="179"/>
      <c r="K4" s="47" t="s">
        <v>231</v>
      </c>
      <c r="L4" s="48" t="s">
        <v>167</v>
      </c>
      <c r="M4" s="48" t="s">
        <v>240</v>
      </c>
      <c r="N4" s="48" t="s">
        <v>242</v>
      </c>
      <c r="O4" s="48" t="s">
        <v>337</v>
      </c>
      <c r="P4" s="48" t="s">
        <v>380</v>
      </c>
    </row>
    <row r="5" spans="1:26" ht="15" customHeight="1" x14ac:dyDescent="0.3">
      <c r="A5" s="179" t="s">
        <v>2</v>
      </c>
      <c r="B5" s="179"/>
      <c r="C5" s="179"/>
      <c r="D5" s="179"/>
      <c r="E5" s="179" t="s">
        <v>339</v>
      </c>
      <c r="F5" s="179"/>
      <c r="G5" s="179"/>
      <c r="H5" s="179"/>
      <c r="K5" s="47"/>
      <c r="L5" s="48" t="s">
        <v>237</v>
      </c>
      <c r="M5" s="48" t="s">
        <v>241</v>
      </c>
      <c r="N5" s="48" t="s">
        <v>243</v>
      </c>
      <c r="O5" s="48" t="s">
        <v>338</v>
      </c>
      <c r="P5" s="48"/>
    </row>
    <row r="6" spans="1:26" x14ac:dyDescent="0.3">
      <c r="A6" s="179" t="s">
        <v>3</v>
      </c>
      <c r="B6" s="179"/>
      <c r="C6" s="179"/>
      <c r="D6" s="179"/>
      <c r="E6" s="253">
        <v>45915</v>
      </c>
      <c r="F6" s="179"/>
      <c r="G6" s="179"/>
      <c r="H6" s="179"/>
      <c r="K6" s="47"/>
      <c r="L6" s="48" t="s">
        <v>238</v>
      </c>
      <c r="M6" s="48" t="s">
        <v>351</v>
      </c>
      <c r="N6" s="48"/>
      <c r="O6" s="48" t="s">
        <v>339</v>
      </c>
      <c r="P6" s="48"/>
    </row>
    <row r="7" spans="1:26" ht="16.5" customHeight="1" x14ac:dyDescent="0.3">
      <c r="A7" s="179" t="s">
        <v>4</v>
      </c>
      <c r="B7" s="179"/>
      <c r="C7" s="179"/>
      <c r="D7" s="179"/>
      <c r="E7" s="169" t="s">
        <v>385</v>
      </c>
      <c r="F7" s="179"/>
      <c r="G7" s="179"/>
      <c r="H7" s="179"/>
      <c r="K7" s="47"/>
      <c r="L7" s="48" t="s">
        <v>239</v>
      </c>
      <c r="M7" s="48"/>
      <c r="N7" s="48"/>
      <c r="O7" s="48" t="s">
        <v>339</v>
      </c>
      <c r="P7" s="48"/>
    </row>
    <row r="8" spans="1:26" ht="15" customHeight="1" x14ac:dyDescent="0.3">
      <c r="A8" s="179" t="s">
        <v>5</v>
      </c>
      <c r="B8" s="179"/>
      <c r="C8" s="179"/>
      <c r="D8" s="179"/>
      <c r="E8" s="179" t="str">
        <f>E7</f>
        <v>Namastey Group</v>
      </c>
      <c r="F8" s="179"/>
      <c r="G8" s="179"/>
      <c r="H8" s="179"/>
      <c r="K8" s="47"/>
      <c r="L8" s="48"/>
      <c r="M8" s="48"/>
      <c r="N8" s="48"/>
      <c r="O8" s="48" t="s">
        <v>340</v>
      </c>
      <c r="P8" s="48"/>
    </row>
    <row r="9" spans="1:26" x14ac:dyDescent="0.3">
      <c r="A9" s="179" t="s">
        <v>6</v>
      </c>
      <c r="B9" s="179"/>
      <c r="C9" s="179"/>
      <c r="D9" s="179"/>
      <c r="E9" s="147" t="s">
        <v>386</v>
      </c>
      <c r="F9" s="147"/>
      <c r="G9" s="147"/>
      <c r="H9" s="147"/>
      <c r="K9" s="47"/>
      <c r="L9" s="48"/>
      <c r="M9" s="48"/>
      <c r="N9" s="48"/>
      <c r="O9" s="48" t="s">
        <v>341</v>
      </c>
      <c r="P9" s="48"/>
    </row>
    <row r="10" spans="1:26" x14ac:dyDescent="0.3">
      <c r="A10" s="179" t="s">
        <v>164</v>
      </c>
      <c r="B10" s="179"/>
      <c r="C10" s="179"/>
      <c r="D10" s="179"/>
      <c r="E10" s="179" t="s">
        <v>387</v>
      </c>
      <c r="F10" s="179"/>
      <c r="G10" s="179"/>
      <c r="H10" s="179"/>
      <c r="K10" s="47"/>
      <c r="L10" s="48"/>
      <c r="M10" s="48"/>
      <c r="N10" s="48"/>
      <c r="O10" s="48" t="s">
        <v>342</v>
      </c>
      <c r="P10" s="48"/>
    </row>
    <row r="11" spans="1:26" x14ac:dyDescent="0.3">
      <c r="A11" s="179" t="s">
        <v>165</v>
      </c>
      <c r="B11" s="179"/>
      <c r="C11" s="179"/>
      <c r="D11" s="179"/>
      <c r="E11" s="179" t="s">
        <v>388</v>
      </c>
      <c r="F11" s="179"/>
      <c r="G11" s="179"/>
      <c r="H11" s="179"/>
      <c r="O11" s="48" t="s">
        <v>343</v>
      </c>
    </row>
    <row r="12" spans="1:26" x14ac:dyDescent="0.3">
      <c r="A12" s="179" t="s">
        <v>7</v>
      </c>
      <c r="B12" s="179"/>
      <c r="C12" s="179"/>
      <c r="D12" s="179"/>
      <c r="E12" s="179" t="s">
        <v>389</v>
      </c>
      <c r="F12" s="179"/>
      <c r="G12" s="179"/>
      <c r="H12" s="179"/>
    </row>
    <row r="13" spans="1:26" x14ac:dyDescent="0.3">
      <c r="A13" s="179" t="s">
        <v>168</v>
      </c>
      <c r="B13" s="179"/>
      <c r="C13" s="179"/>
      <c r="D13" s="179"/>
      <c r="E13" s="179" t="s">
        <v>28</v>
      </c>
      <c r="F13" s="179"/>
      <c r="G13" s="179"/>
      <c r="H13" s="179"/>
      <c r="S13" s="48" t="s">
        <v>176</v>
      </c>
      <c r="T13" s="48" t="s">
        <v>185</v>
      </c>
      <c r="U13" s="48" t="s">
        <v>169</v>
      </c>
      <c r="V13" s="48" t="s">
        <v>190</v>
      </c>
      <c r="W13" s="48" t="s">
        <v>208</v>
      </c>
      <c r="X13"/>
      <c r="Y13" t="s">
        <v>190</v>
      </c>
      <c r="Z13" t="e">
        <f ca="1">OFFSET($S$13,1,MATCH($G20,$S$13:$W$13,0)-1,15,1)</f>
        <v>#VALUE!</v>
      </c>
    </row>
    <row r="14" spans="1:26" x14ac:dyDescent="0.3">
      <c r="A14" s="148" t="s">
        <v>275</v>
      </c>
      <c r="B14" s="148"/>
      <c r="C14" s="148"/>
      <c r="D14" s="148"/>
      <c r="E14" s="169" t="s">
        <v>443</v>
      </c>
      <c r="F14" s="169"/>
      <c r="G14" s="169"/>
      <c r="H14" s="169"/>
      <c r="S14" s="48" t="s">
        <v>176</v>
      </c>
      <c r="T14" s="48" t="s">
        <v>183</v>
      </c>
      <c r="U14" s="48" t="s">
        <v>205</v>
      </c>
      <c r="V14" s="48" t="s">
        <v>191</v>
      </c>
      <c r="W14" s="48" t="s">
        <v>209</v>
      </c>
      <c r="X14"/>
      <c r="Y14"/>
      <c r="Z14"/>
    </row>
    <row r="15" spans="1:26" x14ac:dyDescent="0.3">
      <c r="A15" s="148" t="s">
        <v>8</v>
      </c>
      <c r="B15" s="148"/>
      <c r="C15" s="148"/>
      <c r="D15" s="148"/>
      <c r="E15" s="169" t="s">
        <v>390</v>
      </c>
      <c r="F15" s="179"/>
      <c r="G15" s="179"/>
      <c r="H15" s="179"/>
      <c r="I15" s="275" t="e">
        <f ca="1">OFFSET($D$5,1,MATCH($J13,$D$5:$H$5,0)-1,15,1)</f>
        <v>#N/A</v>
      </c>
      <c r="J15" s="276"/>
      <c r="K15" s="276"/>
      <c r="L15" s="276"/>
      <c r="M15" s="276"/>
      <c r="N15" s="276"/>
      <c r="O15" s="276"/>
      <c r="P15" s="276"/>
      <c r="S15" s="48" t="s">
        <v>177</v>
      </c>
      <c r="T15" s="48" t="s">
        <v>184</v>
      </c>
      <c r="U15" s="48" t="s">
        <v>206</v>
      </c>
      <c r="V15" s="48" t="s">
        <v>192</v>
      </c>
      <c r="W15" s="48" t="s">
        <v>222</v>
      </c>
      <c r="X15"/>
      <c r="Y15"/>
      <c r="Z15"/>
    </row>
    <row r="16" spans="1:26" ht="48.75" customHeight="1" x14ac:dyDescent="0.3">
      <c r="A16" s="177" t="s">
        <v>9</v>
      </c>
      <c r="B16" s="177"/>
      <c r="C16" s="177" t="str">
        <f>CONCATENATE((IF(OR(E9="",E9="NA"),"",E9)),", ",(IF(OR(A17="",A17="NA"),"",A17)),".",(IF(OR(C17="",C17="NA"),"",C17)),", near ",(IF(OR(C22="",C22="NA"),"",C22)),", ",(IF(OR(C19="",C19="NA"),"",C19)),", ",(IF(OR(C18="",C18="NA"),"",C18)),", ",(IF(OR(G19="",G19="NA"),"",G19)),", ",(IF(OR(C20="",C20="NA"),"",C20)),", ",(IF(OR(C21="",C21="NA"),"",C21)),", ",(IF(OR(G20="",G20="NA"),"",G20))," - ",(IF(OR(G21="",G21="NA"),"",G21)),".")</f>
        <v>Dwarika Majestica, Survey No.164/3/B, 164/4/A/5 &amp; 164/4/A/6, near Mangal Niwas Building, Dand apta Road, Rees, Rees, Rasayani, Khalapur, Raigad - 410222.</v>
      </c>
      <c r="D16" s="177"/>
      <c r="E16" s="177"/>
      <c r="F16" s="177"/>
      <c r="G16" s="177"/>
      <c r="H16" s="177"/>
      <c r="S16" s="48" t="s">
        <v>178</v>
      </c>
      <c r="T16" s="48" t="s">
        <v>186</v>
      </c>
      <c r="U16" s="48" t="s">
        <v>207</v>
      </c>
      <c r="V16" s="48" t="s">
        <v>193</v>
      </c>
      <c r="W16" s="48" t="s">
        <v>210</v>
      </c>
      <c r="X16"/>
      <c r="Y16"/>
      <c r="Z16"/>
    </row>
    <row r="17" spans="1:26" x14ac:dyDescent="0.3">
      <c r="A17" s="169" t="s">
        <v>391</v>
      </c>
      <c r="B17" s="169"/>
      <c r="C17" s="169" t="s">
        <v>392</v>
      </c>
      <c r="D17" s="169"/>
      <c r="E17" s="169"/>
      <c r="F17" s="169"/>
      <c r="G17" s="169"/>
      <c r="H17" s="169"/>
      <c r="S17" s="48" t="s">
        <v>179</v>
      </c>
      <c r="T17" s="48" t="s">
        <v>187</v>
      </c>
      <c r="U17" s="48" t="s">
        <v>169</v>
      </c>
      <c r="V17" s="48" t="s">
        <v>194</v>
      </c>
      <c r="W17" s="48" t="s">
        <v>211</v>
      </c>
      <c r="X17"/>
      <c r="Y17"/>
      <c r="Z17"/>
    </row>
    <row r="18" spans="1:26" ht="15.75" customHeight="1" x14ac:dyDescent="0.3">
      <c r="A18" s="169" t="s">
        <v>160</v>
      </c>
      <c r="B18" s="169"/>
      <c r="C18" s="169" t="s">
        <v>393</v>
      </c>
      <c r="D18" s="169"/>
      <c r="E18" s="169"/>
      <c r="F18" s="169"/>
      <c r="G18" s="169"/>
      <c r="H18" s="169"/>
      <c r="S18" s="48" t="s">
        <v>180</v>
      </c>
      <c r="T18" s="48" t="s">
        <v>185</v>
      </c>
      <c r="U18" s="48"/>
      <c r="V18" s="48" t="s">
        <v>195</v>
      </c>
      <c r="W18" s="48" t="s">
        <v>212</v>
      </c>
      <c r="X18"/>
      <c r="Y18"/>
      <c r="Z18"/>
    </row>
    <row r="19" spans="1:26" ht="15.75" customHeight="1" x14ac:dyDescent="0.3">
      <c r="A19" s="177" t="s">
        <v>10</v>
      </c>
      <c r="B19" s="177"/>
      <c r="C19" s="179" t="s">
        <v>395</v>
      </c>
      <c r="D19" s="179"/>
      <c r="E19" s="177" t="s">
        <v>69</v>
      </c>
      <c r="F19" s="177"/>
      <c r="G19" s="169" t="s">
        <v>393</v>
      </c>
      <c r="H19" s="169"/>
      <c r="S19" s="48" t="s">
        <v>181</v>
      </c>
      <c r="T19" s="48" t="s">
        <v>188</v>
      </c>
      <c r="U19" s="48"/>
      <c r="V19" s="48" t="s">
        <v>196</v>
      </c>
      <c r="W19" s="48" t="s">
        <v>213</v>
      </c>
      <c r="X19"/>
      <c r="Y19"/>
      <c r="Z19"/>
    </row>
    <row r="20" spans="1:26" x14ac:dyDescent="0.3">
      <c r="A20" s="179" t="s">
        <v>12</v>
      </c>
      <c r="B20" s="179"/>
      <c r="C20" s="169" t="s">
        <v>394</v>
      </c>
      <c r="D20" s="169"/>
      <c r="E20" s="169" t="s">
        <v>11</v>
      </c>
      <c r="F20" s="169"/>
      <c r="G20" s="250" t="s">
        <v>190</v>
      </c>
      <c r="H20" s="250"/>
      <c r="S20" s="48" t="s">
        <v>182</v>
      </c>
      <c r="T20" s="48" t="s">
        <v>189</v>
      </c>
      <c r="U20" s="48"/>
      <c r="V20" s="48" t="s">
        <v>197</v>
      </c>
      <c r="W20" s="48" t="s">
        <v>214</v>
      </c>
      <c r="X20"/>
      <c r="Y20"/>
      <c r="Z20"/>
    </row>
    <row r="21" spans="1:26" x14ac:dyDescent="0.3">
      <c r="A21" s="179" t="s">
        <v>70</v>
      </c>
      <c r="B21" s="179"/>
      <c r="C21" s="169" t="s">
        <v>195</v>
      </c>
      <c r="D21" s="169"/>
      <c r="E21" s="169" t="s">
        <v>13</v>
      </c>
      <c r="F21" s="169"/>
      <c r="G21" s="169">
        <v>410222</v>
      </c>
      <c r="H21" s="169"/>
      <c r="S21" s="48"/>
      <c r="T21" s="48"/>
      <c r="U21" s="48"/>
      <c r="V21" s="48" t="s">
        <v>198</v>
      </c>
      <c r="W21" s="48" t="s">
        <v>215</v>
      </c>
      <c r="X21"/>
      <c r="Y21"/>
      <c r="Z21"/>
    </row>
    <row r="22" spans="1:26" ht="32.25" customHeight="1" x14ac:dyDescent="0.3">
      <c r="A22" s="179" t="s">
        <v>118</v>
      </c>
      <c r="B22" s="179"/>
      <c r="C22" s="169" t="s">
        <v>396</v>
      </c>
      <c r="D22" s="169"/>
      <c r="E22" s="169" t="s">
        <v>14</v>
      </c>
      <c r="F22" s="169"/>
      <c r="G22" s="169" t="s">
        <v>440</v>
      </c>
      <c r="H22" s="169"/>
      <c r="S22" s="48"/>
      <c r="T22" s="48"/>
      <c r="U22" s="48"/>
      <c r="V22" s="48" t="s">
        <v>199</v>
      </c>
      <c r="W22" s="48" t="s">
        <v>216</v>
      </c>
      <c r="X22"/>
      <c r="Y22"/>
      <c r="Z22"/>
    </row>
    <row r="23" spans="1:26" ht="15" customHeight="1" x14ac:dyDescent="0.3">
      <c r="A23" s="177" t="s">
        <v>72</v>
      </c>
      <c r="B23" s="177"/>
      <c r="C23" s="177"/>
      <c r="D23" s="177"/>
      <c r="E23" s="179" t="s">
        <v>15</v>
      </c>
      <c r="F23" s="179"/>
      <c r="G23" s="179"/>
      <c r="H23" s="179"/>
      <c r="S23" s="48"/>
      <c r="T23" s="48"/>
      <c r="U23" s="48"/>
      <c r="V23" s="48" t="s">
        <v>200</v>
      </c>
      <c r="W23" s="48" t="s">
        <v>217</v>
      </c>
      <c r="X23"/>
      <c r="Y23"/>
      <c r="Z23"/>
    </row>
    <row r="24" spans="1:26" ht="18.75" customHeight="1" x14ac:dyDescent="0.3">
      <c r="A24" s="177"/>
      <c r="B24" s="177"/>
      <c r="C24" s="177"/>
      <c r="D24" s="177"/>
      <c r="E24" s="179"/>
      <c r="F24" s="179"/>
      <c r="G24" s="179"/>
      <c r="H24" s="179"/>
      <c r="S24" s="48"/>
      <c r="T24" s="48"/>
      <c r="U24" s="48"/>
      <c r="V24" s="48" t="s">
        <v>201</v>
      </c>
      <c r="W24" s="48" t="s">
        <v>218</v>
      </c>
      <c r="X24"/>
      <c r="Y24"/>
      <c r="Z24"/>
    </row>
    <row r="25" spans="1:26" ht="15" customHeight="1" x14ac:dyDescent="0.3">
      <c r="A25" s="177" t="s">
        <v>16</v>
      </c>
      <c r="B25" s="177"/>
      <c r="C25" s="177"/>
      <c r="D25" s="177"/>
      <c r="E25" s="169" t="s">
        <v>17</v>
      </c>
      <c r="F25" s="169"/>
      <c r="G25" s="169"/>
      <c r="H25" s="169"/>
      <c r="S25" s="48"/>
      <c r="T25" s="48"/>
      <c r="U25" s="48"/>
      <c r="V25" s="48" t="s">
        <v>202</v>
      </c>
      <c r="W25" s="48" t="s">
        <v>219</v>
      </c>
      <c r="X25"/>
      <c r="Y25"/>
      <c r="Z25"/>
    </row>
    <row r="26" spans="1:26" ht="15" customHeight="1" x14ac:dyDescent="0.3">
      <c r="A26" s="148" t="s">
        <v>18</v>
      </c>
      <c r="B26" s="148"/>
      <c r="C26" s="148"/>
      <c r="D26" s="148"/>
      <c r="E26" s="169" t="str">
        <f>IF(AND(G20="Mumbai"),"Upper Class","Middle Class")</f>
        <v>Middle Class</v>
      </c>
      <c r="F26" s="169"/>
      <c r="G26" s="169"/>
      <c r="H26" s="169"/>
      <c r="S26" s="48"/>
      <c r="T26" s="48"/>
      <c r="U26" s="48"/>
      <c r="V26" s="48" t="s">
        <v>203</v>
      </c>
      <c r="W26" s="48" t="s">
        <v>220</v>
      </c>
      <c r="X26"/>
      <c r="Y26"/>
      <c r="Z26"/>
    </row>
    <row r="27" spans="1:26" x14ac:dyDescent="0.3">
      <c r="A27" s="148" t="s">
        <v>19</v>
      </c>
      <c r="B27" s="148"/>
      <c r="C27" s="148"/>
      <c r="D27" s="148"/>
      <c r="E27" s="169" t="s">
        <v>20</v>
      </c>
      <c r="F27" s="169"/>
      <c r="G27" s="169"/>
      <c r="H27" s="169"/>
      <c r="S27" s="48"/>
      <c r="T27" s="48"/>
      <c r="U27" s="48"/>
      <c r="V27" s="48" t="s">
        <v>204</v>
      </c>
      <c r="W27" s="48" t="s">
        <v>221</v>
      </c>
      <c r="X27"/>
      <c r="Y27"/>
      <c r="Z27"/>
    </row>
    <row r="28" spans="1:26" ht="15.75" customHeight="1" x14ac:dyDescent="0.3">
      <c r="A28" s="148" t="s">
        <v>21</v>
      </c>
      <c r="B28" s="148"/>
      <c r="C28" s="148"/>
      <c r="D28" s="148"/>
      <c r="E28" s="169" t="str">
        <f>IF(AND(G20="Mumbai"),"Developed","Developing")</f>
        <v>Developing</v>
      </c>
      <c r="F28" s="169"/>
      <c r="G28" s="169"/>
      <c r="H28" s="169"/>
    </row>
    <row r="29" spans="1:26" x14ac:dyDescent="0.3">
      <c r="A29" s="148" t="s">
        <v>22</v>
      </c>
      <c r="B29" s="148"/>
      <c r="C29" s="148"/>
      <c r="D29" s="148"/>
      <c r="E29" s="169" t="s">
        <v>23</v>
      </c>
      <c r="F29" s="169"/>
      <c r="G29" s="169"/>
      <c r="H29" s="169"/>
    </row>
    <row r="30" spans="1:26" ht="15.75" customHeight="1" x14ac:dyDescent="0.3">
      <c r="A30" s="148" t="s">
        <v>77</v>
      </c>
      <c r="B30" s="148"/>
      <c r="C30" s="148"/>
      <c r="D30" s="148"/>
      <c r="E30" s="169" t="s">
        <v>78</v>
      </c>
      <c r="F30" s="169"/>
      <c r="G30" s="169"/>
      <c r="H30" s="169"/>
    </row>
    <row r="31" spans="1:26" ht="15" customHeight="1" x14ac:dyDescent="0.3">
      <c r="A31" s="148" t="s">
        <v>30</v>
      </c>
      <c r="B31" s="148"/>
      <c r="C31" s="148"/>
      <c r="D31" s="148"/>
      <c r="E31" s="169"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v>
      </c>
      <c r="F31" s="169"/>
      <c r="G31" s="169"/>
      <c r="H31" s="169"/>
    </row>
    <row r="32" spans="1:26" ht="15.75" customHeight="1" x14ac:dyDescent="0.3">
      <c r="A32" s="148" t="s">
        <v>89</v>
      </c>
      <c r="B32" s="148"/>
      <c r="C32" s="148"/>
      <c r="D32" s="148"/>
      <c r="E32" s="169" t="s">
        <v>31</v>
      </c>
      <c r="F32" s="169"/>
      <c r="G32" s="169"/>
      <c r="H32" s="169"/>
    </row>
    <row r="33" spans="1:19" s="19" customFormat="1" x14ac:dyDescent="0.3">
      <c r="A33" s="249" t="s">
        <v>90</v>
      </c>
      <c r="B33" s="249"/>
      <c r="C33" s="246" t="s">
        <v>170</v>
      </c>
      <c r="D33" s="247"/>
      <c r="E33" s="248"/>
      <c r="F33" s="246" t="s">
        <v>29</v>
      </c>
      <c r="G33" s="247"/>
      <c r="H33" s="248"/>
      <c r="S33" s="19" t="e">
        <f ca="1">OFFSET($S$13,1,MATCH($G20,$S$13:$W$13,0)-1,15,1)</f>
        <v>#VALUE!</v>
      </c>
    </row>
    <row r="34" spans="1:19" s="19" customFormat="1" x14ac:dyDescent="0.3">
      <c r="A34" s="233" t="s">
        <v>24</v>
      </c>
      <c r="B34" s="233" t="s">
        <v>28</v>
      </c>
      <c r="C34" s="185" t="s">
        <v>415</v>
      </c>
      <c r="D34" s="186"/>
      <c r="E34" s="187"/>
      <c r="F34" s="185" t="s">
        <v>418</v>
      </c>
      <c r="G34" s="186"/>
      <c r="H34" s="187"/>
    </row>
    <row r="35" spans="1:19" x14ac:dyDescent="0.3">
      <c r="A35" s="233" t="s">
        <v>25</v>
      </c>
      <c r="B35" s="233" t="s">
        <v>28</v>
      </c>
      <c r="C35" s="185" t="s">
        <v>414</v>
      </c>
      <c r="D35" s="186"/>
      <c r="E35" s="187"/>
      <c r="F35" s="185" t="s">
        <v>416</v>
      </c>
      <c r="G35" s="186"/>
      <c r="H35" s="187"/>
    </row>
    <row r="36" spans="1:19" s="19" customFormat="1" x14ac:dyDescent="0.3">
      <c r="A36" s="233" t="s">
        <v>27</v>
      </c>
      <c r="B36" s="233" t="s">
        <v>28</v>
      </c>
      <c r="C36" s="185" t="s">
        <v>412</v>
      </c>
      <c r="D36" s="186"/>
      <c r="E36" s="187"/>
      <c r="F36" s="185" t="s">
        <v>418</v>
      </c>
      <c r="G36" s="186"/>
      <c r="H36" s="187"/>
    </row>
    <row r="37" spans="1:19" x14ac:dyDescent="0.3">
      <c r="A37" s="233" t="s">
        <v>26</v>
      </c>
      <c r="B37" s="233" t="s">
        <v>28</v>
      </c>
      <c r="C37" s="185" t="s">
        <v>413</v>
      </c>
      <c r="D37" s="186"/>
      <c r="E37" s="187"/>
      <c r="F37" s="185" t="s">
        <v>417</v>
      </c>
      <c r="G37" s="186"/>
      <c r="H37" s="187"/>
    </row>
    <row r="38" spans="1:19" x14ac:dyDescent="0.3">
      <c r="A38" s="148" t="s">
        <v>276</v>
      </c>
      <c r="B38" s="148"/>
      <c r="C38" s="148"/>
      <c r="D38" s="148"/>
      <c r="E38" s="148"/>
      <c r="F38" s="148"/>
      <c r="G38" s="148"/>
      <c r="H38" s="148"/>
    </row>
    <row r="39" spans="1:19" ht="15.75" customHeight="1" x14ac:dyDescent="0.3">
      <c r="A39" s="148" t="s">
        <v>162</v>
      </c>
      <c r="B39" s="148"/>
      <c r="C39" s="191" t="s">
        <v>397</v>
      </c>
      <c r="D39" s="191"/>
      <c r="E39" s="191"/>
      <c r="F39" s="191"/>
      <c r="G39" s="191"/>
      <c r="H39" s="191"/>
    </row>
    <row r="40" spans="1:19" x14ac:dyDescent="0.3">
      <c r="A40" s="148" t="s">
        <v>159</v>
      </c>
      <c r="B40" s="148"/>
      <c r="C40" s="168" t="s">
        <v>398</v>
      </c>
      <c r="D40" s="169"/>
      <c r="E40" s="169"/>
      <c r="F40" s="169"/>
      <c r="G40" s="169"/>
      <c r="H40" s="169"/>
    </row>
    <row r="41" spans="1:19" x14ac:dyDescent="0.3">
      <c r="A41" s="191" t="s">
        <v>32</v>
      </c>
      <c r="B41" s="191"/>
      <c r="C41" s="191"/>
      <c r="D41" s="191"/>
      <c r="E41" s="191"/>
      <c r="F41" s="191"/>
      <c r="G41" s="191"/>
      <c r="H41" s="191"/>
    </row>
    <row r="42" spans="1:19" x14ac:dyDescent="0.3">
      <c r="A42" s="148" t="s">
        <v>33</v>
      </c>
      <c r="B42" s="148"/>
      <c r="C42" s="148"/>
      <c r="D42" s="148"/>
      <c r="E42" s="211">
        <v>5189.2389999999996</v>
      </c>
      <c r="F42" s="211"/>
      <c r="G42" s="211"/>
      <c r="H42" s="211"/>
    </row>
    <row r="43" spans="1:19" x14ac:dyDescent="0.3">
      <c r="A43" s="148" t="s">
        <v>34</v>
      </c>
      <c r="B43" s="148"/>
      <c r="C43" s="148"/>
      <c r="D43" s="148"/>
      <c r="E43" s="212">
        <f>5708.163/E42</f>
        <v>1.1000000192706483</v>
      </c>
      <c r="F43" s="212"/>
      <c r="G43" s="212"/>
      <c r="H43" s="212"/>
    </row>
    <row r="44" spans="1:19" x14ac:dyDescent="0.3">
      <c r="A44" s="148" t="s">
        <v>35</v>
      </c>
      <c r="B44" s="148"/>
      <c r="C44" s="148"/>
      <c r="D44" s="148"/>
      <c r="E44" s="212">
        <f>E46/E42-E43</f>
        <v>1.1351758899522646</v>
      </c>
      <c r="F44" s="212"/>
      <c r="G44" s="212"/>
      <c r="H44" s="212"/>
    </row>
    <row r="45" spans="1:19" x14ac:dyDescent="0.3">
      <c r="A45" s="148" t="s">
        <v>36</v>
      </c>
      <c r="B45" s="148"/>
      <c r="C45" s="148"/>
      <c r="D45" s="148"/>
      <c r="E45" s="212">
        <f>E43+E44</f>
        <v>2.2351759092229129</v>
      </c>
      <c r="F45" s="212"/>
      <c r="G45" s="212"/>
      <c r="H45" s="212"/>
    </row>
    <row r="46" spans="1:19" x14ac:dyDescent="0.3">
      <c r="A46" s="148" t="s">
        <v>88</v>
      </c>
      <c r="B46" s="148"/>
      <c r="C46" s="148"/>
      <c r="D46" s="148"/>
      <c r="E46" s="183">
        <v>11598.861999999999</v>
      </c>
      <c r="F46" s="183"/>
      <c r="G46" s="183"/>
      <c r="H46" s="183"/>
    </row>
    <row r="47" spans="1:19" x14ac:dyDescent="0.3">
      <c r="A47" s="179" t="s">
        <v>37</v>
      </c>
      <c r="B47" s="179"/>
      <c r="C47" s="179"/>
      <c r="D47" s="179"/>
      <c r="E47" s="179" t="s">
        <v>408</v>
      </c>
      <c r="F47" s="179"/>
      <c r="G47" s="179"/>
      <c r="H47" s="179"/>
    </row>
    <row r="48" spans="1:19" x14ac:dyDescent="0.3">
      <c r="A48" s="191" t="s">
        <v>38</v>
      </c>
      <c r="B48" s="191"/>
      <c r="C48" s="191"/>
      <c r="D48" s="191"/>
      <c r="E48" s="191"/>
      <c r="F48" s="191"/>
      <c r="G48" s="191"/>
      <c r="H48" s="191"/>
    </row>
    <row r="49" spans="1:24" ht="33.75" customHeight="1" x14ac:dyDescent="0.3">
      <c r="A49" s="174" t="s">
        <v>147</v>
      </c>
      <c r="B49" s="176"/>
      <c r="C49" s="236" t="s">
        <v>254</v>
      </c>
      <c r="D49" s="237"/>
      <c r="E49" s="237"/>
      <c r="F49" s="237"/>
      <c r="G49" s="237"/>
      <c r="H49" s="238"/>
      <c r="R49" t="s">
        <v>249</v>
      </c>
      <c r="S49" s="50" t="s">
        <v>169</v>
      </c>
      <c r="T49" s="50" t="s">
        <v>176</v>
      </c>
      <c r="U49" s="50" t="s">
        <v>190</v>
      </c>
      <c r="V49" s="50" t="s">
        <v>185</v>
      </c>
    </row>
    <row r="50" spans="1:24" ht="21" customHeight="1" x14ac:dyDescent="0.3">
      <c r="A50" s="174" t="s">
        <v>39</v>
      </c>
      <c r="B50" s="176"/>
      <c r="C50" s="188" t="s">
        <v>399</v>
      </c>
      <c r="D50" s="189"/>
      <c r="E50" s="190"/>
      <c r="F50" s="17" t="s">
        <v>40</v>
      </c>
      <c r="G50" s="180">
        <v>45728</v>
      </c>
      <c r="H50" s="181"/>
      <c r="R50"/>
      <c r="S50" s="50" t="s">
        <v>250</v>
      </c>
      <c r="T50" s="50" t="s">
        <v>255</v>
      </c>
      <c r="U50" s="50" t="s">
        <v>266</v>
      </c>
      <c r="V50" s="50" t="s">
        <v>271</v>
      </c>
    </row>
    <row r="51" spans="1:24" ht="21" customHeight="1" x14ac:dyDescent="0.3">
      <c r="A51" s="174" t="s">
        <v>41</v>
      </c>
      <c r="B51" s="176"/>
      <c r="C51" s="188" t="str">
        <f>C50</f>
        <v>MSRDC/SPA/Rees/BP-616/CC/2025/1339</v>
      </c>
      <c r="D51" s="189"/>
      <c r="E51" s="190"/>
      <c r="F51" s="17" t="s">
        <v>40</v>
      </c>
      <c r="G51" s="180">
        <f>G50</f>
        <v>45728</v>
      </c>
      <c r="H51" s="181"/>
      <c r="R51"/>
      <c r="S51" s="50" t="s">
        <v>251</v>
      </c>
      <c r="T51" s="50" t="s">
        <v>354</v>
      </c>
      <c r="U51" s="50" t="s">
        <v>264</v>
      </c>
      <c r="V51" s="50" t="s">
        <v>272</v>
      </c>
    </row>
    <row r="52" spans="1:24" s="20" customFormat="1" ht="21" customHeight="1" x14ac:dyDescent="0.3">
      <c r="A52" s="195" t="s">
        <v>152</v>
      </c>
      <c r="B52" s="196"/>
      <c r="C52" s="201" t="s">
        <v>399</v>
      </c>
      <c r="D52" s="202"/>
      <c r="E52" s="203"/>
      <c r="F52" s="17" t="s">
        <v>40</v>
      </c>
      <c r="G52" s="180">
        <v>45728</v>
      </c>
      <c r="H52" s="181"/>
      <c r="I52" s="19" t="str">
        <f ca="1">IF(G52&gt;EDATE(E3,-48),"NO REMARK","CC REMARK FOR CC")</f>
        <v>NO REMARK</v>
      </c>
      <c r="J52" s="69"/>
      <c r="R52"/>
      <c r="S52" s="50" t="s">
        <v>252</v>
      </c>
      <c r="T52" s="50" t="s">
        <v>257</v>
      </c>
      <c r="U52" s="50" t="s">
        <v>254</v>
      </c>
      <c r="V52" s="50" t="s">
        <v>273</v>
      </c>
    </row>
    <row r="53" spans="1:24" s="20" customFormat="1" ht="33.75" hidden="1" customHeight="1" x14ac:dyDescent="0.3">
      <c r="A53" s="197"/>
      <c r="B53" s="198"/>
      <c r="C53" s="204"/>
      <c r="D53" s="205"/>
      <c r="E53" s="206"/>
      <c r="F53" s="17" t="s">
        <v>117</v>
      </c>
      <c r="G53" s="174" t="s">
        <v>148</v>
      </c>
      <c r="H53" s="176"/>
      <c r="R53"/>
      <c r="S53" s="50" t="s">
        <v>253</v>
      </c>
      <c r="T53" s="50" t="s">
        <v>260</v>
      </c>
      <c r="U53" s="50" t="s">
        <v>267</v>
      </c>
      <c r="V53" s="65" t="s">
        <v>346</v>
      </c>
    </row>
    <row r="54" spans="1:24" s="20" customFormat="1" x14ac:dyDescent="0.3">
      <c r="A54" s="199"/>
      <c r="B54" s="200"/>
      <c r="C54" s="174" t="s">
        <v>400</v>
      </c>
      <c r="D54" s="175"/>
      <c r="E54" s="175"/>
      <c r="F54" s="175"/>
      <c r="G54" s="175"/>
      <c r="H54" s="176"/>
      <c r="R54"/>
      <c r="S54" s="50"/>
      <c r="T54" s="50"/>
      <c r="U54" s="50"/>
      <c r="V54" s="65"/>
    </row>
    <row r="55" spans="1:24" s="20" customFormat="1" hidden="1" x14ac:dyDescent="0.3">
      <c r="A55" s="207" t="s">
        <v>277</v>
      </c>
      <c r="B55" s="208"/>
      <c r="C55" s="174">
        <f>C53</f>
        <v>0</v>
      </c>
      <c r="D55" s="175"/>
      <c r="E55" s="176"/>
      <c r="F55" s="17" t="s">
        <v>40</v>
      </c>
      <c r="G55" s="180"/>
      <c r="H55" s="181"/>
      <c r="K55" s="70">
        <f>EDATE(G52,-48)</f>
        <v>44267</v>
      </c>
      <c r="L55" s="20" t="str">
        <f ca="1">IF(G52&gt;EDATE(E3,-48),"NO REMARK","CC REMARK FOR CC")</f>
        <v>NO REMARK</v>
      </c>
      <c r="R55"/>
      <c r="S55" s="50" t="s">
        <v>252</v>
      </c>
      <c r="T55" s="50" t="s">
        <v>257</v>
      </c>
      <c r="U55" s="50" t="s">
        <v>254</v>
      </c>
      <c r="V55" s="50" t="s">
        <v>273</v>
      </c>
    </row>
    <row r="56" spans="1:24" s="20" customFormat="1" ht="32.25" hidden="1" customHeight="1" x14ac:dyDescent="0.3">
      <c r="A56" s="209"/>
      <c r="B56" s="210"/>
      <c r="C56" s="192"/>
      <c r="D56" s="193"/>
      <c r="E56" s="193"/>
      <c r="F56" s="193"/>
      <c r="G56" s="193"/>
      <c r="H56" s="194"/>
      <c r="R56"/>
      <c r="S56" s="50" t="s">
        <v>254</v>
      </c>
      <c r="T56" s="50" t="s">
        <v>258</v>
      </c>
      <c r="U56" s="50" t="s">
        <v>268</v>
      </c>
      <c r="V56" s="66"/>
      <c r="W56" s="18"/>
      <c r="X56" s="18"/>
    </row>
    <row r="57" spans="1:24" s="20" customFormat="1" ht="34.5" hidden="1" customHeight="1" x14ac:dyDescent="0.3">
      <c r="A57" s="207" t="s">
        <v>278</v>
      </c>
      <c r="B57" s="208"/>
      <c r="C57" s="174">
        <f>C56</f>
        <v>0</v>
      </c>
      <c r="D57" s="175"/>
      <c r="E57" s="176"/>
      <c r="F57" s="17" t="s">
        <v>40</v>
      </c>
      <c r="G57" s="180">
        <f>G56</f>
        <v>0</v>
      </c>
      <c r="H57" s="181"/>
      <c r="R57"/>
      <c r="S57" s="66"/>
      <c r="T57" s="50" t="s">
        <v>259</v>
      </c>
      <c r="U57" s="50" t="s">
        <v>269</v>
      </c>
      <c r="V57" s="66"/>
      <c r="W57" s="18"/>
      <c r="X57" s="18"/>
    </row>
    <row r="58" spans="1:24" s="20" customFormat="1" ht="41.25" hidden="1" customHeight="1" x14ac:dyDescent="0.3">
      <c r="A58" s="209"/>
      <c r="B58" s="210"/>
      <c r="C58" s="174"/>
      <c r="D58" s="175"/>
      <c r="E58" s="175"/>
      <c r="F58" s="175"/>
      <c r="G58" s="175"/>
      <c r="H58" s="176"/>
      <c r="R58"/>
      <c r="S58" s="66"/>
      <c r="T58" s="50" t="s">
        <v>261</v>
      </c>
      <c r="U58" s="50" t="s">
        <v>270</v>
      </c>
      <c r="V58" s="66"/>
      <c r="W58" s="18"/>
      <c r="X58" s="18"/>
    </row>
    <row r="59" spans="1:24" s="20" customFormat="1" ht="15.75" hidden="1" customHeight="1" x14ac:dyDescent="0.3">
      <c r="A59" s="207" t="s">
        <v>349</v>
      </c>
      <c r="B59" s="208"/>
      <c r="C59" s="227"/>
      <c r="D59" s="228"/>
      <c r="E59" s="229"/>
      <c r="F59" s="17" t="s">
        <v>40</v>
      </c>
      <c r="G59" s="180"/>
      <c r="H59" s="181"/>
      <c r="R59"/>
      <c r="S59" s="66"/>
      <c r="T59" s="50" t="s">
        <v>262</v>
      </c>
      <c r="U59" s="66" t="s">
        <v>292</v>
      </c>
      <c r="V59" s="66"/>
      <c r="W59" s="18"/>
      <c r="X59" s="18"/>
    </row>
    <row r="60" spans="1:24" s="20" customFormat="1" ht="33.75" hidden="1" customHeight="1" x14ac:dyDescent="0.3">
      <c r="A60" s="225"/>
      <c r="B60" s="226"/>
      <c r="C60" s="230"/>
      <c r="D60" s="231"/>
      <c r="E60" s="232"/>
      <c r="F60" s="17" t="s">
        <v>350</v>
      </c>
      <c r="G60" s="180"/>
      <c r="H60" s="181"/>
      <c r="R60"/>
      <c r="S60" s="66"/>
      <c r="T60" s="50" t="s">
        <v>263</v>
      </c>
      <c r="U60" s="66"/>
      <c r="V60" s="66"/>
      <c r="W60" s="18"/>
      <c r="X60" s="18"/>
    </row>
    <row r="61" spans="1:24" s="20" customFormat="1" ht="33.75" hidden="1" customHeight="1" x14ac:dyDescent="0.3">
      <c r="A61" s="209"/>
      <c r="B61" s="210"/>
      <c r="C61" s="174" t="s">
        <v>372</v>
      </c>
      <c r="D61" s="175"/>
      <c r="E61" s="175"/>
      <c r="F61" s="175"/>
      <c r="G61" s="175"/>
      <c r="H61" s="176"/>
      <c r="R61"/>
      <c r="S61" s="66"/>
      <c r="T61" s="50"/>
      <c r="U61" s="66"/>
      <c r="V61" s="66"/>
      <c r="W61" s="18"/>
      <c r="X61" s="18"/>
    </row>
    <row r="62" spans="1:24" x14ac:dyDescent="0.3">
      <c r="A62" s="278" t="s">
        <v>42</v>
      </c>
      <c r="B62" s="279"/>
      <c r="C62" s="278" t="s">
        <v>102</v>
      </c>
      <c r="D62" s="280"/>
      <c r="E62" s="279"/>
      <c r="F62" s="40" t="s">
        <v>40</v>
      </c>
      <c r="G62" s="282" t="s">
        <v>28</v>
      </c>
      <c r="H62" s="283"/>
      <c r="R62"/>
      <c r="S62" s="66"/>
      <c r="T62" s="50" t="s">
        <v>265</v>
      </c>
      <c r="U62" s="66"/>
      <c r="V62" s="66"/>
    </row>
    <row r="63" spans="1:24" x14ac:dyDescent="0.3">
      <c r="A63" s="245" t="s">
        <v>44</v>
      </c>
      <c r="B63" s="245"/>
      <c r="C63" s="245"/>
      <c r="D63" s="245"/>
      <c r="E63" s="245"/>
      <c r="F63" s="245"/>
      <c r="G63" s="245"/>
      <c r="H63" s="245"/>
      <c r="S63" s="66"/>
      <c r="T63" s="50" t="s">
        <v>274</v>
      </c>
      <c r="U63" s="66"/>
      <c r="V63" s="66"/>
    </row>
    <row r="64" spans="1:24" x14ac:dyDescent="0.3">
      <c r="A64" s="177" t="s">
        <v>87</v>
      </c>
      <c r="B64" s="177"/>
      <c r="C64" s="177"/>
      <c r="D64" s="148">
        <f>E46</f>
        <v>11598.861999999999</v>
      </c>
      <c r="E64" s="148"/>
      <c r="F64" s="148"/>
      <c r="G64" s="148"/>
      <c r="H64" s="148"/>
      <c r="R64"/>
    </row>
    <row r="65" spans="1:19" x14ac:dyDescent="0.3">
      <c r="A65" s="169" t="s">
        <v>45</v>
      </c>
      <c r="B65" s="179"/>
      <c r="C65" s="179"/>
      <c r="D65" s="179" t="s">
        <v>442</v>
      </c>
      <c r="E65" s="179"/>
      <c r="F65" s="179"/>
      <c r="G65" s="179"/>
      <c r="H65" s="179"/>
      <c r="I65" s="21"/>
      <c r="R65"/>
    </row>
    <row r="66" spans="1:19" x14ac:dyDescent="0.3">
      <c r="A66" s="219" t="s">
        <v>46</v>
      </c>
      <c r="B66" s="220"/>
      <c r="C66" s="235"/>
      <c r="D66" s="214" t="s">
        <v>449</v>
      </c>
      <c r="E66" s="234"/>
      <c r="F66" s="234"/>
      <c r="G66" s="234"/>
      <c r="H66" s="234"/>
      <c r="R66"/>
    </row>
    <row r="67" spans="1:19" ht="15.75" customHeight="1" x14ac:dyDescent="0.3">
      <c r="A67" s="219" t="s">
        <v>85</v>
      </c>
      <c r="B67" s="220"/>
      <c r="C67" s="220"/>
      <c r="D67" s="239" t="s">
        <v>451</v>
      </c>
      <c r="E67" s="240"/>
      <c r="F67" s="240"/>
      <c r="G67" s="240"/>
      <c r="H67" s="241"/>
      <c r="R67"/>
    </row>
    <row r="68" spans="1:19" ht="15.75" customHeight="1" x14ac:dyDescent="0.3">
      <c r="A68" s="221"/>
      <c r="B68" s="222"/>
      <c r="C68" s="222"/>
      <c r="D68" s="242" t="s">
        <v>450</v>
      </c>
      <c r="E68" s="243"/>
      <c r="F68" s="243"/>
      <c r="G68" s="243"/>
      <c r="H68" s="244"/>
      <c r="R68"/>
    </row>
    <row r="69" spans="1:19" ht="15.75" hidden="1" customHeight="1" x14ac:dyDescent="0.3">
      <c r="A69" s="221"/>
      <c r="B69" s="222"/>
      <c r="C69" s="222"/>
      <c r="D69" s="284" t="s">
        <v>403</v>
      </c>
      <c r="E69" s="285"/>
      <c r="F69" s="285"/>
      <c r="G69" s="285"/>
      <c r="H69" s="286"/>
      <c r="S69"/>
    </row>
    <row r="70" spans="1:19" ht="15.75" hidden="1" customHeight="1" x14ac:dyDescent="0.3">
      <c r="A70" s="223"/>
      <c r="B70" s="224"/>
      <c r="C70" s="224"/>
      <c r="D70" s="216" t="s">
        <v>404</v>
      </c>
      <c r="E70" s="217"/>
      <c r="F70" s="217"/>
      <c r="G70" s="217"/>
      <c r="H70" s="218"/>
      <c r="S70"/>
    </row>
    <row r="71" spans="1:19" ht="15.75" customHeight="1" x14ac:dyDescent="0.3">
      <c r="A71" s="148" t="s">
        <v>43</v>
      </c>
      <c r="B71" s="148"/>
      <c r="C71" s="148"/>
      <c r="D71" s="178" t="s">
        <v>407</v>
      </c>
      <c r="E71" s="178"/>
      <c r="F71" s="178"/>
      <c r="G71" s="178"/>
      <c r="H71" s="178"/>
      <c r="J71" s="22"/>
      <c r="K71" s="21"/>
      <c r="N71" s="21"/>
      <c r="S71"/>
    </row>
    <row r="72" spans="1:19" ht="15.75" customHeight="1" x14ac:dyDescent="0.3">
      <c r="A72" s="148" t="s">
        <v>83</v>
      </c>
      <c r="B72" s="148"/>
      <c r="C72" s="148"/>
      <c r="D72" s="182" t="str">
        <f>(IF(G62="NA","60 Years After Completion",IF(G62&lt;&gt;"NA",""&amp;60-ROUNDDOWN((E3-G62)/360,0)&amp;" Years"," ")))</f>
        <v>60 Years After Completion</v>
      </c>
      <c r="E72" s="182"/>
      <c r="F72" s="182"/>
      <c r="G72" s="182"/>
      <c r="H72" s="182"/>
      <c r="N72" s="21"/>
      <c r="S72"/>
    </row>
    <row r="73" spans="1:19" ht="15.75" customHeight="1" x14ac:dyDescent="0.3">
      <c r="A73" s="148" t="s">
        <v>84</v>
      </c>
      <c r="B73" s="148"/>
      <c r="C73" s="148"/>
      <c r="D73" s="177" t="s">
        <v>23</v>
      </c>
      <c r="E73" s="177"/>
      <c r="F73" s="177"/>
      <c r="G73" s="177"/>
      <c r="H73" s="177"/>
      <c r="J73" s="23"/>
      <c r="K73" s="23"/>
      <c r="S73"/>
    </row>
    <row r="74" spans="1:19" ht="49.2" customHeight="1" x14ac:dyDescent="0.3">
      <c r="A74" s="179" t="s">
        <v>401</v>
      </c>
      <c r="B74" s="179"/>
      <c r="C74" s="179"/>
      <c r="D74" s="169" t="s">
        <v>402</v>
      </c>
      <c r="E74" s="177"/>
      <c r="F74" s="177"/>
      <c r="G74" s="177"/>
      <c r="H74" s="177"/>
      <c r="S74"/>
    </row>
    <row r="75" spans="1:19" x14ac:dyDescent="0.3">
      <c r="A75" s="177" t="s">
        <v>144</v>
      </c>
      <c r="B75" s="177"/>
      <c r="C75" s="177"/>
      <c r="D75" s="177" t="s">
        <v>28</v>
      </c>
      <c r="E75" s="177"/>
      <c r="F75" s="177"/>
      <c r="G75" s="177"/>
      <c r="H75" s="177"/>
      <c r="I75" s="24"/>
      <c r="J75" s="24"/>
      <c r="K75" s="24"/>
      <c r="L75" s="24"/>
      <c r="M75" s="24"/>
      <c r="N75" s="24"/>
    </row>
    <row r="76" spans="1:19" ht="15.75" customHeight="1" x14ac:dyDescent="0.3">
      <c r="A76" s="215" t="s">
        <v>82</v>
      </c>
      <c r="B76" s="215"/>
      <c r="C76" s="215"/>
      <c r="D76" s="214" t="str">
        <f ca="1">(IF(G82&gt;95%,"Nothing",IF(G82&gt;0%,"Cement, Aggregate, Steel, etc",IF(G82=0%,"Work not yet Started"))))</f>
        <v>Cement, Aggregate, Steel, etc</v>
      </c>
      <c r="E76" s="214"/>
      <c r="F76" s="214"/>
      <c r="G76" s="214"/>
      <c r="H76" s="214"/>
      <c r="J76" s="23"/>
      <c r="S76"/>
    </row>
    <row r="77" spans="1:19" ht="33.75" customHeight="1" thickBot="1" x14ac:dyDescent="0.35">
      <c r="A77" s="213" t="s">
        <v>115</v>
      </c>
      <c r="B77" s="213"/>
      <c r="C77" s="213"/>
      <c r="D77" s="214" t="str">
        <f ca="1">(IF(D76="Nothing","Yes",IF(D76="Cement, Aggregate, Steel, etc","Under Construction",IF(D76="Work not yet Started","Work not yet Started"))))</f>
        <v>Under Construction</v>
      </c>
      <c r="E77" s="214"/>
      <c r="F77" s="214" t="str">
        <f ca="1">(IF(D76="Nothing","Yes",IF(D76="Cement, Aggregate, Steel, etc","Under Construction",IF(D76="Work not yet Started","Work not yet Started"))))</f>
        <v>Under Construction</v>
      </c>
      <c r="G77" s="214"/>
      <c r="H77" s="214"/>
      <c r="S77"/>
    </row>
    <row r="78" spans="1:19" ht="21" customHeight="1" x14ac:dyDescent="0.3">
      <c r="A78" s="301" t="s">
        <v>136</v>
      </c>
      <c r="B78" s="302"/>
      <c r="C78" s="303" t="str">
        <f>D67</f>
        <v>Wing A = Gr + 1st to 7th Floor</v>
      </c>
      <c r="D78" s="304"/>
      <c r="E78" s="304"/>
      <c r="F78" s="304"/>
      <c r="G78" s="304"/>
      <c r="H78" s="305"/>
      <c r="I78" s="43" t="str">
        <f ca="1">IF(D91=100%,"All work Completed. Possession granted to the Building.",IF(D90=100%,"All work Completed, Waiting for OC",I79&amp;""&amp;I80&amp;""&amp;J79&amp;""&amp;J78&amp;" "&amp;J80))</f>
        <v xml:space="preserve">Excavation, Plinth Completed </v>
      </c>
      <c r="J78" s="44" t="str">
        <f ca="1">(IF(C84=(D79+F79+H79),"",IF(C84&gt;0,", RCC upto "&amp;C84&amp;" Slab","")))&amp;(IF(C85=H79,"",IF(C85&gt;0,", Brickwork upto "&amp;C85&amp;" Floor","")))&amp;(IF(C86=H79,"",IF(C86&gt;0,", Internal Plaster upto "&amp;C86&amp;" Floor","")))&amp;(IF(C87=H79,"",IF(C87&gt;0,", External Plaster upto "&amp;C87&amp;" Floor","")))&amp;(IF(C88=H79,"",IF(C88&gt;0,", Flooring upto "&amp;C88&amp;" Floor","")))&amp;(IF(C89=H79,"",IF(C89&gt;0,", Painting upto "&amp;C89&amp;" Floor","")))&amp;(IF(C90=H79,"",IF(C90&gt;0,", Finishing upto "&amp;C90&amp;" Floor","")))&amp;(IF(C91=H79,"",IF(C91&gt;0,", Possession upto "&amp;C91&amp;" Floor","")))</f>
        <v/>
      </c>
      <c r="S78"/>
    </row>
    <row r="79" spans="1:19" x14ac:dyDescent="0.3">
      <c r="A79" s="306" t="s">
        <v>138</v>
      </c>
      <c r="B79" s="307">
        <f>IF(AND(ISNUMBER(SEARCH("1B",C78))),1,IF(AND(ISNUMBER(SEARCH("2B",C78))),2,IF(AND(ISNUMBER(SEARCH("3B",C78))),3,IF(AND(ISNUMBER(SEARCH("4B",C78))),4,IF(ISNUMBER(SEARCH("5B",C78)),5,0)))))</f>
        <v>0</v>
      </c>
      <c r="C79" s="307" t="s">
        <v>68</v>
      </c>
      <c r="D79" s="307">
        <v>1</v>
      </c>
      <c r="E79" s="307" t="s">
        <v>67</v>
      </c>
      <c r="F79" s="307">
        <v>0</v>
      </c>
      <c r="G79" s="307" t="s">
        <v>76</v>
      </c>
      <c r="H79" s="308">
        <f ca="1">--TRIM(RIGHT(SUBSTITUTE(LEFT(C78,_xlfn.AGGREGATE(16,6,FIND({0,1,2,3,4,5,6,7,8,9},C78,ROW(INDIRECT("1:"&amp;LEN(C78)))),1))," ",REPT(" ",LEN(C78))),LEN(C78)))</f>
        <v>7</v>
      </c>
      <c r="I79" s="45" t="str">
        <f ca="1">IF(D82=100%,"Excavation","")&amp;IF(D83=100%,", Plinth","")&amp;IF(D84=100%,", RCC Slab","")&amp;IF(D85=100%,", Brickwork","")&amp;IF(D86=100%,", Internal Plaster","")&amp;IF(D87=100%,", External Plaster","")&amp;IF(D88=100%,", Flooring","")&amp;IF(D89=100%,", Painting","")&amp;IF(D90=100%,", Building common Amenities","")</f>
        <v>Excavation, Plinth</v>
      </c>
      <c r="J79" s="46" t="str">
        <f ca="1">(IF(C82=0,"Work not yet Started.",IF(D82=25%,"Piling work in process",IF(D82=50%,"Excavation work in process",IF(D82=100%,"","0")))))&amp;(IF(C83=0%,"",IF(C83=J84,", Footing work is process",IF(C83=J85,", Footing work Completed",IF(C83=J86,", 1st Basement Completed",IF(C83=J87,", 1st &amp; 2nd Basement Completed",IF(C83=J88,", 1st to 3rd Basement Completed",IF(C83=J89,", 1st to 4th Basement Completed",IF(C83=J90,", Plinth work is process",IF(C83=J91,"","0"))))))))))</f>
        <v/>
      </c>
      <c r="S79"/>
    </row>
    <row r="80" spans="1:19" ht="27" customHeight="1" x14ac:dyDescent="0.3">
      <c r="A80" s="146" t="s">
        <v>86</v>
      </c>
      <c r="B80" s="147"/>
      <c r="C80" s="120" t="str">
        <f ca="1">I78</f>
        <v xml:space="preserve">Excavation, Plinth Completed </v>
      </c>
      <c r="D80" s="120"/>
      <c r="E80" s="120"/>
      <c r="F80" s="120"/>
      <c r="G80" s="120"/>
      <c r="H80" s="121"/>
      <c r="I80" s="45" t="str">
        <f ca="1">IF(I79&lt;&gt;""," Completed","")</f>
        <v xml:space="preserve"> Completed</v>
      </c>
      <c r="J80" s="46" t="str">
        <f ca="1">IF(J78&lt;&gt;"","Completed","")</f>
        <v/>
      </c>
      <c r="S80"/>
    </row>
    <row r="81" spans="1:19" ht="15.75" customHeight="1" x14ac:dyDescent="0.3">
      <c r="A81" s="122" t="s">
        <v>47</v>
      </c>
      <c r="B81" s="123"/>
      <c r="C81" s="88" t="s">
        <v>135</v>
      </c>
      <c r="D81" s="88" t="s">
        <v>79</v>
      </c>
      <c r="E81" s="123" t="s">
        <v>81</v>
      </c>
      <c r="F81" s="123"/>
      <c r="G81" s="123" t="s">
        <v>80</v>
      </c>
      <c r="H81" s="124"/>
      <c r="I81" s="13" t="s">
        <v>137</v>
      </c>
      <c r="J81" s="25">
        <f ca="1">H79*25%</f>
        <v>1.75</v>
      </c>
      <c r="S81"/>
    </row>
    <row r="82" spans="1:19" x14ac:dyDescent="0.3">
      <c r="A82" s="122" t="s">
        <v>124</v>
      </c>
      <c r="B82" s="123"/>
      <c r="C82" s="88">
        <f ca="1">J83</f>
        <v>7</v>
      </c>
      <c r="D82" s="89">
        <f ca="1">((100/H79)*C82)/100</f>
        <v>1</v>
      </c>
      <c r="E82" s="125">
        <f ca="1">(((C83/H79*10)+(40/(D79+F79+H79)*C84)+(7.5/(H79)*C85)+(7.5/(H79)*C86)+(10/H79*C87)+(10/H79*C88)+(5/H79*C89)+(5/H79*C90)+(5/H79*C91))/100)</f>
        <v>0.1</v>
      </c>
      <c r="F82" s="126"/>
      <c r="G82" s="125">
        <f ca="1">((((C82/H79)*20)+((C83/H79)*25)+(30/(H79+F79+D79)*C84)+(5/H79*C85)+(5/H79*C86)+(5/H79*C87)+(5/H79*C88)+(0/H79*C89)+(0/H79*C90)+(5/H79*C91))/100)</f>
        <v>0.45</v>
      </c>
      <c r="H82" s="131"/>
      <c r="I82" s="13" t="s">
        <v>97</v>
      </c>
      <c r="J82" s="26">
        <f ca="1">H79*50%</f>
        <v>3.5</v>
      </c>
    </row>
    <row r="83" spans="1:19" x14ac:dyDescent="0.3">
      <c r="A83" s="122" t="s">
        <v>48</v>
      </c>
      <c r="B83" s="123"/>
      <c r="C83" s="88">
        <f ca="1">J91</f>
        <v>7</v>
      </c>
      <c r="D83" s="89">
        <f ca="1">((100/H79)*C83)/100</f>
        <v>1</v>
      </c>
      <c r="E83" s="127"/>
      <c r="F83" s="128"/>
      <c r="G83" s="127"/>
      <c r="H83" s="132"/>
      <c r="I83" s="13" t="s">
        <v>98</v>
      </c>
      <c r="J83" s="26">
        <f ca="1">H79</f>
        <v>7</v>
      </c>
      <c r="L83" s="86"/>
      <c r="S83"/>
    </row>
    <row r="84" spans="1:19" ht="15.75" customHeight="1" x14ac:dyDescent="0.3">
      <c r="A84" s="122" t="s">
        <v>125</v>
      </c>
      <c r="B84" s="123"/>
      <c r="C84" s="88">
        <v>0</v>
      </c>
      <c r="D84" s="89">
        <f ca="1">((100/(D79+F79+H79))*C84)/100</f>
        <v>0</v>
      </c>
      <c r="E84" s="127"/>
      <c r="F84" s="128"/>
      <c r="G84" s="127"/>
      <c r="H84" s="132"/>
      <c r="I84" s="13" t="s">
        <v>99</v>
      </c>
      <c r="J84" s="27">
        <f ca="1">(IF(B79&gt;1,(H79/(B79+2)),H79/4))</f>
        <v>1.75</v>
      </c>
      <c r="S84"/>
    </row>
    <row r="85" spans="1:19" ht="15.75" customHeight="1" x14ac:dyDescent="0.3">
      <c r="A85" s="122" t="s">
        <v>132</v>
      </c>
      <c r="B85" s="123" t="s">
        <v>126</v>
      </c>
      <c r="C85" s="88">
        <v>0</v>
      </c>
      <c r="D85" s="89">
        <f ca="1">((100/H79)*C85)/100</f>
        <v>0</v>
      </c>
      <c r="E85" s="127"/>
      <c r="F85" s="128"/>
      <c r="G85" s="127"/>
      <c r="H85" s="132"/>
      <c r="I85" s="13" t="s">
        <v>100</v>
      </c>
      <c r="J85" s="27">
        <f ca="1">(IF(B79&gt;1,(H79/(B79+2)+J84),H79/4+J84))</f>
        <v>3.5</v>
      </c>
    </row>
    <row r="86" spans="1:19" ht="15.75" customHeight="1" x14ac:dyDescent="0.3">
      <c r="A86" s="122" t="s">
        <v>133</v>
      </c>
      <c r="B86" s="123" t="s">
        <v>126</v>
      </c>
      <c r="C86" s="88">
        <v>0</v>
      </c>
      <c r="D86" s="89">
        <f ca="1">((100/H79)*C86)/100</f>
        <v>0</v>
      </c>
      <c r="E86" s="127"/>
      <c r="F86" s="128"/>
      <c r="G86" s="127"/>
      <c r="H86" s="132"/>
      <c r="I86" s="13" t="s">
        <v>142</v>
      </c>
      <c r="J86" s="27">
        <f>(IF(B79&gt;1,(H79/(B79+2)+J85),0))</f>
        <v>0</v>
      </c>
    </row>
    <row r="87" spans="1:19" ht="15" customHeight="1" x14ac:dyDescent="0.3">
      <c r="A87" s="122" t="s">
        <v>131</v>
      </c>
      <c r="B87" s="123" t="s">
        <v>128</v>
      </c>
      <c r="C87" s="88">
        <v>0</v>
      </c>
      <c r="D87" s="89">
        <f ca="1">((100/(H79))*C87)/100</f>
        <v>0</v>
      </c>
      <c r="E87" s="127"/>
      <c r="F87" s="128"/>
      <c r="G87" s="127"/>
      <c r="H87" s="132"/>
      <c r="I87" s="13" t="s">
        <v>139</v>
      </c>
      <c r="J87" s="27">
        <f>(IF(B79&gt;2,(H79/(B79+2)+J86),0))</f>
        <v>0</v>
      </c>
    </row>
    <row r="88" spans="1:19" ht="15.75" customHeight="1" x14ac:dyDescent="0.3">
      <c r="A88" s="122" t="s">
        <v>127</v>
      </c>
      <c r="B88" s="123" t="s">
        <v>127</v>
      </c>
      <c r="C88" s="88">
        <v>0</v>
      </c>
      <c r="D88" s="89">
        <f ca="1">((100/H79)*C88)/100</f>
        <v>0</v>
      </c>
      <c r="E88" s="127"/>
      <c r="F88" s="128"/>
      <c r="G88" s="127"/>
      <c r="H88" s="132"/>
      <c r="I88" s="13" t="s">
        <v>140</v>
      </c>
      <c r="J88" s="28">
        <f>(IF(B79&gt;3,(H79/(B79+2)+J87),0))</f>
        <v>0</v>
      </c>
    </row>
    <row r="89" spans="1:19" ht="15.75" customHeight="1" x14ac:dyDescent="0.3">
      <c r="A89" s="122" t="s">
        <v>134</v>
      </c>
      <c r="B89" s="123"/>
      <c r="C89" s="88">
        <v>0</v>
      </c>
      <c r="D89" s="89">
        <f ca="1">((100/H79)*C89)/100</f>
        <v>0</v>
      </c>
      <c r="E89" s="127"/>
      <c r="F89" s="128"/>
      <c r="G89" s="127"/>
      <c r="H89" s="132"/>
      <c r="I89" s="13" t="s">
        <v>141</v>
      </c>
      <c r="J89" s="27">
        <f>(IF(B79&gt;4,(H79/(B79+2)+J88),0))</f>
        <v>0</v>
      </c>
    </row>
    <row r="90" spans="1:19" ht="15.75" customHeight="1" x14ac:dyDescent="0.3">
      <c r="A90" s="122" t="s">
        <v>129</v>
      </c>
      <c r="B90" s="123" t="s">
        <v>129</v>
      </c>
      <c r="C90" s="88">
        <v>0</v>
      </c>
      <c r="D90" s="89">
        <f ca="1">((100/(H79))*C90)/100</f>
        <v>0</v>
      </c>
      <c r="E90" s="127"/>
      <c r="F90" s="128"/>
      <c r="G90" s="127"/>
      <c r="H90" s="132"/>
      <c r="I90" s="13" t="s">
        <v>143</v>
      </c>
      <c r="J90" s="27">
        <f ca="1">(IF(B79=1,(H79/(B79+3)+J85),IF(B79=0,(H79/4+J85),IF(B79&gt;1,0))))</f>
        <v>5.25</v>
      </c>
    </row>
    <row r="91" spans="1:19" ht="16.2" thickBot="1" x14ac:dyDescent="0.35">
      <c r="A91" s="134" t="s">
        <v>130</v>
      </c>
      <c r="B91" s="135"/>
      <c r="C91" s="90">
        <v>0</v>
      </c>
      <c r="D91" s="91">
        <f ca="1">((100/(H79))*C91)/100</f>
        <v>0</v>
      </c>
      <c r="E91" s="129"/>
      <c r="F91" s="130"/>
      <c r="G91" s="129"/>
      <c r="H91" s="133"/>
      <c r="I91" s="14" t="s">
        <v>101</v>
      </c>
      <c r="J91" s="29">
        <f ca="1">(IF(B79&gt;1.5,(H79/(B79+2)+J85+MAX(0,J86-J85)+MAX(0,J87-J86)+MAX(0,J88-J87)+MAX(0,J89-J88)+MAX(0,J90-J89)),IF(B79=1,(H79/(B79+3)+J90),IF(B79=0,H79/4+J90))))</f>
        <v>7</v>
      </c>
    </row>
    <row r="92" spans="1:19" ht="21" customHeight="1" x14ac:dyDescent="0.3">
      <c r="A92" s="296" t="s">
        <v>136</v>
      </c>
      <c r="B92" s="297"/>
      <c r="C92" s="298" t="str">
        <f>D68</f>
        <v>Wing B to D = Gr + 1st to 7th Floor</v>
      </c>
      <c r="D92" s="299"/>
      <c r="E92" s="299"/>
      <c r="F92" s="299"/>
      <c r="G92" s="299"/>
      <c r="H92" s="300"/>
      <c r="I92" s="43" t="str">
        <f ca="1">IF(D105=100%,"All work Completed. Possession granted to the Building.",IF(D104=100%,"All work Completed, Waiting for OC",I93&amp;""&amp;I94&amp;""&amp;J93&amp;""&amp;J92&amp;" "&amp;J94))</f>
        <v xml:space="preserve">Work not yet Started. </v>
      </c>
      <c r="J92" s="44" t="str">
        <f ca="1">(IF(C98=(D93+F93+H93),"",IF(C98&gt;0,", RCC upto "&amp;C98&amp;" Slab","")))&amp;(IF(C99=H93,"",IF(C99&gt;0,", Brickwork upto "&amp;C99&amp;" Floor","")))&amp;(IF(C100=H93,"",IF(C100&gt;0,", Internal Plaster upto "&amp;C100&amp;" Floor","")))&amp;(IF(C101=H93,"",IF(C101&gt;0,", External Plaster upto "&amp;C101&amp;" Floor","")))&amp;(IF(C102=H93,"",IF(C102&gt;0,", Flooring upto "&amp;C102&amp;" Floor","")))&amp;(IF(C103=H93,"",IF(C103&gt;0,", Painting upto "&amp;C103&amp;" Floor","")))&amp;(IF(C104=H93,"",IF(C104&gt;0,", Finishing upto "&amp;C104&amp;" Floor","")))&amp;(IF(C105=H93,"",IF(C105&gt;0,", Possession upto "&amp;C105&amp;" Floor","")))</f>
        <v/>
      </c>
      <c r="S92"/>
    </row>
    <row r="93" spans="1:19" x14ac:dyDescent="0.3">
      <c r="A93" s="306" t="s">
        <v>138</v>
      </c>
      <c r="B93" s="307">
        <f>IF(AND(ISNUMBER(SEARCH("1B",C92))),1,IF(AND(ISNUMBER(SEARCH("2B",C92))),2,IF(AND(ISNUMBER(SEARCH("3B",C92))),3,IF(AND(ISNUMBER(SEARCH("4B",C92))),4,IF(ISNUMBER(SEARCH("5B",C92)),5,0)))))</f>
        <v>0</v>
      </c>
      <c r="C93" s="307" t="s">
        <v>68</v>
      </c>
      <c r="D93" s="307">
        <v>1</v>
      </c>
      <c r="E93" s="307" t="s">
        <v>67</v>
      </c>
      <c r="F93" s="307">
        <v>0</v>
      </c>
      <c r="G93" s="307" t="s">
        <v>76</v>
      </c>
      <c r="H93" s="308">
        <f ca="1">--TRIM(RIGHT(SUBSTITUTE(LEFT(C92,_xlfn.AGGREGATE(16,6,FIND({0,1,2,3,4,5,6,7,8,9},C92,ROW(INDIRECT("1:"&amp;LEN(C92)))),1))," ",REPT(" ",LEN(C92))),LEN(C92)))</f>
        <v>7</v>
      </c>
      <c r="I93" s="45" t="str">
        <f ca="1">IF(D96=100%,"Excavation","")&amp;IF(D97=100%,", Plinth","")&amp;IF(D98=100%,", RCC Slab","")&amp;IF(D99=100%,", Brickwork","")&amp;IF(D100=100%,", Internal Plaster","")&amp;IF(D101=100%,", External Plaster","")&amp;IF(D102=100%,", Flooring","")&amp;IF(D103=100%,", Painting","")&amp;IF(D104=100%,", Building common Amenities","")</f>
        <v/>
      </c>
      <c r="J93" s="46" t="str">
        <f>(IF(C96=0,"Work not yet Started.",IF(D96=25%,"Piling work in process",IF(D96=50%,"Excavation work in process",IF(D96=100%,"","0")))))&amp;(IF(C97=0%,"",IF(C97=J98,", Footing work is process",IF(C97=J99,", Footing work Completed",IF(C97=J100,", 1st Basement Completed",IF(C97=J101,", 1st &amp; 2nd Basement Completed",IF(C97=J102,", 1st to 3rd Basement Completed",IF(C97=J103,", 1st to 4th Basement Completed",IF(C97=J104,", Plinth work is process",IF(C97=J105,"","0"))))))))))</f>
        <v>Work not yet Started.</v>
      </c>
      <c r="S93"/>
    </row>
    <row r="94" spans="1:19" ht="34.200000000000003" customHeight="1" x14ac:dyDescent="0.3">
      <c r="A94" s="146" t="s">
        <v>86</v>
      </c>
      <c r="B94" s="147"/>
      <c r="C94" s="120" t="str">
        <f ca="1">I92</f>
        <v xml:space="preserve">Work not yet Started. </v>
      </c>
      <c r="D94" s="120"/>
      <c r="E94" s="120"/>
      <c r="F94" s="120"/>
      <c r="G94" s="120"/>
      <c r="H94" s="121"/>
      <c r="I94" s="45" t="str">
        <f ca="1">IF(I93&lt;&gt;""," Completed","")</f>
        <v/>
      </c>
      <c r="J94" s="46" t="str">
        <f ca="1">IF(J92&lt;&gt;"","Completed","")</f>
        <v/>
      </c>
      <c r="S94"/>
    </row>
    <row r="95" spans="1:19" ht="15.75" customHeight="1" x14ac:dyDescent="0.3">
      <c r="A95" s="122" t="s">
        <v>47</v>
      </c>
      <c r="B95" s="123"/>
      <c r="C95" s="88" t="s">
        <v>135</v>
      </c>
      <c r="D95" s="88" t="s">
        <v>79</v>
      </c>
      <c r="E95" s="123" t="s">
        <v>81</v>
      </c>
      <c r="F95" s="123"/>
      <c r="G95" s="123" t="s">
        <v>80</v>
      </c>
      <c r="H95" s="124"/>
      <c r="I95" s="13" t="s">
        <v>137</v>
      </c>
      <c r="J95" s="25">
        <f ca="1">H93*25%</f>
        <v>1.75</v>
      </c>
      <c r="S95"/>
    </row>
    <row r="96" spans="1:19" x14ac:dyDescent="0.3">
      <c r="A96" s="122" t="s">
        <v>124</v>
      </c>
      <c r="B96" s="123"/>
      <c r="C96" s="88">
        <v>0</v>
      </c>
      <c r="D96" s="89">
        <f ca="1">((100/H93)*C96)/100</f>
        <v>0</v>
      </c>
      <c r="E96" s="125">
        <f ca="1">(((C97/H93*10)+(40/(D93+F93+H93)*C98)+(7.5/(H93)*C99)+(7.5/(H93)*C100)+(10/H93*C101)+(10/H93*C102)+(5/H93*C103)+(5/H93*C104)+(5/H93*C105))/100)</f>
        <v>0</v>
      </c>
      <c r="F96" s="126"/>
      <c r="G96" s="125">
        <f ca="1">((((C96/H93)*20)+((C97/H93)*25)+(30/(H93+F93+D93)*C98)+(5/H93*C99)+(5/H93*C100)+(5/H93*C101)+(5/H93*C102)+(0/H93*C103)+(0/H93*C104)+(5/H93*C105))/100)</f>
        <v>0</v>
      </c>
      <c r="H96" s="131"/>
      <c r="I96" s="13" t="s">
        <v>97</v>
      </c>
      <c r="J96" s="26">
        <f ca="1">H93*50%</f>
        <v>3.5</v>
      </c>
    </row>
    <row r="97" spans="1:19" x14ac:dyDescent="0.3">
      <c r="A97" s="122" t="s">
        <v>48</v>
      </c>
      <c r="B97" s="123"/>
      <c r="C97" s="88">
        <v>0</v>
      </c>
      <c r="D97" s="89">
        <f ca="1">((100/H93)*C97)/100</f>
        <v>0</v>
      </c>
      <c r="E97" s="127"/>
      <c r="F97" s="128"/>
      <c r="G97" s="127"/>
      <c r="H97" s="132"/>
      <c r="I97" s="13" t="s">
        <v>98</v>
      </c>
      <c r="J97" s="26">
        <f ca="1">H93</f>
        <v>7</v>
      </c>
      <c r="S97"/>
    </row>
    <row r="98" spans="1:19" ht="15.75" customHeight="1" x14ac:dyDescent="0.3">
      <c r="A98" s="122" t="s">
        <v>125</v>
      </c>
      <c r="B98" s="123"/>
      <c r="C98" s="88">
        <v>0</v>
      </c>
      <c r="D98" s="89">
        <f ca="1">((100/(D93+F93+H93))*C98)/100</f>
        <v>0</v>
      </c>
      <c r="E98" s="127"/>
      <c r="F98" s="128"/>
      <c r="G98" s="127"/>
      <c r="H98" s="132"/>
      <c r="I98" s="13" t="s">
        <v>99</v>
      </c>
      <c r="J98" s="27">
        <f ca="1">(IF(B93&gt;1,(H93/(B93+2)),H93/4))</f>
        <v>1.75</v>
      </c>
      <c r="S98"/>
    </row>
    <row r="99" spans="1:19" ht="15.75" customHeight="1" x14ac:dyDescent="0.3">
      <c r="A99" s="122" t="s">
        <v>132</v>
      </c>
      <c r="B99" s="123" t="s">
        <v>126</v>
      </c>
      <c r="C99" s="88">
        <v>0</v>
      </c>
      <c r="D99" s="89">
        <f ca="1">((100/H93)*C99)/100</f>
        <v>0</v>
      </c>
      <c r="E99" s="127"/>
      <c r="F99" s="128"/>
      <c r="G99" s="127"/>
      <c r="H99" s="132"/>
      <c r="I99" s="13" t="s">
        <v>100</v>
      </c>
      <c r="J99" s="27">
        <f ca="1">(IF(B93&gt;1,(H93/(B93+2)+J98),H93/4+J98))</f>
        <v>3.5</v>
      </c>
    </row>
    <row r="100" spans="1:19" ht="15.75" customHeight="1" x14ac:dyDescent="0.3">
      <c r="A100" s="122" t="s">
        <v>133</v>
      </c>
      <c r="B100" s="123" t="s">
        <v>126</v>
      </c>
      <c r="C100" s="88">
        <v>0</v>
      </c>
      <c r="D100" s="89">
        <f ca="1">((100/H93)*C100)/100</f>
        <v>0</v>
      </c>
      <c r="E100" s="127"/>
      <c r="F100" s="128"/>
      <c r="G100" s="127"/>
      <c r="H100" s="132"/>
      <c r="I100" s="13" t="s">
        <v>142</v>
      </c>
      <c r="J100" s="27">
        <f>(IF(B93&gt;1,(H93/(B93+2)+J99),0))</f>
        <v>0</v>
      </c>
    </row>
    <row r="101" spans="1:19" ht="15" customHeight="1" x14ac:dyDescent="0.3">
      <c r="A101" s="122" t="s">
        <v>131</v>
      </c>
      <c r="B101" s="123" t="s">
        <v>128</v>
      </c>
      <c r="C101" s="88">
        <v>0</v>
      </c>
      <c r="D101" s="89">
        <f ca="1">((100/(H93))*C101)/100</f>
        <v>0</v>
      </c>
      <c r="E101" s="127"/>
      <c r="F101" s="128"/>
      <c r="G101" s="127"/>
      <c r="H101" s="132"/>
      <c r="I101" s="13" t="s">
        <v>139</v>
      </c>
      <c r="J101" s="27">
        <f>(IF(B93&gt;2,(H93/(B93+2)+J100),0))</f>
        <v>0</v>
      </c>
    </row>
    <row r="102" spans="1:19" ht="15.75" customHeight="1" x14ac:dyDescent="0.3">
      <c r="A102" s="122" t="s">
        <v>127</v>
      </c>
      <c r="B102" s="123" t="s">
        <v>127</v>
      </c>
      <c r="C102" s="88">
        <v>0</v>
      </c>
      <c r="D102" s="89">
        <f ca="1">((100/H93)*C102)/100</f>
        <v>0</v>
      </c>
      <c r="E102" s="127"/>
      <c r="F102" s="128"/>
      <c r="G102" s="127"/>
      <c r="H102" s="132"/>
      <c r="I102" s="13" t="s">
        <v>140</v>
      </c>
      <c r="J102" s="28">
        <f>(IF(B93&gt;3,(H93/(B93+2)+J101),0))</f>
        <v>0</v>
      </c>
    </row>
    <row r="103" spans="1:19" ht="15.75" customHeight="1" x14ac:dyDescent="0.3">
      <c r="A103" s="122" t="s">
        <v>134</v>
      </c>
      <c r="B103" s="123"/>
      <c r="C103" s="88">
        <v>0</v>
      </c>
      <c r="D103" s="89">
        <f ca="1">((100/H93)*C103)/100</f>
        <v>0</v>
      </c>
      <c r="E103" s="127"/>
      <c r="F103" s="128"/>
      <c r="G103" s="127"/>
      <c r="H103" s="132"/>
      <c r="I103" s="13" t="s">
        <v>141</v>
      </c>
      <c r="J103" s="27">
        <f>(IF(B93&gt;4,(H93/(B93+2)+J102),0))</f>
        <v>0</v>
      </c>
    </row>
    <row r="104" spans="1:19" ht="15.75" customHeight="1" x14ac:dyDescent="0.3">
      <c r="A104" s="122" t="s">
        <v>129</v>
      </c>
      <c r="B104" s="123" t="s">
        <v>129</v>
      </c>
      <c r="C104" s="88">
        <v>0</v>
      </c>
      <c r="D104" s="89">
        <f ca="1">((100/(H93))*C104)/100</f>
        <v>0</v>
      </c>
      <c r="E104" s="127"/>
      <c r="F104" s="128"/>
      <c r="G104" s="127"/>
      <c r="H104" s="132"/>
      <c r="I104" s="13" t="s">
        <v>143</v>
      </c>
      <c r="J104" s="27">
        <f ca="1">(IF(B93=1,(H93/(B93+3)+J99),IF(B93=0,(H93/4+J99),IF(B93&gt;1,0))))</f>
        <v>5.25</v>
      </c>
    </row>
    <row r="105" spans="1:19" ht="16.2" thickBot="1" x14ac:dyDescent="0.35">
      <c r="A105" s="134" t="s">
        <v>130</v>
      </c>
      <c r="B105" s="135"/>
      <c r="C105" s="90">
        <v>0</v>
      </c>
      <c r="D105" s="91">
        <f ca="1">((100/(H93))*C105)/100</f>
        <v>0</v>
      </c>
      <c r="E105" s="129"/>
      <c r="F105" s="130"/>
      <c r="G105" s="129"/>
      <c r="H105" s="133"/>
      <c r="I105" s="14" t="s">
        <v>101</v>
      </c>
      <c r="J105" s="29">
        <f ca="1">(IF(B93&gt;1.5,(H93/(B93+2)+J99+MAX(0,J100-J99)+MAX(0,J101-J100)+MAX(0,J102-J101)+MAX(0,J103-J102)+MAX(0,J104-J103)),IF(B93=1,(H93/(B93+3)+J104),IF(B93=0,H93/4+J104))))</f>
        <v>7</v>
      </c>
    </row>
    <row r="106" spans="1:19" ht="15.75" hidden="1" customHeight="1" x14ac:dyDescent="0.3">
      <c r="A106" s="141" t="s">
        <v>136</v>
      </c>
      <c r="B106" s="142"/>
      <c r="C106" s="143" t="str">
        <f>D69</f>
        <v>C Wing = Gr + 1st to 7th Floor</v>
      </c>
      <c r="D106" s="144"/>
      <c r="E106" s="144"/>
      <c r="F106" s="144"/>
      <c r="G106" s="144"/>
      <c r="H106" s="145"/>
      <c r="I106" s="43" t="str">
        <f ca="1">IF(D119=100%,"All work Completed. Possession granted to the Building.",IF(D118=100%,"All work Completed, Waiting for OC",I107&amp;""&amp;I108&amp;""&amp;J107&amp;""&amp;J106&amp;" "&amp;J108))</f>
        <v xml:space="preserve">Excavation, Plinth Completed </v>
      </c>
      <c r="J106" s="44" t="str">
        <f ca="1">(IF(C112=(D107+F107+H107),"",IF(C112&gt;0,", RCC upto "&amp;C112&amp;" Slab","")))&amp;(IF(C113=H107,"",IF(C113&gt;0,", Brickwork upto "&amp;C113&amp;" Floor","")))&amp;(IF(C114=H107,"",IF(C114&gt;0,", Internal Plaster upto "&amp;C114&amp;" Floor","")))&amp;(IF(C115=H107,"",IF(C115&gt;0,", External Plaster upto "&amp;C115&amp;" Floor","")))&amp;(IF(C116=H107,"",IF(C116&gt;0,", Flooring upto "&amp;C116&amp;" Floor","")))&amp;(IF(C117=H107,"",IF(C117&gt;0,", Painting upto "&amp;C117&amp;" Floor","")))&amp;(IF(C118=H107,"",IF(C118&gt;0,", Finishing upto "&amp;C118&amp;" Floor","")))&amp;(IF(C119=H107,"",IF(C119&gt;0,", Possession upto "&amp;C119&amp;" Floor","")))</f>
        <v/>
      </c>
      <c r="S106"/>
    </row>
    <row r="107" spans="1:19" hidden="1" x14ac:dyDescent="0.3">
      <c r="A107" s="15" t="s">
        <v>138</v>
      </c>
      <c r="B107" s="42">
        <f>IF(AND(ISNUMBER(SEARCH("1B",C106))),1,IF(AND(ISNUMBER(SEARCH("2B",C106))),2,IF(AND(ISNUMBER(SEARCH("3B",C106))),3,IF(AND(ISNUMBER(SEARCH("4B",C106))),4,IF(ISNUMBER(SEARCH("5B",C106)),5,0)))))</f>
        <v>0</v>
      </c>
      <c r="C107" s="42" t="s">
        <v>68</v>
      </c>
      <c r="D107" s="42">
        <v>1</v>
      </c>
      <c r="E107" s="42" t="s">
        <v>67</v>
      </c>
      <c r="F107" s="42">
        <v>0</v>
      </c>
      <c r="G107" s="42" t="s">
        <v>76</v>
      </c>
      <c r="H107" s="16">
        <f ca="1">--TRIM(RIGHT(SUBSTITUTE(LEFT(C106,_xlfn.AGGREGATE(16,6,FIND({0,1,2,3,4,5,6,7,8,9},C106,ROW(INDIRECT("1:"&amp;LEN(C106)))),1))," ",REPT(" ",LEN(C106))),LEN(C106)))</f>
        <v>7</v>
      </c>
      <c r="I107" s="45" t="str">
        <f ca="1">IF(D110=100%,"Excavation","")&amp;IF(D111=100%,", Plinth","")&amp;IF(D112=100%,", RCC Slab","")&amp;IF(D113=100%,", Brickwork","")&amp;IF(D114=100%,", Internal Plaster","")&amp;IF(D115=100%,", External Plaster","")&amp;IF(D116=100%,", Flooring","")&amp;IF(D117=100%,", Painting","")&amp;IF(D118=100%,", Building common Amenities","")</f>
        <v>Excavation, Plinth</v>
      </c>
      <c r="J107" s="46" t="str">
        <f ca="1">(IF(C110=0,"Work not yet Started.",IF(D110=25%,"Piling work in process",IF(D110=50%,"Excavation work in process",IF(D110=100%,"","0")))))&amp;(IF(C111=0%,"",IF(C111=J112,", Footing work is process",IF(C111=J113,", Footing work Completed",IF(C111=J114,", 1st Basement Completed",IF(C111=J115,", 1st &amp; 2nd Basement Completed",IF(C111=J116,", 1st to 3rd Basement Completed",IF(C111=J117,", 1st to 4th Basement Completed",IF(C111=J118,", Plinth work is process",IF(C111=J119,"","0"))))))))))</f>
        <v/>
      </c>
      <c r="S107"/>
    </row>
    <row r="108" spans="1:19" hidden="1" x14ac:dyDescent="0.3">
      <c r="A108" s="146" t="s">
        <v>86</v>
      </c>
      <c r="B108" s="147"/>
      <c r="C108" s="120" t="str">
        <f ca="1">I106</f>
        <v xml:space="preserve">Excavation, Plinth Completed </v>
      </c>
      <c r="D108" s="120"/>
      <c r="E108" s="120"/>
      <c r="F108" s="120"/>
      <c r="G108" s="120"/>
      <c r="H108" s="121"/>
      <c r="I108" s="45" t="str">
        <f ca="1">IF(I107&lt;&gt;""," Completed","")</f>
        <v xml:space="preserve"> Completed</v>
      </c>
      <c r="J108" s="46" t="str">
        <f ca="1">IF(J106&lt;&gt;"","Completed","")</f>
        <v/>
      </c>
      <c r="S108"/>
    </row>
    <row r="109" spans="1:19" ht="15.75" hidden="1" customHeight="1" x14ac:dyDescent="0.3">
      <c r="A109" s="122" t="s">
        <v>47</v>
      </c>
      <c r="B109" s="123"/>
      <c r="C109" s="88" t="s">
        <v>135</v>
      </c>
      <c r="D109" s="88" t="s">
        <v>79</v>
      </c>
      <c r="E109" s="123" t="s">
        <v>81</v>
      </c>
      <c r="F109" s="123"/>
      <c r="G109" s="123" t="s">
        <v>80</v>
      </c>
      <c r="H109" s="124"/>
      <c r="I109" s="13" t="s">
        <v>137</v>
      </c>
      <c r="J109" s="25">
        <f ca="1">H107*25%</f>
        <v>1.75</v>
      </c>
      <c r="S109"/>
    </row>
    <row r="110" spans="1:19" hidden="1" x14ac:dyDescent="0.3">
      <c r="A110" s="122" t="s">
        <v>124</v>
      </c>
      <c r="B110" s="123"/>
      <c r="C110" s="88">
        <f ca="1">J111</f>
        <v>7</v>
      </c>
      <c r="D110" s="89">
        <f ca="1">((100/H107)*C110)/100</f>
        <v>1</v>
      </c>
      <c r="E110" s="125">
        <f ca="1">(((C111/H107*10)+(40/(D107+F107+H107)*C112)+(7.5/(H107)*C113)+(7.5/(H107)*C114)+(10/H107*C115)+(10/H107*C116)+(5/H107*C117)+(5/H107*C118)+(5/H107*C119))/100)</f>
        <v>0.1</v>
      </c>
      <c r="F110" s="126"/>
      <c r="G110" s="125">
        <f ca="1">((((C110/H107)*20)+((C111/H107)*25)+(30/(H107+F107+D107)*C112)+(5/H107*C113)+(5/H107*C114)+(5/H107*C115)+(5/H107*C116)+(0/H107*C117)+(0/H107*C118)+(5/H107*C119))/100)</f>
        <v>0.45</v>
      </c>
      <c r="H110" s="131"/>
      <c r="I110" s="13" t="s">
        <v>97</v>
      </c>
      <c r="J110" s="26">
        <f ca="1">H107*50%</f>
        <v>3.5</v>
      </c>
    </row>
    <row r="111" spans="1:19" hidden="1" x14ac:dyDescent="0.3">
      <c r="A111" s="122" t="s">
        <v>48</v>
      </c>
      <c r="B111" s="123"/>
      <c r="C111" s="88">
        <f ca="1">J119</f>
        <v>7</v>
      </c>
      <c r="D111" s="89">
        <f ca="1">((100/H107)*C111)/100</f>
        <v>1</v>
      </c>
      <c r="E111" s="127"/>
      <c r="F111" s="128"/>
      <c r="G111" s="127"/>
      <c r="H111" s="132"/>
      <c r="I111" s="13" t="s">
        <v>98</v>
      </c>
      <c r="J111" s="26">
        <f ca="1">H107</f>
        <v>7</v>
      </c>
      <c r="S111"/>
    </row>
    <row r="112" spans="1:19" ht="15.75" hidden="1" customHeight="1" x14ac:dyDescent="0.3">
      <c r="A112" s="122" t="s">
        <v>125</v>
      </c>
      <c r="B112" s="123"/>
      <c r="C112" s="88">
        <v>0</v>
      </c>
      <c r="D112" s="89">
        <f ca="1">((100/(D107+F107+H107))*C112)/100</f>
        <v>0</v>
      </c>
      <c r="E112" s="127"/>
      <c r="F112" s="128"/>
      <c r="G112" s="127"/>
      <c r="H112" s="132"/>
      <c r="I112" s="13" t="s">
        <v>99</v>
      </c>
      <c r="J112" s="27">
        <f ca="1">(IF(B107&gt;1,(H107/(B107+2)),H107/4))</f>
        <v>1.75</v>
      </c>
      <c r="S112"/>
    </row>
    <row r="113" spans="1:19" ht="15.75" hidden="1" customHeight="1" x14ac:dyDescent="0.3">
      <c r="A113" s="122" t="s">
        <v>132</v>
      </c>
      <c r="B113" s="123" t="s">
        <v>126</v>
      </c>
      <c r="C113" s="88">
        <v>0</v>
      </c>
      <c r="D113" s="89">
        <f ca="1">((100/H107)*C113)/100</f>
        <v>0</v>
      </c>
      <c r="E113" s="127"/>
      <c r="F113" s="128"/>
      <c r="G113" s="127"/>
      <c r="H113" s="132"/>
      <c r="I113" s="13" t="s">
        <v>100</v>
      </c>
      <c r="J113" s="27">
        <f ca="1">(IF(B107&gt;1,(H107/(B107+2)+J112),H107/4+J112))</f>
        <v>3.5</v>
      </c>
    </row>
    <row r="114" spans="1:19" ht="15.75" hidden="1" customHeight="1" x14ac:dyDescent="0.3">
      <c r="A114" s="122" t="s">
        <v>133</v>
      </c>
      <c r="B114" s="123" t="s">
        <v>126</v>
      </c>
      <c r="C114" s="88">
        <v>0</v>
      </c>
      <c r="D114" s="89">
        <f ca="1">((100/H107)*C114)/100</f>
        <v>0</v>
      </c>
      <c r="E114" s="127"/>
      <c r="F114" s="128"/>
      <c r="G114" s="127"/>
      <c r="H114" s="132"/>
      <c r="I114" s="13" t="s">
        <v>142</v>
      </c>
      <c r="J114" s="27">
        <f>(IF(B107&gt;1,(H107/(B107+2)+J113),0))</f>
        <v>0</v>
      </c>
    </row>
    <row r="115" spans="1:19" ht="15" hidden="1" customHeight="1" x14ac:dyDescent="0.3">
      <c r="A115" s="122" t="s">
        <v>131</v>
      </c>
      <c r="B115" s="123" t="s">
        <v>128</v>
      </c>
      <c r="C115" s="88">
        <v>0</v>
      </c>
      <c r="D115" s="89">
        <f ca="1">((100/(H107))*C115)/100</f>
        <v>0</v>
      </c>
      <c r="E115" s="127"/>
      <c r="F115" s="128"/>
      <c r="G115" s="127"/>
      <c r="H115" s="132"/>
      <c r="I115" s="13" t="s">
        <v>139</v>
      </c>
      <c r="J115" s="27">
        <f>(IF(B107&gt;2,(H107/(B107+2)+J114),0))</f>
        <v>0</v>
      </c>
    </row>
    <row r="116" spans="1:19" ht="15.75" hidden="1" customHeight="1" x14ac:dyDescent="0.3">
      <c r="A116" s="122" t="s">
        <v>127</v>
      </c>
      <c r="B116" s="123" t="s">
        <v>127</v>
      </c>
      <c r="C116" s="88">
        <v>0</v>
      </c>
      <c r="D116" s="89">
        <f ca="1">((100/H107)*C116)/100</f>
        <v>0</v>
      </c>
      <c r="E116" s="127"/>
      <c r="F116" s="128"/>
      <c r="G116" s="127"/>
      <c r="H116" s="132"/>
      <c r="I116" s="13" t="s">
        <v>140</v>
      </c>
      <c r="J116" s="28">
        <f>(IF(B107&gt;3,(H107/(B107+2)+J115),0))</f>
        <v>0</v>
      </c>
    </row>
    <row r="117" spans="1:19" ht="15.75" hidden="1" customHeight="1" x14ac:dyDescent="0.3">
      <c r="A117" s="122" t="s">
        <v>134</v>
      </c>
      <c r="B117" s="123"/>
      <c r="C117" s="88">
        <v>0</v>
      </c>
      <c r="D117" s="89">
        <f ca="1">((100/H107)*C117)/100</f>
        <v>0</v>
      </c>
      <c r="E117" s="127"/>
      <c r="F117" s="128"/>
      <c r="G117" s="127"/>
      <c r="H117" s="132"/>
      <c r="I117" s="13" t="s">
        <v>141</v>
      </c>
      <c r="J117" s="27">
        <f>(IF(B107&gt;4,(H107/(B107+2)+J116),0))</f>
        <v>0</v>
      </c>
    </row>
    <row r="118" spans="1:19" ht="15.75" hidden="1" customHeight="1" x14ac:dyDescent="0.3">
      <c r="A118" s="122" t="s">
        <v>129</v>
      </c>
      <c r="B118" s="123" t="s">
        <v>129</v>
      </c>
      <c r="C118" s="88">
        <v>0</v>
      </c>
      <c r="D118" s="89">
        <f ca="1">((100/(H107))*C118)/100</f>
        <v>0</v>
      </c>
      <c r="E118" s="127"/>
      <c r="F118" s="128"/>
      <c r="G118" s="127"/>
      <c r="H118" s="132"/>
      <c r="I118" s="13" t="s">
        <v>143</v>
      </c>
      <c r="J118" s="27">
        <f ca="1">(IF(B107=1,(H107/(B107+3)+J113),IF(B107=0,(H107/4+J113),IF(B107&gt;1,0))))</f>
        <v>5.25</v>
      </c>
    </row>
    <row r="119" spans="1:19" ht="16.2" hidden="1" thickBot="1" x14ac:dyDescent="0.35">
      <c r="A119" s="134" t="s">
        <v>130</v>
      </c>
      <c r="B119" s="135"/>
      <c r="C119" s="90">
        <v>0</v>
      </c>
      <c r="D119" s="91">
        <f ca="1">((100/(H107))*C119)/100</f>
        <v>0</v>
      </c>
      <c r="E119" s="129"/>
      <c r="F119" s="130"/>
      <c r="G119" s="129"/>
      <c r="H119" s="133"/>
      <c r="I119" s="14" t="s">
        <v>101</v>
      </c>
      <c r="J119" s="29">
        <f ca="1">(IF(B107&gt;1.5,(H107/(B107+2)+J113+MAX(0,J114-J113)+MAX(0,J115-J114)+MAX(0,J116-J115)+MAX(0,J117-J116)+MAX(0,J118-J117)),IF(B107=1,(H107/(B107+3)+J118),IF(B107=0,H107/4+J118))))</f>
        <v>7</v>
      </c>
    </row>
    <row r="120" spans="1:19" ht="15.75" hidden="1" customHeight="1" x14ac:dyDescent="0.3">
      <c r="A120" s="141" t="s">
        <v>136</v>
      </c>
      <c r="B120" s="142"/>
      <c r="C120" s="143" t="str">
        <f>D70</f>
        <v>D Wing = Gr + 1st to 7th Floor</v>
      </c>
      <c r="D120" s="144"/>
      <c r="E120" s="144"/>
      <c r="F120" s="144"/>
      <c r="G120" s="144"/>
      <c r="H120" s="145"/>
      <c r="I120" s="43" t="str">
        <f ca="1">IF(D133=100%,"All work Completed. Possession granted to the Building.",IF(D132=100%,"All work Completed, Waiting for OC",I121&amp;""&amp;I122&amp;""&amp;J121&amp;""&amp;J120&amp;" "&amp;J122))</f>
        <v xml:space="preserve">Excavation, Plinth Completed </v>
      </c>
      <c r="J120" s="44" t="str">
        <f ca="1">(IF(C126=(D121+F121+H121),"",IF(C126&gt;0,", RCC upto "&amp;C126&amp;" Slab","")))&amp;(IF(C127=H121,"",IF(C127&gt;0,", Brickwork upto "&amp;C127&amp;" Floor","")))&amp;(IF(C128=H121,"",IF(C128&gt;0,", Internal Plaster upto "&amp;C128&amp;" Floor","")))&amp;(IF(C129=H121,"",IF(C129&gt;0,", External Plaster upto "&amp;C129&amp;" Floor","")))&amp;(IF(C130=H121,"",IF(C130&gt;0,", Flooring upto "&amp;C130&amp;" Floor","")))&amp;(IF(C131=H121,"",IF(C131&gt;0,", Painting upto "&amp;C131&amp;" Floor","")))&amp;(IF(C132=H121,"",IF(C132&gt;0,", Finishing upto "&amp;C132&amp;" Floor","")))&amp;(IF(C133=H121,"",IF(C133&gt;0,", Possession upto "&amp;C133&amp;" Floor","")))</f>
        <v/>
      </c>
      <c r="S120"/>
    </row>
    <row r="121" spans="1:19" hidden="1" x14ac:dyDescent="0.3">
      <c r="A121" s="15" t="s">
        <v>138</v>
      </c>
      <c r="B121" s="42">
        <f>IF(AND(ISNUMBER(SEARCH("1B",C120))),1,IF(AND(ISNUMBER(SEARCH("2B",C120))),2,IF(AND(ISNUMBER(SEARCH("3B",C120))),3,IF(AND(ISNUMBER(SEARCH("4B",C120))),4,IF(ISNUMBER(SEARCH("5B",C120)),5,0)))))</f>
        <v>0</v>
      </c>
      <c r="C121" s="42" t="s">
        <v>68</v>
      </c>
      <c r="D121" s="42">
        <v>1</v>
      </c>
      <c r="E121" s="42" t="s">
        <v>67</v>
      </c>
      <c r="F121" s="42">
        <v>0</v>
      </c>
      <c r="G121" s="42" t="s">
        <v>76</v>
      </c>
      <c r="H121" s="16">
        <f ca="1">--TRIM(RIGHT(SUBSTITUTE(LEFT(C120,_xlfn.AGGREGATE(16,6,FIND({0,1,2,3,4,5,6,7,8,9},C120,ROW(INDIRECT("1:"&amp;LEN(C120)))),1))," ",REPT(" ",LEN(C120))),LEN(C120)))</f>
        <v>7</v>
      </c>
      <c r="I121" s="45" t="str">
        <f ca="1">IF(D124=100%,"Excavation","")&amp;IF(D125=100%,", Plinth","")&amp;IF(D126=100%,", RCC Slab","")&amp;IF(D127=100%,", Brickwork","")&amp;IF(D128=100%,", Internal Plaster","")&amp;IF(D129=100%,", External Plaster","")&amp;IF(D130=100%,", Flooring","")&amp;IF(D131=100%,", Painting","")&amp;IF(D132=100%,", Building common Amenities","")</f>
        <v>Excavation, Plinth</v>
      </c>
      <c r="J121" s="46" t="str">
        <f ca="1">(IF(C124=0,"Work not yet Started.",IF(D124=25%,"Piling work in process",IF(D124=50%,"Excavation work in process",IF(D124=100%,"","0")))))&amp;(IF(C125=0%,"",IF(C125=J126,", Footing work is process",IF(C125=J127,", Footing work Completed",IF(C125=J128,", 1st Basement Completed",IF(C125=J129,", 1st &amp; 2nd Basement Completed",IF(C125=J130,", 1st to 3rd Basement Completed",IF(C125=J131,", 1st to 4th Basement Completed",IF(C125=J132,", Plinth work is process",IF(C125=J133,"","0"))))))))))</f>
        <v/>
      </c>
      <c r="S121"/>
    </row>
    <row r="122" spans="1:19" hidden="1" x14ac:dyDescent="0.3">
      <c r="A122" s="146" t="s">
        <v>86</v>
      </c>
      <c r="B122" s="147"/>
      <c r="C122" s="120" t="str">
        <f ca="1">I120</f>
        <v xml:space="preserve">Excavation, Plinth Completed </v>
      </c>
      <c r="D122" s="120"/>
      <c r="E122" s="120"/>
      <c r="F122" s="120"/>
      <c r="G122" s="120"/>
      <c r="H122" s="121"/>
      <c r="I122" s="45" t="str">
        <f ca="1">IF(I121&lt;&gt;""," Completed","")</f>
        <v xml:space="preserve"> Completed</v>
      </c>
      <c r="J122" s="46" t="str">
        <f ca="1">IF(J120&lt;&gt;"","Completed","")</f>
        <v/>
      </c>
      <c r="S122"/>
    </row>
    <row r="123" spans="1:19" ht="15.75" hidden="1" customHeight="1" x14ac:dyDescent="0.3">
      <c r="A123" s="122" t="s">
        <v>47</v>
      </c>
      <c r="B123" s="123"/>
      <c r="C123" s="88" t="s">
        <v>135</v>
      </c>
      <c r="D123" s="88" t="s">
        <v>79</v>
      </c>
      <c r="E123" s="123" t="s">
        <v>81</v>
      </c>
      <c r="F123" s="123"/>
      <c r="G123" s="123" t="s">
        <v>80</v>
      </c>
      <c r="H123" s="124"/>
      <c r="I123" s="13" t="s">
        <v>137</v>
      </c>
      <c r="J123" s="25">
        <f ca="1">H121*25%</f>
        <v>1.75</v>
      </c>
      <c r="S123"/>
    </row>
    <row r="124" spans="1:19" hidden="1" x14ac:dyDescent="0.3">
      <c r="A124" s="122" t="s">
        <v>124</v>
      </c>
      <c r="B124" s="123"/>
      <c r="C124" s="88">
        <f ca="1">J125</f>
        <v>7</v>
      </c>
      <c r="D124" s="89">
        <f ca="1">((100/H121)*C124)/100</f>
        <v>1</v>
      </c>
      <c r="E124" s="125">
        <f ca="1">(((C125/H121*10)+(40/(D121+F121+H121)*C126)+(7.5/(H121)*C127)+(7.5/(H121)*C128)+(10/H121*C129)+(10/H121*C130)+(5/H121*C131)+(5/H121*C132)+(5/H121*C133))/100)</f>
        <v>0.1</v>
      </c>
      <c r="F124" s="126"/>
      <c r="G124" s="125">
        <f ca="1">((((C124/H121)*20)+((C125/H121)*25)+(30/(H121+F121+D121)*C126)+(5/H121*C127)+(5/H121*C128)+(5/H121*C129)+(5/H121*C130)+(0/H121*C131)+(0/H121*C132)+(5/H121*C133))/100)</f>
        <v>0.45</v>
      </c>
      <c r="H124" s="131"/>
      <c r="I124" s="13" t="s">
        <v>97</v>
      </c>
      <c r="J124" s="26">
        <f ca="1">H121*50%</f>
        <v>3.5</v>
      </c>
    </row>
    <row r="125" spans="1:19" hidden="1" x14ac:dyDescent="0.3">
      <c r="A125" s="122" t="s">
        <v>48</v>
      </c>
      <c r="B125" s="123"/>
      <c r="C125" s="88">
        <f ca="1">J133</f>
        <v>7</v>
      </c>
      <c r="D125" s="89">
        <f ca="1">((100/H121)*C125)/100</f>
        <v>1</v>
      </c>
      <c r="E125" s="127"/>
      <c r="F125" s="128"/>
      <c r="G125" s="127"/>
      <c r="H125" s="132"/>
      <c r="I125" s="13" t="s">
        <v>98</v>
      </c>
      <c r="J125" s="26">
        <f ca="1">H121</f>
        <v>7</v>
      </c>
      <c r="S125"/>
    </row>
    <row r="126" spans="1:19" ht="15.75" hidden="1" customHeight="1" x14ac:dyDescent="0.3">
      <c r="A126" s="122" t="s">
        <v>125</v>
      </c>
      <c r="B126" s="123"/>
      <c r="C126" s="88">
        <v>0</v>
      </c>
      <c r="D126" s="89">
        <f ca="1">((100/(D121+F121+H121))*C126)/100</f>
        <v>0</v>
      </c>
      <c r="E126" s="127"/>
      <c r="F126" s="128"/>
      <c r="G126" s="127"/>
      <c r="H126" s="132"/>
      <c r="I126" s="13" t="s">
        <v>99</v>
      </c>
      <c r="J126" s="27">
        <f ca="1">(IF(B121&gt;1,(H121/(B121+2)),H121/4))</f>
        <v>1.75</v>
      </c>
      <c r="S126"/>
    </row>
    <row r="127" spans="1:19" ht="15.75" hidden="1" customHeight="1" x14ac:dyDescent="0.3">
      <c r="A127" s="122" t="s">
        <v>132</v>
      </c>
      <c r="B127" s="123" t="s">
        <v>126</v>
      </c>
      <c r="C127" s="88">
        <v>0</v>
      </c>
      <c r="D127" s="89">
        <f ca="1">((100/H121)*C127)/100</f>
        <v>0</v>
      </c>
      <c r="E127" s="127"/>
      <c r="F127" s="128"/>
      <c r="G127" s="127"/>
      <c r="H127" s="132"/>
      <c r="I127" s="13" t="s">
        <v>100</v>
      </c>
      <c r="J127" s="27">
        <f ca="1">(IF(B121&gt;1,(H121/(B121+2)+J126),H121/4+J126))</f>
        <v>3.5</v>
      </c>
    </row>
    <row r="128" spans="1:19" ht="15.75" hidden="1" customHeight="1" x14ac:dyDescent="0.3">
      <c r="A128" s="122" t="s">
        <v>133</v>
      </c>
      <c r="B128" s="123" t="s">
        <v>126</v>
      </c>
      <c r="C128" s="88">
        <v>0</v>
      </c>
      <c r="D128" s="89">
        <f ca="1">((100/H121)*C128)/100</f>
        <v>0</v>
      </c>
      <c r="E128" s="127"/>
      <c r="F128" s="128"/>
      <c r="G128" s="127"/>
      <c r="H128" s="132"/>
      <c r="I128" s="13" t="s">
        <v>142</v>
      </c>
      <c r="J128" s="27">
        <f>(IF(B121&gt;1,(H121/(B121+2)+J127),0))</f>
        <v>0</v>
      </c>
    </row>
    <row r="129" spans="1:22" ht="15" hidden="1" customHeight="1" x14ac:dyDescent="0.3">
      <c r="A129" s="122" t="s">
        <v>131</v>
      </c>
      <c r="B129" s="123" t="s">
        <v>128</v>
      </c>
      <c r="C129" s="88">
        <v>0</v>
      </c>
      <c r="D129" s="89">
        <f ca="1">((100/(H121))*C129)/100</f>
        <v>0</v>
      </c>
      <c r="E129" s="127"/>
      <c r="F129" s="128"/>
      <c r="G129" s="127"/>
      <c r="H129" s="132"/>
      <c r="I129" s="13" t="s">
        <v>139</v>
      </c>
      <c r="J129" s="27">
        <f>(IF(B121&gt;2,(H121/(B121+2)+J128),0))</f>
        <v>0</v>
      </c>
    </row>
    <row r="130" spans="1:22" ht="15.75" hidden="1" customHeight="1" x14ac:dyDescent="0.3">
      <c r="A130" s="122" t="s">
        <v>127</v>
      </c>
      <c r="B130" s="123" t="s">
        <v>127</v>
      </c>
      <c r="C130" s="88">
        <v>0</v>
      </c>
      <c r="D130" s="89">
        <f ca="1">((100/H121)*C130)/100</f>
        <v>0</v>
      </c>
      <c r="E130" s="127"/>
      <c r="F130" s="128"/>
      <c r="G130" s="127"/>
      <c r="H130" s="132"/>
      <c r="I130" s="13" t="s">
        <v>140</v>
      </c>
      <c r="J130" s="28">
        <f>(IF(B121&gt;3,(H121/(B121+2)+J129),0))</f>
        <v>0</v>
      </c>
    </row>
    <row r="131" spans="1:22" ht="15.75" hidden="1" customHeight="1" x14ac:dyDescent="0.3">
      <c r="A131" s="122" t="s">
        <v>134</v>
      </c>
      <c r="B131" s="123"/>
      <c r="C131" s="88">
        <v>0</v>
      </c>
      <c r="D131" s="89">
        <f ca="1">((100/H121)*C131)/100</f>
        <v>0</v>
      </c>
      <c r="E131" s="127"/>
      <c r="F131" s="128"/>
      <c r="G131" s="127"/>
      <c r="H131" s="132"/>
      <c r="I131" s="13" t="s">
        <v>141</v>
      </c>
      <c r="J131" s="27">
        <f>(IF(B121&gt;4,(H121/(B121+2)+J130),0))</f>
        <v>0</v>
      </c>
    </row>
    <row r="132" spans="1:22" ht="15.75" hidden="1" customHeight="1" x14ac:dyDescent="0.3">
      <c r="A132" s="122" t="s">
        <v>129</v>
      </c>
      <c r="B132" s="123" t="s">
        <v>129</v>
      </c>
      <c r="C132" s="88">
        <v>0</v>
      </c>
      <c r="D132" s="89">
        <f ca="1">((100/(H121))*C132)/100</f>
        <v>0</v>
      </c>
      <c r="E132" s="127"/>
      <c r="F132" s="128"/>
      <c r="G132" s="127"/>
      <c r="H132" s="132"/>
      <c r="I132" s="13" t="s">
        <v>143</v>
      </c>
      <c r="J132" s="27">
        <f ca="1">(IF(B121=1,(H121/(B121+3)+J127),IF(B121=0,(H121/4+J127),IF(B121&gt;1,0))))</f>
        <v>5.25</v>
      </c>
    </row>
    <row r="133" spans="1:22" ht="16.2" hidden="1" thickBot="1" x14ac:dyDescent="0.35">
      <c r="A133" s="134" t="s">
        <v>130</v>
      </c>
      <c r="B133" s="135"/>
      <c r="C133" s="90">
        <v>0</v>
      </c>
      <c r="D133" s="91">
        <f ca="1">((100/(H121))*C133)/100</f>
        <v>0</v>
      </c>
      <c r="E133" s="129"/>
      <c r="F133" s="130"/>
      <c r="G133" s="129"/>
      <c r="H133" s="133"/>
      <c r="I133" s="14" t="s">
        <v>101</v>
      </c>
      <c r="J133" s="29">
        <f ca="1">(IF(B121&gt;1.5,(H121/(B121+2)+J127+MAX(0,J128-J127)+MAX(0,J129-J128)+MAX(0,J130-J129)+MAX(0,J131-J130)+MAX(0,J132-J131)),IF(B121=1,(H121/(B121+3)+J132),IF(B121=0,H121/4+J132))))</f>
        <v>7</v>
      </c>
    </row>
    <row r="134" spans="1:22" x14ac:dyDescent="0.3">
      <c r="A134" s="288" t="s">
        <v>154</v>
      </c>
      <c r="B134" s="288"/>
      <c r="C134" s="288"/>
      <c r="D134" s="288"/>
      <c r="E134" s="288"/>
      <c r="F134" s="266" t="s">
        <v>158</v>
      </c>
      <c r="G134" s="266"/>
      <c r="H134" s="266"/>
      <c r="R134" t="s">
        <v>249</v>
      </c>
      <c r="S134" t="s">
        <v>169</v>
      </c>
      <c r="T134" t="s">
        <v>176</v>
      </c>
      <c r="U134" t="s">
        <v>190</v>
      </c>
      <c r="V134" t="s">
        <v>185</v>
      </c>
    </row>
    <row r="135" spans="1:22" x14ac:dyDescent="0.3">
      <c r="A135" s="148" t="s">
        <v>156</v>
      </c>
      <c r="B135" s="148"/>
      <c r="C135" s="148"/>
      <c r="D135" s="148"/>
      <c r="E135" s="148"/>
      <c r="F135" s="184">
        <v>4200</v>
      </c>
      <c r="G135" s="184"/>
      <c r="H135" s="184"/>
      <c r="J135" s="18" t="s">
        <v>444</v>
      </c>
      <c r="K135" s="18" t="s">
        <v>446</v>
      </c>
      <c r="L135" s="18" t="s">
        <v>447</v>
      </c>
      <c r="R135"/>
      <c r="S135">
        <v>800000</v>
      </c>
      <c r="T135">
        <v>150000</v>
      </c>
      <c r="U135">
        <v>100000</v>
      </c>
      <c r="V135">
        <v>100000</v>
      </c>
    </row>
    <row r="136" spans="1:22" hidden="1" x14ac:dyDescent="0.3">
      <c r="A136" s="148" t="s">
        <v>155</v>
      </c>
      <c r="B136" s="148"/>
      <c r="C136" s="148"/>
      <c r="D136" s="148"/>
      <c r="E136" s="148"/>
      <c r="F136" s="184"/>
      <c r="G136" s="184"/>
      <c r="H136" s="184"/>
      <c r="R136"/>
      <c r="S136">
        <v>900000</v>
      </c>
      <c r="T136">
        <v>200000</v>
      </c>
      <c r="U136">
        <v>150000</v>
      </c>
      <c r="V136">
        <v>150000</v>
      </c>
    </row>
    <row r="137" spans="1:22" hidden="1" x14ac:dyDescent="0.3">
      <c r="A137" s="148" t="s">
        <v>157</v>
      </c>
      <c r="B137" s="148"/>
      <c r="C137" s="148"/>
      <c r="D137" s="148"/>
      <c r="E137" s="148"/>
      <c r="F137" s="184"/>
      <c r="G137" s="184"/>
      <c r="H137" s="184"/>
      <c r="R137"/>
      <c r="S137">
        <v>1000000</v>
      </c>
      <c r="T137">
        <v>250000</v>
      </c>
      <c r="U137">
        <v>200000</v>
      </c>
      <c r="V137">
        <v>200000</v>
      </c>
    </row>
    <row r="138" spans="1:22" s="30" customFormat="1" hidden="1" x14ac:dyDescent="0.3">
      <c r="A138" s="148" t="s">
        <v>171</v>
      </c>
      <c r="B138" s="148"/>
      <c r="C138" s="148"/>
      <c r="D138" s="148"/>
      <c r="E138" s="148"/>
      <c r="F138" s="184"/>
      <c r="G138" s="184"/>
      <c r="H138" s="184"/>
      <c r="R138"/>
      <c r="S138">
        <v>1100000</v>
      </c>
      <c r="T138">
        <v>300000</v>
      </c>
      <c r="U138">
        <v>250000</v>
      </c>
      <c r="V138" s="20">
        <v>250000</v>
      </c>
    </row>
    <row r="139" spans="1:22" s="30" customFormat="1" hidden="1" x14ac:dyDescent="0.3">
      <c r="A139" s="148" t="s">
        <v>91</v>
      </c>
      <c r="B139" s="148"/>
      <c r="C139" s="148"/>
      <c r="D139" s="148"/>
      <c r="E139" s="148"/>
      <c r="F139" s="184"/>
      <c r="G139" s="184"/>
      <c r="H139" s="184"/>
      <c r="R139"/>
      <c r="S139">
        <v>1200000</v>
      </c>
      <c r="T139">
        <v>350000</v>
      </c>
      <c r="U139">
        <v>300000</v>
      </c>
      <c r="V139">
        <v>300000</v>
      </c>
    </row>
    <row r="140" spans="1:22" s="30" customFormat="1" hidden="1" x14ac:dyDescent="0.3">
      <c r="A140" s="148" t="s">
        <v>92</v>
      </c>
      <c r="B140" s="148"/>
      <c r="C140" s="148"/>
      <c r="D140" s="148"/>
      <c r="E140" s="148"/>
      <c r="F140" s="184"/>
      <c r="G140" s="184"/>
      <c r="H140" s="184"/>
      <c r="R140"/>
      <c r="S140">
        <v>1300000</v>
      </c>
      <c r="T140">
        <v>400000</v>
      </c>
      <c r="U140">
        <v>350000</v>
      </c>
      <c r="V140" s="20">
        <v>400000</v>
      </c>
    </row>
    <row r="141" spans="1:22" s="30" customFormat="1" hidden="1" x14ac:dyDescent="0.3">
      <c r="A141" s="148" t="s">
        <v>93</v>
      </c>
      <c r="B141" s="148"/>
      <c r="C141" s="148"/>
      <c r="D141" s="148"/>
      <c r="E141" s="148"/>
      <c r="F141" s="184"/>
      <c r="G141" s="184"/>
      <c r="H141" s="184"/>
      <c r="R141"/>
      <c r="S141">
        <v>1400000</v>
      </c>
      <c r="T141">
        <v>500000</v>
      </c>
      <c r="U141">
        <v>400000</v>
      </c>
      <c r="V141"/>
    </row>
    <row r="142" spans="1:22" s="30" customFormat="1" hidden="1" x14ac:dyDescent="0.3">
      <c r="A142" s="148" t="s">
        <v>94</v>
      </c>
      <c r="B142" s="148"/>
      <c r="C142" s="148"/>
      <c r="D142" s="148"/>
      <c r="E142" s="148"/>
      <c r="F142" s="184"/>
      <c r="G142" s="184"/>
      <c r="H142" s="184"/>
      <c r="R142"/>
      <c r="S142">
        <v>1500000</v>
      </c>
      <c r="T142">
        <v>600000</v>
      </c>
      <c r="U142">
        <v>500000</v>
      </c>
      <c r="V142" s="20"/>
    </row>
    <row r="143" spans="1:22" s="30" customFormat="1" hidden="1" x14ac:dyDescent="0.3">
      <c r="A143" s="148" t="s">
        <v>95</v>
      </c>
      <c r="B143" s="148"/>
      <c r="C143" s="148"/>
      <c r="D143" s="148"/>
      <c r="E143" s="148"/>
      <c r="F143" s="184"/>
      <c r="G143" s="184"/>
      <c r="H143" s="184"/>
      <c r="R143"/>
      <c r="S143">
        <v>1600000</v>
      </c>
      <c r="T143">
        <v>700000</v>
      </c>
      <c r="U143">
        <v>600000</v>
      </c>
      <c r="V143"/>
    </row>
    <row r="144" spans="1:22" s="30" customFormat="1" hidden="1" x14ac:dyDescent="0.3">
      <c r="A144" s="148" t="s">
        <v>96</v>
      </c>
      <c r="B144" s="148"/>
      <c r="C144" s="148"/>
      <c r="D144" s="148"/>
      <c r="E144" s="148"/>
      <c r="F144" s="184"/>
      <c r="G144" s="184"/>
      <c r="H144" s="184"/>
      <c r="R144"/>
      <c r="S144">
        <v>1700000</v>
      </c>
      <c r="T144">
        <v>800000</v>
      </c>
      <c r="U144"/>
      <c r="V144" s="20"/>
    </row>
    <row r="145" spans="1:22" x14ac:dyDescent="0.3">
      <c r="A145" s="148" t="s">
        <v>49</v>
      </c>
      <c r="B145" s="148"/>
      <c r="C145" s="148"/>
      <c r="D145" s="148"/>
      <c r="E145" s="148"/>
      <c r="F145" s="184">
        <v>200000</v>
      </c>
      <c r="G145" s="184"/>
      <c r="H145" s="184"/>
      <c r="J145" s="18" t="s">
        <v>445</v>
      </c>
      <c r="K145" s="18">
        <v>4000</v>
      </c>
      <c r="L145" s="18" t="s">
        <v>448</v>
      </c>
      <c r="R145"/>
      <c r="S145">
        <v>1800000</v>
      </c>
      <c r="T145">
        <v>900000</v>
      </c>
      <c r="U145"/>
    </row>
    <row r="146" spans="1:22" s="31" customFormat="1" x14ac:dyDescent="0.3">
      <c r="A146" s="191" t="s">
        <v>50</v>
      </c>
      <c r="B146" s="191"/>
      <c r="C146" s="191"/>
      <c r="D146" s="191"/>
      <c r="E146" s="191"/>
      <c r="F146" s="184">
        <f>F135*0.8</f>
        <v>3360</v>
      </c>
      <c r="G146" s="184"/>
      <c r="H146" s="184"/>
      <c r="R146" s="18"/>
      <c r="S146" s="18"/>
      <c r="T146">
        <v>1000000</v>
      </c>
      <c r="U146"/>
      <c r="V146" s="18"/>
    </row>
    <row r="147" spans="1:22" s="32" customFormat="1" ht="15.75" hidden="1" customHeight="1" x14ac:dyDescent="0.3">
      <c r="A147" s="155" t="s">
        <v>71</v>
      </c>
      <c r="B147" s="256"/>
      <c r="C147" s="256"/>
      <c r="D147" s="256"/>
      <c r="E147" s="256"/>
      <c r="F147" s="256"/>
      <c r="G147" s="256"/>
      <c r="H147" s="156"/>
      <c r="R147"/>
      <c r="S147" s="18"/>
      <c r="T147"/>
      <c r="U147"/>
      <c r="V147" s="18"/>
    </row>
    <row r="148" spans="1:22" s="32" customFormat="1" ht="15.75" hidden="1" customHeight="1" x14ac:dyDescent="0.3">
      <c r="A148" s="161" t="s">
        <v>51</v>
      </c>
      <c r="B148" s="162"/>
      <c r="C148" s="157" t="s">
        <v>74</v>
      </c>
      <c r="D148" s="158"/>
      <c r="E148" s="159" t="s">
        <v>52</v>
      </c>
      <c r="F148" s="160"/>
      <c r="G148" s="161" t="s">
        <v>53</v>
      </c>
      <c r="H148" s="162"/>
      <c r="R148"/>
      <c r="S148" s="18"/>
      <c r="T148"/>
      <c r="U148" s="18"/>
      <c r="V148" s="18"/>
    </row>
    <row r="149" spans="1:22" s="32" customFormat="1" hidden="1" x14ac:dyDescent="0.3">
      <c r="A149" s="257"/>
      <c r="B149" s="258"/>
      <c r="C149" s="149"/>
      <c r="D149" s="150"/>
      <c r="E149" s="151"/>
      <c r="F149" s="152"/>
      <c r="G149" s="153"/>
      <c r="H149" s="154"/>
      <c r="R149"/>
      <c r="S149" s="18"/>
      <c r="T149"/>
      <c r="U149" s="18"/>
      <c r="V149" s="18"/>
    </row>
    <row r="150" spans="1:22" s="32" customFormat="1" hidden="1" x14ac:dyDescent="0.3">
      <c r="A150" s="257"/>
      <c r="B150" s="258"/>
      <c r="C150" s="149"/>
      <c r="D150" s="150"/>
      <c r="E150" s="151"/>
      <c r="F150" s="152"/>
      <c r="G150" s="153"/>
      <c r="H150" s="154"/>
      <c r="R150"/>
      <c r="S150" s="18"/>
      <c r="T150"/>
      <c r="U150" s="18"/>
      <c r="V150" s="18"/>
    </row>
    <row r="151" spans="1:22" s="32" customFormat="1" hidden="1" x14ac:dyDescent="0.3">
      <c r="A151" s="155" t="s">
        <v>146</v>
      </c>
      <c r="B151" s="156"/>
      <c r="C151" s="157"/>
      <c r="D151" s="158"/>
      <c r="E151" s="159"/>
      <c r="F151" s="160"/>
      <c r="G151" s="161"/>
      <c r="H151" s="162"/>
      <c r="R151"/>
      <c r="S151" s="18"/>
      <c r="T151"/>
      <c r="U151" s="18"/>
      <c r="V151" s="18"/>
    </row>
    <row r="152" spans="1:22" s="32" customFormat="1" x14ac:dyDescent="0.3">
      <c r="A152" s="259" t="s">
        <v>66</v>
      </c>
      <c r="B152" s="259"/>
      <c r="C152" s="259"/>
      <c r="D152" s="259"/>
      <c r="E152" s="259"/>
      <c r="F152" s="259"/>
      <c r="G152" s="259"/>
      <c r="H152" s="259"/>
      <c r="T152"/>
    </row>
    <row r="153" spans="1:22" s="32" customFormat="1" ht="15.75" customHeight="1" x14ac:dyDescent="0.3">
      <c r="A153" s="260" t="s">
        <v>51</v>
      </c>
      <c r="B153" s="260"/>
      <c r="C153" s="281" t="s">
        <v>74</v>
      </c>
      <c r="D153" s="281"/>
      <c r="E153" s="287" t="s">
        <v>52</v>
      </c>
      <c r="F153" s="287"/>
      <c r="G153" s="260" t="s">
        <v>53</v>
      </c>
      <c r="H153" s="260"/>
      <c r="T153"/>
    </row>
    <row r="154" spans="1:22" s="32" customFormat="1" x14ac:dyDescent="0.3">
      <c r="A154" s="163" t="s">
        <v>419</v>
      </c>
      <c r="B154" s="163"/>
      <c r="C154" s="164">
        <f>COUNT(D174:D183)*6+COUNT(D185:D186,D189:D190,D192:D193)</f>
        <v>66</v>
      </c>
      <c r="D154" s="164"/>
      <c r="E154" s="164">
        <f>SUM(F174:F183)*6+SUM(F185:F186,F189:F190,F192:F193)</f>
        <v>30049.675812000001</v>
      </c>
      <c r="F154" s="164"/>
      <c r="G154" s="164">
        <f t="shared" ref="G154" si="0">SUM(H174:H183)*6+SUM(H185:H186,H189:H190,H192:H193)</f>
        <v>43572.029927400006</v>
      </c>
      <c r="H154" s="164"/>
      <c r="T154"/>
    </row>
    <row r="155" spans="1:22" s="32" customFormat="1" x14ac:dyDescent="0.3">
      <c r="A155" s="163" t="s">
        <v>424</v>
      </c>
      <c r="B155" s="163"/>
      <c r="C155" s="164">
        <f>COUNT(D198:D199,D202:D205)+COUNT(D207:D214)*5+COUNT(D216,D218,D221,D223)</f>
        <v>50</v>
      </c>
      <c r="D155" s="164"/>
      <c r="E155" s="164">
        <f t="shared" ref="E155" si="1">SUM(F198:F199,F202:F205)+SUM(F207:F214)*5+SUM(F216,F218,F221,F223)</f>
        <v>22683.633803999994</v>
      </c>
      <c r="F155" s="164"/>
      <c r="G155" s="164">
        <f t="shared" ref="G155" si="2">SUM(H198:H199,H202:H205)+SUM(H207:H214)*5+SUM(H216,H218,H221,H223)</f>
        <v>32891.269015799997</v>
      </c>
      <c r="H155" s="164"/>
      <c r="T155"/>
    </row>
    <row r="156" spans="1:22" s="32" customFormat="1" x14ac:dyDescent="0.3">
      <c r="A156" s="163" t="s">
        <v>426</v>
      </c>
      <c r="B156" s="163"/>
      <c r="C156" s="164">
        <f>COUNT(D227:D237)*6+COUNT(D240:D241,D243,D245,D247:D248)</f>
        <v>72</v>
      </c>
      <c r="D156" s="164"/>
      <c r="E156" s="164">
        <f t="shared" ref="E156" si="3">SUM(F227:F237)*6+SUM(F240:F241,F243,F245,F247:F248)</f>
        <v>31783.519403999999</v>
      </c>
      <c r="F156" s="164"/>
      <c r="G156" s="164">
        <f t="shared" ref="G156" si="4">SUM(H227:H237)*6+SUM(H240:H241,H243,H245,H247:H248)</f>
        <v>46086.103135800011</v>
      </c>
      <c r="H156" s="164"/>
      <c r="T156"/>
    </row>
    <row r="157" spans="1:22" s="32" customFormat="1" ht="16.2" thickBot="1" x14ac:dyDescent="0.35">
      <c r="A157" s="163" t="s">
        <v>427</v>
      </c>
      <c r="B157" s="163"/>
      <c r="C157" s="164">
        <f>COUNT(D253:D257)*5+COUNT(D259:D263)+COUNT(D265,D268:D269)</f>
        <v>33</v>
      </c>
      <c r="D157" s="164"/>
      <c r="E157" s="164">
        <f t="shared" ref="E157" si="5">SUM(F253:F257)*5+SUM(F259:F263)+SUM(F265,F268:F269)</f>
        <v>20333.045303999999</v>
      </c>
      <c r="F157" s="164"/>
      <c r="G157" s="164">
        <f t="shared" ref="G157" si="6">SUM(H253:H257)*5+SUM(H259:H263)+SUM(H265,H268:H269)</f>
        <v>29724.836590799998</v>
      </c>
      <c r="H157" s="164"/>
      <c r="T157"/>
    </row>
    <row r="158" spans="1:22" s="32" customFormat="1" ht="16.2" thickBot="1" x14ac:dyDescent="0.35">
      <c r="A158" s="261" t="s">
        <v>163</v>
      </c>
      <c r="B158" s="262"/>
      <c r="C158" s="172">
        <f>SUM(C154:D157)</f>
        <v>221</v>
      </c>
      <c r="D158" s="173"/>
      <c r="E158" s="172">
        <f>SUM(E154:F157)</f>
        <v>104849.874324</v>
      </c>
      <c r="F158" s="173"/>
      <c r="G158" s="172">
        <f>SUM(G154:H157)</f>
        <v>152274.23866980002</v>
      </c>
      <c r="H158" s="173"/>
      <c r="T158"/>
    </row>
    <row r="159" spans="1:22" s="31" customFormat="1" x14ac:dyDescent="0.3">
      <c r="A159" s="274" t="s">
        <v>352</v>
      </c>
      <c r="B159" s="274"/>
      <c r="C159" s="274"/>
      <c r="D159" s="274"/>
      <c r="E159" s="274"/>
      <c r="F159" s="274"/>
      <c r="G159" s="274"/>
      <c r="H159" s="274"/>
      <c r="T159" s="32"/>
    </row>
    <row r="160" spans="1:22" x14ac:dyDescent="0.3">
      <c r="A160" s="277" t="s">
        <v>441</v>
      </c>
      <c r="B160" s="277"/>
      <c r="C160" s="277"/>
      <c r="D160" s="277"/>
      <c r="E160" s="277"/>
      <c r="F160" s="277"/>
      <c r="G160" s="277"/>
      <c r="H160" s="277"/>
      <c r="T160" s="32"/>
    </row>
    <row r="161" spans="1:20" ht="47.25" hidden="1" customHeight="1" x14ac:dyDescent="0.3">
      <c r="A161" s="139" t="s">
        <v>405</v>
      </c>
      <c r="B161" s="139" t="s">
        <v>172</v>
      </c>
      <c r="C161" s="139" t="s">
        <v>54</v>
      </c>
      <c r="D161" s="139" t="s">
        <v>228</v>
      </c>
      <c r="E161" s="170" t="s">
        <v>153</v>
      </c>
      <c r="F161" s="139" t="s">
        <v>55</v>
      </c>
      <c r="G161" s="170" t="s">
        <v>56</v>
      </c>
      <c r="H161" s="92" t="s">
        <v>145</v>
      </c>
      <c r="T161" s="32"/>
    </row>
    <row r="162" spans="1:20" s="34" customFormat="1" hidden="1" x14ac:dyDescent="0.3">
      <c r="A162" s="140"/>
      <c r="B162" s="140"/>
      <c r="C162" s="140"/>
      <c r="D162" s="140"/>
      <c r="E162" s="171"/>
      <c r="F162" s="140"/>
      <c r="G162" s="171"/>
      <c r="H162" s="93">
        <v>0.45</v>
      </c>
      <c r="T162" s="32"/>
    </row>
    <row r="163" spans="1:20" s="34" customFormat="1" hidden="1" x14ac:dyDescent="0.3">
      <c r="A163" s="103" t="s">
        <v>116</v>
      </c>
      <c r="B163" s="104"/>
      <c r="C163" s="104"/>
      <c r="D163" s="104"/>
      <c r="E163" s="104"/>
      <c r="F163" s="104"/>
      <c r="G163" s="104"/>
      <c r="H163" s="105"/>
      <c r="J163" s="33"/>
      <c r="T163" s="32"/>
    </row>
    <row r="164" spans="1:20" s="34" customFormat="1" ht="15.75" hidden="1" customHeight="1" x14ac:dyDescent="0.3">
      <c r="A164" s="98">
        <v>1</v>
      </c>
      <c r="B164" s="99"/>
      <c r="C164" s="94"/>
      <c r="D164" s="94">
        <v>0</v>
      </c>
      <c r="E164" s="94">
        <v>0</v>
      </c>
      <c r="F164" s="94">
        <f>D164+(IF(E164&lt;201,E164,IF(E164&lt;301,E164/2,E164/3)))</f>
        <v>0</v>
      </c>
      <c r="G164" s="94">
        <v>0</v>
      </c>
      <c r="H164" s="94">
        <f>(F164+(IF(G164&lt;101,G164,IF(G164&lt;201,G164/2,IF(G164&lt;=301,G164/3,G164/4)))))*(($H$162)+1)</f>
        <v>0</v>
      </c>
      <c r="I164" s="33"/>
      <c r="L164" s="100"/>
      <c r="M164" s="100"/>
      <c r="N164" s="33"/>
      <c r="T164" s="32"/>
    </row>
    <row r="165" spans="1:20" s="34" customFormat="1" ht="15.75" hidden="1" customHeight="1" x14ac:dyDescent="0.3">
      <c r="A165" s="98">
        <f>A164+1</f>
        <v>2</v>
      </c>
      <c r="B165" s="99"/>
      <c r="C165" s="94"/>
      <c r="D165" s="94"/>
      <c r="E165" s="94">
        <v>0</v>
      </c>
      <c r="F165" s="94">
        <f>D165+(IF(E165&lt;201,E165,IF(E165&lt;301,E165/2,E165/3)))</f>
        <v>0</v>
      </c>
      <c r="G165" s="94">
        <v>0</v>
      </c>
      <c r="H165" s="94">
        <f>(F165+(IF(G165&lt;101,G165,IF(G165&lt;201,G165/2,IF(G165&lt;=301,G165/3,G165/4)))))*(($H$162)+1)</f>
        <v>0</v>
      </c>
      <c r="I165" s="33"/>
      <c r="L165" s="100"/>
      <c r="M165" s="100"/>
      <c r="N165" s="33"/>
      <c r="T165" s="31"/>
    </row>
    <row r="166" spans="1:20" s="34" customFormat="1" ht="15.75" hidden="1" customHeight="1" x14ac:dyDescent="0.3">
      <c r="A166" s="98">
        <f>A165+1</f>
        <v>3</v>
      </c>
      <c r="B166" s="99"/>
      <c r="C166" s="94"/>
      <c r="D166" s="94"/>
      <c r="E166" s="94">
        <v>0</v>
      </c>
      <c r="F166" s="94">
        <f>D166+(IF(E166&lt;201,E166,IF(E166&lt;301,E166/2,E166/3)))</f>
        <v>0</v>
      </c>
      <c r="G166" s="94">
        <v>0</v>
      </c>
      <c r="H166" s="94">
        <f>(F166+(IF(G166&lt;101,G166,IF(G166&lt;201,G166/2,IF(G166&lt;=301,G166/3,G166/4)))))*(($H$162)+1)</f>
        <v>0</v>
      </c>
      <c r="I166" s="33"/>
      <c r="L166" s="100"/>
      <c r="M166" s="100"/>
      <c r="N166" s="33"/>
      <c r="T166" s="18"/>
    </row>
    <row r="167" spans="1:20" s="34" customFormat="1" ht="15.75" hidden="1" customHeight="1" x14ac:dyDescent="0.3">
      <c r="A167" s="98">
        <f>A166+1</f>
        <v>4</v>
      </c>
      <c r="B167" s="99"/>
      <c r="C167" s="94"/>
      <c r="D167" s="94"/>
      <c r="E167" s="94">
        <v>0</v>
      </c>
      <c r="F167" s="94">
        <f>D167+(IF(E167&lt;201,E167,IF(E167&lt;301,E167/2,E167/3)))</f>
        <v>0</v>
      </c>
      <c r="G167" s="94">
        <v>0</v>
      </c>
      <c r="H167" s="94">
        <f>(F167+(IF(G167&lt;101,G167,IF(G167&lt;201,G167/2,IF(G167&lt;=301,G167/3,G167/4)))))*(($H$162)+1)</f>
        <v>0</v>
      </c>
      <c r="I167" s="33"/>
      <c r="L167" s="100"/>
      <c r="M167" s="100"/>
      <c r="N167" s="33"/>
      <c r="T167" s="18"/>
    </row>
    <row r="168" spans="1:20" s="34" customFormat="1" hidden="1" x14ac:dyDescent="0.3">
      <c r="A168" s="98"/>
      <c r="B168" s="106"/>
      <c r="C168" s="106"/>
      <c r="D168" s="106"/>
      <c r="E168" s="106"/>
      <c r="F168" s="106"/>
      <c r="G168" s="106"/>
      <c r="H168" s="99"/>
      <c r="I168" s="33"/>
      <c r="N168" s="33"/>
    </row>
    <row r="169" spans="1:20" ht="47.25" customHeight="1" x14ac:dyDescent="0.3">
      <c r="A169" s="267" t="s">
        <v>406</v>
      </c>
      <c r="B169" s="139" t="s">
        <v>173</v>
      </c>
      <c r="C169" s="139" t="s">
        <v>54</v>
      </c>
      <c r="D169" s="139" t="s">
        <v>373</v>
      </c>
      <c r="E169" s="139" t="s">
        <v>438</v>
      </c>
      <c r="F169" s="139" t="s">
        <v>55</v>
      </c>
      <c r="G169" s="170" t="s">
        <v>56</v>
      </c>
      <c r="H169" s="92" t="s">
        <v>145</v>
      </c>
      <c r="I169" s="33"/>
      <c r="T169" s="34"/>
    </row>
    <row r="170" spans="1:20" s="34" customFormat="1" x14ac:dyDescent="0.3">
      <c r="A170" s="268"/>
      <c r="B170" s="140"/>
      <c r="C170" s="140"/>
      <c r="D170" s="140"/>
      <c r="E170" s="140"/>
      <c r="F170" s="140"/>
      <c r="G170" s="171"/>
      <c r="H170" s="93">
        <v>0.45</v>
      </c>
      <c r="I170" s="33"/>
    </row>
    <row r="171" spans="1:20" s="34" customFormat="1" x14ac:dyDescent="0.3">
      <c r="A171" s="107" t="s">
        <v>419</v>
      </c>
      <c r="B171" s="108"/>
      <c r="C171" s="108"/>
      <c r="D171" s="108"/>
      <c r="E171" s="108"/>
      <c r="F171" s="108"/>
      <c r="G171" s="108"/>
      <c r="H171" s="109"/>
      <c r="J171" s="33"/>
    </row>
    <row r="172" spans="1:20" s="34" customFormat="1" x14ac:dyDescent="0.3">
      <c r="A172" s="103" t="s">
        <v>431</v>
      </c>
      <c r="B172" s="104"/>
      <c r="C172" s="104"/>
      <c r="D172" s="104"/>
      <c r="E172" s="104"/>
      <c r="F172" s="104"/>
      <c r="G172" s="104"/>
      <c r="H172" s="105"/>
      <c r="J172" s="94">
        <v>10.763999999999999</v>
      </c>
      <c r="M172" s="34">
        <v>4200</v>
      </c>
    </row>
    <row r="173" spans="1:20" s="34" customFormat="1" x14ac:dyDescent="0.3">
      <c r="A173" s="103" t="s">
        <v>421</v>
      </c>
      <c r="B173" s="104"/>
      <c r="C173" s="104"/>
      <c r="D173" s="104"/>
      <c r="E173" s="104"/>
      <c r="F173" s="104"/>
      <c r="G173" s="104"/>
      <c r="H173" s="105"/>
      <c r="J173" s="33"/>
    </row>
    <row r="174" spans="1:20" s="34" customFormat="1" ht="15.75" customHeight="1" x14ac:dyDescent="0.3">
      <c r="A174" s="98">
        <v>1</v>
      </c>
      <c r="B174" s="99"/>
      <c r="C174" s="94" t="s">
        <v>422</v>
      </c>
      <c r="D174" s="94">
        <f>(33.07)*10.764</f>
        <v>355.96547999999996</v>
      </c>
      <c r="E174" s="94">
        <f>(1.1*2.75+1.55*1+1.25*1)*10.764</f>
        <v>62.700299999999999</v>
      </c>
      <c r="F174" s="94">
        <f>D174+E174</f>
        <v>418.66577999999993</v>
      </c>
      <c r="G174" s="94">
        <v>0</v>
      </c>
      <c r="H174" s="94">
        <f>F174*(($H$170)+1)+(IF(G174&lt;101,G174,IF(G174&lt;201,G174/2,IF(G174&lt;=301,G174/3,G174/4))))</f>
        <v>607.06538099999989</v>
      </c>
      <c r="I174" s="33"/>
      <c r="J174" s="34">
        <f>4.25*2.75+2.1*2.25+3.1*2.75+1.7*1.2+1.8*1.2+0.9*2.6+1.1*0.6</f>
        <v>32.137499999999996</v>
      </c>
      <c r="L174" s="97">
        <f>$M$172*H174</f>
        <v>2549674.6001999998</v>
      </c>
      <c r="M174" s="97">
        <f>L174+250000</f>
        <v>2799674.6001999998</v>
      </c>
      <c r="N174" s="33">
        <f>M174*0.9</f>
        <v>2519707.1401799996</v>
      </c>
    </row>
    <row r="175" spans="1:20" s="34" customFormat="1" ht="15.75" customHeight="1" x14ac:dyDescent="0.3">
      <c r="A175" s="98">
        <f>A174+1</f>
        <v>2</v>
      </c>
      <c r="B175" s="99"/>
      <c r="C175" s="94" t="s">
        <v>422</v>
      </c>
      <c r="D175" s="94">
        <f>(31.257)*10.764</f>
        <v>336.45034800000002</v>
      </c>
      <c r="E175" s="94">
        <f>(1.1*(2.7+2.25+1.5))*10.764</f>
        <v>76.370580000000004</v>
      </c>
      <c r="F175" s="94">
        <f>D175+E175</f>
        <v>412.82092800000004</v>
      </c>
      <c r="G175" s="94">
        <v>0</v>
      </c>
      <c r="H175" s="94">
        <f>F175*(($H$170)+1)+(IF(G175&lt;101,G175,IF(G175&lt;201,G175/2,IF(G175&lt;=301,G175/3,G175/4))))</f>
        <v>598.59034560000009</v>
      </c>
      <c r="I175" s="33"/>
      <c r="J175" s="95">
        <f>2.7*3.8+2.25*2.1+2.75*3.1+0.9*2.4+1.15*1.85+1.7*1.15+1.1*0.6</f>
        <v>30.412499999999998</v>
      </c>
      <c r="K175" s="34">
        <f>2.75-1.1</f>
        <v>1.65</v>
      </c>
      <c r="L175" s="97">
        <f t="shared" ref="L175:L199" si="7">$M$172*H175</f>
        <v>2514079.4515200006</v>
      </c>
      <c r="M175" s="97">
        <f t="shared" ref="M175:M193" si="8">L175+250000</f>
        <v>2764079.4515200006</v>
      </c>
      <c r="N175" s="33">
        <f t="shared" ref="N175:N193" si="9">M175*0.9</f>
        <v>2487671.5063680005</v>
      </c>
    </row>
    <row r="176" spans="1:20" s="34" customFormat="1" ht="15.75" customHeight="1" x14ac:dyDescent="0.3">
      <c r="A176" s="98">
        <f>A175+1</f>
        <v>3</v>
      </c>
      <c r="B176" s="99"/>
      <c r="C176" s="94" t="s">
        <v>422</v>
      </c>
      <c r="D176" s="94">
        <f>(31.16)*10.764</f>
        <v>335.40623999999997</v>
      </c>
      <c r="E176" s="94">
        <f>(1.1*(2.7+2.25+1.5))*10.764</f>
        <v>76.370580000000004</v>
      </c>
      <c r="F176" s="94">
        <f>D176+E176</f>
        <v>411.77681999999999</v>
      </c>
      <c r="G176" s="94">
        <v>0</v>
      </c>
      <c r="H176" s="94">
        <f>F176*(($H$170)+1)+(IF(G176&lt;101,G176,IF(G176&lt;201,G176/2,IF(G176&lt;=301,G176/3,G176/4))))</f>
        <v>597.07638899999995</v>
      </c>
      <c r="I176" s="33"/>
      <c r="L176" s="97">
        <f t="shared" si="7"/>
        <v>2507720.8337999997</v>
      </c>
      <c r="M176" s="97">
        <f t="shared" si="8"/>
        <v>2757720.8337999997</v>
      </c>
      <c r="N176" s="33">
        <f t="shared" si="9"/>
        <v>2481948.7504199999</v>
      </c>
    </row>
    <row r="177" spans="1:20" s="34" customFormat="1" ht="15.75" customHeight="1" x14ac:dyDescent="0.3">
      <c r="A177" s="101">
        <f>A176+1</f>
        <v>4</v>
      </c>
      <c r="B177" s="102"/>
      <c r="C177" s="94" t="s">
        <v>422</v>
      </c>
      <c r="D177" s="94">
        <f>(33.151)*10.764</f>
        <v>356.83736400000004</v>
      </c>
      <c r="E177" s="94">
        <f>(1.1*(2.75)+1.25*1+1.55*1)*10.764</f>
        <v>62.700299999999999</v>
      </c>
      <c r="F177" s="39">
        <f>D177+E177</f>
        <v>419.53766400000006</v>
      </c>
      <c r="G177" s="39">
        <v>0</v>
      </c>
      <c r="H177" s="39">
        <f>F177*(($H$170)+1)+(IF(G177&lt;101,G177,IF(G177&lt;201,G177/2,IF(G177&lt;=301,G177/3,G177/4))))</f>
        <v>608.32961280000006</v>
      </c>
      <c r="I177" s="33"/>
      <c r="L177" s="97">
        <f t="shared" si="7"/>
        <v>2554984.3737600003</v>
      </c>
      <c r="M177" s="97">
        <f t="shared" si="8"/>
        <v>2804984.3737600003</v>
      </c>
      <c r="N177" s="33">
        <f t="shared" si="9"/>
        <v>2524485.9363840003</v>
      </c>
      <c r="T177" s="18"/>
    </row>
    <row r="178" spans="1:20" s="34" customFormat="1" ht="15.75" customHeight="1" x14ac:dyDescent="0.3">
      <c r="A178" s="101">
        <f t="shared" ref="A178:A183" si="10">A177+1</f>
        <v>5</v>
      </c>
      <c r="B178" s="102"/>
      <c r="C178" s="94" t="s">
        <v>422</v>
      </c>
      <c r="D178" s="94">
        <f>(33.24)*10.764</f>
        <v>357.79536000000002</v>
      </c>
      <c r="E178" s="94">
        <f>(1.1*2.75+1.25*1+1.55*1)*10.764</f>
        <v>62.700299999999999</v>
      </c>
      <c r="F178" s="39">
        <f t="shared" ref="F178:F183" si="11">D178+E178</f>
        <v>420.49566000000004</v>
      </c>
      <c r="G178" s="39">
        <v>0</v>
      </c>
      <c r="H178" s="39">
        <f t="shared" ref="H178:H183" si="12">F178*(($H$170)+1)+(IF(G178&lt;101,G178,IF(G178&lt;201,G178/2,IF(G178&lt;=301,G178/3,G178/4))))</f>
        <v>609.71870699999999</v>
      </c>
      <c r="I178" s="33"/>
      <c r="L178" s="97">
        <f t="shared" si="7"/>
        <v>2560818.5693999999</v>
      </c>
      <c r="M178" s="97">
        <f t="shared" si="8"/>
        <v>2810818.5693999999</v>
      </c>
      <c r="N178" s="33">
        <f t="shared" si="9"/>
        <v>2529736.7124600001</v>
      </c>
      <c r="T178" s="18"/>
    </row>
    <row r="179" spans="1:20" s="34" customFormat="1" ht="15.75" customHeight="1" x14ac:dyDescent="0.3">
      <c r="A179" s="101">
        <f t="shared" si="10"/>
        <v>6</v>
      </c>
      <c r="B179" s="102"/>
      <c r="C179" s="94" t="s">
        <v>422</v>
      </c>
      <c r="D179" s="94">
        <f>(32.472)*10.764</f>
        <v>349.52860800000002</v>
      </c>
      <c r="E179" s="94">
        <f>(1.1*(2.75+2.25+1.5))*10.764</f>
        <v>76.962599999999995</v>
      </c>
      <c r="F179" s="39">
        <f t="shared" si="11"/>
        <v>426.49120800000003</v>
      </c>
      <c r="G179" s="39">
        <v>0</v>
      </c>
      <c r="H179" s="39">
        <f t="shared" si="12"/>
        <v>618.41225159999999</v>
      </c>
      <c r="I179" s="33"/>
      <c r="L179" s="97">
        <f t="shared" si="7"/>
        <v>2597331.4567200001</v>
      </c>
      <c r="M179" s="97">
        <f t="shared" si="8"/>
        <v>2847331.4567200001</v>
      </c>
      <c r="N179" s="33">
        <f t="shared" si="9"/>
        <v>2562598.3110480001</v>
      </c>
      <c r="T179" s="18"/>
    </row>
    <row r="180" spans="1:20" s="34" customFormat="1" ht="15.75" customHeight="1" x14ac:dyDescent="0.3">
      <c r="A180" s="101">
        <f t="shared" si="10"/>
        <v>7</v>
      </c>
      <c r="B180" s="102"/>
      <c r="C180" s="94" t="s">
        <v>422</v>
      </c>
      <c r="D180" s="94">
        <f>(32.636)*10.764</f>
        <v>351.293904</v>
      </c>
      <c r="E180" s="94">
        <f>(1.1*(2.75+2.25+1.5))*10.764</f>
        <v>76.962599999999995</v>
      </c>
      <c r="F180" s="39">
        <f t="shared" si="11"/>
        <v>428.25650400000001</v>
      </c>
      <c r="G180" s="39">
        <v>0</v>
      </c>
      <c r="H180" s="39">
        <f t="shared" si="12"/>
        <v>620.9719308</v>
      </c>
      <c r="I180" s="33"/>
      <c r="L180" s="97">
        <f t="shared" si="7"/>
        <v>2608082.1093600001</v>
      </c>
      <c r="M180" s="97">
        <f t="shared" si="8"/>
        <v>2858082.1093600001</v>
      </c>
      <c r="N180" s="33">
        <f t="shared" si="9"/>
        <v>2572273.898424</v>
      </c>
      <c r="T180" s="18"/>
    </row>
    <row r="181" spans="1:20" s="34" customFormat="1" ht="15.75" customHeight="1" x14ac:dyDescent="0.3">
      <c r="A181" s="101">
        <f t="shared" si="10"/>
        <v>8</v>
      </c>
      <c r="B181" s="102"/>
      <c r="C181" s="39" t="s">
        <v>423</v>
      </c>
      <c r="D181" s="94">
        <f>(47.415)*10.764</f>
        <v>510.37505999999996</v>
      </c>
      <c r="E181" s="94">
        <f>(1.1*(2.75+1.6)+1.55*1+1.55*1)*10.764</f>
        <v>84.874139999999997</v>
      </c>
      <c r="F181" s="39">
        <f t="shared" si="11"/>
        <v>595.24919999999997</v>
      </c>
      <c r="G181" s="39">
        <v>0</v>
      </c>
      <c r="H181" s="39">
        <f t="shared" si="12"/>
        <v>863.11133999999993</v>
      </c>
      <c r="I181" s="33"/>
      <c r="J181" s="34">
        <f>4.1*2.75+2*2.75+2*2+2.75*2.75+3.75*2.75+1.2*1.75+1.2*1.75+0.9*1.2+1.2*0.9+1.1*0.6</f>
        <v>45.669999999999995</v>
      </c>
      <c r="L181" s="97">
        <f t="shared" si="7"/>
        <v>3625067.6279999996</v>
      </c>
      <c r="M181" s="97">
        <f t="shared" si="8"/>
        <v>3875067.6279999996</v>
      </c>
      <c r="N181" s="33">
        <f t="shared" si="9"/>
        <v>3487560.8651999999</v>
      </c>
      <c r="T181" s="18"/>
    </row>
    <row r="182" spans="1:20" s="34" customFormat="1" ht="15.75" customHeight="1" x14ac:dyDescent="0.3">
      <c r="A182" s="101">
        <f t="shared" si="10"/>
        <v>9</v>
      </c>
      <c r="B182" s="102"/>
      <c r="C182" s="39" t="s">
        <v>423</v>
      </c>
      <c r="D182" s="94">
        <f>(47.417)*10.764</f>
        <v>510.39658800000001</v>
      </c>
      <c r="E182" s="94">
        <f>(0.6*2.75+1.1*1.6+1.55*1+1.55*1)*10.764</f>
        <v>70.073639999999997</v>
      </c>
      <c r="F182" s="39">
        <f t="shared" si="11"/>
        <v>580.47022800000002</v>
      </c>
      <c r="G182" s="39">
        <v>0</v>
      </c>
      <c r="H182" s="39">
        <f t="shared" si="12"/>
        <v>841.68183060000001</v>
      </c>
      <c r="I182" s="33"/>
      <c r="L182" s="97">
        <f t="shared" si="7"/>
        <v>3535063.6885199999</v>
      </c>
      <c r="M182" s="97">
        <f t="shared" si="8"/>
        <v>3785063.6885199999</v>
      </c>
      <c r="N182" s="33">
        <f t="shared" si="9"/>
        <v>3406557.3196680001</v>
      </c>
      <c r="T182" s="18"/>
    </row>
    <row r="183" spans="1:20" s="34" customFormat="1" ht="15.75" customHeight="1" x14ac:dyDescent="0.3">
      <c r="A183" s="101">
        <f t="shared" si="10"/>
        <v>10</v>
      </c>
      <c r="B183" s="102"/>
      <c r="C183" s="94" t="s">
        <v>422</v>
      </c>
      <c r="D183" s="94">
        <f>(33.084)*10.764</f>
        <v>356.116176</v>
      </c>
      <c r="E183" s="94">
        <f>(1.1*2.75+1.55*1+1.25*1)*10.764</f>
        <v>62.700299999999999</v>
      </c>
      <c r="F183" s="39">
        <f t="shared" si="11"/>
        <v>418.81647599999997</v>
      </c>
      <c r="G183" s="39">
        <v>0</v>
      </c>
      <c r="H183" s="39">
        <f t="shared" si="12"/>
        <v>607.28389019999997</v>
      </c>
      <c r="I183" s="33"/>
      <c r="L183" s="97">
        <f t="shared" si="7"/>
        <v>2550592.3388399999</v>
      </c>
      <c r="M183" s="97">
        <f t="shared" si="8"/>
        <v>2800592.3388399999</v>
      </c>
      <c r="N183" s="33">
        <f t="shared" si="9"/>
        <v>2520533.1049560001</v>
      </c>
      <c r="T183" s="18"/>
    </row>
    <row r="184" spans="1:20" s="34" customFormat="1" x14ac:dyDescent="0.3">
      <c r="A184" s="103" t="s">
        <v>432</v>
      </c>
      <c r="B184" s="104"/>
      <c r="C184" s="104"/>
      <c r="D184" s="104"/>
      <c r="E184" s="104"/>
      <c r="F184" s="104"/>
      <c r="G184" s="104"/>
      <c r="H184" s="105"/>
      <c r="J184" s="33"/>
      <c r="L184" s="97">
        <f t="shared" si="7"/>
        <v>0</v>
      </c>
      <c r="M184" s="97">
        <f t="shared" si="8"/>
        <v>250000</v>
      </c>
      <c r="N184" s="33">
        <f t="shared" si="9"/>
        <v>225000</v>
      </c>
    </row>
    <row r="185" spans="1:20" s="34" customFormat="1" ht="15.75" customHeight="1" x14ac:dyDescent="0.3">
      <c r="A185" s="98">
        <v>1</v>
      </c>
      <c r="B185" s="99"/>
      <c r="C185" s="94" t="s">
        <v>422</v>
      </c>
      <c r="D185" s="94">
        <f>(33.07)*10.764</f>
        <v>355.96547999999996</v>
      </c>
      <c r="E185" s="94">
        <f>(1.1*2.75+1.55*1+1.25*1)*10.764</f>
        <v>62.700299999999999</v>
      </c>
      <c r="F185" s="94">
        <f>D185+E185</f>
        <v>418.66577999999993</v>
      </c>
      <c r="G185" s="94">
        <v>0</v>
      </c>
      <c r="H185" s="94">
        <f>F185*(($H$170)+1)+(IF(G185&lt;101,G185,IF(G185&lt;201,G185/2,IF(G185&lt;=301,G185/3,G185/4))))</f>
        <v>607.06538099999989</v>
      </c>
      <c r="I185" s="33"/>
      <c r="L185" s="97">
        <f t="shared" si="7"/>
        <v>2549674.6001999998</v>
      </c>
      <c r="M185" s="97">
        <f t="shared" si="8"/>
        <v>2799674.6001999998</v>
      </c>
      <c r="N185" s="33">
        <f t="shared" si="9"/>
        <v>2519707.1401799996</v>
      </c>
    </row>
    <row r="186" spans="1:20" s="34" customFormat="1" ht="15.75" customHeight="1" x14ac:dyDescent="0.3">
      <c r="A186" s="98">
        <f>A185+1</f>
        <v>2</v>
      </c>
      <c r="B186" s="99"/>
      <c r="C186" s="94" t="s">
        <v>422</v>
      </c>
      <c r="D186" s="94">
        <f>(31.257)*10.764</f>
        <v>336.45034800000002</v>
      </c>
      <c r="E186" s="94">
        <f>(1.1*(2.7+2.25+1.5))*10.764</f>
        <v>76.370580000000004</v>
      </c>
      <c r="F186" s="94">
        <f>D186+E186</f>
        <v>412.82092800000004</v>
      </c>
      <c r="G186" s="94">
        <v>0</v>
      </c>
      <c r="H186" s="94">
        <f>F186*(($H$170)+1)+(IF(G186&lt;101,G186,IF(G186&lt;201,G186/2,IF(G186&lt;=301,G186/3,G186/4))))</f>
        <v>598.59034560000009</v>
      </c>
      <c r="I186" s="33"/>
      <c r="L186" s="97">
        <f t="shared" si="7"/>
        <v>2514079.4515200006</v>
      </c>
      <c r="M186" s="97">
        <f t="shared" si="8"/>
        <v>2764079.4515200006</v>
      </c>
      <c r="N186" s="33">
        <f t="shared" si="9"/>
        <v>2487671.5063680005</v>
      </c>
    </row>
    <row r="187" spans="1:20" s="34" customFormat="1" ht="15.75" customHeight="1" x14ac:dyDescent="0.3">
      <c r="A187" s="98">
        <f>A186+1</f>
        <v>3</v>
      </c>
      <c r="B187" s="99"/>
      <c r="C187" s="111" t="s">
        <v>433</v>
      </c>
      <c r="D187" s="112"/>
      <c r="E187" s="112"/>
      <c r="F187" s="112"/>
      <c r="G187" s="112"/>
      <c r="H187" s="113"/>
      <c r="I187" s="33"/>
      <c r="L187" s="97">
        <f t="shared" si="7"/>
        <v>0</v>
      </c>
      <c r="M187" s="97">
        <f t="shared" si="8"/>
        <v>250000</v>
      </c>
      <c r="N187" s="33">
        <f t="shared" si="9"/>
        <v>225000</v>
      </c>
    </row>
    <row r="188" spans="1:20" s="34" customFormat="1" ht="15.75" customHeight="1" x14ac:dyDescent="0.3">
      <c r="A188" s="101">
        <f>A187+1</f>
        <v>4</v>
      </c>
      <c r="B188" s="102"/>
      <c r="C188" s="114"/>
      <c r="D188" s="115"/>
      <c r="E188" s="115"/>
      <c r="F188" s="115"/>
      <c r="G188" s="115"/>
      <c r="H188" s="116"/>
      <c r="I188" s="33"/>
      <c r="L188" s="97">
        <f t="shared" si="7"/>
        <v>0</v>
      </c>
      <c r="M188" s="97">
        <f t="shared" si="8"/>
        <v>250000</v>
      </c>
      <c r="N188" s="33">
        <f t="shared" si="9"/>
        <v>225000</v>
      </c>
      <c r="T188" s="18"/>
    </row>
    <row r="189" spans="1:20" s="34" customFormat="1" ht="15.75" customHeight="1" x14ac:dyDescent="0.3">
      <c r="A189" s="101">
        <f t="shared" ref="A189:A194" si="13">A188+1</f>
        <v>5</v>
      </c>
      <c r="B189" s="102"/>
      <c r="C189" s="94" t="s">
        <v>422</v>
      </c>
      <c r="D189" s="94">
        <f>(33.24)*10.764</f>
        <v>357.79536000000002</v>
      </c>
      <c r="E189" s="94">
        <f>(1.1*2.75+1.25*1+1.55*1)*10.764</f>
        <v>62.700299999999999</v>
      </c>
      <c r="F189" s="39">
        <f t="shared" ref="F189:F193" si="14">D189+E189</f>
        <v>420.49566000000004</v>
      </c>
      <c r="G189" s="39">
        <v>0</v>
      </c>
      <c r="H189" s="39">
        <f t="shared" ref="H189:H193" si="15">F189*(($H$170)+1)+(IF(G189&lt;101,G189,IF(G189&lt;201,G189/2,IF(G189&lt;=301,G189/3,G189/4))))</f>
        <v>609.71870699999999</v>
      </c>
      <c r="I189" s="33"/>
      <c r="L189" s="97">
        <f t="shared" si="7"/>
        <v>2560818.5693999999</v>
      </c>
      <c r="M189" s="97">
        <f t="shared" si="8"/>
        <v>2810818.5693999999</v>
      </c>
      <c r="N189" s="33">
        <f t="shared" si="9"/>
        <v>2529736.7124600001</v>
      </c>
      <c r="T189" s="18"/>
    </row>
    <row r="190" spans="1:20" s="34" customFormat="1" ht="15.75" customHeight="1" x14ac:dyDescent="0.3">
      <c r="A190" s="101">
        <f t="shared" si="13"/>
        <v>6</v>
      </c>
      <c r="B190" s="102"/>
      <c r="C190" s="94" t="s">
        <v>422</v>
      </c>
      <c r="D190" s="94">
        <f>(32.472)*10.764</f>
        <v>349.52860800000002</v>
      </c>
      <c r="E190" s="94">
        <f>(1.1*(2.75+2.25+1.5))*10.764</f>
        <v>76.962599999999995</v>
      </c>
      <c r="F190" s="39">
        <f t="shared" si="14"/>
        <v>426.49120800000003</v>
      </c>
      <c r="G190" s="39">
        <v>0</v>
      </c>
      <c r="H190" s="39">
        <f t="shared" si="15"/>
        <v>618.41225159999999</v>
      </c>
      <c r="I190" s="33"/>
      <c r="L190" s="97">
        <f t="shared" si="7"/>
        <v>2597331.4567200001</v>
      </c>
      <c r="M190" s="97">
        <f t="shared" si="8"/>
        <v>2847331.4567200001</v>
      </c>
      <c r="N190" s="33">
        <f t="shared" si="9"/>
        <v>2562598.3110480001</v>
      </c>
      <c r="T190" s="18"/>
    </row>
    <row r="191" spans="1:20" s="34" customFormat="1" ht="15.75" customHeight="1" x14ac:dyDescent="0.3">
      <c r="A191" s="101">
        <f t="shared" si="13"/>
        <v>7</v>
      </c>
      <c r="B191" s="102"/>
      <c r="C191" s="98" t="s">
        <v>433</v>
      </c>
      <c r="D191" s="106"/>
      <c r="E191" s="106"/>
      <c r="F191" s="106"/>
      <c r="G191" s="106"/>
      <c r="H191" s="99"/>
      <c r="I191" s="33"/>
      <c r="L191" s="97">
        <f t="shared" si="7"/>
        <v>0</v>
      </c>
      <c r="M191" s="97">
        <f t="shared" si="8"/>
        <v>250000</v>
      </c>
      <c r="N191" s="33">
        <f t="shared" si="9"/>
        <v>225000</v>
      </c>
      <c r="T191" s="18"/>
    </row>
    <row r="192" spans="1:20" s="34" customFormat="1" ht="15.75" customHeight="1" x14ac:dyDescent="0.3">
      <c r="A192" s="101">
        <f t="shared" si="13"/>
        <v>8</v>
      </c>
      <c r="B192" s="102"/>
      <c r="C192" s="39" t="s">
        <v>423</v>
      </c>
      <c r="D192" s="94">
        <f>(47.415)*10.764</f>
        <v>510.37505999999996</v>
      </c>
      <c r="E192" s="94">
        <f>(1.1*(2.75+1.6)+1.55*1+1.55*1)*10.764</f>
        <v>84.874139999999997</v>
      </c>
      <c r="F192" s="39">
        <f t="shared" si="14"/>
        <v>595.24919999999997</v>
      </c>
      <c r="G192" s="39">
        <v>0</v>
      </c>
      <c r="H192" s="39">
        <f t="shared" si="15"/>
        <v>863.11133999999993</v>
      </c>
      <c r="I192" s="33"/>
      <c r="L192" s="97">
        <f t="shared" si="7"/>
        <v>3625067.6279999996</v>
      </c>
      <c r="M192" s="97">
        <f t="shared" si="8"/>
        <v>3875067.6279999996</v>
      </c>
      <c r="N192" s="33">
        <f t="shared" si="9"/>
        <v>3487560.8651999999</v>
      </c>
      <c r="T192" s="18"/>
    </row>
    <row r="193" spans="1:20" s="34" customFormat="1" ht="15.75" customHeight="1" x14ac:dyDescent="0.3">
      <c r="A193" s="101">
        <f t="shared" si="13"/>
        <v>9</v>
      </c>
      <c r="B193" s="102"/>
      <c r="C193" s="39" t="s">
        <v>423</v>
      </c>
      <c r="D193" s="94">
        <f>(47.417)*10.764</f>
        <v>510.39658800000001</v>
      </c>
      <c r="E193" s="94">
        <f>(0.6*2.75+1.1*1.6+1.55*1+1.55*1)*10.764</f>
        <v>70.073639999999997</v>
      </c>
      <c r="F193" s="39">
        <f t="shared" si="14"/>
        <v>580.47022800000002</v>
      </c>
      <c r="G193" s="39">
        <v>0</v>
      </c>
      <c r="H193" s="39">
        <f t="shared" si="15"/>
        <v>841.68183060000001</v>
      </c>
      <c r="I193" s="33"/>
      <c r="L193" s="97">
        <f t="shared" si="7"/>
        <v>3535063.6885199999</v>
      </c>
      <c r="M193" s="97">
        <f t="shared" si="8"/>
        <v>3785063.6885199999</v>
      </c>
      <c r="N193" s="33">
        <f t="shared" si="9"/>
        <v>3406557.3196680001</v>
      </c>
      <c r="T193" s="18"/>
    </row>
    <row r="194" spans="1:20" s="34" customFormat="1" ht="15.75" customHeight="1" x14ac:dyDescent="0.3">
      <c r="A194" s="101">
        <f t="shared" si="13"/>
        <v>10</v>
      </c>
      <c r="B194" s="102"/>
      <c r="C194" s="98" t="s">
        <v>433</v>
      </c>
      <c r="D194" s="106"/>
      <c r="E194" s="106"/>
      <c r="F194" s="106"/>
      <c r="G194" s="106"/>
      <c r="H194" s="99"/>
      <c r="I194" s="33"/>
      <c r="L194" s="97">
        <f t="shared" si="7"/>
        <v>0</v>
      </c>
      <c r="M194" s="97"/>
      <c r="N194" s="33"/>
      <c r="T194" s="18"/>
    </row>
    <row r="195" spans="1:20" s="34" customFormat="1" x14ac:dyDescent="0.3">
      <c r="A195" s="107" t="s">
        <v>424</v>
      </c>
      <c r="B195" s="108"/>
      <c r="C195" s="108"/>
      <c r="D195" s="108"/>
      <c r="E195" s="108"/>
      <c r="F195" s="108"/>
      <c r="G195" s="108"/>
      <c r="H195" s="109"/>
      <c r="J195" s="33"/>
      <c r="L195" s="97">
        <f t="shared" si="7"/>
        <v>0</v>
      </c>
    </row>
    <row r="196" spans="1:20" s="34" customFormat="1" ht="15.6" customHeight="1" x14ac:dyDescent="0.3">
      <c r="A196" s="103" t="s">
        <v>431</v>
      </c>
      <c r="B196" s="104"/>
      <c r="C196" s="104"/>
      <c r="D196" s="104"/>
      <c r="E196" s="104"/>
      <c r="F196" s="104"/>
      <c r="G196" s="104"/>
      <c r="H196" s="105"/>
      <c r="J196" s="94">
        <v>10.763999999999999</v>
      </c>
      <c r="L196" s="97">
        <f t="shared" si="7"/>
        <v>0</v>
      </c>
    </row>
    <row r="197" spans="1:20" s="34" customFormat="1" x14ac:dyDescent="0.3">
      <c r="A197" s="103" t="s">
        <v>434</v>
      </c>
      <c r="B197" s="104"/>
      <c r="C197" s="104"/>
      <c r="D197" s="104"/>
      <c r="E197" s="104"/>
      <c r="F197" s="104"/>
      <c r="G197" s="104"/>
      <c r="H197" s="105"/>
      <c r="J197" s="33"/>
      <c r="L197" s="97">
        <f t="shared" si="7"/>
        <v>0</v>
      </c>
    </row>
    <row r="198" spans="1:20" s="34" customFormat="1" ht="15.75" customHeight="1" x14ac:dyDescent="0.3">
      <c r="A198" s="98">
        <v>1</v>
      </c>
      <c r="B198" s="99"/>
      <c r="C198" s="94" t="s">
        <v>422</v>
      </c>
      <c r="D198" s="94">
        <f>(30.81)*10.764</f>
        <v>331.63883999999996</v>
      </c>
      <c r="E198" s="94">
        <f>(1.1*2.7+0.9*(2.25+1.6))*10.764</f>
        <v>69.26634</v>
      </c>
      <c r="F198" s="94">
        <f>D198+E198</f>
        <v>400.90517999999997</v>
      </c>
      <c r="G198" s="94">
        <v>0</v>
      </c>
      <c r="H198" s="94">
        <f>F198*(($H$170)+1)+(IF(G198&lt;101,G198,IF(G198&lt;201,G198/2,IF(G198&lt;=301,G198/3,G198/4))))</f>
        <v>581.31251099999997</v>
      </c>
      <c r="I198" s="33"/>
      <c r="L198" s="97">
        <f t="shared" si="7"/>
        <v>2441512.5461999997</v>
      </c>
      <c r="M198" s="97"/>
      <c r="N198" s="33">
        <f>L198/H198</f>
        <v>4200</v>
      </c>
    </row>
    <row r="199" spans="1:20" s="34" customFormat="1" ht="15.75" customHeight="1" x14ac:dyDescent="0.3">
      <c r="A199" s="98">
        <f>A198+1</f>
        <v>2</v>
      </c>
      <c r="B199" s="99"/>
      <c r="C199" s="94" t="s">
        <v>422</v>
      </c>
      <c r="D199" s="94">
        <f>(31.597)*10.764</f>
        <v>340.11010799999997</v>
      </c>
      <c r="E199" s="94">
        <f>(1.1*(2.75+1.87)+1.6*1)*10.764</f>
        <v>71.925048000000004</v>
      </c>
      <c r="F199" s="94">
        <f>D199+E199</f>
        <v>412.03515599999997</v>
      </c>
      <c r="G199" s="94">
        <v>0</v>
      </c>
      <c r="H199" s="94">
        <f>F199*(($H$170)+1)+(IF(G199&lt;101,G199,IF(G199&lt;201,G199/2,IF(G199&lt;=301,G199/3,G199/4))))</f>
        <v>597.4509761999999</v>
      </c>
      <c r="I199" s="33"/>
      <c r="L199" s="97">
        <f t="shared" si="7"/>
        <v>2509294.1000399995</v>
      </c>
      <c r="M199" s="97"/>
      <c r="N199" s="33"/>
    </row>
    <row r="200" spans="1:20" s="34" customFormat="1" ht="15.75" customHeight="1" x14ac:dyDescent="0.3">
      <c r="A200" s="98">
        <f>A199+1</f>
        <v>3</v>
      </c>
      <c r="B200" s="99"/>
      <c r="C200" s="117" t="s">
        <v>435</v>
      </c>
      <c r="D200" s="118"/>
      <c r="E200" s="118"/>
      <c r="F200" s="118"/>
      <c r="G200" s="118"/>
      <c r="H200" s="119"/>
      <c r="I200" s="33"/>
      <c r="L200" s="97"/>
      <c r="M200" s="97"/>
      <c r="N200" s="33"/>
    </row>
    <row r="201" spans="1:20" s="34" customFormat="1" ht="15.75" customHeight="1" x14ac:dyDescent="0.3">
      <c r="A201" s="101">
        <f>A200+1</f>
        <v>4</v>
      </c>
      <c r="B201" s="102"/>
      <c r="C201" s="117" t="s">
        <v>436</v>
      </c>
      <c r="D201" s="118"/>
      <c r="E201" s="118"/>
      <c r="F201" s="118"/>
      <c r="G201" s="118"/>
      <c r="H201" s="119"/>
      <c r="I201" s="33"/>
      <c r="L201" s="100"/>
      <c r="M201" s="100"/>
      <c r="N201" s="33"/>
      <c r="T201" s="18"/>
    </row>
    <row r="202" spans="1:20" s="34" customFormat="1" ht="15.75" customHeight="1" x14ac:dyDescent="0.3">
      <c r="A202" s="101">
        <f t="shared" ref="A202:A205" si="16">A201+1</f>
        <v>5</v>
      </c>
      <c r="B202" s="102"/>
      <c r="C202" s="94" t="s">
        <v>422</v>
      </c>
      <c r="D202" s="94">
        <f>(33.12)*10.764</f>
        <v>356.50367999999997</v>
      </c>
      <c r="E202" s="94">
        <f>(1.1*2.75+1.25*1+1.55*1)*10.764</f>
        <v>62.700299999999999</v>
      </c>
      <c r="F202" s="39">
        <f t="shared" ref="F202:F205" si="17">D202+E202</f>
        <v>419.20398</v>
      </c>
      <c r="G202" s="39">
        <v>0</v>
      </c>
      <c r="H202" s="39">
        <f t="shared" ref="H202:H205" si="18">F202*(($H$170)+1)+(IF(G202&lt;101,G202,IF(G202&lt;201,G202/2,IF(G202&lt;=301,G202/3,G202/4))))</f>
        <v>607.84577100000001</v>
      </c>
      <c r="I202" s="33"/>
      <c r="L202" s="100"/>
      <c r="M202" s="100"/>
      <c r="N202" s="33"/>
      <c r="T202" s="18"/>
    </row>
    <row r="203" spans="1:20" s="34" customFormat="1" ht="15.75" customHeight="1" x14ac:dyDescent="0.3">
      <c r="A203" s="101">
        <f t="shared" si="16"/>
        <v>6</v>
      </c>
      <c r="B203" s="102"/>
      <c r="C203" s="39" t="s">
        <v>423</v>
      </c>
      <c r="D203" s="94">
        <f>(45.9)*10.764</f>
        <v>494.06759999999997</v>
      </c>
      <c r="E203" s="94">
        <f>(1.1*(2.75+1.87)+1.55*1+1.55*1)*10.764</f>
        <v>88.071048000000005</v>
      </c>
      <c r="F203" s="39">
        <f t="shared" si="17"/>
        <v>582.13864799999999</v>
      </c>
      <c r="G203" s="39">
        <v>0</v>
      </c>
      <c r="H203" s="39">
        <f t="shared" si="18"/>
        <v>844.10103959999992</v>
      </c>
      <c r="I203" s="33"/>
      <c r="L203" s="100"/>
      <c r="M203" s="100"/>
      <c r="N203" s="33"/>
      <c r="T203" s="18"/>
    </row>
    <row r="204" spans="1:20" s="34" customFormat="1" ht="15.75" customHeight="1" x14ac:dyDescent="0.3">
      <c r="A204" s="101">
        <f t="shared" si="16"/>
        <v>7</v>
      </c>
      <c r="B204" s="102"/>
      <c r="C204" s="94" t="s">
        <v>422</v>
      </c>
      <c r="D204" s="94">
        <f>(31.612)*10.764</f>
        <v>340.27156799999995</v>
      </c>
      <c r="E204" s="94">
        <f>(1.1*(2.75+1.1)+1.6*1)*10.764</f>
        <v>62.807940000000002</v>
      </c>
      <c r="F204" s="39">
        <f t="shared" si="17"/>
        <v>403.07950799999992</v>
      </c>
      <c r="G204" s="39">
        <v>0</v>
      </c>
      <c r="H204" s="39">
        <f t="shared" si="18"/>
        <v>584.4652865999999</v>
      </c>
      <c r="I204" s="33"/>
      <c r="L204" s="100"/>
      <c r="M204" s="100"/>
      <c r="N204" s="33"/>
      <c r="T204" s="18"/>
    </row>
    <row r="205" spans="1:20" s="34" customFormat="1" ht="15.75" customHeight="1" x14ac:dyDescent="0.3">
      <c r="A205" s="101">
        <f t="shared" si="16"/>
        <v>8</v>
      </c>
      <c r="B205" s="102"/>
      <c r="C205" s="94" t="s">
        <v>422</v>
      </c>
      <c r="D205" s="94">
        <f>(30.752)*10.764</f>
        <v>331.01452799999998</v>
      </c>
      <c r="E205" s="94">
        <f>(1.1*2.8+0.9*(2.25+1.6))*10.764</f>
        <v>70.450379999999996</v>
      </c>
      <c r="F205" s="39">
        <f t="shared" si="17"/>
        <v>401.46490799999998</v>
      </c>
      <c r="G205" s="39">
        <v>0</v>
      </c>
      <c r="H205" s="39">
        <f t="shared" si="18"/>
        <v>582.12411659999998</v>
      </c>
      <c r="I205" s="33"/>
      <c r="L205" s="100"/>
      <c r="M205" s="100"/>
      <c r="N205" s="33"/>
      <c r="T205" s="18"/>
    </row>
    <row r="206" spans="1:20" s="34" customFormat="1" x14ac:dyDescent="0.3">
      <c r="A206" s="103" t="s">
        <v>425</v>
      </c>
      <c r="B206" s="104"/>
      <c r="C206" s="104"/>
      <c r="D206" s="104"/>
      <c r="E206" s="104"/>
      <c r="F206" s="104"/>
      <c r="G206" s="104"/>
      <c r="H206" s="105"/>
      <c r="J206" s="33"/>
    </row>
    <row r="207" spans="1:20" s="34" customFormat="1" ht="15.75" customHeight="1" x14ac:dyDescent="0.3">
      <c r="A207" s="98">
        <v>1</v>
      </c>
      <c r="B207" s="99"/>
      <c r="C207" s="94" t="s">
        <v>422</v>
      </c>
      <c r="D207" s="94">
        <f>(30.81)*10.764</f>
        <v>331.63883999999996</v>
      </c>
      <c r="E207" s="94">
        <f>(1.1*2.7+0.9*(2.25+1.6))*10.764</f>
        <v>69.26634</v>
      </c>
      <c r="F207" s="94">
        <f>D207+E207</f>
        <v>400.90517999999997</v>
      </c>
      <c r="G207" s="94">
        <v>0</v>
      </c>
      <c r="H207" s="94">
        <f>F207*(($H$170)+1)+(IF(G207&lt;101,G207,IF(G207&lt;201,G207/2,IF(G207&lt;=301,G207/3,G207/4))))</f>
        <v>581.31251099999997</v>
      </c>
      <c r="I207" s="33"/>
      <c r="L207" s="100"/>
      <c r="M207" s="100"/>
      <c r="N207" s="33"/>
    </row>
    <row r="208" spans="1:20" s="34" customFormat="1" ht="15.75" customHeight="1" x14ac:dyDescent="0.3">
      <c r="A208" s="98">
        <f>A207+1</f>
        <v>2</v>
      </c>
      <c r="B208" s="99"/>
      <c r="C208" s="94" t="s">
        <v>422</v>
      </c>
      <c r="D208" s="94">
        <f>(31.597)*10.764</f>
        <v>340.11010799999997</v>
      </c>
      <c r="E208" s="94">
        <f>(1.1*(2.75+1.87)+1.6*1)*10.764</f>
        <v>71.925048000000004</v>
      </c>
      <c r="F208" s="94">
        <f>D208+E208</f>
        <v>412.03515599999997</v>
      </c>
      <c r="G208" s="94">
        <v>0</v>
      </c>
      <c r="H208" s="94">
        <f>F208*(($H$170)+1)+(IF(G208&lt;101,G208,IF(G208&lt;201,G208/2,IF(G208&lt;=301,G208/3,G208/4))))</f>
        <v>597.4509761999999</v>
      </c>
      <c r="I208" s="33"/>
      <c r="L208" s="100">
        <f>4039000</f>
        <v>4039000</v>
      </c>
      <c r="M208" s="100"/>
      <c r="N208" s="33">
        <f>L208/H208</f>
        <v>6760.3873135993053</v>
      </c>
    </row>
    <row r="209" spans="1:20" s="34" customFormat="1" ht="15.75" customHeight="1" x14ac:dyDescent="0.3">
      <c r="A209" s="98">
        <f>A208+1</f>
        <v>3</v>
      </c>
      <c r="B209" s="99"/>
      <c r="C209" s="39" t="s">
        <v>423</v>
      </c>
      <c r="D209" s="94">
        <f>(45.9)*10.764</f>
        <v>494.06759999999997</v>
      </c>
      <c r="E209" s="94">
        <f>(1.1*(2.75+1.87)+1.55*1+1.55*1)*10.764</f>
        <v>88.071048000000005</v>
      </c>
      <c r="F209" s="94">
        <f>D209+E209</f>
        <v>582.13864799999999</v>
      </c>
      <c r="G209" s="94">
        <v>0</v>
      </c>
      <c r="H209" s="94">
        <f>F209*(($H$170)+1)+(IF(G209&lt;101,G209,IF(G209&lt;201,G209/2,IF(G209&lt;=301,G209/3,G209/4))))</f>
        <v>844.10103959999992</v>
      </c>
      <c r="I209" s="33"/>
      <c r="L209" s="100"/>
      <c r="M209" s="100"/>
      <c r="N209" s="33"/>
    </row>
    <row r="210" spans="1:20" s="34" customFormat="1" ht="15.75" customHeight="1" x14ac:dyDescent="0.3">
      <c r="A210" s="101">
        <f>A209+1</f>
        <v>4</v>
      </c>
      <c r="B210" s="102"/>
      <c r="C210" s="94" t="s">
        <v>422</v>
      </c>
      <c r="D210" s="94">
        <f>(33.07)*10.764</f>
        <v>355.96547999999996</v>
      </c>
      <c r="E210" s="94">
        <f>(1.1*2.75+1.25*1+1.55*1)*10.764</f>
        <v>62.700299999999999</v>
      </c>
      <c r="F210" s="39">
        <f>D210+E210</f>
        <v>418.66577999999993</v>
      </c>
      <c r="G210" s="39">
        <v>0</v>
      </c>
      <c r="H210" s="39">
        <f>F210*(($H$170)+1)+(IF(G210&lt;101,G210,IF(G210&lt;201,G210/2,IF(G210&lt;=301,G210/3,G210/4))))</f>
        <v>607.06538099999989</v>
      </c>
      <c r="I210" s="33"/>
      <c r="L210" s="100"/>
      <c r="M210" s="100"/>
      <c r="N210" s="33"/>
      <c r="T210" s="18"/>
    </row>
    <row r="211" spans="1:20" s="34" customFormat="1" ht="15.75" customHeight="1" x14ac:dyDescent="0.3">
      <c r="A211" s="101">
        <f t="shared" ref="A211:A214" si="19">A210+1</f>
        <v>5</v>
      </c>
      <c r="B211" s="102"/>
      <c r="C211" s="94" t="s">
        <v>422</v>
      </c>
      <c r="D211" s="94">
        <f>(33.12)*10.764</f>
        <v>356.50367999999997</v>
      </c>
      <c r="E211" s="94">
        <f>(1.1*2.75+1.25+1*1.55*1)*10.764</f>
        <v>62.700299999999999</v>
      </c>
      <c r="F211" s="39">
        <f t="shared" ref="F211:F214" si="20">D211+E211</f>
        <v>419.20398</v>
      </c>
      <c r="G211" s="39">
        <v>0</v>
      </c>
      <c r="H211" s="39">
        <f t="shared" ref="H211:H214" si="21">F211*(($H$170)+1)+(IF(G211&lt;101,G211,IF(G211&lt;201,G211/2,IF(G211&lt;=301,G211/3,G211/4))))</f>
        <v>607.84577100000001</v>
      </c>
      <c r="I211" s="33"/>
      <c r="L211" s="100"/>
      <c r="M211" s="100"/>
      <c r="N211" s="33"/>
      <c r="T211" s="18"/>
    </row>
    <row r="212" spans="1:20" s="34" customFormat="1" ht="15.75" customHeight="1" x14ac:dyDescent="0.3">
      <c r="A212" s="101">
        <f t="shared" si="19"/>
        <v>6</v>
      </c>
      <c r="B212" s="102"/>
      <c r="C212" s="39" t="s">
        <v>423</v>
      </c>
      <c r="D212" s="94">
        <f>(45.9)*10.764</f>
        <v>494.06759999999997</v>
      </c>
      <c r="E212" s="94">
        <f>(1.1*(2.75+1.87)+1.55*1+1.55*1)*10.764</f>
        <v>88.071048000000005</v>
      </c>
      <c r="F212" s="39">
        <f t="shared" si="20"/>
        <v>582.13864799999999</v>
      </c>
      <c r="G212" s="39">
        <v>0</v>
      </c>
      <c r="H212" s="39">
        <f t="shared" si="21"/>
        <v>844.10103959999992</v>
      </c>
      <c r="I212" s="33"/>
      <c r="L212" s="100"/>
      <c r="M212" s="100"/>
      <c r="N212" s="33"/>
      <c r="T212" s="18"/>
    </row>
    <row r="213" spans="1:20" s="34" customFormat="1" ht="15.75" customHeight="1" x14ac:dyDescent="0.3">
      <c r="A213" s="101">
        <f t="shared" si="19"/>
        <v>7</v>
      </c>
      <c r="B213" s="102"/>
      <c r="C213" s="94" t="s">
        <v>422</v>
      </c>
      <c r="D213" s="94">
        <f>(31.612)*10.764</f>
        <v>340.27156799999995</v>
      </c>
      <c r="E213" s="94">
        <f>(1.1*(2.75+1.1)+1.6*1)*10.764</f>
        <v>62.807940000000002</v>
      </c>
      <c r="F213" s="39">
        <f t="shared" si="20"/>
        <v>403.07950799999992</v>
      </c>
      <c r="G213" s="39">
        <v>0</v>
      </c>
      <c r="H213" s="39">
        <f t="shared" si="21"/>
        <v>584.4652865999999</v>
      </c>
      <c r="I213" s="33"/>
      <c r="L213" s="100"/>
      <c r="M213" s="100"/>
      <c r="N213" s="33"/>
      <c r="T213" s="18"/>
    </row>
    <row r="214" spans="1:20" s="34" customFormat="1" ht="15.75" customHeight="1" x14ac:dyDescent="0.3">
      <c r="A214" s="101">
        <f t="shared" si="19"/>
        <v>8</v>
      </c>
      <c r="B214" s="102"/>
      <c r="C214" s="94" t="s">
        <v>422</v>
      </c>
      <c r="D214" s="94">
        <f>(30.752)*10.764</f>
        <v>331.01452799999998</v>
      </c>
      <c r="E214" s="94">
        <f>(1.1*2.8+0.9*(2.25+1.6))*10.764</f>
        <v>70.450379999999996</v>
      </c>
      <c r="F214" s="39">
        <f t="shared" si="20"/>
        <v>401.46490799999998</v>
      </c>
      <c r="G214" s="39">
        <v>0</v>
      </c>
      <c r="H214" s="39">
        <f t="shared" si="21"/>
        <v>582.12411659999998</v>
      </c>
      <c r="I214" s="33"/>
      <c r="L214" s="100"/>
      <c r="M214" s="100"/>
      <c r="N214" s="33"/>
      <c r="T214" s="18"/>
    </row>
    <row r="215" spans="1:20" s="34" customFormat="1" ht="15.6" customHeight="1" x14ac:dyDescent="0.3">
      <c r="A215" s="103" t="s">
        <v>432</v>
      </c>
      <c r="B215" s="104"/>
      <c r="C215" s="104"/>
      <c r="D215" s="104"/>
      <c r="E215" s="104"/>
      <c r="F215" s="104"/>
      <c r="G215" s="104"/>
      <c r="H215" s="105"/>
      <c r="J215" s="33"/>
    </row>
    <row r="216" spans="1:20" s="34" customFormat="1" ht="15.75" customHeight="1" x14ac:dyDescent="0.3">
      <c r="A216" s="98">
        <v>1</v>
      </c>
      <c r="B216" s="99"/>
      <c r="C216" s="94" t="s">
        <v>422</v>
      </c>
      <c r="D216" s="94">
        <f>(30.81)*10.764</f>
        <v>331.63883999999996</v>
      </c>
      <c r="E216" s="94">
        <f>(1.1*2.7+0.9*(2.25+1.6))*10.764</f>
        <v>69.26634</v>
      </c>
      <c r="F216" s="94">
        <f>D216+E216</f>
        <v>400.90517999999997</v>
      </c>
      <c r="G216" s="94">
        <v>0</v>
      </c>
      <c r="H216" s="94">
        <f>F216*(($H$170)+1)+(IF(G216&lt;101,G216,IF(G216&lt;201,G216/2,IF(G216&lt;=301,G216/3,G216/4))))</f>
        <v>581.31251099999997</v>
      </c>
      <c r="I216" s="33"/>
      <c r="L216" s="100"/>
      <c r="M216" s="100"/>
      <c r="N216" s="33"/>
    </row>
    <row r="217" spans="1:20" s="34" customFormat="1" ht="15.75" customHeight="1" x14ac:dyDescent="0.3">
      <c r="A217" s="98">
        <f>A216+1</f>
        <v>2</v>
      </c>
      <c r="B217" s="99"/>
      <c r="C217" s="98" t="s">
        <v>433</v>
      </c>
      <c r="D217" s="106"/>
      <c r="E217" s="106"/>
      <c r="F217" s="106"/>
      <c r="G217" s="106"/>
      <c r="H217" s="99"/>
      <c r="I217" s="33"/>
      <c r="L217" s="100"/>
      <c r="M217" s="100"/>
      <c r="N217" s="33"/>
    </row>
    <row r="218" spans="1:20" s="34" customFormat="1" ht="15.75" customHeight="1" x14ac:dyDescent="0.3">
      <c r="A218" s="98">
        <f>A217+1</f>
        <v>3</v>
      </c>
      <c r="B218" s="99"/>
      <c r="C218" s="39" t="s">
        <v>423</v>
      </c>
      <c r="D218" s="94">
        <f>(45.9)*10.764</f>
        <v>494.06759999999997</v>
      </c>
      <c r="E218" s="94">
        <f>(1.1*(2.75+1.87)+1.55*1+1.55*1)*10.764</f>
        <v>88.071048000000005</v>
      </c>
      <c r="F218" s="94">
        <f>D218+E218</f>
        <v>582.13864799999999</v>
      </c>
      <c r="G218" s="94">
        <v>0</v>
      </c>
      <c r="H218" s="94">
        <f>F218*(($H$170)+1)+(IF(G218&lt;101,G218,IF(G218&lt;201,G218/2,IF(G218&lt;=301,G218/3,G218/4))))</f>
        <v>844.10103959999992</v>
      </c>
      <c r="I218" s="33"/>
      <c r="L218" s="100"/>
      <c r="M218" s="100"/>
      <c r="N218" s="33"/>
    </row>
    <row r="219" spans="1:20" s="34" customFormat="1" ht="15.75" customHeight="1" x14ac:dyDescent="0.3">
      <c r="A219" s="101">
        <f>A218+1</f>
        <v>4</v>
      </c>
      <c r="B219" s="102"/>
      <c r="C219" s="111" t="s">
        <v>433</v>
      </c>
      <c r="D219" s="112"/>
      <c r="E219" s="112"/>
      <c r="F219" s="112"/>
      <c r="G219" s="112"/>
      <c r="H219" s="113"/>
      <c r="I219" s="33"/>
      <c r="L219" s="100"/>
      <c r="M219" s="100"/>
      <c r="N219" s="33"/>
      <c r="T219" s="18"/>
    </row>
    <row r="220" spans="1:20" s="34" customFormat="1" ht="15.75" customHeight="1" x14ac:dyDescent="0.3">
      <c r="A220" s="101">
        <f t="shared" ref="A220:A223" si="22">A219+1</f>
        <v>5</v>
      </c>
      <c r="B220" s="102"/>
      <c r="C220" s="114"/>
      <c r="D220" s="115"/>
      <c r="E220" s="115"/>
      <c r="F220" s="115"/>
      <c r="G220" s="115"/>
      <c r="H220" s="116"/>
      <c r="I220" s="33"/>
      <c r="L220" s="100"/>
      <c r="M220" s="100"/>
      <c r="N220" s="33"/>
      <c r="T220" s="18"/>
    </row>
    <row r="221" spans="1:20" s="34" customFormat="1" ht="15.75" customHeight="1" x14ac:dyDescent="0.3">
      <c r="A221" s="101">
        <f t="shared" si="22"/>
        <v>6</v>
      </c>
      <c r="B221" s="102"/>
      <c r="C221" s="39" t="s">
        <v>423</v>
      </c>
      <c r="D221" s="94">
        <f>(45.9)*10.764</f>
        <v>494.06759999999997</v>
      </c>
      <c r="E221" s="94">
        <f>(1.1*(2.75+1.87)+1.55*1+1.55*1)*10.764</f>
        <v>88.071048000000005</v>
      </c>
      <c r="F221" s="39">
        <f t="shared" ref="F221:F223" si="23">D221+E221</f>
        <v>582.13864799999999</v>
      </c>
      <c r="G221" s="39">
        <v>0</v>
      </c>
      <c r="H221" s="39">
        <f t="shared" ref="H221:H223" si="24">F221*(($H$170)+1)+(IF(G221&lt;101,G221,IF(G221&lt;201,G221/2,IF(G221&lt;=301,G221/3,G221/4))))</f>
        <v>844.10103959999992</v>
      </c>
      <c r="I221" s="33"/>
      <c r="L221" s="100"/>
      <c r="M221" s="100"/>
      <c r="N221" s="33"/>
      <c r="T221" s="18"/>
    </row>
    <row r="222" spans="1:20" s="34" customFormat="1" ht="15.75" customHeight="1" x14ac:dyDescent="0.3">
      <c r="A222" s="101">
        <f t="shared" si="22"/>
        <v>7</v>
      </c>
      <c r="B222" s="102"/>
      <c r="C222" s="98" t="s">
        <v>433</v>
      </c>
      <c r="D222" s="106"/>
      <c r="E222" s="106"/>
      <c r="F222" s="106"/>
      <c r="G222" s="106"/>
      <c r="H222" s="99"/>
      <c r="I222" s="33"/>
      <c r="L222" s="100"/>
      <c r="M222" s="100"/>
      <c r="N222" s="33"/>
      <c r="T222" s="18"/>
    </row>
    <row r="223" spans="1:20" s="34" customFormat="1" ht="15.75" customHeight="1" x14ac:dyDescent="0.3">
      <c r="A223" s="101">
        <f t="shared" si="22"/>
        <v>8</v>
      </c>
      <c r="B223" s="102"/>
      <c r="C223" s="94" t="s">
        <v>422</v>
      </c>
      <c r="D223" s="94">
        <f>(30.752)*10.764</f>
        <v>331.01452799999998</v>
      </c>
      <c r="E223" s="94">
        <f>(1.1*2.8+0.9*(2.25+1.6))*10.764</f>
        <v>70.450379999999996</v>
      </c>
      <c r="F223" s="39">
        <f t="shared" si="23"/>
        <v>401.46490799999998</v>
      </c>
      <c r="G223" s="39">
        <v>0</v>
      </c>
      <c r="H223" s="39">
        <f t="shared" si="24"/>
        <v>582.12411659999998</v>
      </c>
      <c r="I223" s="33"/>
      <c r="L223" s="100"/>
      <c r="M223" s="100"/>
      <c r="N223" s="33"/>
      <c r="T223" s="18"/>
    </row>
    <row r="224" spans="1:20" s="34" customFormat="1" x14ac:dyDescent="0.3">
      <c r="A224" s="107" t="s">
        <v>426</v>
      </c>
      <c r="B224" s="108"/>
      <c r="C224" s="108"/>
      <c r="D224" s="108"/>
      <c r="E224" s="108"/>
      <c r="F224" s="108"/>
      <c r="G224" s="108"/>
      <c r="H224" s="109"/>
      <c r="J224" s="33"/>
    </row>
    <row r="225" spans="1:20" s="34" customFormat="1" x14ac:dyDescent="0.3">
      <c r="A225" s="103" t="s">
        <v>420</v>
      </c>
      <c r="B225" s="104"/>
      <c r="C225" s="104"/>
      <c r="D225" s="104"/>
      <c r="E225" s="104"/>
      <c r="F225" s="104"/>
      <c r="G225" s="104"/>
      <c r="H225" s="105"/>
      <c r="J225" s="33"/>
    </row>
    <row r="226" spans="1:20" s="34" customFormat="1" x14ac:dyDescent="0.3">
      <c r="A226" s="103" t="s">
        <v>421</v>
      </c>
      <c r="B226" s="104"/>
      <c r="C226" s="104"/>
      <c r="D226" s="104"/>
      <c r="E226" s="104"/>
      <c r="F226" s="104"/>
      <c r="G226" s="104"/>
      <c r="H226" s="105"/>
      <c r="J226" s="94">
        <v>10.763999999999999</v>
      </c>
    </row>
    <row r="227" spans="1:20" s="34" customFormat="1" ht="15.75" customHeight="1" x14ac:dyDescent="0.3">
      <c r="A227" s="98">
        <v>1</v>
      </c>
      <c r="B227" s="99"/>
      <c r="C227" s="94" t="s">
        <v>422</v>
      </c>
      <c r="D227" s="94">
        <f>(33.07)*10.764</f>
        <v>355.96547999999996</v>
      </c>
      <c r="E227" s="94">
        <f>(1.1*2.75+1.25*1+1.55*1)*10.764</f>
        <v>62.700299999999999</v>
      </c>
      <c r="F227" s="94">
        <f>D227+E227</f>
        <v>418.66577999999993</v>
      </c>
      <c r="G227" s="94">
        <v>0</v>
      </c>
      <c r="H227" s="94">
        <f>F227*(($H$170)+1)+(IF(G227&lt;101,G227,IF(G227&lt;201,G227/2,IF(G227&lt;=301,G227/3,G227/4))))</f>
        <v>607.06538099999989</v>
      </c>
      <c r="I227" s="33"/>
      <c r="L227" s="100"/>
      <c r="M227" s="100"/>
      <c r="N227" s="33"/>
    </row>
    <row r="228" spans="1:20" s="34" customFormat="1" ht="15.75" customHeight="1" x14ac:dyDescent="0.3">
      <c r="A228" s="98">
        <f>A227+1</f>
        <v>2</v>
      </c>
      <c r="B228" s="99"/>
      <c r="C228" s="39" t="s">
        <v>423</v>
      </c>
      <c r="D228" s="94">
        <f>(43.596)*10.764</f>
        <v>469.26734399999992</v>
      </c>
      <c r="E228" s="94">
        <f>(1.1*(2.75+1.15)+1.6*1+1.59*1)*10.764</f>
        <v>80.514719999999997</v>
      </c>
      <c r="F228" s="94">
        <f>D228+E228</f>
        <v>549.78206399999988</v>
      </c>
      <c r="G228" s="94">
        <v>0</v>
      </c>
      <c r="H228" s="94">
        <f>F228*(($H$170)+1)+(IF(G228&lt;101,G228,IF(G228&lt;201,G228/2,IF(G228&lt;=301,G228/3,G228/4))))</f>
        <v>797.18399279999983</v>
      </c>
      <c r="I228" s="33"/>
      <c r="L228" s="100">
        <v>3299000</v>
      </c>
      <c r="M228" s="100"/>
      <c r="N228" s="33">
        <f>L228/H228</f>
        <v>4138.316912777831</v>
      </c>
    </row>
    <row r="229" spans="1:20" s="34" customFormat="1" ht="15.75" customHeight="1" x14ac:dyDescent="0.3">
      <c r="A229" s="98">
        <f>A228+1</f>
        <v>3</v>
      </c>
      <c r="B229" s="99"/>
      <c r="C229" s="39" t="s">
        <v>423</v>
      </c>
      <c r="D229" s="94">
        <f>(43.895)*10.764</f>
        <v>472.48577999999998</v>
      </c>
      <c r="E229" s="94">
        <f>(1.1*(2.75+1.15)+1.6*1+1.59*1)*10.764</f>
        <v>80.514719999999997</v>
      </c>
      <c r="F229" s="94">
        <f>D229+E229</f>
        <v>553.00049999999999</v>
      </c>
      <c r="G229" s="94">
        <v>0</v>
      </c>
      <c r="H229" s="94">
        <f>F229*(($H$170)+1)+(IF(G229&lt;101,G229,IF(G229&lt;201,G229/2,IF(G229&lt;=301,G229/3,G229/4))))</f>
        <v>801.85072500000001</v>
      </c>
      <c r="I229" s="33"/>
      <c r="L229" s="110">
        <f>4411500</f>
        <v>4411500</v>
      </c>
      <c r="M229" s="110"/>
      <c r="N229" s="96">
        <f>L229/H229</f>
        <v>5501.6474543937093</v>
      </c>
    </row>
    <row r="230" spans="1:20" s="34" customFormat="1" ht="15.75" customHeight="1" x14ac:dyDescent="0.3">
      <c r="A230" s="101">
        <f>A229+1</f>
        <v>4</v>
      </c>
      <c r="B230" s="102"/>
      <c r="C230" s="94" t="s">
        <v>422</v>
      </c>
      <c r="D230" s="94">
        <f>(33.07)*10.764</f>
        <v>355.96547999999996</v>
      </c>
      <c r="E230" s="94">
        <f>(1.1*2.75+1.25*1+1.55*1)*10.764</f>
        <v>62.700299999999999</v>
      </c>
      <c r="F230" s="39">
        <f>D230+E230</f>
        <v>418.66577999999993</v>
      </c>
      <c r="G230" s="39">
        <v>0</v>
      </c>
      <c r="H230" s="39">
        <f>F230*(($H$170)+1)+(IF(G230&lt;101,G230,IF(G230&lt;201,G230/2,IF(G230&lt;=301,G230/3,G230/4))))</f>
        <v>607.06538099999989</v>
      </c>
      <c r="I230" s="33"/>
      <c r="L230" s="100"/>
      <c r="M230" s="100"/>
      <c r="N230" s="33"/>
      <c r="T230" s="18"/>
    </row>
    <row r="231" spans="1:20" s="34" customFormat="1" ht="15.75" customHeight="1" x14ac:dyDescent="0.3">
      <c r="A231" s="101">
        <f t="shared" ref="A231:A236" si="25">A230+1</f>
        <v>5</v>
      </c>
      <c r="B231" s="102"/>
      <c r="C231" s="94" t="s">
        <v>422</v>
      </c>
      <c r="D231" s="94">
        <f>(33.07)*10.764</f>
        <v>355.96547999999996</v>
      </c>
      <c r="E231" s="94">
        <f>(1.1*2.75+1.25*1+1.55*1)*10.764</f>
        <v>62.700299999999999</v>
      </c>
      <c r="F231" s="39">
        <f t="shared" ref="F231:F236" si="26">D231+E231</f>
        <v>418.66577999999993</v>
      </c>
      <c r="G231" s="39">
        <v>0</v>
      </c>
      <c r="H231" s="39">
        <f t="shared" ref="H231:H236" si="27">F231*(($H$170)+1)+(IF(G231&lt;101,G231,IF(G231&lt;201,G231/2,IF(G231&lt;=301,G231/3,G231/4))))</f>
        <v>607.06538099999989</v>
      </c>
      <c r="I231" s="33"/>
      <c r="L231" s="100"/>
      <c r="M231" s="100"/>
      <c r="N231" s="33"/>
      <c r="T231" s="18"/>
    </row>
    <row r="232" spans="1:20" s="34" customFormat="1" ht="15.75" customHeight="1" x14ac:dyDescent="0.3">
      <c r="A232" s="101">
        <f t="shared" si="25"/>
        <v>6</v>
      </c>
      <c r="B232" s="102"/>
      <c r="C232" s="94" t="s">
        <v>422</v>
      </c>
      <c r="D232" s="94">
        <f>(31.092)*10.764</f>
        <v>334.67428799999999</v>
      </c>
      <c r="E232" s="94">
        <f>(0.9*2.7+0.75*2.25+1.1*3.1)*10.764</f>
        <v>81.026009999999999</v>
      </c>
      <c r="F232" s="39">
        <f t="shared" si="26"/>
        <v>415.70029799999998</v>
      </c>
      <c r="G232" s="39">
        <v>0</v>
      </c>
      <c r="H232" s="39">
        <f t="shared" si="27"/>
        <v>602.7654321</v>
      </c>
      <c r="I232" s="33"/>
      <c r="L232" s="100"/>
      <c r="M232" s="100"/>
      <c r="N232" s="33"/>
      <c r="T232" s="18"/>
    </row>
    <row r="233" spans="1:20" s="34" customFormat="1" ht="15.75" customHeight="1" x14ac:dyDescent="0.3">
      <c r="A233" s="101">
        <f t="shared" si="25"/>
        <v>7</v>
      </c>
      <c r="B233" s="102"/>
      <c r="C233" s="94" t="s">
        <v>422</v>
      </c>
      <c r="D233" s="94">
        <f>(33.07)*10.764</f>
        <v>355.96547999999996</v>
      </c>
      <c r="E233" s="94">
        <f>(1.1*2.75+1.25*1+1.55*1)*10.764</f>
        <v>62.700299999999999</v>
      </c>
      <c r="F233" s="39">
        <f t="shared" si="26"/>
        <v>418.66577999999993</v>
      </c>
      <c r="G233" s="39">
        <v>0</v>
      </c>
      <c r="H233" s="39">
        <f t="shared" si="27"/>
        <v>607.06538099999989</v>
      </c>
      <c r="I233" s="33"/>
      <c r="L233" s="100"/>
      <c r="M233" s="100"/>
      <c r="N233" s="33"/>
      <c r="T233" s="18"/>
    </row>
    <row r="234" spans="1:20" s="34" customFormat="1" ht="15.75" customHeight="1" x14ac:dyDescent="0.3">
      <c r="A234" s="101">
        <f t="shared" si="25"/>
        <v>8</v>
      </c>
      <c r="B234" s="102"/>
      <c r="C234" s="94" t="s">
        <v>422</v>
      </c>
      <c r="D234" s="94">
        <f>(33.07)*10.764</f>
        <v>355.96547999999996</v>
      </c>
      <c r="E234" s="94">
        <f>(1.1*2.75+1.25*1+1.55*1)*10.764</f>
        <v>62.700299999999999</v>
      </c>
      <c r="F234" s="39">
        <f t="shared" si="26"/>
        <v>418.66577999999993</v>
      </c>
      <c r="G234" s="39">
        <v>0</v>
      </c>
      <c r="H234" s="39">
        <f t="shared" si="27"/>
        <v>607.06538099999989</v>
      </c>
      <c r="I234" s="33"/>
      <c r="L234" s="100"/>
      <c r="M234" s="100"/>
      <c r="N234" s="33"/>
      <c r="T234" s="18"/>
    </row>
    <row r="235" spans="1:20" s="34" customFormat="1" ht="15.75" customHeight="1" x14ac:dyDescent="0.3">
      <c r="A235" s="101">
        <f t="shared" si="25"/>
        <v>9</v>
      </c>
      <c r="B235" s="102"/>
      <c r="C235" s="94" t="s">
        <v>422</v>
      </c>
      <c r="D235" s="94">
        <f>(31.315)*10.764</f>
        <v>337.07465999999999</v>
      </c>
      <c r="E235" s="94">
        <f>(1.1*(2.7+2.25+1.6))*10.764</f>
        <v>77.55462</v>
      </c>
      <c r="F235" s="39">
        <f t="shared" si="26"/>
        <v>414.62927999999999</v>
      </c>
      <c r="G235" s="39">
        <v>0</v>
      </c>
      <c r="H235" s="39">
        <f t="shared" si="27"/>
        <v>601.21245599999997</v>
      </c>
      <c r="I235" s="33"/>
      <c r="L235" s="100"/>
      <c r="M235" s="100"/>
      <c r="N235" s="33"/>
      <c r="T235" s="18"/>
    </row>
    <row r="236" spans="1:20" s="34" customFormat="1" ht="15.75" customHeight="1" x14ac:dyDescent="0.3">
      <c r="A236" s="101">
        <f t="shared" si="25"/>
        <v>10</v>
      </c>
      <c r="B236" s="102"/>
      <c r="C236" s="94" t="s">
        <v>422</v>
      </c>
      <c r="D236" s="94">
        <f>(31.315)*10.764</f>
        <v>337.07465999999999</v>
      </c>
      <c r="E236" s="94">
        <f>(1.1*(2.7+2.25+1.6))*10.764</f>
        <v>77.55462</v>
      </c>
      <c r="F236" s="39">
        <f t="shared" si="26"/>
        <v>414.62927999999999</v>
      </c>
      <c r="G236" s="39">
        <v>0</v>
      </c>
      <c r="H236" s="39">
        <f t="shared" si="27"/>
        <v>601.21245599999997</v>
      </c>
      <c r="I236" s="33"/>
      <c r="L236" s="100"/>
      <c r="M236" s="100"/>
      <c r="N236" s="33"/>
      <c r="T236" s="18"/>
    </row>
    <row r="237" spans="1:20" s="34" customFormat="1" ht="15.75" customHeight="1" x14ac:dyDescent="0.3">
      <c r="A237" s="101">
        <f t="shared" ref="A237" si="28">A236+1</f>
        <v>11</v>
      </c>
      <c r="B237" s="102"/>
      <c r="C237" s="94" t="s">
        <v>422</v>
      </c>
      <c r="D237" s="94">
        <f>(33.07)*10.764</f>
        <v>355.96547999999996</v>
      </c>
      <c r="E237" s="94">
        <f>(1.1*2.75+1.25*1+1.55*1)*10.764</f>
        <v>62.700299999999999</v>
      </c>
      <c r="F237" s="39">
        <f t="shared" ref="F237" si="29">D237+E237</f>
        <v>418.66577999999993</v>
      </c>
      <c r="G237" s="39">
        <v>0</v>
      </c>
      <c r="H237" s="39">
        <f t="shared" ref="H237" si="30">F237*(($H$170)+1)+(IF(G237&lt;101,G237,IF(G237&lt;201,G237/2,IF(G237&lt;=301,G237/3,G237/4))))</f>
        <v>607.06538099999989</v>
      </c>
      <c r="I237" s="33"/>
      <c r="L237" s="100"/>
      <c r="M237" s="100"/>
      <c r="N237" s="33"/>
      <c r="T237" s="18"/>
    </row>
    <row r="238" spans="1:20" s="34" customFormat="1" ht="15.6" customHeight="1" x14ac:dyDescent="0.3">
      <c r="A238" s="103" t="s">
        <v>432</v>
      </c>
      <c r="B238" s="104"/>
      <c r="C238" s="104"/>
      <c r="D238" s="104"/>
      <c r="E238" s="104"/>
      <c r="F238" s="104"/>
      <c r="G238" s="104"/>
      <c r="H238" s="105"/>
      <c r="J238" s="33"/>
    </row>
    <row r="239" spans="1:20" s="34" customFormat="1" ht="15.75" customHeight="1" x14ac:dyDescent="0.3">
      <c r="A239" s="98">
        <v>1</v>
      </c>
      <c r="B239" s="99"/>
      <c r="C239" s="98" t="s">
        <v>433</v>
      </c>
      <c r="D239" s="106"/>
      <c r="E239" s="106"/>
      <c r="F239" s="106"/>
      <c r="G239" s="106"/>
      <c r="H239" s="99"/>
      <c r="I239" s="33"/>
      <c r="L239" s="100"/>
      <c r="M239" s="100"/>
      <c r="N239" s="33"/>
    </row>
    <row r="240" spans="1:20" s="34" customFormat="1" ht="15.75" customHeight="1" x14ac:dyDescent="0.3">
      <c r="A240" s="98">
        <f>A239+1</f>
        <v>2</v>
      </c>
      <c r="B240" s="99"/>
      <c r="C240" s="39" t="s">
        <v>423</v>
      </c>
      <c r="D240" s="94">
        <f>(43.596)*10.764</f>
        <v>469.26734399999992</v>
      </c>
      <c r="E240" s="94">
        <f>(1.1*(2.75+1.1)+1.6*1+1.59*1)*10.764</f>
        <v>79.922700000000006</v>
      </c>
      <c r="F240" s="94">
        <f>D240+E240</f>
        <v>549.19004399999994</v>
      </c>
      <c r="G240" s="94">
        <v>0</v>
      </c>
      <c r="H240" s="94">
        <f>F240*(($H$170)+1)+(IF(G240&lt;101,G240,IF(G240&lt;201,G240/2,IF(G240&lt;=301,G240/3,G240/4))))</f>
        <v>796.32556379999994</v>
      </c>
      <c r="I240" s="33"/>
    </row>
    <row r="241" spans="1:20" s="34" customFormat="1" ht="15.75" customHeight="1" x14ac:dyDescent="0.3">
      <c r="A241" s="98">
        <f>A240+1</f>
        <v>3</v>
      </c>
      <c r="B241" s="99"/>
      <c r="C241" s="39" t="s">
        <v>423</v>
      </c>
      <c r="D241" s="94">
        <f>(43.895)*10.764</f>
        <v>472.48577999999998</v>
      </c>
      <c r="E241" s="94">
        <f>(1.1*(2.75+1.1)+1.55*1+1.55*1)*10.764</f>
        <v>78.953939999999989</v>
      </c>
      <c r="F241" s="94">
        <f>D241+E241</f>
        <v>551.43971999999997</v>
      </c>
      <c r="G241" s="94">
        <v>0</v>
      </c>
      <c r="H241" s="94">
        <f>F241*(($H$170)+1)+(IF(G241&lt;101,G241,IF(G241&lt;201,G241/2,IF(G241&lt;=301,G241/3,G241/4))))</f>
        <v>799.58759399999997</v>
      </c>
      <c r="I241" s="33"/>
      <c r="L241" s="100">
        <f>5261000+263050+41280</f>
        <v>5565330</v>
      </c>
      <c r="M241" s="100"/>
      <c r="N241" s="33">
        <f>L241/H241</f>
        <v>6960.2505613662634</v>
      </c>
    </row>
    <row r="242" spans="1:20" s="34" customFormat="1" ht="15.75" customHeight="1" x14ac:dyDescent="0.3">
      <c r="A242" s="101">
        <f>A241+1</f>
        <v>4</v>
      </c>
      <c r="B242" s="102"/>
      <c r="C242" s="98" t="s">
        <v>433</v>
      </c>
      <c r="D242" s="106"/>
      <c r="E242" s="106"/>
      <c r="F242" s="106"/>
      <c r="G242" s="106"/>
      <c r="H242" s="99"/>
      <c r="I242" s="33"/>
      <c r="L242" s="100"/>
      <c r="M242" s="100"/>
      <c r="N242" s="33"/>
      <c r="T242" s="18"/>
    </row>
    <row r="243" spans="1:20" s="34" customFormat="1" ht="15.75" customHeight="1" x14ac:dyDescent="0.3">
      <c r="A243" s="101">
        <f t="shared" ref="A243:A248" si="31">A242+1</f>
        <v>5</v>
      </c>
      <c r="B243" s="102"/>
      <c r="C243" s="94" t="s">
        <v>422</v>
      </c>
      <c r="D243" s="94">
        <f>(33.07)*10.764</f>
        <v>355.96547999999996</v>
      </c>
      <c r="E243" s="94">
        <f>(1.1*2.75+1.25*1+1.55*1)*10.764</f>
        <v>62.700299999999999</v>
      </c>
      <c r="F243" s="39">
        <f t="shared" ref="F243:F248" si="32">D243+E243</f>
        <v>418.66577999999993</v>
      </c>
      <c r="G243" s="39">
        <v>0</v>
      </c>
      <c r="H243" s="39">
        <f t="shared" ref="H243:H248" si="33">F243*(($H$170)+1)+(IF(G243&lt;101,G243,IF(G243&lt;201,G243/2,IF(G243&lt;=301,G243/3,G243/4))))</f>
        <v>607.06538099999989</v>
      </c>
      <c r="I243" s="33"/>
      <c r="L243" s="100"/>
      <c r="M243" s="100"/>
      <c r="N243" s="33"/>
      <c r="T243" s="18"/>
    </row>
    <row r="244" spans="1:20" s="34" customFormat="1" ht="15.75" customHeight="1" x14ac:dyDescent="0.3">
      <c r="A244" s="101">
        <f t="shared" si="31"/>
        <v>6</v>
      </c>
      <c r="B244" s="102"/>
      <c r="C244" s="98" t="s">
        <v>433</v>
      </c>
      <c r="D244" s="106"/>
      <c r="E244" s="106"/>
      <c r="F244" s="106"/>
      <c r="G244" s="106"/>
      <c r="H244" s="99"/>
      <c r="I244" s="33"/>
      <c r="L244" s="100"/>
      <c r="M244" s="100"/>
      <c r="N244" s="33"/>
      <c r="T244" s="18"/>
    </row>
    <row r="245" spans="1:20" s="34" customFormat="1" ht="15.75" customHeight="1" x14ac:dyDescent="0.3">
      <c r="A245" s="101">
        <f t="shared" si="31"/>
        <v>7</v>
      </c>
      <c r="B245" s="102"/>
      <c r="C245" s="94" t="s">
        <v>437</v>
      </c>
      <c r="D245" s="94">
        <f>(21.467)*10.764</f>
        <v>231.07078799999996</v>
      </c>
      <c r="E245" s="94">
        <f>(1.1*2.75+1.2*1)*10.764</f>
        <v>45.477900000000005</v>
      </c>
      <c r="F245" s="39">
        <f t="shared" si="32"/>
        <v>276.54868799999997</v>
      </c>
      <c r="G245" s="39">
        <v>0</v>
      </c>
      <c r="H245" s="39">
        <f t="shared" si="33"/>
        <v>400.99559759999994</v>
      </c>
      <c r="I245" s="33"/>
      <c r="L245" s="100"/>
      <c r="M245" s="100"/>
      <c r="N245" s="33"/>
      <c r="T245" s="18"/>
    </row>
    <row r="246" spans="1:20" s="34" customFormat="1" ht="15.75" customHeight="1" x14ac:dyDescent="0.3">
      <c r="A246" s="101">
        <f t="shared" si="31"/>
        <v>8</v>
      </c>
      <c r="B246" s="102"/>
      <c r="C246" s="98" t="s">
        <v>433</v>
      </c>
      <c r="D246" s="106"/>
      <c r="E246" s="106"/>
      <c r="F246" s="106"/>
      <c r="G246" s="106"/>
      <c r="H246" s="99"/>
      <c r="I246" s="33"/>
      <c r="L246" s="100"/>
      <c r="M246" s="100"/>
      <c r="N246" s="33"/>
      <c r="T246" s="18"/>
    </row>
    <row r="247" spans="1:20" s="34" customFormat="1" ht="15.75" customHeight="1" x14ac:dyDescent="0.3">
      <c r="A247" s="101">
        <f t="shared" si="31"/>
        <v>9</v>
      </c>
      <c r="B247" s="102"/>
      <c r="C247" s="94" t="s">
        <v>422</v>
      </c>
      <c r="D247" s="94">
        <f>(31.315)*10.764</f>
        <v>337.07465999999999</v>
      </c>
      <c r="E247" s="94">
        <f>(1.1*(2.7+2.25+1.6))*10.764</f>
        <v>77.55462</v>
      </c>
      <c r="F247" s="39">
        <f t="shared" si="32"/>
        <v>414.62927999999999</v>
      </c>
      <c r="G247" s="39">
        <v>0</v>
      </c>
      <c r="H247" s="39">
        <f t="shared" si="33"/>
        <v>601.21245599999997</v>
      </c>
      <c r="I247" s="33"/>
      <c r="L247" s="100"/>
      <c r="M247" s="100"/>
      <c r="N247" s="33"/>
      <c r="T247" s="18"/>
    </row>
    <row r="248" spans="1:20" s="34" customFormat="1" ht="15.75" customHeight="1" x14ac:dyDescent="0.3">
      <c r="A248" s="101">
        <f t="shared" si="31"/>
        <v>10</v>
      </c>
      <c r="B248" s="102"/>
      <c r="C248" s="94" t="s">
        <v>422</v>
      </c>
      <c r="D248" s="94">
        <f>(31.315)*10.764</f>
        <v>337.07465999999999</v>
      </c>
      <c r="E248" s="94">
        <f>(1.1*(2.7+2.25+1.6))*10.764</f>
        <v>77.55462</v>
      </c>
      <c r="F248" s="39">
        <f t="shared" si="32"/>
        <v>414.62927999999999</v>
      </c>
      <c r="G248" s="39">
        <v>0</v>
      </c>
      <c r="H248" s="39">
        <f t="shared" si="33"/>
        <v>601.21245599999997</v>
      </c>
      <c r="I248" s="33"/>
      <c r="L248" s="100"/>
      <c r="M248" s="100"/>
      <c r="N248" s="33"/>
      <c r="T248" s="18"/>
    </row>
    <row r="249" spans="1:20" s="34" customFormat="1" ht="15.75" customHeight="1" x14ac:dyDescent="0.3">
      <c r="A249" s="101">
        <f t="shared" ref="A249" si="34">A248+1</f>
        <v>11</v>
      </c>
      <c r="B249" s="102"/>
      <c r="C249" s="98" t="s">
        <v>433</v>
      </c>
      <c r="D249" s="106"/>
      <c r="E249" s="106"/>
      <c r="F249" s="106"/>
      <c r="G249" s="106"/>
      <c r="H249" s="99"/>
      <c r="I249" s="33"/>
      <c r="L249" s="100"/>
      <c r="M249" s="100"/>
      <c r="N249" s="33"/>
      <c r="T249" s="18"/>
    </row>
    <row r="250" spans="1:20" s="34" customFormat="1" x14ac:dyDescent="0.3">
      <c r="A250" s="107" t="s">
        <v>427</v>
      </c>
      <c r="B250" s="108"/>
      <c r="C250" s="108"/>
      <c r="D250" s="108"/>
      <c r="E250" s="108"/>
      <c r="F250" s="108"/>
      <c r="G250" s="108"/>
      <c r="H250" s="109"/>
      <c r="J250" s="33"/>
    </row>
    <row r="251" spans="1:20" s="34" customFormat="1" x14ac:dyDescent="0.3">
      <c r="A251" s="103" t="s">
        <v>431</v>
      </c>
      <c r="B251" s="104"/>
      <c r="C251" s="104"/>
      <c r="D251" s="104"/>
      <c r="E251" s="104"/>
      <c r="F251" s="104"/>
      <c r="G251" s="104"/>
      <c r="H251" s="105"/>
      <c r="J251" s="33"/>
    </row>
    <row r="252" spans="1:20" s="34" customFormat="1" x14ac:dyDescent="0.3">
      <c r="A252" s="103" t="s">
        <v>428</v>
      </c>
      <c r="B252" s="104"/>
      <c r="C252" s="104"/>
      <c r="D252" s="104"/>
      <c r="E252" s="104"/>
      <c r="F252" s="104"/>
      <c r="G252" s="104"/>
      <c r="H252" s="105"/>
      <c r="J252" s="94">
        <v>10.763999999999999</v>
      </c>
    </row>
    <row r="253" spans="1:20" s="34" customFormat="1" ht="15.75" customHeight="1" x14ac:dyDescent="0.3">
      <c r="A253" s="98">
        <v>1</v>
      </c>
      <c r="B253" s="99"/>
      <c r="C253" s="39" t="s">
        <v>430</v>
      </c>
      <c r="D253" s="94">
        <f>(69.89)*10.764</f>
        <v>752.29595999999992</v>
      </c>
      <c r="E253" s="94">
        <f>(1*(3.35+2.95+2.75)+1.3*1+1.7*1)*10.764</f>
        <v>129.7062</v>
      </c>
      <c r="F253" s="94">
        <f>D253+E253</f>
        <v>882.00215999999989</v>
      </c>
      <c r="G253" s="94">
        <v>0</v>
      </c>
      <c r="H253" s="94">
        <f>F253*(($H$170)+1)+(IF(G253&lt;101,G253,IF(G253&lt;201,G253/2,IF(G253&lt;=301,G253/3,G253/4))))</f>
        <v>1278.9031319999999</v>
      </c>
      <c r="I253" s="33"/>
      <c r="L253" s="100">
        <v>4964000</v>
      </c>
      <c r="M253" s="100"/>
      <c r="N253" s="33">
        <f>L253/H253</f>
        <v>3881.4511246345123</v>
      </c>
    </row>
    <row r="254" spans="1:20" s="34" customFormat="1" ht="15.75" customHeight="1" x14ac:dyDescent="0.3">
      <c r="A254" s="98">
        <f>A253+1</f>
        <v>2</v>
      </c>
      <c r="B254" s="99"/>
      <c r="C254" s="39" t="s">
        <v>423</v>
      </c>
      <c r="D254" s="94">
        <f>(48.505)*10.764</f>
        <v>522.10781999999995</v>
      </c>
      <c r="E254" s="94">
        <f>(1*2.75+1.19*3+1.3*1+1.5*1)*10.764</f>
        <v>98.167680000000004</v>
      </c>
      <c r="F254" s="94">
        <f>D254+E254</f>
        <v>620.27549999999997</v>
      </c>
      <c r="G254" s="94">
        <v>0</v>
      </c>
      <c r="H254" s="94">
        <f>F254*(($H$170)+1)+(IF(G254&lt;101,G254,IF(G254&lt;201,G254/2,IF(G254&lt;=301,G254/3,G254/4))))</f>
        <v>899.39947499999994</v>
      </c>
      <c r="I254" s="33"/>
      <c r="L254" s="100"/>
      <c r="M254" s="100"/>
      <c r="N254" s="33"/>
    </row>
    <row r="255" spans="1:20" s="34" customFormat="1" ht="15.75" customHeight="1" x14ac:dyDescent="0.3">
      <c r="A255" s="98">
        <f>A254+1</f>
        <v>3</v>
      </c>
      <c r="B255" s="99"/>
      <c r="C255" s="94" t="s">
        <v>422</v>
      </c>
      <c r="D255" s="94">
        <f>(32.835)*10.764</f>
        <v>353.43593999999996</v>
      </c>
      <c r="E255" s="94">
        <f>(1*2.75+1.25*1+1.55*1)*10.764</f>
        <v>59.740199999999994</v>
      </c>
      <c r="F255" s="94">
        <f>D255+E255</f>
        <v>413.17613999999998</v>
      </c>
      <c r="G255" s="94">
        <v>0</v>
      </c>
      <c r="H255" s="94">
        <f>F255*(($H$170)+1)+(IF(G255&lt;101,G255,IF(G255&lt;201,G255/2,IF(G255&lt;=301,G255/3,G255/4))))</f>
        <v>599.10540299999991</v>
      </c>
      <c r="I255" s="33"/>
      <c r="L255" s="100"/>
      <c r="M255" s="100"/>
      <c r="N255" s="33"/>
    </row>
    <row r="256" spans="1:20" s="34" customFormat="1" ht="15.75" customHeight="1" x14ac:dyDescent="0.3">
      <c r="A256" s="101">
        <f>A255+1</f>
        <v>4</v>
      </c>
      <c r="B256" s="102"/>
      <c r="C256" s="39" t="s">
        <v>423</v>
      </c>
      <c r="D256" s="94">
        <f>(46.047)*10.764</f>
        <v>495.64990799999993</v>
      </c>
      <c r="E256" s="94">
        <f>(1.19*(2.75+2.75)+1.25*1+1.55*1)*10.764</f>
        <v>100.58958</v>
      </c>
      <c r="F256" s="39">
        <f>D256+E256</f>
        <v>596.23948799999994</v>
      </c>
      <c r="G256" s="39">
        <v>0</v>
      </c>
      <c r="H256" s="39">
        <f>F256*(($H$170)+1)+(IF(G256&lt;101,G256,IF(G256&lt;201,G256/2,IF(G256&lt;=301,G256/3,G256/4))))</f>
        <v>864.54725759999985</v>
      </c>
      <c r="I256" s="33"/>
      <c r="L256" s="100"/>
      <c r="M256" s="100"/>
      <c r="N256" s="33"/>
      <c r="T256" s="18"/>
    </row>
    <row r="257" spans="1:20" s="34" customFormat="1" ht="15.75" customHeight="1" x14ac:dyDescent="0.3">
      <c r="A257" s="101">
        <f t="shared" ref="A257" si="35">A256+1</f>
        <v>5</v>
      </c>
      <c r="B257" s="102"/>
      <c r="C257" s="39" t="s">
        <v>423</v>
      </c>
      <c r="D257" s="94">
        <f>(46.047)*10.764</f>
        <v>495.64990799999993</v>
      </c>
      <c r="E257" s="94">
        <f>(1.19*(2.75+2.75)+1.55*1+1.25*1)*10.764</f>
        <v>100.58958</v>
      </c>
      <c r="F257" s="39">
        <f t="shared" ref="F257" si="36">D257+E257</f>
        <v>596.23948799999994</v>
      </c>
      <c r="G257" s="39">
        <v>0</v>
      </c>
      <c r="H257" s="39">
        <f t="shared" ref="H257" si="37">F257*(($H$170)+1)+(IF(G257&lt;101,G257,IF(G257&lt;201,G257/2,IF(G257&lt;=301,G257/3,G257/4))))</f>
        <v>864.54725759999985</v>
      </c>
      <c r="I257" s="33"/>
      <c r="L257" s="100"/>
      <c r="M257" s="100"/>
      <c r="N257" s="33"/>
      <c r="T257" s="18"/>
    </row>
    <row r="258" spans="1:20" s="34" customFormat="1" x14ac:dyDescent="0.3">
      <c r="A258" s="103" t="s">
        <v>429</v>
      </c>
      <c r="B258" s="104"/>
      <c r="C258" s="104"/>
      <c r="D258" s="104"/>
      <c r="E258" s="104"/>
      <c r="F258" s="104"/>
      <c r="G258" s="104"/>
      <c r="H258" s="105"/>
      <c r="J258" s="33"/>
    </row>
    <row r="259" spans="1:20" s="34" customFormat="1" ht="15.75" customHeight="1" x14ac:dyDescent="0.3">
      <c r="A259" s="98">
        <v>1</v>
      </c>
      <c r="B259" s="99"/>
      <c r="C259" s="39" t="s">
        <v>430</v>
      </c>
      <c r="D259" s="94">
        <f>(67.382)*10.764</f>
        <v>725.299848</v>
      </c>
      <c r="E259" s="94">
        <f>(1*(3.35+2.75)+1.3*1+1.7*1)*10.764</f>
        <v>97.952399999999997</v>
      </c>
      <c r="F259" s="94">
        <f>D259+E259</f>
        <v>823.25224800000001</v>
      </c>
      <c r="G259" s="94">
        <v>0</v>
      </c>
      <c r="H259" s="94">
        <f>F259*(($H$170)+1)+(IF(G259&lt;101,G259,IF(G259&lt;201,G259/2,IF(G259&lt;=301,G259/3,G259/4))))</f>
        <v>1193.7157596</v>
      </c>
      <c r="I259" s="33"/>
      <c r="L259" s="100"/>
      <c r="M259" s="100"/>
      <c r="N259" s="33"/>
    </row>
    <row r="260" spans="1:20" s="34" customFormat="1" ht="15.75" customHeight="1" x14ac:dyDescent="0.3">
      <c r="A260" s="98">
        <f>A259+1</f>
        <v>2</v>
      </c>
      <c r="B260" s="99"/>
      <c r="C260" s="39" t="s">
        <v>423</v>
      </c>
      <c r="D260" s="94">
        <f>(48.505)*10.764</f>
        <v>522.10781999999995</v>
      </c>
      <c r="E260" s="94">
        <f>(1*2.75+1.19*3+1.3*1+1.5*1)*10.764</f>
        <v>98.167680000000004</v>
      </c>
      <c r="F260" s="94">
        <f>D260+E260</f>
        <v>620.27549999999997</v>
      </c>
      <c r="G260" s="94">
        <v>0</v>
      </c>
      <c r="H260" s="94">
        <f>F260*(($H$170)+1)+(IF(G260&lt;101,G260,IF(G260&lt;201,G260/2,IF(G260&lt;=301,G260/3,G260/4))))</f>
        <v>899.39947499999994</v>
      </c>
      <c r="I260" s="33"/>
      <c r="L260" s="100"/>
      <c r="M260" s="100"/>
      <c r="N260" s="33"/>
    </row>
    <row r="261" spans="1:20" s="34" customFormat="1" ht="15.75" customHeight="1" x14ac:dyDescent="0.3">
      <c r="A261" s="98">
        <f>A260+1</f>
        <v>3</v>
      </c>
      <c r="B261" s="99"/>
      <c r="C261" s="94" t="s">
        <v>422</v>
      </c>
      <c r="D261" s="94">
        <f>(32.835)*10.764</f>
        <v>353.43593999999996</v>
      </c>
      <c r="E261" s="94">
        <f>(1*2.75+1.25*1+1.55*1)*10.764</f>
        <v>59.740199999999994</v>
      </c>
      <c r="F261" s="94">
        <f>D261+E261</f>
        <v>413.17613999999998</v>
      </c>
      <c r="G261" s="94">
        <v>0</v>
      </c>
      <c r="H261" s="94">
        <f>F261*(($H$170)+1)+(IF(G261&lt;101,G261,IF(G261&lt;201,G261/2,IF(G261&lt;=301,G261/3,G261/4))))</f>
        <v>599.10540299999991</v>
      </c>
      <c r="I261" s="33"/>
      <c r="L261" s="100"/>
      <c r="M261" s="100"/>
      <c r="N261" s="33"/>
    </row>
    <row r="262" spans="1:20" s="34" customFormat="1" ht="15.75" customHeight="1" x14ac:dyDescent="0.3">
      <c r="A262" s="101">
        <f>A261+1</f>
        <v>4</v>
      </c>
      <c r="B262" s="102"/>
      <c r="C262" s="39" t="s">
        <v>423</v>
      </c>
      <c r="D262" s="94">
        <f>(46.047)*10.764</f>
        <v>495.64990799999993</v>
      </c>
      <c r="E262" s="94">
        <f>(1.19*(2.75+2.75)+1.25*1+1.55*1)*10.764</f>
        <v>100.58958</v>
      </c>
      <c r="F262" s="39">
        <f>D262+E262</f>
        <v>596.23948799999994</v>
      </c>
      <c r="G262" s="39">
        <v>0</v>
      </c>
      <c r="H262" s="39">
        <f>F262*(($H$170)+1)+(IF(G262&lt;101,G262,IF(G262&lt;201,G262/2,IF(G262&lt;=301,G262/3,G262/4))))</f>
        <v>864.54725759999985</v>
      </c>
      <c r="I262" s="33"/>
      <c r="L262" s="100"/>
      <c r="M262" s="100"/>
      <c r="N262" s="33"/>
      <c r="T262" s="18"/>
    </row>
    <row r="263" spans="1:20" s="34" customFormat="1" ht="15.75" customHeight="1" x14ac:dyDescent="0.3">
      <c r="A263" s="101">
        <f t="shared" ref="A263" si="38">A262+1</f>
        <v>5</v>
      </c>
      <c r="B263" s="102"/>
      <c r="C263" s="39" t="s">
        <v>423</v>
      </c>
      <c r="D263" s="94">
        <f>(46.047)*10.764</f>
        <v>495.64990799999993</v>
      </c>
      <c r="E263" s="94">
        <f>(1.19*(2.75+2.75)+1.55*1+1.25*1)*10.764</f>
        <v>100.58958</v>
      </c>
      <c r="F263" s="39">
        <f t="shared" ref="F263" si="39">D263+E263</f>
        <v>596.23948799999994</v>
      </c>
      <c r="G263" s="39">
        <v>0</v>
      </c>
      <c r="H263" s="39">
        <f t="shared" ref="H263" si="40">F263*(($H$170)+1)+(IF(G263&lt;101,G263,IF(G263&lt;201,G263/2,IF(G263&lt;=301,G263/3,G263/4))))</f>
        <v>864.54725759999985</v>
      </c>
      <c r="I263" s="33"/>
      <c r="L263" s="100"/>
      <c r="M263" s="100"/>
      <c r="N263" s="33"/>
      <c r="T263" s="18"/>
    </row>
    <row r="264" spans="1:20" s="34" customFormat="1" ht="15.6" customHeight="1" x14ac:dyDescent="0.3">
      <c r="A264" s="103" t="s">
        <v>432</v>
      </c>
      <c r="B264" s="104"/>
      <c r="C264" s="104"/>
      <c r="D264" s="104"/>
      <c r="E264" s="104"/>
      <c r="F264" s="104"/>
      <c r="G264" s="104"/>
      <c r="H264" s="105"/>
      <c r="J264" s="33"/>
    </row>
    <row r="265" spans="1:20" s="34" customFormat="1" ht="15.75" customHeight="1" x14ac:dyDescent="0.3">
      <c r="A265" s="98">
        <v>1</v>
      </c>
      <c r="B265" s="99"/>
      <c r="C265" s="39" t="s">
        <v>423</v>
      </c>
      <c r="D265" s="94">
        <f>(59.48)*10.764</f>
        <v>640.24271999999996</v>
      </c>
      <c r="E265" s="94">
        <f>(1*3.35+1.1*2.75+1.3*1+1.7*1)*10.764</f>
        <v>100.91249999999999</v>
      </c>
      <c r="F265" s="94">
        <f>D265+E265</f>
        <v>741.15521999999999</v>
      </c>
      <c r="G265" s="94">
        <f>(2.1*1.4+2.85*3.2)*10.764</f>
        <v>129.81384</v>
      </c>
      <c r="H265" s="94">
        <f>F265*(($H$170)+1)+(IF(G265&lt;101,G265,IF(G265&lt;201,G265/2,IF(G265&lt;=301,G265/3,G265/4))))</f>
        <v>1139.5819889999998</v>
      </c>
      <c r="I265" s="33"/>
      <c r="L265" s="100"/>
      <c r="M265" s="100"/>
      <c r="N265" s="33"/>
    </row>
    <row r="266" spans="1:20" s="34" customFormat="1" ht="15.75" customHeight="1" x14ac:dyDescent="0.3">
      <c r="A266" s="98">
        <f>A265+1</f>
        <v>2</v>
      </c>
      <c r="B266" s="99"/>
      <c r="C266" s="117" t="s">
        <v>433</v>
      </c>
      <c r="D266" s="118"/>
      <c r="E266" s="118"/>
      <c r="F266" s="118"/>
      <c r="G266" s="118"/>
      <c r="H266" s="119"/>
      <c r="I266" s="33"/>
      <c r="L266" s="100"/>
      <c r="M266" s="100"/>
      <c r="N266" s="33"/>
    </row>
    <row r="267" spans="1:20" s="34" customFormat="1" ht="15.75" customHeight="1" x14ac:dyDescent="0.3">
      <c r="A267" s="98">
        <f>A266+1</f>
        <v>3</v>
      </c>
      <c r="B267" s="99"/>
      <c r="C267" s="269"/>
      <c r="D267" s="270"/>
      <c r="E267" s="270"/>
      <c r="F267" s="270"/>
      <c r="G267" s="270"/>
      <c r="H267" s="271"/>
      <c r="I267" s="33"/>
      <c r="L267" s="100"/>
      <c r="M267" s="100"/>
      <c r="N267" s="33"/>
    </row>
    <row r="268" spans="1:20" s="34" customFormat="1" ht="15.75" customHeight="1" x14ac:dyDescent="0.3">
      <c r="A268" s="101">
        <f>A267+1</f>
        <v>4</v>
      </c>
      <c r="B268" s="102"/>
      <c r="C268" s="39" t="s">
        <v>422</v>
      </c>
      <c r="D268" s="94">
        <f>(38.945)*10.764</f>
        <v>419.20398</v>
      </c>
      <c r="E268" s="94">
        <f>(1.19*2.75+1.19*2.75+1.35*1)*10.764</f>
        <v>84.981779999999986</v>
      </c>
      <c r="F268" s="39">
        <f>D268+E268</f>
        <v>504.18575999999996</v>
      </c>
      <c r="G268" s="94">
        <f>(2.75*2.75+1.1*0.6)*10.764</f>
        <v>88.506990000000002</v>
      </c>
      <c r="H268" s="39">
        <f>F268*(($H$170)+1)+(IF(G268&lt;101,G268,IF(G268&lt;201,G268/2,IF(G268&lt;=301,G268/3,G268/4))))</f>
        <v>819.57634199999984</v>
      </c>
      <c r="I268" s="33"/>
      <c r="L268" s="100"/>
      <c r="M268" s="100"/>
      <c r="N268" s="33"/>
      <c r="T268" s="18"/>
    </row>
    <row r="269" spans="1:20" s="34" customFormat="1" ht="15.75" customHeight="1" x14ac:dyDescent="0.3">
      <c r="A269" s="101">
        <f t="shared" ref="A269" si="41">A268+1</f>
        <v>5</v>
      </c>
      <c r="B269" s="102"/>
      <c r="C269" s="39" t="s">
        <v>422</v>
      </c>
      <c r="D269" s="94">
        <f>(38.45)*10.764</f>
        <v>413.87580000000003</v>
      </c>
      <c r="E269" s="94">
        <f>(1.19*2.75+1.19*2.75+1.35*1)*10.764</f>
        <v>84.981779999999986</v>
      </c>
      <c r="F269" s="39">
        <f t="shared" ref="F269" si="42">D269+E269</f>
        <v>498.85757999999998</v>
      </c>
      <c r="G269" s="94">
        <f>(2.75*2.75+1.1*0.6)*10.764</f>
        <v>88.506990000000002</v>
      </c>
      <c r="H269" s="39">
        <f t="shared" ref="H269" si="43">F269*(($H$170)+1)+(IF(G269&lt;101,G269,IF(G269&lt;201,G269/2,IF(G269&lt;=301,G269/3,G269/4))))</f>
        <v>811.85048099999995</v>
      </c>
      <c r="I269" s="33"/>
      <c r="L269" s="100"/>
      <c r="M269" s="100"/>
      <c r="N269" s="33"/>
      <c r="T269" s="18"/>
    </row>
    <row r="270" spans="1:20" s="32" customFormat="1" x14ac:dyDescent="0.3">
      <c r="A270" s="273" t="s">
        <v>64</v>
      </c>
      <c r="B270" s="273"/>
      <c r="C270" s="273"/>
      <c r="D270" s="273"/>
      <c r="E270" s="273"/>
      <c r="F270" s="273"/>
      <c r="G270" s="273"/>
      <c r="H270" s="273"/>
      <c r="T270" s="34"/>
    </row>
    <row r="271" spans="1:20" s="32" customFormat="1" x14ac:dyDescent="0.3">
      <c r="A271" s="41" t="s">
        <v>150</v>
      </c>
      <c r="B271" s="263" t="s">
        <v>411</v>
      </c>
      <c r="C271" s="264"/>
      <c r="D271" s="264"/>
      <c r="E271" s="264"/>
      <c r="F271" s="264"/>
      <c r="G271" s="264"/>
      <c r="H271" s="265"/>
      <c r="T271" s="34"/>
    </row>
    <row r="272" spans="1:20" s="32" customFormat="1" x14ac:dyDescent="0.3">
      <c r="A272" s="41" t="s">
        <v>150</v>
      </c>
      <c r="B272" s="263" t="str">
        <f>(IF(H169="Saleable area Loading :","We have considered Saleable area of Flats as per our Calculation.","We considered Saleable area of Flat as per Builder area Sheet."))</f>
        <v>We have considered Saleable area of Flats as per our Calculation.</v>
      </c>
      <c r="C272" s="264"/>
      <c r="D272" s="264"/>
      <c r="E272" s="264"/>
      <c r="F272" s="264"/>
      <c r="G272" s="264"/>
      <c r="H272" s="265"/>
      <c r="T272" s="34"/>
    </row>
    <row r="273" spans="1:20" s="32" customFormat="1" hidden="1" x14ac:dyDescent="0.3">
      <c r="A273" s="41" t="s">
        <v>150</v>
      </c>
      <c r="B273" s="136" t="str">
        <f>(IF(H161="Saleable area Loading :","We have considered Saleable area of Commercial as per our Calculation.","We considered Saleable area of Commercial as per Builder area Sheet."))</f>
        <v>We have considered Saleable area of Commercial as per our Calculation.</v>
      </c>
      <c r="C273" s="137"/>
      <c r="D273" s="137"/>
      <c r="E273" s="137"/>
      <c r="F273" s="137"/>
      <c r="G273" s="137"/>
      <c r="H273" s="138"/>
      <c r="T273" s="34"/>
    </row>
    <row r="274" spans="1:20" s="32" customFormat="1" x14ac:dyDescent="0.3">
      <c r="A274" s="41" t="s">
        <v>150</v>
      </c>
      <c r="B274" s="165" t="s">
        <v>119</v>
      </c>
      <c r="C274" s="166"/>
      <c r="D274" s="166"/>
      <c r="E274" s="166"/>
      <c r="F274" s="166"/>
      <c r="G274" s="166"/>
      <c r="H274" s="167"/>
      <c r="T274" s="34"/>
    </row>
    <row r="275" spans="1:20" s="32" customFormat="1" x14ac:dyDescent="0.3">
      <c r="A275" s="41" t="s">
        <v>150</v>
      </c>
      <c r="B275" s="263" t="s">
        <v>439</v>
      </c>
      <c r="C275" s="264"/>
      <c r="D275" s="264"/>
      <c r="E275" s="264"/>
      <c r="F275" s="264"/>
      <c r="G275" s="264"/>
      <c r="H275" s="265"/>
      <c r="T275" s="34"/>
    </row>
    <row r="276" spans="1:20" s="32" customFormat="1" x14ac:dyDescent="0.3">
      <c r="A276" s="41" t="s">
        <v>150</v>
      </c>
      <c r="B276" s="165" t="s">
        <v>149</v>
      </c>
      <c r="C276" s="166"/>
      <c r="D276" s="166"/>
      <c r="E276" s="166"/>
      <c r="F276" s="166"/>
      <c r="G276" s="166"/>
      <c r="H276" s="167"/>
    </row>
    <row r="277" spans="1:20" s="32" customFormat="1" x14ac:dyDescent="0.3">
      <c r="A277" s="41" t="s">
        <v>150</v>
      </c>
      <c r="B277" s="165" t="s">
        <v>120</v>
      </c>
      <c r="C277" s="166"/>
      <c r="D277" s="166"/>
      <c r="E277" s="166"/>
      <c r="F277" s="166"/>
      <c r="G277" s="166"/>
      <c r="H277" s="167"/>
    </row>
    <row r="278" spans="1:20" s="32" customFormat="1" ht="34.5" customHeight="1" x14ac:dyDescent="0.3">
      <c r="A278" s="41" t="s">
        <v>150</v>
      </c>
      <c r="B278" s="263" t="s">
        <v>151</v>
      </c>
      <c r="C278" s="264"/>
      <c r="D278" s="264"/>
      <c r="E278" s="264"/>
      <c r="F278" s="264"/>
      <c r="G278" s="264"/>
      <c r="H278" s="265"/>
    </row>
    <row r="279" spans="1:20" s="32" customFormat="1" x14ac:dyDescent="0.3">
      <c r="A279" s="41" t="s">
        <v>150</v>
      </c>
      <c r="B279" s="165" t="s">
        <v>121</v>
      </c>
      <c r="C279" s="166"/>
      <c r="D279" s="166"/>
      <c r="E279" s="166"/>
      <c r="F279" s="166"/>
      <c r="G279" s="166"/>
      <c r="H279" s="167"/>
    </row>
    <row r="280" spans="1:20" s="32" customFormat="1" ht="32.25" hidden="1" customHeight="1" x14ac:dyDescent="0.3">
      <c r="A280" s="41" t="s">
        <v>150</v>
      </c>
      <c r="B280" s="136" t="s">
        <v>174</v>
      </c>
      <c r="C280" s="137"/>
      <c r="D280" s="137"/>
      <c r="E280" s="137"/>
      <c r="F280" s="137"/>
      <c r="G280" s="137"/>
      <c r="H280" s="138"/>
    </row>
    <row r="281" spans="1:20" s="32" customFormat="1" ht="38.25" hidden="1" customHeight="1" x14ac:dyDescent="0.3">
      <c r="A281" s="41" t="s">
        <v>150</v>
      </c>
      <c r="B281" s="136" t="s">
        <v>345</v>
      </c>
      <c r="C281" s="137"/>
      <c r="D281" s="137"/>
      <c r="E281" s="137"/>
      <c r="F281" s="137"/>
      <c r="G281" s="137"/>
      <c r="H281" s="138"/>
    </row>
    <row r="282" spans="1:20" s="32" customFormat="1" hidden="1" x14ac:dyDescent="0.3">
      <c r="A282" s="41" t="s">
        <v>150</v>
      </c>
      <c r="B282" s="136" t="s">
        <v>347</v>
      </c>
      <c r="C282" s="137"/>
      <c r="D282" s="137"/>
      <c r="E282" s="137"/>
      <c r="F282" s="137"/>
      <c r="G282" s="137"/>
      <c r="H282" s="138"/>
    </row>
    <row r="283" spans="1:20" s="32" customFormat="1" hidden="1" x14ac:dyDescent="0.3">
      <c r="A283" s="41" t="s">
        <v>150</v>
      </c>
      <c r="B283" s="136" t="str">
        <f ca="1">IF(G52&gt;EDATE(E3,-48),"NO REMARK FOR CC","REMARK FOR CC")</f>
        <v>NO REMARK FOR CC</v>
      </c>
      <c r="C283" s="137"/>
      <c r="D283" s="137"/>
      <c r="E283" s="137"/>
      <c r="F283" s="137"/>
      <c r="G283" s="137"/>
      <c r="H283" s="138"/>
    </row>
    <row r="284" spans="1:20" s="32" customFormat="1" ht="81.75" hidden="1" customHeight="1" x14ac:dyDescent="0.3">
      <c r="A284" s="41" t="s">
        <v>150</v>
      </c>
      <c r="B284" s="136" t="s">
        <v>348</v>
      </c>
      <c r="C284" s="137"/>
      <c r="D284" s="137"/>
      <c r="E284" s="137"/>
      <c r="F284" s="137"/>
      <c r="G284" s="137"/>
      <c r="H284" s="138"/>
    </row>
    <row r="285" spans="1:20" x14ac:dyDescent="0.3">
      <c r="A285" s="245" t="s">
        <v>57</v>
      </c>
      <c r="B285" s="245"/>
      <c r="C285" s="245"/>
      <c r="D285" s="245"/>
      <c r="E285" s="245"/>
      <c r="F285" s="245"/>
      <c r="G285" s="245"/>
      <c r="H285" s="245"/>
      <c r="T285" s="32"/>
    </row>
    <row r="286" spans="1:20" x14ac:dyDescent="0.3">
      <c r="A286" s="148" t="s">
        <v>58</v>
      </c>
      <c r="B286" s="148"/>
      <c r="C286" s="148"/>
      <c r="D286" s="148"/>
      <c r="E286" s="148"/>
      <c r="F286" s="148"/>
      <c r="G286" s="148"/>
      <c r="H286" s="148"/>
      <c r="T286" s="32"/>
    </row>
    <row r="287" spans="1:20" ht="15.75" customHeight="1" x14ac:dyDescent="0.3">
      <c r="A287" s="272" t="s">
        <v>59</v>
      </c>
      <c r="B287" s="272"/>
      <c r="C287" s="272"/>
      <c r="D287" s="272"/>
      <c r="E287" s="272"/>
      <c r="F287" s="272"/>
      <c r="G287" s="272"/>
      <c r="H287" s="272"/>
      <c r="T287" s="32"/>
    </row>
    <row r="288" spans="1:20" x14ac:dyDescent="0.3">
      <c r="A288" s="148" t="s">
        <v>60</v>
      </c>
      <c r="B288" s="148"/>
      <c r="C288" s="148"/>
      <c r="D288" s="148"/>
      <c r="E288" s="148"/>
      <c r="F288" s="148"/>
      <c r="G288" s="148"/>
      <c r="H288" s="148"/>
      <c r="T288" s="32"/>
    </row>
    <row r="289" spans="1:20" x14ac:dyDescent="0.3">
      <c r="A289" s="148" t="s">
        <v>61</v>
      </c>
      <c r="B289" s="148"/>
      <c r="C289" s="148"/>
      <c r="D289" s="148"/>
      <c r="E289" s="148"/>
      <c r="F289" s="148"/>
      <c r="G289" s="148"/>
      <c r="H289" s="148"/>
      <c r="T289" s="32"/>
    </row>
    <row r="290" spans="1:20" x14ac:dyDescent="0.3">
      <c r="A290" s="148" t="s">
        <v>122</v>
      </c>
      <c r="B290" s="148"/>
      <c r="C290" s="148"/>
      <c r="D290" s="148"/>
      <c r="E290" s="148"/>
      <c r="F290" s="148"/>
      <c r="G290" s="148"/>
      <c r="H290" s="148"/>
      <c r="T290" s="32"/>
    </row>
    <row r="291" spans="1:20" ht="33.9" customHeight="1" x14ac:dyDescent="0.3">
      <c r="A291" s="177" t="s">
        <v>123</v>
      </c>
      <c r="B291" s="177"/>
      <c r="C291" s="177"/>
      <c r="D291" s="177"/>
      <c r="E291" s="177"/>
      <c r="F291" s="177"/>
      <c r="G291" s="177"/>
      <c r="H291" s="177"/>
    </row>
    <row r="292" spans="1:20" x14ac:dyDescent="0.3">
      <c r="A292" s="255" t="s">
        <v>73</v>
      </c>
      <c r="B292" s="255"/>
      <c r="C292" s="255" t="s">
        <v>410</v>
      </c>
      <c r="D292" s="255"/>
      <c r="E292" s="255" t="s">
        <v>103</v>
      </c>
      <c r="F292" s="255"/>
      <c r="G292" s="255" t="s">
        <v>409</v>
      </c>
      <c r="H292" s="255"/>
    </row>
    <row r="293" spans="1:20" x14ac:dyDescent="0.3">
      <c r="A293" s="254" t="s">
        <v>75</v>
      </c>
      <c r="B293" s="254"/>
      <c r="C293" s="254"/>
      <c r="D293" s="254"/>
      <c r="E293" s="254"/>
      <c r="F293" s="254"/>
      <c r="G293" s="254"/>
      <c r="H293" s="254"/>
    </row>
    <row r="294" spans="1:20" x14ac:dyDescent="0.3">
      <c r="A294" s="254"/>
      <c r="B294" s="254"/>
      <c r="C294" s="254"/>
      <c r="D294" s="254"/>
      <c r="E294" s="254"/>
      <c r="F294" s="254"/>
      <c r="G294" s="254"/>
      <c r="H294" s="254"/>
    </row>
    <row r="295" spans="1:20" hidden="1" x14ac:dyDescent="0.3">
      <c r="A295" s="254"/>
      <c r="B295" s="254"/>
      <c r="C295" s="254"/>
      <c r="D295" s="254"/>
      <c r="E295" s="254"/>
      <c r="F295" s="254"/>
      <c r="G295" s="254"/>
      <c r="H295" s="254"/>
    </row>
    <row r="296" spans="1:20" x14ac:dyDescent="0.3">
      <c r="A296" s="254"/>
      <c r="B296" s="254"/>
      <c r="C296" s="254"/>
      <c r="D296" s="254"/>
      <c r="E296" s="254"/>
      <c r="F296" s="254"/>
      <c r="G296" s="254"/>
      <c r="H296" s="254"/>
    </row>
    <row r="297" spans="1:20" x14ac:dyDescent="0.3">
      <c r="A297" s="35" t="s">
        <v>62</v>
      </c>
      <c r="B297" s="36"/>
      <c r="C297" s="36"/>
      <c r="D297" s="35" t="str">
        <f>E9</f>
        <v>Dwarika Majestica</v>
      </c>
      <c r="F297" s="36"/>
      <c r="G297" s="36"/>
      <c r="H297" s="36"/>
    </row>
    <row r="298" spans="1:20" x14ac:dyDescent="0.3">
      <c r="A298" s="36"/>
      <c r="B298" s="36"/>
      <c r="C298" s="36"/>
      <c r="D298" s="36"/>
      <c r="E298" s="36"/>
      <c r="F298" s="36"/>
      <c r="G298" s="36"/>
      <c r="H298" s="36"/>
    </row>
    <row r="299" spans="1:20" x14ac:dyDescent="0.3">
      <c r="A299" s="36"/>
      <c r="B299" s="36"/>
      <c r="C299" s="36"/>
      <c r="D299" s="36"/>
      <c r="E299" s="36"/>
      <c r="F299" s="36"/>
      <c r="G299" s="36"/>
      <c r="H299" s="36"/>
    </row>
    <row r="300" spans="1:20" ht="15" customHeight="1" x14ac:dyDescent="0.3"/>
    <row r="339" spans="1:1" x14ac:dyDescent="0.3">
      <c r="A339" s="38" t="s">
        <v>161</v>
      </c>
    </row>
    <row r="381" spans="1:1" x14ac:dyDescent="0.3">
      <c r="A381" s="38" t="s">
        <v>63</v>
      </c>
    </row>
  </sheetData>
  <mergeCells count="525">
    <mergeCell ref="C157:D157"/>
    <mergeCell ref="E157:F157"/>
    <mergeCell ref="G157:H157"/>
    <mergeCell ref="A82:B82"/>
    <mergeCell ref="G81:H81"/>
    <mergeCell ref="A90:B90"/>
    <mergeCell ref="A91:B91"/>
    <mergeCell ref="A86:B86"/>
    <mergeCell ref="A85:B85"/>
    <mergeCell ref="E81:F81"/>
    <mergeCell ref="A83:B83"/>
    <mergeCell ref="E153:F153"/>
    <mergeCell ref="A88:B88"/>
    <mergeCell ref="A134:E134"/>
    <mergeCell ref="F138:H138"/>
    <mergeCell ref="A138:E138"/>
    <mergeCell ref="A84:B84"/>
    <mergeCell ref="E82:F91"/>
    <mergeCell ref="G82:H91"/>
    <mergeCell ref="A101:B101"/>
    <mergeCell ref="G95:H95"/>
    <mergeCell ref="A103:B103"/>
    <mergeCell ref="C120:H120"/>
    <mergeCell ref="A122:B122"/>
    <mergeCell ref="I15:P15"/>
    <mergeCell ref="F144:H144"/>
    <mergeCell ref="F142:H142"/>
    <mergeCell ref="A160:H160"/>
    <mergeCell ref="G148:H148"/>
    <mergeCell ref="A143:E143"/>
    <mergeCell ref="A165:B165"/>
    <mergeCell ref="A62:B62"/>
    <mergeCell ref="C62:E62"/>
    <mergeCell ref="D64:H64"/>
    <mergeCell ref="F143:H143"/>
    <mergeCell ref="E148:F148"/>
    <mergeCell ref="A148:B148"/>
    <mergeCell ref="A150:B150"/>
    <mergeCell ref="C153:D153"/>
    <mergeCell ref="D75:H75"/>
    <mergeCell ref="D65:H65"/>
    <mergeCell ref="G62:H62"/>
    <mergeCell ref="A55:B56"/>
    <mergeCell ref="A87:B87"/>
    <mergeCell ref="A50:B50"/>
    <mergeCell ref="D69:H69"/>
    <mergeCell ref="A75:C75"/>
    <mergeCell ref="A137:E137"/>
    <mergeCell ref="A290:H290"/>
    <mergeCell ref="A287:H287"/>
    <mergeCell ref="A153:B153"/>
    <mergeCell ref="D169:D170"/>
    <mergeCell ref="E169:E170"/>
    <mergeCell ref="A100:B100"/>
    <mergeCell ref="A102:B102"/>
    <mergeCell ref="F135:H135"/>
    <mergeCell ref="G149:H149"/>
    <mergeCell ref="A105:B105"/>
    <mergeCell ref="F141:H141"/>
    <mergeCell ref="C148:D148"/>
    <mergeCell ref="A173:H173"/>
    <mergeCell ref="B275:H275"/>
    <mergeCell ref="B283:H283"/>
    <mergeCell ref="B282:H282"/>
    <mergeCell ref="F137:H137"/>
    <mergeCell ref="A141:E141"/>
    <mergeCell ref="A286:H286"/>
    <mergeCell ref="A140:E140"/>
    <mergeCell ref="A168:H168"/>
    <mergeCell ref="A270:H270"/>
    <mergeCell ref="A159:H159"/>
    <mergeCell ref="A104:B104"/>
    <mergeCell ref="B278:H278"/>
    <mergeCell ref="G161:G162"/>
    <mergeCell ref="B271:H271"/>
    <mergeCell ref="B272:H272"/>
    <mergeCell ref="B274:H274"/>
    <mergeCell ref="F134:H134"/>
    <mergeCell ref="F139:H139"/>
    <mergeCell ref="A174:B174"/>
    <mergeCell ref="A167:B167"/>
    <mergeCell ref="A166:B166"/>
    <mergeCell ref="F140:H140"/>
    <mergeCell ref="A169:A170"/>
    <mergeCell ref="F169:F170"/>
    <mergeCell ref="C266:H267"/>
    <mergeCell ref="A156:B156"/>
    <mergeCell ref="C156:D156"/>
    <mergeCell ref="E156:F156"/>
    <mergeCell ref="G156:H156"/>
    <mergeCell ref="A142:E142"/>
    <mergeCell ref="A164:B164"/>
    <mergeCell ref="A210:B210"/>
    <mergeCell ref="A222:B222"/>
    <mergeCell ref="C222:H222"/>
    <mergeCell ref="A157:B157"/>
    <mergeCell ref="A293:H296"/>
    <mergeCell ref="A292:B292"/>
    <mergeCell ref="E292:F292"/>
    <mergeCell ref="C292:D292"/>
    <mergeCell ref="G292:H292"/>
    <mergeCell ref="A147:H147"/>
    <mergeCell ref="A145:E145"/>
    <mergeCell ref="F145:H145"/>
    <mergeCell ref="A146:E146"/>
    <mergeCell ref="F146:H146"/>
    <mergeCell ref="A154:B154"/>
    <mergeCell ref="A149:B149"/>
    <mergeCell ref="A288:H288"/>
    <mergeCell ref="A152:H152"/>
    <mergeCell ref="A291:H291"/>
    <mergeCell ref="A289:H289"/>
    <mergeCell ref="A285:H285"/>
    <mergeCell ref="G153:H153"/>
    <mergeCell ref="B276:H276"/>
    <mergeCell ref="D161:D162"/>
    <mergeCell ref="G155:H155"/>
    <mergeCell ref="B280:H280"/>
    <mergeCell ref="A158:B158"/>
    <mergeCell ref="C158:D15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D70:H70"/>
    <mergeCell ref="A67:C70"/>
    <mergeCell ref="A59:B61"/>
    <mergeCell ref="C61:H61"/>
    <mergeCell ref="C59:E60"/>
    <mergeCell ref="E43:H43"/>
    <mergeCell ref="A43:D43"/>
    <mergeCell ref="A36:B36"/>
    <mergeCell ref="C36:E36"/>
    <mergeCell ref="A37:B37"/>
    <mergeCell ref="C37:E37"/>
    <mergeCell ref="A42:D42"/>
    <mergeCell ref="C58:H58"/>
    <mergeCell ref="A48:H48"/>
    <mergeCell ref="D66:H66"/>
    <mergeCell ref="A66:C66"/>
    <mergeCell ref="A45:D45"/>
    <mergeCell ref="A49:B49"/>
    <mergeCell ref="C49:H49"/>
    <mergeCell ref="D67:H67"/>
    <mergeCell ref="D68:H68"/>
    <mergeCell ref="G53:H53"/>
    <mergeCell ref="G52:H52"/>
    <mergeCell ref="A63:H63"/>
    <mergeCell ref="A80:B80"/>
    <mergeCell ref="A78:B78"/>
    <mergeCell ref="C78:H78"/>
    <mergeCell ref="A73:C73"/>
    <mergeCell ref="D73:H73"/>
    <mergeCell ref="C80:H80"/>
    <mergeCell ref="A74:C74"/>
    <mergeCell ref="D74:H74"/>
    <mergeCell ref="A77:C77"/>
    <mergeCell ref="D77:H77"/>
    <mergeCell ref="A76:C76"/>
    <mergeCell ref="D76:H76"/>
    <mergeCell ref="F37:H37"/>
    <mergeCell ref="C51:E51"/>
    <mergeCell ref="C50:E50"/>
    <mergeCell ref="G50:H50"/>
    <mergeCell ref="A51:B51"/>
    <mergeCell ref="G57:H57"/>
    <mergeCell ref="G59:H59"/>
    <mergeCell ref="G51:H51"/>
    <mergeCell ref="A39:B39"/>
    <mergeCell ref="C39:H39"/>
    <mergeCell ref="C56:H56"/>
    <mergeCell ref="A52:B54"/>
    <mergeCell ref="C55:E55"/>
    <mergeCell ref="C52:E53"/>
    <mergeCell ref="C57:E57"/>
    <mergeCell ref="G55:H55"/>
    <mergeCell ref="A57:B58"/>
    <mergeCell ref="E42:H42"/>
    <mergeCell ref="A41:H41"/>
    <mergeCell ref="A46:D46"/>
    <mergeCell ref="A47:D47"/>
    <mergeCell ref="A44:D44"/>
    <mergeCell ref="E44:H44"/>
    <mergeCell ref="E45:H45"/>
    <mergeCell ref="A38:H38"/>
    <mergeCell ref="L167:M167"/>
    <mergeCell ref="L166:M166"/>
    <mergeCell ref="L165:M165"/>
    <mergeCell ref="L164:M164"/>
    <mergeCell ref="A89:B89"/>
    <mergeCell ref="C154:D154"/>
    <mergeCell ref="E154:F154"/>
    <mergeCell ref="G154:H154"/>
    <mergeCell ref="A135:E135"/>
    <mergeCell ref="A92:B92"/>
    <mergeCell ref="C92:H92"/>
    <mergeCell ref="A163:H163"/>
    <mergeCell ref="E161:E162"/>
    <mergeCell ref="A96:B96"/>
    <mergeCell ref="C94:H94"/>
    <mergeCell ref="A97:B97"/>
    <mergeCell ref="A98:B98"/>
    <mergeCell ref="G96:H105"/>
    <mergeCell ref="A99:B99"/>
    <mergeCell ref="F136:H136"/>
    <mergeCell ref="A136:E136"/>
    <mergeCell ref="E158:F158"/>
    <mergeCell ref="A94:B94"/>
    <mergeCell ref="A40:B40"/>
    <mergeCell ref="C40:H40"/>
    <mergeCell ref="F161:F162"/>
    <mergeCell ref="C149:D149"/>
    <mergeCell ref="E149:F149"/>
    <mergeCell ref="B161:B162"/>
    <mergeCell ref="A161:A162"/>
    <mergeCell ref="C169:C170"/>
    <mergeCell ref="G169:G170"/>
    <mergeCell ref="G158:H158"/>
    <mergeCell ref="A114:B114"/>
    <mergeCell ref="A117:B117"/>
    <mergeCell ref="C54:H54"/>
    <mergeCell ref="A64:C64"/>
    <mergeCell ref="A71:C71"/>
    <mergeCell ref="A72:C72"/>
    <mergeCell ref="D71:H71"/>
    <mergeCell ref="A65:C65"/>
    <mergeCell ref="G60:H60"/>
    <mergeCell ref="A81:B81"/>
    <mergeCell ref="D72:H72"/>
    <mergeCell ref="E46:H46"/>
    <mergeCell ref="E47:H47"/>
    <mergeCell ref="A118:B118"/>
    <mergeCell ref="B281:H281"/>
    <mergeCell ref="A139:E139"/>
    <mergeCell ref="A144:E144"/>
    <mergeCell ref="C150:D150"/>
    <mergeCell ref="E150:F150"/>
    <mergeCell ref="G150:H150"/>
    <mergeCell ref="A151:B151"/>
    <mergeCell ref="C151:D151"/>
    <mergeCell ref="E151:F151"/>
    <mergeCell ref="G151:H151"/>
    <mergeCell ref="A155:B155"/>
    <mergeCell ref="C155:D155"/>
    <mergeCell ref="E155:F155"/>
    <mergeCell ref="B279:H279"/>
    <mergeCell ref="B277:H277"/>
    <mergeCell ref="A171:H171"/>
    <mergeCell ref="A172:H172"/>
    <mergeCell ref="A178:B178"/>
    <mergeCell ref="A182:B182"/>
    <mergeCell ref="A193:B193"/>
    <mergeCell ref="A195:H195"/>
    <mergeCell ref="A196:H196"/>
    <mergeCell ref="A206:H206"/>
    <mergeCell ref="A207:B207"/>
    <mergeCell ref="B284:H284"/>
    <mergeCell ref="A119:B119"/>
    <mergeCell ref="C161:C162"/>
    <mergeCell ref="B169:B170"/>
    <mergeCell ref="B273:H273"/>
    <mergeCell ref="A95:B95"/>
    <mergeCell ref="E95:F95"/>
    <mergeCell ref="E96:F105"/>
    <mergeCell ref="A106:B106"/>
    <mergeCell ref="C106:H106"/>
    <mergeCell ref="A108:B108"/>
    <mergeCell ref="C108:H108"/>
    <mergeCell ref="A109:B109"/>
    <mergeCell ref="E109:F109"/>
    <mergeCell ref="G109:H109"/>
    <mergeCell ref="A110:B110"/>
    <mergeCell ref="E110:F119"/>
    <mergeCell ref="G110:H119"/>
    <mergeCell ref="A111:B111"/>
    <mergeCell ref="A112:B112"/>
    <mergeCell ref="A113:B113"/>
    <mergeCell ref="A115:B115"/>
    <mergeCell ref="A116:B116"/>
    <mergeCell ref="A120:B120"/>
    <mergeCell ref="C122:H122"/>
    <mergeCell ref="A123:B123"/>
    <mergeCell ref="E123:F123"/>
    <mergeCell ref="G123:H123"/>
    <mergeCell ref="A124:B124"/>
    <mergeCell ref="E124:F133"/>
    <mergeCell ref="G124:H133"/>
    <mergeCell ref="A125:B125"/>
    <mergeCell ref="A126:B126"/>
    <mergeCell ref="A127:B127"/>
    <mergeCell ref="A128:B128"/>
    <mergeCell ref="A129:B129"/>
    <mergeCell ref="A130:B130"/>
    <mergeCell ref="A131:B131"/>
    <mergeCell ref="A132:B132"/>
    <mergeCell ref="A133:B133"/>
    <mergeCell ref="A179:B179"/>
    <mergeCell ref="A180:B180"/>
    <mergeCell ref="A181:B181"/>
    <mergeCell ref="A175:B175"/>
    <mergeCell ref="A176:B176"/>
    <mergeCell ref="A177:B177"/>
    <mergeCell ref="A183:B183"/>
    <mergeCell ref="A184:H184"/>
    <mergeCell ref="A185:B185"/>
    <mergeCell ref="A186:B186"/>
    <mergeCell ref="A192:B192"/>
    <mergeCell ref="A194:B194"/>
    <mergeCell ref="C187:H188"/>
    <mergeCell ref="C191:H191"/>
    <mergeCell ref="C194:H194"/>
    <mergeCell ref="A187:B187"/>
    <mergeCell ref="A188:B188"/>
    <mergeCell ref="A189:B189"/>
    <mergeCell ref="A190:B190"/>
    <mergeCell ref="A191:B191"/>
    <mergeCell ref="L207:M207"/>
    <mergeCell ref="A208:B208"/>
    <mergeCell ref="L208:M208"/>
    <mergeCell ref="A209:B209"/>
    <mergeCell ref="L209:M209"/>
    <mergeCell ref="A197:H197"/>
    <mergeCell ref="A198:B198"/>
    <mergeCell ref="A199:B199"/>
    <mergeCell ref="A200:B200"/>
    <mergeCell ref="A201:B201"/>
    <mergeCell ref="L201:M201"/>
    <mergeCell ref="A202:B202"/>
    <mergeCell ref="L202:M202"/>
    <mergeCell ref="A203:B203"/>
    <mergeCell ref="L203:M203"/>
    <mergeCell ref="A204:B204"/>
    <mergeCell ref="L204:M204"/>
    <mergeCell ref="A205:B205"/>
    <mergeCell ref="L205:M205"/>
    <mergeCell ref="C200:H200"/>
    <mergeCell ref="C201:H201"/>
    <mergeCell ref="L210:M210"/>
    <mergeCell ref="A211:B211"/>
    <mergeCell ref="L211:M211"/>
    <mergeCell ref="A212:B212"/>
    <mergeCell ref="L212:M212"/>
    <mergeCell ref="A213:B213"/>
    <mergeCell ref="L213:M213"/>
    <mergeCell ref="A214:B214"/>
    <mergeCell ref="L214:M214"/>
    <mergeCell ref="A215:H215"/>
    <mergeCell ref="A216:B216"/>
    <mergeCell ref="L216:M216"/>
    <mergeCell ref="A217:B217"/>
    <mergeCell ref="L217:M217"/>
    <mergeCell ref="C217:H217"/>
    <mergeCell ref="A224:H224"/>
    <mergeCell ref="A225:H225"/>
    <mergeCell ref="A226:H226"/>
    <mergeCell ref="L222:M222"/>
    <mergeCell ref="A223:B223"/>
    <mergeCell ref="L223:M223"/>
    <mergeCell ref="A218:B218"/>
    <mergeCell ref="L218:M218"/>
    <mergeCell ref="A219:B219"/>
    <mergeCell ref="L219:M219"/>
    <mergeCell ref="A220:B220"/>
    <mergeCell ref="L220:M220"/>
    <mergeCell ref="A221:B221"/>
    <mergeCell ref="L221:M221"/>
    <mergeCell ref="C219:H220"/>
    <mergeCell ref="A227:B227"/>
    <mergeCell ref="L227:M227"/>
    <mergeCell ref="A228:B228"/>
    <mergeCell ref="L228:M228"/>
    <mergeCell ref="A229:B229"/>
    <mergeCell ref="L229:M229"/>
    <mergeCell ref="A230:B230"/>
    <mergeCell ref="L230:M230"/>
    <mergeCell ref="A231:B231"/>
    <mergeCell ref="L231:M231"/>
    <mergeCell ref="A232:B232"/>
    <mergeCell ref="L232:M232"/>
    <mergeCell ref="A233:B233"/>
    <mergeCell ref="L233:M233"/>
    <mergeCell ref="A234:B234"/>
    <mergeCell ref="L234:M234"/>
    <mergeCell ref="L244:M244"/>
    <mergeCell ref="A235:B235"/>
    <mergeCell ref="L235:M235"/>
    <mergeCell ref="A236:B236"/>
    <mergeCell ref="L236:M236"/>
    <mergeCell ref="A238:H238"/>
    <mergeCell ref="A239:B239"/>
    <mergeCell ref="L239:M239"/>
    <mergeCell ref="A240:B240"/>
    <mergeCell ref="L241:M241"/>
    <mergeCell ref="A237:B237"/>
    <mergeCell ref="L237:M237"/>
    <mergeCell ref="A249:B249"/>
    <mergeCell ref="C249:H249"/>
    <mergeCell ref="L249:M249"/>
    <mergeCell ref="C239:H239"/>
    <mergeCell ref="C242:H242"/>
    <mergeCell ref="C244:H244"/>
    <mergeCell ref="C246:H246"/>
    <mergeCell ref="A250:H250"/>
    <mergeCell ref="A251:H251"/>
    <mergeCell ref="A245:B245"/>
    <mergeCell ref="L245:M245"/>
    <mergeCell ref="A246:B246"/>
    <mergeCell ref="L246:M246"/>
    <mergeCell ref="A247:B247"/>
    <mergeCell ref="L247:M247"/>
    <mergeCell ref="A248:B248"/>
    <mergeCell ref="L248:M248"/>
    <mergeCell ref="A241:B241"/>
    <mergeCell ref="A242:B242"/>
    <mergeCell ref="L242:M242"/>
    <mergeCell ref="A243:B243"/>
    <mergeCell ref="L243:M243"/>
    <mergeCell ref="A244:B244"/>
    <mergeCell ref="A257:B257"/>
    <mergeCell ref="L257:M257"/>
    <mergeCell ref="A258:H258"/>
    <mergeCell ref="A252:H252"/>
    <mergeCell ref="A253:B253"/>
    <mergeCell ref="L253:M253"/>
    <mergeCell ref="A254:B254"/>
    <mergeCell ref="L254:M254"/>
    <mergeCell ref="A255:B255"/>
    <mergeCell ref="L255:M255"/>
    <mergeCell ref="A256:B256"/>
    <mergeCell ref="L256:M256"/>
    <mergeCell ref="A259:B259"/>
    <mergeCell ref="L259:M259"/>
    <mergeCell ref="A260:B260"/>
    <mergeCell ref="L260:M260"/>
    <mergeCell ref="A261:B261"/>
    <mergeCell ref="L261:M261"/>
    <mergeCell ref="A262:B262"/>
    <mergeCell ref="L262:M262"/>
    <mergeCell ref="A263:B263"/>
    <mergeCell ref="L263:M263"/>
    <mergeCell ref="A266:B266"/>
    <mergeCell ref="L266:M266"/>
    <mergeCell ref="A267:B267"/>
    <mergeCell ref="L267:M267"/>
    <mergeCell ref="A268:B268"/>
    <mergeCell ref="L268:M268"/>
    <mergeCell ref="A269:B269"/>
    <mergeCell ref="L269:M269"/>
    <mergeCell ref="A264:H264"/>
    <mergeCell ref="A265:B265"/>
    <mergeCell ref="L265:M265"/>
  </mergeCells>
  <dataValidations disablePrompts="1"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61:E162" xr:uid="{00000000-0002-0000-0000-000003000000}">
      <formula1>"Attached Loft area,Attached Otla area,Attached Mezzanine area"</formula1>
    </dataValidation>
    <dataValidation type="list" allowBlank="1" showInputMessage="1" showErrorMessage="1" sqref="G292:H292" xr:uid="{00000000-0002-0000-0000-000004000000}">
      <formula1>"Kunal Kadam,Pranita Mhatre,Shruti Fule,Pooja Kawale,Gaurav Panchal,Shruti Tathare, Dipti Gothawade,Saurav Panse, Sachin Sawant"</formula1>
    </dataValidation>
    <dataValidation type="list" allowBlank="1" showInputMessage="1" showErrorMessage="1" sqref="F134:H134" xr:uid="{00000000-0002-0000-0000-000005000000}">
      <formula1>"On Saleable Area,On Builtup Area,On Carpet Area,On Plot Area"</formula1>
    </dataValidation>
    <dataValidation type="list" allowBlank="1" showInputMessage="1" showErrorMessage="1" sqref="F145:H145" xr:uid="{00000000-0002-0000-0000-000006000000}">
      <formula1>OFFSET($S$134,1,MATCH($G20,$S$134:$W$134,0)-1,15,1)</formula1>
    </dataValidation>
    <dataValidation type="list" allowBlank="1" showInputMessage="1" showErrorMessage="1" sqref="B161:B162" xr:uid="{00000000-0002-0000-0000-000007000000}">
      <formula1>"Shop No. (Sale Plan),Sale / Rehab,Sale / Mhada"</formula1>
    </dataValidation>
    <dataValidation type="list" allowBlank="1" showInputMessage="1" showErrorMessage="1" sqref="B169:B170"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69:E170" xr:uid="{00000000-0002-0000-0000-00000B000000}">
      <formula1>"Fungible area,Balcony Area + Arch Proj + Chajja Area,Cornice Area,AP Area,WS Area"</formula1>
    </dataValidation>
    <dataValidation type="list" allowBlank="1" showInputMessage="1" showErrorMessage="1" sqref="H162 H170"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61 H169" xr:uid="{00000000-0002-0000-0000-00000F000000}">
      <formula1>"Saleable area Loading :,Builder Saleable Area"</formula1>
    </dataValidation>
    <dataValidation type="list" allowBlank="1" showInputMessage="1" showErrorMessage="1" sqref="D161:D162" xr:uid="{00000000-0002-0000-0000-000010000000}">
      <formula1>"Carpet area,RERA Carpet area"</formula1>
    </dataValidation>
    <dataValidation type="list" allowBlank="1" showInputMessage="1" showErrorMessage="1" sqref="D169:D170" xr:uid="{00000000-0002-0000-0000-000011000000}">
      <formula1>"Carpet Area,Carpet + Encl Balcony Area,RERA Carpet area"</formula1>
    </dataValidation>
  </dataValidations>
  <hyperlinks>
    <hyperlink ref="C40" r:id="rId1" xr:uid="{7ABCE496-D851-4B08-A467-92127097D63A}"/>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&amp;F&amp;R&amp;"Times New Roman,Bold"&amp;12&amp;P</oddFooter>
  </headerFooter>
  <rowBreaks count="5" manualBreakCount="5">
    <brk id="77" max="7" man="1"/>
    <brk id="151" max="16383" man="1"/>
    <brk id="296" max="16383" man="1"/>
    <brk id="338" max="16383" man="1"/>
    <brk id="38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89" t="s">
        <v>104</v>
      </c>
      <c r="C3" s="289"/>
      <c r="D3" s="289"/>
      <c r="E3" s="289"/>
      <c r="F3" s="289"/>
      <c r="G3" s="289"/>
      <c r="H3" s="289"/>
    </row>
    <row r="4" spans="1:9" x14ac:dyDescent="0.3">
      <c r="A4" s="2"/>
      <c r="B4" s="3" t="s">
        <v>105</v>
      </c>
      <c r="C4" s="3" t="s">
        <v>106</v>
      </c>
      <c r="D4" s="3" t="s">
        <v>65</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7"/>
      <c r="C4" s="47" t="s">
        <v>11</v>
      </c>
      <c r="D4" s="48" t="s">
        <v>175</v>
      </c>
      <c r="E4" s="48" t="s">
        <v>185</v>
      </c>
      <c r="F4" s="48" t="s">
        <v>169</v>
      </c>
      <c r="G4" s="48" t="s">
        <v>190</v>
      </c>
      <c r="H4" s="48" t="s">
        <v>208</v>
      </c>
      <c r="J4" t="s">
        <v>190</v>
      </c>
      <c r="K4" t="s">
        <v>206</v>
      </c>
    </row>
    <row r="5" spans="2:11" x14ac:dyDescent="0.3">
      <c r="B5" s="47"/>
      <c r="C5" s="47"/>
      <c r="D5" s="48" t="s">
        <v>176</v>
      </c>
      <c r="E5" s="48" t="s">
        <v>183</v>
      </c>
      <c r="F5" s="48" t="s">
        <v>205</v>
      </c>
      <c r="G5" s="48" t="s">
        <v>191</v>
      </c>
      <c r="H5" s="48" t="s">
        <v>209</v>
      </c>
    </row>
    <row r="6" spans="2:11" x14ac:dyDescent="0.3">
      <c r="B6" s="47"/>
      <c r="C6" s="47"/>
      <c r="D6" s="48" t="s">
        <v>177</v>
      </c>
      <c r="E6" s="48" t="s">
        <v>184</v>
      </c>
      <c r="F6" s="48" t="s">
        <v>206</v>
      </c>
      <c r="G6" s="48" t="s">
        <v>192</v>
      </c>
      <c r="H6" s="48" t="s">
        <v>222</v>
      </c>
    </row>
    <row r="7" spans="2:11" x14ac:dyDescent="0.3">
      <c r="B7" s="47"/>
      <c r="C7" s="47"/>
      <c r="D7" s="48" t="s">
        <v>178</v>
      </c>
      <c r="E7" s="48" t="s">
        <v>186</v>
      </c>
      <c r="F7" s="48" t="s">
        <v>207</v>
      </c>
      <c r="G7" s="48" t="s">
        <v>193</v>
      </c>
      <c r="H7" s="48" t="s">
        <v>210</v>
      </c>
    </row>
    <row r="8" spans="2:11" x14ac:dyDescent="0.3">
      <c r="B8" s="47"/>
      <c r="C8" s="47"/>
      <c r="D8" s="48" t="s">
        <v>179</v>
      </c>
      <c r="E8" s="48" t="s">
        <v>187</v>
      </c>
      <c r="F8" s="48"/>
      <c r="G8" s="48" t="s">
        <v>194</v>
      </c>
      <c r="H8" s="48" t="s">
        <v>211</v>
      </c>
    </row>
    <row r="9" spans="2:11" x14ac:dyDescent="0.3">
      <c r="B9" s="47"/>
      <c r="C9" s="47"/>
      <c r="D9" s="48" t="s">
        <v>180</v>
      </c>
      <c r="E9" s="48" t="s">
        <v>185</v>
      </c>
      <c r="F9" s="48"/>
      <c r="G9" s="48" t="s">
        <v>195</v>
      </c>
      <c r="H9" s="48" t="s">
        <v>212</v>
      </c>
    </row>
    <row r="10" spans="2:11" x14ac:dyDescent="0.3">
      <c r="B10" s="47"/>
      <c r="C10" s="47"/>
      <c r="D10" s="48" t="s">
        <v>181</v>
      </c>
      <c r="E10" s="48" t="s">
        <v>188</v>
      </c>
      <c r="F10" s="48"/>
      <c r="G10" s="48" t="s">
        <v>196</v>
      </c>
      <c r="H10" s="48" t="s">
        <v>213</v>
      </c>
    </row>
    <row r="11" spans="2:11" x14ac:dyDescent="0.3">
      <c r="B11" s="47"/>
      <c r="C11" s="47"/>
      <c r="D11" s="48" t="s">
        <v>182</v>
      </c>
      <c r="E11" s="48" t="s">
        <v>189</v>
      </c>
      <c r="F11" s="48"/>
      <c r="G11" s="48" t="s">
        <v>197</v>
      </c>
      <c r="H11" s="48" t="s">
        <v>214</v>
      </c>
    </row>
    <row r="12" spans="2:11" x14ac:dyDescent="0.3">
      <c r="B12" s="47"/>
      <c r="C12" s="47"/>
      <c r="D12" s="48"/>
      <c r="E12" s="48"/>
      <c r="F12" s="48"/>
      <c r="G12" s="48" t="s">
        <v>198</v>
      </c>
      <c r="H12" s="48" t="s">
        <v>215</v>
      </c>
    </row>
    <row r="13" spans="2:11" x14ac:dyDescent="0.3">
      <c r="B13" s="47"/>
      <c r="C13" s="47"/>
      <c r="D13" s="48"/>
      <c r="E13" s="48"/>
      <c r="F13" s="48"/>
      <c r="G13" s="48" t="s">
        <v>199</v>
      </c>
      <c r="H13" s="48" t="s">
        <v>216</v>
      </c>
    </row>
    <row r="14" spans="2:11" x14ac:dyDescent="0.3">
      <c r="B14" s="47"/>
      <c r="C14" s="47"/>
      <c r="D14" s="48"/>
      <c r="E14" s="48"/>
      <c r="F14" s="48"/>
      <c r="G14" s="48" t="s">
        <v>200</v>
      </c>
      <c r="H14" s="48" t="s">
        <v>217</v>
      </c>
    </row>
    <row r="15" spans="2:11" x14ac:dyDescent="0.3">
      <c r="B15" s="47"/>
      <c r="C15" s="47"/>
      <c r="D15" s="48"/>
      <c r="E15" s="48"/>
      <c r="F15" s="48"/>
      <c r="G15" s="48" t="s">
        <v>201</v>
      </c>
      <c r="H15" s="48" t="s">
        <v>218</v>
      </c>
    </row>
    <row r="16" spans="2:11" x14ac:dyDescent="0.3">
      <c r="B16" s="47"/>
      <c r="C16" s="47"/>
      <c r="D16" s="48"/>
      <c r="E16" s="48"/>
      <c r="F16" s="48"/>
      <c r="G16" s="48" t="s">
        <v>202</v>
      </c>
      <c r="H16" s="48" t="s">
        <v>219</v>
      </c>
    </row>
    <row r="17" spans="2:8" x14ac:dyDescent="0.3">
      <c r="B17" s="47"/>
      <c r="C17" s="47"/>
      <c r="D17" s="48"/>
      <c r="E17" s="48"/>
      <c r="F17" s="48"/>
      <c r="G17" s="48" t="s">
        <v>203</v>
      </c>
      <c r="H17" s="48" t="s">
        <v>220</v>
      </c>
    </row>
    <row r="18" spans="2:8" x14ac:dyDescent="0.3">
      <c r="B18" s="47"/>
      <c r="C18" s="47"/>
      <c r="D18" s="48"/>
      <c r="E18" s="48"/>
      <c r="F18" s="48"/>
      <c r="G18" s="48" t="s">
        <v>204</v>
      </c>
      <c r="H18" s="48" t="s">
        <v>221</v>
      </c>
    </row>
    <row r="24" spans="2:8" x14ac:dyDescent="0.3">
      <c r="C24" t="s">
        <v>166</v>
      </c>
    </row>
    <row r="25" spans="2:8" x14ac:dyDescent="0.3">
      <c r="C25" t="s">
        <v>223</v>
      </c>
    </row>
    <row r="26" spans="2:8" x14ac:dyDescent="0.3">
      <c r="C26" t="s">
        <v>224</v>
      </c>
    </row>
    <row r="27" spans="2:8" x14ac:dyDescent="0.3">
      <c r="C27" t="s">
        <v>225</v>
      </c>
    </row>
    <row r="28" spans="2:8" x14ac:dyDescent="0.3">
      <c r="C28" t="s">
        <v>226</v>
      </c>
    </row>
    <row r="29" spans="2:8" x14ac:dyDescent="0.3">
      <c r="C29" t="s">
        <v>227</v>
      </c>
    </row>
    <row r="30" spans="2:8" x14ac:dyDescent="0.3">
      <c r="C30" t="s">
        <v>166</v>
      </c>
    </row>
    <row r="33" spans="3:11" x14ac:dyDescent="0.3">
      <c r="J33">
        <v>1</v>
      </c>
      <c r="K33">
        <v>2</v>
      </c>
    </row>
    <row r="34" spans="3:11" x14ac:dyDescent="0.3">
      <c r="C34" s="49" t="s">
        <v>232</v>
      </c>
      <c r="D34" s="48" t="s">
        <v>230</v>
      </c>
      <c r="E34" s="48" t="s">
        <v>235</v>
      </c>
      <c r="F34" s="48" t="s">
        <v>233</v>
      </c>
      <c r="G34" s="48" t="s">
        <v>234</v>
      </c>
      <c r="H34" s="48" t="s">
        <v>236</v>
      </c>
      <c r="J34" t="s">
        <v>190</v>
      </c>
      <c r="K34" t="s">
        <v>206</v>
      </c>
    </row>
    <row r="35" spans="3:11" x14ac:dyDescent="0.3">
      <c r="C35" s="47" t="s">
        <v>231</v>
      </c>
      <c r="D35" s="48" t="s">
        <v>167</v>
      </c>
      <c r="E35" s="48" t="s">
        <v>240</v>
      </c>
      <c r="F35" s="48" t="s">
        <v>242</v>
      </c>
      <c r="G35" s="48" t="s">
        <v>244</v>
      </c>
      <c r="H35" s="48"/>
    </row>
    <row r="36" spans="3:11" x14ac:dyDescent="0.3">
      <c r="C36" s="47"/>
      <c r="D36" s="48" t="s">
        <v>237</v>
      </c>
      <c r="E36" s="48" t="s">
        <v>241</v>
      </c>
      <c r="F36" s="48" t="s">
        <v>243</v>
      </c>
      <c r="G36" s="48" t="s">
        <v>245</v>
      </c>
      <c r="H36" s="48"/>
    </row>
    <row r="37" spans="3:11" x14ac:dyDescent="0.3">
      <c r="C37" s="47"/>
      <c r="D37" s="48" t="s">
        <v>238</v>
      </c>
      <c r="E37" s="48"/>
      <c r="F37" s="48"/>
      <c r="G37" s="48" t="s">
        <v>246</v>
      </c>
      <c r="H37" s="48"/>
    </row>
    <row r="38" spans="3:11" x14ac:dyDescent="0.3">
      <c r="C38" s="47"/>
      <c r="D38" s="48" t="s">
        <v>239</v>
      </c>
      <c r="E38" s="48"/>
      <c r="F38" s="48"/>
      <c r="G38" s="48" t="s">
        <v>246</v>
      </c>
      <c r="H38" s="48"/>
    </row>
    <row r="39" spans="3:11" x14ac:dyDescent="0.3">
      <c r="C39" s="47"/>
      <c r="D39" s="48"/>
      <c r="E39" s="48"/>
      <c r="F39" s="48"/>
      <c r="G39" s="48" t="s">
        <v>247</v>
      </c>
      <c r="H39" s="48"/>
    </row>
    <row r="40" spans="3:11" x14ac:dyDescent="0.3">
      <c r="C40" s="47"/>
      <c r="D40" s="48"/>
      <c r="E40" s="48"/>
      <c r="F40" s="48"/>
      <c r="G40" s="48" t="s">
        <v>248</v>
      </c>
      <c r="H40" s="48"/>
    </row>
    <row r="41" spans="3:11" x14ac:dyDescent="0.3">
      <c r="C41" s="47"/>
      <c r="D41" s="48"/>
      <c r="E41" s="48"/>
      <c r="F41" s="48"/>
      <c r="G41" s="48"/>
      <c r="H41" s="48"/>
    </row>
    <row r="43" spans="3:11" x14ac:dyDescent="0.3">
      <c r="C43" t="s">
        <v>249</v>
      </c>
    </row>
    <row r="44" spans="3:11" x14ac:dyDescent="0.3">
      <c r="C44" t="s">
        <v>169</v>
      </c>
      <c r="D44" t="s">
        <v>250</v>
      </c>
    </row>
    <row r="45" spans="3:11" x14ac:dyDescent="0.3">
      <c r="D45" t="s">
        <v>251</v>
      </c>
    </row>
    <row r="46" spans="3:11" x14ac:dyDescent="0.3">
      <c r="D46" t="s">
        <v>252</v>
      </c>
    </row>
    <row r="47" spans="3:11" x14ac:dyDescent="0.3">
      <c r="D47" t="s">
        <v>253</v>
      </c>
    </row>
    <row r="48" spans="3:11" x14ac:dyDescent="0.3">
      <c r="D48" t="s">
        <v>254</v>
      </c>
    </row>
    <row r="49" spans="3:4" x14ac:dyDescent="0.3">
      <c r="C49" t="s">
        <v>175</v>
      </c>
      <c r="D49" t="s">
        <v>255</v>
      </c>
    </row>
    <row r="50" spans="3:4" x14ac:dyDescent="0.3">
      <c r="D50" t="s">
        <v>256</v>
      </c>
    </row>
    <row r="51" spans="3:4" x14ac:dyDescent="0.3">
      <c r="D51" t="s">
        <v>257</v>
      </c>
    </row>
    <row r="52" spans="3:4" x14ac:dyDescent="0.3">
      <c r="D52" t="s">
        <v>260</v>
      </c>
    </row>
    <row r="53" spans="3:4" x14ac:dyDescent="0.3">
      <c r="D53" t="s">
        <v>258</v>
      </c>
    </row>
    <row r="54" spans="3:4" x14ac:dyDescent="0.3">
      <c r="D54" t="s">
        <v>259</v>
      </c>
    </row>
    <row r="55" spans="3:4" x14ac:dyDescent="0.3">
      <c r="D55" t="s">
        <v>261</v>
      </c>
    </row>
    <row r="56" spans="3:4" x14ac:dyDescent="0.3">
      <c r="D56" t="s">
        <v>262</v>
      </c>
    </row>
    <row r="57" spans="3:4" x14ac:dyDescent="0.3">
      <c r="D57" t="s">
        <v>263</v>
      </c>
    </row>
    <row r="58" spans="3:4" x14ac:dyDescent="0.3">
      <c r="D58" t="s">
        <v>265</v>
      </c>
    </row>
    <row r="59" spans="3:4" x14ac:dyDescent="0.3">
      <c r="D59" t="s">
        <v>274</v>
      </c>
    </row>
    <row r="60" spans="3:4" x14ac:dyDescent="0.3">
      <c r="C60" t="s">
        <v>190</v>
      </c>
      <c r="D60" t="s">
        <v>266</v>
      </c>
    </row>
    <row r="61" spans="3:4" x14ac:dyDescent="0.3">
      <c r="D61" t="s">
        <v>264</v>
      </c>
    </row>
    <row r="62" spans="3:4" x14ac:dyDescent="0.3">
      <c r="D62" t="s">
        <v>254</v>
      </c>
    </row>
    <row r="63" spans="3:4" x14ac:dyDescent="0.3">
      <c r="D63" t="s">
        <v>267</v>
      </c>
    </row>
    <row r="64" spans="3:4" x14ac:dyDescent="0.3">
      <c r="D64" t="s">
        <v>268</v>
      </c>
    </row>
    <row r="65" spans="3:4" x14ac:dyDescent="0.3">
      <c r="D65" t="s">
        <v>269</v>
      </c>
    </row>
    <row r="66" spans="3:4" x14ac:dyDescent="0.3">
      <c r="D66" t="s">
        <v>270</v>
      </c>
    </row>
    <row r="67" spans="3:4" x14ac:dyDescent="0.3">
      <c r="C67" t="s">
        <v>185</v>
      </c>
      <c r="D67" t="s">
        <v>271</v>
      </c>
    </row>
    <row r="68" spans="3:4" x14ac:dyDescent="0.3">
      <c r="D68" t="s">
        <v>272</v>
      </c>
    </row>
    <row r="69" spans="3:4" x14ac:dyDescent="0.3">
      <c r="D69" t="s">
        <v>273</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topLeftCell="A52" zoomScaleNormal="100" workbookViewId="0">
      <selection activeCell="C40" sqref="C40"/>
    </sheetView>
  </sheetViews>
  <sheetFormatPr defaultRowHeight="14.4" x14ac:dyDescent="0.3"/>
  <cols>
    <col min="2" max="2" width="3" bestFit="1" customWidth="1"/>
    <col min="3" max="3" width="155.33203125" customWidth="1"/>
  </cols>
  <sheetData>
    <row r="2" spans="2:3" ht="15" customHeight="1" x14ac:dyDescent="0.3">
      <c r="B2" s="50">
        <v>1</v>
      </c>
      <c r="C2" s="52" t="s">
        <v>279</v>
      </c>
    </row>
    <row r="3" spans="2:3" x14ac:dyDescent="0.3">
      <c r="B3" s="50">
        <v>2</v>
      </c>
      <c r="C3" s="51" t="s">
        <v>280</v>
      </c>
    </row>
    <row r="4" spans="2:3" x14ac:dyDescent="0.3">
      <c r="B4" s="50">
        <v>3</v>
      </c>
      <c r="C4" s="50" t="s">
        <v>281</v>
      </c>
    </row>
    <row r="5" spans="2:3" x14ac:dyDescent="0.3">
      <c r="B5" s="50">
        <v>4</v>
      </c>
      <c r="C5" s="51" t="s">
        <v>282</v>
      </c>
    </row>
    <row r="6" spans="2:3" x14ac:dyDescent="0.3">
      <c r="B6" s="50">
        <v>5</v>
      </c>
      <c r="C6" s="50" t="s">
        <v>283</v>
      </c>
    </row>
    <row r="7" spans="2:3" x14ac:dyDescent="0.3">
      <c r="B7" s="50">
        <v>6</v>
      </c>
      <c r="C7" s="51" t="s">
        <v>284</v>
      </c>
    </row>
    <row r="8" spans="2:3" ht="72" x14ac:dyDescent="0.3">
      <c r="B8" s="50">
        <v>7</v>
      </c>
      <c r="C8" s="51" t="s">
        <v>285</v>
      </c>
    </row>
    <row r="9" spans="2:3" x14ac:dyDescent="0.3">
      <c r="B9" s="50">
        <v>8</v>
      </c>
      <c r="C9" s="50" t="s">
        <v>286</v>
      </c>
    </row>
    <row r="10" spans="2:3" x14ac:dyDescent="0.3">
      <c r="B10" s="50">
        <v>9</v>
      </c>
      <c r="C10" s="50" t="s">
        <v>287</v>
      </c>
    </row>
    <row r="11" spans="2:3" x14ac:dyDescent="0.3">
      <c r="B11" s="50">
        <v>10</v>
      </c>
      <c r="C11" s="50" t="s">
        <v>288</v>
      </c>
    </row>
    <row r="12" spans="2:3" x14ac:dyDescent="0.3">
      <c r="B12" s="50">
        <v>11</v>
      </c>
      <c r="C12" s="50" t="s">
        <v>289</v>
      </c>
    </row>
    <row r="13" spans="2:3" x14ac:dyDescent="0.3">
      <c r="B13" s="50">
        <v>12</v>
      </c>
      <c r="C13" s="50" t="s">
        <v>290</v>
      </c>
    </row>
    <row r="14" spans="2:3" x14ac:dyDescent="0.3">
      <c r="B14" s="50">
        <v>13</v>
      </c>
      <c r="C14" s="50" t="s">
        <v>291</v>
      </c>
    </row>
    <row r="15" spans="2:3" x14ac:dyDescent="0.3">
      <c r="B15" s="50">
        <v>14</v>
      </c>
      <c r="C15" s="50" t="s">
        <v>281</v>
      </c>
    </row>
    <row r="16" spans="2:3" x14ac:dyDescent="0.3">
      <c r="B16" s="50">
        <v>15</v>
      </c>
      <c r="C16" s="50" t="s">
        <v>293</v>
      </c>
    </row>
    <row r="17" spans="2:3" x14ac:dyDescent="0.3">
      <c r="B17" s="68">
        <v>16</v>
      </c>
      <c r="C17" s="55" t="s">
        <v>294</v>
      </c>
    </row>
    <row r="18" spans="2:3" x14ac:dyDescent="0.3">
      <c r="B18" s="54">
        <v>17</v>
      </c>
      <c r="C18" s="55" t="s">
        <v>295</v>
      </c>
    </row>
    <row r="19" spans="2:3" x14ac:dyDescent="0.3">
      <c r="B19" s="53">
        <v>18</v>
      </c>
      <c r="C19" s="50" t="s">
        <v>296</v>
      </c>
    </row>
    <row r="20" spans="2:3" x14ac:dyDescent="0.3">
      <c r="B20" s="54">
        <v>19</v>
      </c>
      <c r="C20" s="50" t="s">
        <v>332</v>
      </c>
    </row>
    <row r="21" spans="2:3" x14ac:dyDescent="0.3">
      <c r="B21" s="50">
        <v>20</v>
      </c>
      <c r="C21" s="50" t="s">
        <v>297</v>
      </c>
    </row>
    <row r="22" spans="2:3" x14ac:dyDescent="0.3">
      <c r="B22" s="54">
        <v>21</v>
      </c>
      <c r="C22" s="50" t="s">
        <v>296</v>
      </c>
    </row>
    <row r="23" spans="2:3" s="63" customFormat="1" ht="29.25" customHeight="1" x14ac:dyDescent="0.3">
      <c r="B23" s="62">
        <v>22</v>
      </c>
      <c r="C23" s="52" t="s">
        <v>324</v>
      </c>
    </row>
    <row r="24" spans="2:3" s="63" customFormat="1" ht="30.75" customHeight="1" x14ac:dyDescent="0.3">
      <c r="B24" s="64">
        <v>23</v>
      </c>
      <c r="C24" s="52" t="s">
        <v>325</v>
      </c>
    </row>
    <row r="25" spans="2:3" x14ac:dyDescent="0.3">
      <c r="B25" s="50">
        <v>24</v>
      </c>
      <c r="C25" s="50" t="s">
        <v>328</v>
      </c>
    </row>
    <row r="26" spans="2:3" x14ac:dyDescent="0.3">
      <c r="B26" s="54">
        <v>25</v>
      </c>
      <c r="C26" s="50" t="s">
        <v>326</v>
      </c>
    </row>
    <row r="27" spans="2:3" x14ac:dyDescent="0.3">
      <c r="B27" s="64">
        <v>26</v>
      </c>
      <c r="C27" s="50" t="s">
        <v>327</v>
      </c>
    </row>
    <row r="28" spans="2:3" x14ac:dyDescent="0.3">
      <c r="B28" s="54">
        <v>27</v>
      </c>
      <c r="C28" s="50" t="s">
        <v>329</v>
      </c>
    </row>
    <row r="29" spans="2:3" ht="43.2" x14ac:dyDescent="0.3">
      <c r="B29" s="67">
        <v>28</v>
      </c>
      <c r="C29" s="51" t="s">
        <v>330</v>
      </c>
    </row>
    <row r="30" spans="2:3" x14ac:dyDescent="0.3">
      <c r="B30" s="64">
        <v>29</v>
      </c>
      <c r="C30" s="50" t="s">
        <v>331</v>
      </c>
    </row>
    <row r="31" spans="2:3" ht="28.8" x14ac:dyDescent="0.3">
      <c r="B31" s="64">
        <v>30</v>
      </c>
      <c r="C31" s="51" t="s">
        <v>333</v>
      </c>
    </row>
    <row r="32" spans="2:3" x14ac:dyDescent="0.3">
      <c r="B32" s="64">
        <v>31</v>
      </c>
      <c r="C32" s="50" t="s">
        <v>334</v>
      </c>
    </row>
    <row r="33" spans="2:4" x14ac:dyDescent="0.3">
      <c r="B33" s="64">
        <v>32</v>
      </c>
      <c r="C33" s="50" t="s">
        <v>335</v>
      </c>
    </row>
    <row r="34" spans="2:4" ht="36.75" customHeight="1" x14ac:dyDescent="0.3">
      <c r="B34" s="64">
        <v>33</v>
      </c>
      <c r="C34" s="55" t="s">
        <v>336</v>
      </c>
    </row>
    <row r="35" spans="2:4" x14ac:dyDescent="0.3">
      <c r="B35" s="62">
        <v>34</v>
      </c>
      <c r="C35" s="50" t="s">
        <v>344</v>
      </c>
    </row>
    <row r="36" spans="2:4" ht="57.6" x14ac:dyDescent="0.3">
      <c r="B36" s="62">
        <v>35</v>
      </c>
      <c r="C36" s="51" t="s">
        <v>348</v>
      </c>
    </row>
    <row r="37" spans="2:4" x14ac:dyDescent="0.3">
      <c r="B37" s="50">
        <v>36</v>
      </c>
      <c r="C37" s="51" t="s">
        <v>359</v>
      </c>
    </row>
    <row r="38" spans="2:4" x14ac:dyDescent="0.3">
      <c r="B38" s="50">
        <f t="shared" ref="B38:B44" si="0">B37+1</f>
        <v>37</v>
      </c>
      <c r="C38" s="50" t="s">
        <v>355</v>
      </c>
    </row>
    <row r="39" spans="2:4" x14ac:dyDescent="0.3">
      <c r="B39" s="50">
        <f t="shared" si="0"/>
        <v>38</v>
      </c>
      <c r="C39" s="50" t="s">
        <v>356</v>
      </c>
    </row>
    <row r="40" spans="2:4" x14ac:dyDescent="0.3">
      <c r="B40" s="50">
        <f t="shared" si="0"/>
        <v>39</v>
      </c>
      <c r="C40" s="50" t="s">
        <v>357</v>
      </c>
    </row>
    <row r="41" spans="2:4" x14ac:dyDescent="0.3">
      <c r="B41" s="50">
        <f t="shared" si="0"/>
        <v>40</v>
      </c>
      <c r="C41" s="50" t="s">
        <v>358</v>
      </c>
    </row>
    <row r="42" spans="2:4" ht="29.4" thickBot="1" x14ac:dyDescent="0.35">
      <c r="B42" s="71">
        <f t="shared" si="0"/>
        <v>41</v>
      </c>
      <c r="C42" s="72" t="s">
        <v>360</v>
      </c>
    </row>
    <row r="43" spans="2:4" ht="28.8" x14ac:dyDescent="0.3">
      <c r="B43" s="75">
        <f t="shared" si="0"/>
        <v>42</v>
      </c>
      <c r="C43" s="80" t="s">
        <v>365</v>
      </c>
      <c r="D43" t="s">
        <v>366</v>
      </c>
    </row>
    <row r="44" spans="2:4" ht="15" thickBot="1" x14ac:dyDescent="0.35">
      <c r="B44" s="77">
        <f t="shared" si="0"/>
        <v>43</v>
      </c>
      <c r="C44" s="79" t="s">
        <v>361</v>
      </c>
    </row>
    <row r="45" spans="2:4" ht="15" thickBot="1" x14ac:dyDescent="0.35">
      <c r="B45" s="73">
        <f t="shared" ref="B45:B54" si="1">B44+1</f>
        <v>44</v>
      </c>
      <c r="C45" s="74" t="s">
        <v>362</v>
      </c>
    </row>
    <row r="46" spans="2:4" ht="28.8" x14ac:dyDescent="0.3">
      <c r="B46" s="75">
        <f t="shared" si="1"/>
        <v>45</v>
      </c>
      <c r="C46" s="76" t="s">
        <v>363</v>
      </c>
    </row>
    <row r="47" spans="2:4" ht="15" thickBot="1" x14ac:dyDescent="0.35">
      <c r="B47" s="77">
        <f t="shared" si="1"/>
        <v>46</v>
      </c>
      <c r="C47" s="78" t="s">
        <v>364</v>
      </c>
    </row>
    <row r="48" spans="2:4" x14ac:dyDescent="0.3">
      <c r="B48" s="81">
        <f t="shared" si="1"/>
        <v>47</v>
      </c>
      <c r="C48" s="82" t="s">
        <v>367</v>
      </c>
    </row>
    <row r="49" spans="2:6" x14ac:dyDescent="0.3">
      <c r="B49" s="81">
        <f t="shared" si="1"/>
        <v>48</v>
      </c>
      <c r="C49" s="82" t="s">
        <v>368</v>
      </c>
    </row>
    <row r="50" spans="2:6" x14ac:dyDescent="0.3">
      <c r="B50" s="81">
        <f t="shared" si="1"/>
        <v>49</v>
      </c>
      <c r="C50" s="82" t="s">
        <v>370</v>
      </c>
      <c r="D50" t="s">
        <v>369</v>
      </c>
    </row>
    <row r="51" spans="2:6" ht="28.8" x14ac:dyDescent="0.3">
      <c r="B51" s="83">
        <f t="shared" si="1"/>
        <v>50</v>
      </c>
      <c r="C51" s="84" t="s">
        <v>371</v>
      </c>
    </row>
    <row r="52" spans="2:6" x14ac:dyDescent="0.3">
      <c r="B52" s="83">
        <f t="shared" si="1"/>
        <v>51</v>
      </c>
      <c r="C52" s="85" t="s">
        <v>374</v>
      </c>
      <c r="D52" t="s">
        <v>375</v>
      </c>
    </row>
    <row r="53" spans="2:6" x14ac:dyDescent="0.3">
      <c r="B53" s="83">
        <f t="shared" si="1"/>
        <v>52</v>
      </c>
      <c r="C53" s="85" t="s">
        <v>377</v>
      </c>
      <c r="D53" t="s">
        <v>378</v>
      </c>
    </row>
    <row r="54" spans="2:6" ht="28.8" x14ac:dyDescent="0.3">
      <c r="B54" s="83">
        <f t="shared" si="1"/>
        <v>53</v>
      </c>
      <c r="C54" s="55" t="s">
        <v>382</v>
      </c>
      <c r="D54" t="s">
        <v>381</v>
      </c>
    </row>
    <row r="55" spans="2:6" ht="28.8" x14ac:dyDescent="0.3">
      <c r="B55">
        <v>54</v>
      </c>
      <c r="C55" s="87" t="s">
        <v>383</v>
      </c>
      <c r="D55" s="290" t="s">
        <v>384</v>
      </c>
      <c r="E55" s="291"/>
      <c r="F55" s="291"/>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47"/>
    <col min="2" max="2" width="12.33203125" style="47" customWidth="1"/>
    <col min="3" max="16384" width="9.109375" style="47"/>
  </cols>
  <sheetData>
    <row r="2" spans="1:12" x14ac:dyDescent="0.3">
      <c r="B2" s="56" t="s">
        <v>298</v>
      </c>
      <c r="C2" s="292"/>
      <c r="D2" s="292"/>
    </row>
    <row r="3" spans="1:12" x14ac:dyDescent="0.3">
      <c r="D3" s="57"/>
      <c r="E3" s="57"/>
      <c r="F3" s="57"/>
      <c r="G3" s="57"/>
      <c r="H3" s="57"/>
      <c r="I3" s="57"/>
    </row>
    <row r="4" spans="1:12" x14ac:dyDescent="0.3">
      <c r="A4" s="56" t="s">
        <v>65</v>
      </c>
      <c r="B4" s="58" t="s">
        <v>299</v>
      </c>
      <c r="C4" s="293" t="s">
        <v>300</v>
      </c>
      <c r="D4" s="293"/>
      <c r="E4" s="293"/>
      <c r="F4" s="58"/>
      <c r="G4" s="294" t="s">
        <v>301</v>
      </c>
      <c r="H4" s="294"/>
      <c r="I4" s="294"/>
      <c r="J4" s="295" t="s">
        <v>302</v>
      </c>
      <c r="K4" s="295"/>
      <c r="L4" s="295"/>
    </row>
    <row r="5" spans="1:12" x14ac:dyDescent="0.3">
      <c r="A5" s="56"/>
      <c r="B5" s="58"/>
      <c r="C5" s="58" t="s">
        <v>303</v>
      </c>
      <c r="D5" s="58" t="s">
        <v>304</v>
      </c>
      <c r="E5" s="58" t="s">
        <v>305</v>
      </c>
      <c r="F5" s="58"/>
      <c r="G5" s="58" t="s">
        <v>303</v>
      </c>
      <c r="H5" s="58" t="s">
        <v>304</v>
      </c>
      <c r="I5" s="58" t="s">
        <v>305</v>
      </c>
      <c r="J5" s="58" t="s">
        <v>303</v>
      </c>
      <c r="K5" s="58" t="s">
        <v>304</v>
      </c>
      <c r="L5" s="58" t="s">
        <v>305</v>
      </c>
    </row>
    <row r="6" spans="1:12" x14ac:dyDescent="0.3">
      <c r="B6" s="48" t="s">
        <v>306</v>
      </c>
      <c r="C6" s="48"/>
      <c r="D6" s="48"/>
      <c r="E6" s="48">
        <f>C6*D6</f>
        <v>0</v>
      </c>
      <c r="F6" s="48" t="s">
        <v>323</v>
      </c>
      <c r="G6" s="48"/>
      <c r="H6" s="48"/>
      <c r="I6" s="48">
        <f>G6*H6</f>
        <v>0</v>
      </c>
      <c r="J6" s="48"/>
      <c r="K6" s="48"/>
      <c r="L6" s="48">
        <f>J6*K6</f>
        <v>0</v>
      </c>
    </row>
    <row r="7" spans="1:12" x14ac:dyDescent="0.3">
      <c r="B7" s="48"/>
      <c r="C7" s="48"/>
      <c r="D7" s="48"/>
      <c r="E7" s="48">
        <f t="shared" ref="E7:E41" si="0">C7*D7</f>
        <v>0</v>
      </c>
      <c r="F7" s="48" t="s">
        <v>323</v>
      </c>
      <c r="G7" s="48"/>
      <c r="H7" s="48"/>
      <c r="I7" s="48">
        <f t="shared" ref="I7:I35" si="1">G7*H7</f>
        <v>0</v>
      </c>
      <c r="J7" s="48"/>
      <c r="K7" s="48"/>
      <c r="L7" s="48">
        <f t="shared" ref="L7:L35" si="2">J7*K7</f>
        <v>0</v>
      </c>
    </row>
    <row r="8" spans="1:12" x14ac:dyDescent="0.3">
      <c r="B8" s="48"/>
      <c r="C8" s="48"/>
      <c r="D8" s="48"/>
      <c r="E8" s="48">
        <f t="shared" si="0"/>
        <v>0</v>
      </c>
      <c r="F8" s="48"/>
      <c r="G8" s="48"/>
      <c r="H8" s="48"/>
      <c r="I8" s="48">
        <f t="shared" si="1"/>
        <v>0</v>
      </c>
      <c r="J8" s="48"/>
      <c r="K8" s="48"/>
      <c r="L8" s="48">
        <f t="shared" si="2"/>
        <v>0</v>
      </c>
    </row>
    <row r="9" spans="1:12" x14ac:dyDescent="0.3">
      <c r="B9" s="48"/>
      <c r="C9" s="48"/>
      <c r="D9" s="48"/>
      <c r="E9" s="48">
        <f t="shared" si="0"/>
        <v>0</v>
      </c>
      <c r="F9" s="48" t="s">
        <v>307</v>
      </c>
      <c r="G9" s="48"/>
      <c r="H9" s="48"/>
      <c r="I9" s="48">
        <f t="shared" si="1"/>
        <v>0</v>
      </c>
      <c r="J9" s="48"/>
      <c r="K9" s="48"/>
      <c r="L9" s="48">
        <f t="shared" si="2"/>
        <v>0</v>
      </c>
    </row>
    <row r="10" spans="1:12" x14ac:dyDescent="0.3">
      <c r="B10" s="48" t="s">
        <v>308</v>
      </c>
      <c r="C10" s="48"/>
      <c r="D10" s="48"/>
      <c r="E10" s="48">
        <f t="shared" si="0"/>
        <v>0</v>
      </c>
      <c r="F10" s="48" t="s">
        <v>307</v>
      </c>
      <c r="G10" s="48"/>
      <c r="H10" s="48"/>
      <c r="I10" s="48">
        <f t="shared" si="1"/>
        <v>0</v>
      </c>
      <c r="J10" s="48"/>
      <c r="K10" s="48"/>
      <c r="L10" s="48">
        <f t="shared" si="2"/>
        <v>0</v>
      </c>
    </row>
    <row r="11" spans="1:12" x14ac:dyDescent="0.3">
      <c r="B11" s="48"/>
      <c r="C11" s="48"/>
      <c r="D11" s="48"/>
      <c r="E11" s="48">
        <f t="shared" si="0"/>
        <v>0</v>
      </c>
      <c r="F11" s="48" t="s">
        <v>309</v>
      </c>
      <c r="G11" s="48"/>
      <c r="H11" s="48"/>
      <c r="I11" s="48">
        <f t="shared" si="1"/>
        <v>0</v>
      </c>
      <c r="J11" s="48"/>
      <c r="K11" s="48"/>
      <c r="L11" s="48">
        <f t="shared" si="2"/>
        <v>0</v>
      </c>
    </row>
    <row r="12" spans="1:12" x14ac:dyDescent="0.3">
      <c r="B12" s="48"/>
      <c r="C12" s="48"/>
      <c r="D12" s="48"/>
      <c r="E12" s="48">
        <f t="shared" si="0"/>
        <v>0</v>
      </c>
      <c r="F12" s="48"/>
      <c r="G12" s="48"/>
      <c r="H12" s="48"/>
      <c r="I12" s="48">
        <f t="shared" si="1"/>
        <v>0</v>
      </c>
      <c r="J12" s="48"/>
      <c r="K12" s="48"/>
      <c r="L12" s="48">
        <f t="shared" si="2"/>
        <v>0</v>
      </c>
    </row>
    <row r="13" spans="1:12" x14ac:dyDescent="0.3">
      <c r="B13" s="48"/>
      <c r="C13" s="48"/>
      <c r="D13" s="48"/>
      <c r="E13" s="48">
        <f t="shared" si="0"/>
        <v>0</v>
      </c>
      <c r="F13" s="48"/>
      <c r="G13" s="48"/>
      <c r="H13" s="48"/>
      <c r="I13" s="48">
        <f t="shared" si="1"/>
        <v>0</v>
      </c>
      <c r="J13" s="48"/>
      <c r="K13" s="48"/>
      <c r="L13" s="48">
        <f t="shared" si="2"/>
        <v>0</v>
      </c>
    </row>
    <row r="14" spans="1:12" x14ac:dyDescent="0.3">
      <c r="B14" s="48" t="s">
        <v>310</v>
      </c>
      <c r="C14" s="48"/>
      <c r="D14" s="48"/>
      <c r="E14" s="48">
        <f t="shared" si="0"/>
        <v>0</v>
      </c>
      <c r="F14" s="48" t="s">
        <v>307</v>
      </c>
      <c r="G14" s="48"/>
      <c r="H14" s="48"/>
      <c r="I14" s="48">
        <f t="shared" si="1"/>
        <v>0</v>
      </c>
      <c r="J14" s="48"/>
      <c r="K14" s="48"/>
      <c r="L14" s="48">
        <f t="shared" si="2"/>
        <v>0</v>
      </c>
    </row>
    <row r="15" spans="1:12" x14ac:dyDescent="0.3">
      <c r="B15" s="48"/>
      <c r="C15" s="48"/>
      <c r="D15" s="48"/>
      <c r="E15" s="48">
        <f t="shared" si="0"/>
        <v>0</v>
      </c>
      <c r="F15" s="48" t="s">
        <v>309</v>
      </c>
      <c r="G15" s="48"/>
      <c r="H15" s="48"/>
      <c r="I15" s="48">
        <f t="shared" si="1"/>
        <v>0</v>
      </c>
      <c r="J15" s="48"/>
      <c r="K15" s="48"/>
      <c r="L15" s="48">
        <f t="shared" si="2"/>
        <v>0</v>
      </c>
    </row>
    <row r="16" spans="1:12" x14ac:dyDescent="0.3">
      <c r="B16" s="48"/>
      <c r="C16" s="48"/>
      <c r="D16" s="48"/>
      <c r="E16" s="48">
        <f t="shared" si="0"/>
        <v>0</v>
      </c>
      <c r="F16" s="48"/>
      <c r="G16" s="48"/>
      <c r="H16" s="48"/>
      <c r="I16" s="48">
        <f t="shared" si="1"/>
        <v>0</v>
      </c>
      <c r="J16" s="48"/>
      <c r="K16" s="48"/>
      <c r="L16" s="48">
        <f t="shared" si="2"/>
        <v>0</v>
      </c>
    </row>
    <row r="17" spans="2:12" x14ac:dyDescent="0.3">
      <c r="B17" s="48"/>
      <c r="C17" s="48"/>
      <c r="D17" s="48"/>
      <c r="E17" s="48">
        <f t="shared" si="0"/>
        <v>0</v>
      </c>
      <c r="F17" s="48"/>
      <c r="G17" s="48"/>
      <c r="H17" s="48"/>
      <c r="I17" s="48">
        <f t="shared" si="1"/>
        <v>0</v>
      </c>
      <c r="J17" s="48"/>
      <c r="K17" s="48"/>
      <c r="L17" s="48">
        <f t="shared" si="2"/>
        <v>0</v>
      </c>
    </row>
    <row r="18" spans="2:12" x14ac:dyDescent="0.3">
      <c r="B18" s="48" t="s">
        <v>311</v>
      </c>
      <c r="C18" s="48"/>
      <c r="D18" s="48"/>
      <c r="E18" s="48">
        <f t="shared" si="0"/>
        <v>0</v>
      </c>
      <c r="F18" s="48" t="s">
        <v>307</v>
      </c>
      <c r="G18" s="48"/>
      <c r="H18" s="48"/>
      <c r="I18" s="48">
        <f t="shared" si="1"/>
        <v>0</v>
      </c>
      <c r="J18" s="48"/>
      <c r="K18" s="48"/>
      <c r="L18" s="48">
        <f t="shared" si="2"/>
        <v>0</v>
      </c>
    </row>
    <row r="19" spans="2:12" x14ac:dyDescent="0.3">
      <c r="B19" s="48"/>
      <c r="C19" s="48"/>
      <c r="D19" s="48"/>
      <c r="E19" s="48">
        <f t="shared" si="0"/>
        <v>0</v>
      </c>
      <c r="F19" s="48" t="s">
        <v>309</v>
      </c>
      <c r="G19" s="48"/>
      <c r="H19" s="48"/>
      <c r="I19" s="48">
        <f t="shared" si="1"/>
        <v>0</v>
      </c>
      <c r="J19" s="48"/>
      <c r="K19" s="48"/>
      <c r="L19" s="48">
        <f t="shared" si="2"/>
        <v>0</v>
      </c>
    </row>
    <row r="20" spans="2:12" x14ac:dyDescent="0.3">
      <c r="B20" s="48"/>
      <c r="C20" s="48"/>
      <c r="D20" s="48"/>
      <c r="E20" s="48">
        <f t="shared" si="0"/>
        <v>0</v>
      </c>
      <c r="F20" s="48"/>
      <c r="G20" s="48"/>
      <c r="H20" s="48"/>
      <c r="I20" s="48">
        <f t="shared" si="1"/>
        <v>0</v>
      </c>
      <c r="J20" s="48"/>
      <c r="K20" s="48"/>
      <c r="L20" s="48">
        <f t="shared" si="2"/>
        <v>0</v>
      </c>
    </row>
    <row r="21" spans="2:12" x14ac:dyDescent="0.3">
      <c r="B21" s="48" t="s">
        <v>312</v>
      </c>
      <c r="C21" s="48"/>
      <c r="D21" s="48"/>
      <c r="E21" s="48">
        <f t="shared" si="0"/>
        <v>0</v>
      </c>
      <c r="F21" s="48" t="s">
        <v>307</v>
      </c>
      <c r="G21" s="48"/>
      <c r="H21" s="48"/>
      <c r="I21" s="48">
        <f t="shared" si="1"/>
        <v>0</v>
      </c>
      <c r="J21" s="48"/>
      <c r="K21" s="48"/>
      <c r="L21" s="48">
        <f t="shared" si="2"/>
        <v>0</v>
      </c>
    </row>
    <row r="22" spans="2:12" x14ac:dyDescent="0.3">
      <c r="B22" s="48"/>
      <c r="C22" s="48"/>
      <c r="D22" s="48"/>
      <c r="E22" s="48">
        <f t="shared" si="0"/>
        <v>0</v>
      </c>
      <c r="F22" s="48" t="s">
        <v>309</v>
      </c>
      <c r="G22" s="48"/>
      <c r="H22" s="48"/>
      <c r="I22" s="48">
        <f t="shared" si="1"/>
        <v>0</v>
      </c>
      <c r="J22" s="48"/>
      <c r="K22" s="48"/>
      <c r="L22" s="48">
        <f t="shared" si="2"/>
        <v>0</v>
      </c>
    </row>
    <row r="23" spans="2:12" x14ac:dyDescent="0.3">
      <c r="B23" s="48"/>
      <c r="C23" s="48"/>
      <c r="D23" s="48"/>
      <c r="E23" s="48">
        <f t="shared" si="0"/>
        <v>0</v>
      </c>
      <c r="F23" s="48"/>
      <c r="G23" s="48"/>
      <c r="H23" s="48"/>
      <c r="I23" s="48">
        <f t="shared" si="1"/>
        <v>0</v>
      </c>
      <c r="J23" s="48"/>
      <c r="K23" s="48"/>
      <c r="L23" s="48">
        <f t="shared" si="2"/>
        <v>0</v>
      </c>
    </row>
    <row r="24" spans="2:12" x14ac:dyDescent="0.3">
      <c r="B24" s="48" t="s">
        <v>313</v>
      </c>
      <c r="C24" s="48"/>
      <c r="D24" s="48"/>
      <c r="E24" s="48">
        <f t="shared" si="0"/>
        <v>0</v>
      </c>
      <c r="F24" s="48" t="s">
        <v>314</v>
      </c>
      <c r="G24" s="48"/>
      <c r="H24" s="48"/>
      <c r="I24" s="48">
        <f t="shared" si="1"/>
        <v>0</v>
      </c>
      <c r="J24" s="48"/>
      <c r="K24" s="48"/>
      <c r="L24" s="48">
        <f t="shared" si="2"/>
        <v>0</v>
      </c>
    </row>
    <row r="25" spans="2:12" x14ac:dyDescent="0.3">
      <c r="B25" s="48"/>
      <c r="C25" s="48"/>
      <c r="D25" s="48"/>
      <c r="E25" s="48">
        <f>C25*D25</f>
        <v>0</v>
      </c>
      <c r="F25" s="48" t="s">
        <v>314</v>
      </c>
      <c r="G25" s="48"/>
      <c r="H25" s="48"/>
      <c r="I25" s="48">
        <f>G25*H25</f>
        <v>0</v>
      </c>
      <c r="J25" s="48"/>
      <c r="K25" s="48"/>
      <c r="L25" s="48">
        <f>J25*K25</f>
        <v>0</v>
      </c>
    </row>
    <row r="26" spans="2:12" x14ac:dyDescent="0.3">
      <c r="B26" s="48"/>
      <c r="C26" s="48"/>
      <c r="D26" s="48"/>
      <c r="E26" s="48">
        <f>C26*D26</f>
        <v>0</v>
      </c>
      <c r="F26" s="48" t="s">
        <v>314</v>
      </c>
      <c r="G26" s="48"/>
      <c r="H26" s="48"/>
      <c r="I26" s="48">
        <f>G26*H26</f>
        <v>0</v>
      </c>
      <c r="J26" s="48"/>
      <c r="K26" s="48"/>
      <c r="L26" s="48">
        <f>J26*K26</f>
        <v>0</v>
      </c>
    </row>
    <row r="27" spans="2:12" x14ac:dyDescent="0.3">
      <c r="B27" s="48"/>
      <c r="C27" s="48"/>
      <c r="D27" s="48"/>
      <c r="E27" s="48">
        <f>C27*D27</f>
        <v>0</v>
      </c>
      <c r="F27" s="48" t="s">
        <v>314</v>
      </c>
      <c r="G27" s="48"/>
      <c r="H27" s="48"/>
      <c r="I27" s="48">
        <f>G27*H27</f>
        <v>0</v>
      </c>
      <c r="J27" s="48"/>
      <c r="K27" s="48"/>
      <c r="L27" s="48">
        <f>J27*K27</f>
        <v>0</v>
      </c>
    </row>
    <row r="28" spans="2:12" x14ac:dyDescent="0.3">
      <c r="B28" s="48" t="s">
        <v>315</v>
      </c>
      <c r="C28" s="48"/>
      <c r="D28" s="48"/>
      <c r="E28" s="48">
        <f t="shared" si="0"/>
        <v>0</v>
      </c>
      <c r="F28" s="48" t="s">
        <v>314</v>
      </c>
      <c r="G28" s="48"/>
      <c r="H28" s="48"/>
      <c r="I28" s="48">
        <f t="shared" si="1"/>
        <v>0</v>
      </c>
      <c r="J28" s="48"/>
      <c r="K28" s="48"/>
      <c r="L28" s="48">
        <f t="shared" si="2"/>
        <v>0</v>
      </c>
    </row>
    <row r="29" spans="2:12" x14ac:dyDescent="0.3">
      <c r="B29" s="48" t="s">
        <v>316</v>
      </c>
      <c r="C29" s="48"/>
      <c r="D29" s="48"/>
      <c r="E29" s="48">
        <f t="shared" si="0"/>
        <v>0</v>
      </c>
      <c r="F29" s="48" t="s">
        <v>314</v>
      </c>
      <c r="G29" s="48"/>
      <c r="H29" s="48"/>
      <c r="I29" s="48">
        <f t="shared" si="1"/>
        <v>0</v>
      </c>
      <c r="J29" s="48"/>
      <c r="K29" s="48"/>
      <c r="L29" s="48">
        <f t="shared" si="2"/>
        <v>0</v>
      </c>
    </row>
    <row r="30" spans="2:12" x14ac:dyDescent="0.3">
      <c r="B30" s="48" t="s">
        <v>320</v>
      </c>
      <c r="C30" s="48"/>
      <c r="D30" s="48"/>
      <c r="E30" s="48">
        <f t="shared" si="0"/>
        <v>0</v>
      </c>
      <c r="F30" s="48"/>
      <c r="G30" s="48"/>
      <c r="H30" s="48"/>
      <c r="I30" s="48">
        <f t="shared" si="1"/>
        <v>0</v>
      </c>
      <c r="J30" s="48"/>
      <c r="K30" s="48"/>
      <c r="L30" s="48">
        <f t="shared" si="2"/>
        <v>0</v>
      </c>
    </row>
    <row r="31" spans="2:12" x14ac:dyDescent="0.3">
      <c r="B31" s="48"/>
      <c r="C31" s="48"/>
      <c r="D31" s="48"/>
      <c r="E31" s="48">
        <f>C31*D31</f>
        <v>0</v>
      </c>
      <c r="F31" s="48"/>
      <c r="G31" s="48"/>
      <c r="H31" s="48"/>
      <c r="I31" s="48">
        <f>G31*H31</f>
        <v>0</v>
      </c>
      <c r="J31" s="48"/>
      <c r="K31" s="48"/>
      <c r="L31" s="48">
        <f>J31*K31</f>
        <v>0</v>
      </c>
    </row>
    <row r="32" spans="2:12" x14ac:dyDescent="0.3">
      <c r="B32" s="48"/>
      <c r="C32" s="48"/>
      <c r="D32" s="48"/>
      <c r="E32" s="48">
        <f>C32*D32</f>
        <v>0</v>
      </c>
      <c r="F32" s="48"/>
      <c r="G32" s="48"/>
      <c r="H32" s="48"/>
      <c r="I32" s="48">
        <f>G32*H32</f>
        <v>0</v>
      </c>
      <c r="J32" s="48"/>
      <c r="K32" s="48"/>
      <c r="L32" s="48">
        <f>J32*K32</f>
        <v>0</v>
      </c>
    </row>
    <row r="33" spans="2:12" x14ac:dyDescent="0.3">
      <c r="B33" s="48" t="s">
        <v>317</v>
      </c>
      <c r="C33" s="48"/>
      <c r="D33" s="48"/>
      <c r="E33" s="48">
        <f t="shared" si="0"/>
        <v>0</v>
      </c>
      <c r="F33" s="48"/>
      <c r="G33" s="48"/>
      <c r="H33" s="48"/>
      <c r="I33" s="48">
        <f t="shared" si="1"/>
        <v>0</v>
      </c>
      <c r="J33" s="48"/>
      <c r="K33" s="48"/>
      <c r="L33" s="48">
        <f t="shared" si="2"/>
        <v>0</v>
      </c>
    </row>
    <row r="34" spans="2:12" x14ac:dyDescent="0.3">
      <c r="B34" s="48" t="s">
        <v>321</v>
      </c>
      <c r="C34" s="48"/>
      <c r="D34" s="48"/>
      <c r="E34" s="48">
        <f t="shared" si="0"/>
        <v>0</v>
      </c>
      <c r="F34" s="48"/>
      <c r="G34" s="48"/>
      <c r="H34" s="48"/>
      <c r="I34" s="48">
        <f t="shared" si="1"/>
        <v>0</v>
      </c>
      <c r="J34" s="48"/>
      <c r="K34" s="48"/>
      <c r="L34" s="48">
        <f t="shared" si="2"/>
        <v>0</v>
      </c>
    </row>
    <row r="35" spans="2:12" x14ac:dyDescent="0.3">
      <c r="B35" s="48" t="s">
        <v>318</v>
      </c>
      <c r="C35" s="48"/>
      <c r="D35" s="48"/>
      <c r="E35" s="48">
        <f t="shared" si="0"/>
        <v>0</v>
      </c>
      <c r="F35" s="48"/>
      <c r="G35" s="48"/>
      <c r="H35" s="48"/>
      <c r="I35" s="48">
        <f t="shared" si="1"/>
        <v>0</v>
      </c>
      <c r="J35" s="48"/>
      <c r="K35" s="48"/>
      <c r="L35" s="48">
        <f t="shared" si="2"/>
        <v>0</v>
      </c>
    </row>
    <row r="36" spans="2:12" x14ac:dyDescent="0.3">
      <c r="B36" s="48" t="s">
        <v>319</v>
      </c>
      <c r="C36" s="48"/>
      <c r="D36" s="48"/>
      <c r="E36" s="48">
        <f t="shared" si="0"/>
        <v>0</v>
      </c>
      <c r="F36" s="48"/>
      <c r="G36" s="48"/>
      <c r="H36" s="48"/>
      <c r="I36" s="48">
        <f t="shared" ref="I36:I41" si="3">G36*H36</f>
        <v>0</v>
      </c>
      <c r="J36" s="48"/>
      <c r="K36" s="48"/>
      <c r="L36" s="48">
        <f t="shared" ref="L36:L41" si="4">J36*K36</f>
        <v>0</v>
      </c>
    </row>
    <row r="37" spans="2:12" x14ac:dyDescent="0.3">
      <c r="B37" s="48"/>
      <c r="C37" s="48"/>
      <c r="D37" s="48"/>
      <c r="E37" s="48">
        <f>C37*D37</f>
        <v>0</v>
      </c>
      <c r="F37" s="48"/>
      <c r="G37" s="48"/>
      <c r="H37" s="48"/>
      <c r="I37" s="48">
        <f t="shared" si="3"/>
        <v>0</v>
      </c>
      <c r="J37" s="48"/>
      <c r="K37" s="48"/>
      <c r="L37" s="48">
        <f t="shared" si="4"/>
        <v>0</v>
      </c>
    </row>
    <row r="38" spans="2:12" x14ac:dyDescent="0.3">
      <c r="B38" s="48" t="s">
        <v>322</v>
      </c>
      <c r="C38" s="48"/>
      <c r="D38" s="48"/>
      <c r="E38" s="48">
        <f>C38*D38</f>
        <v>0</v>
      </c>
      <c r="F38" s="48"/>
      <c r="G38" s="48"/>
      <c r="H38" s="48"/>
      <c r="I38" s="48">
        <f t="shared" si="3"/>
        <v>0</v>
      </c>
      <c r="J38" s="48"/>
      <c r="K38" s="48"/>
      <c r="L38" s="48">
        <f t="shared" si="4"/>
        <v>0</v>
      </c>
    </row>
    <row r="39" spans="2:12" x14ac:dyDescent="0.3">
      <c r="B39" s="48"/>
      <c r="C39" s="48"/>
      <c r="D39" s="48"/>
      <c r="E39" s="48">
        <f t="shared" si="0"/>
        <v>0</v>
      </c>
      <c r="F39" s="48"/>
      <c r="G39" s="48"/>
      <c r="H39" s="48"/>
      <c r="I39" s="48">
        <f t="shared" si="3"/>
        <v>0</v>
      </c>
      <c r="J39" s="48"/>
      <c r="K39" s="48"/>
      <c r="L39" s="48">
        <f t="shared" si="4"/>
        <v>0</v>
      </c>
    </row>
    <row r="40" spans="2:12" x14ac:dyDescent="0.3">
      <c r="B40" s="48"/>
      <c r="C40" s="48"/>
      <c r="D40" s="48"/>
      <c r="E40" s="48">
        <f t="shared" si="0"/>
        <v>0</v>
      </c>
      <c r="F40" s="48"/>
      <c r="G40" s="48"/>
      <c r="H40" s="48"/>
      <c r="I40" s="48">
        <f t="shared" si="3"/>
        <v>0</v>
      </c>
      <c r="J40" s="48"/>
      <c r="K40" s="48"/>
      <c r="L40" s="48">
        <f t="shared" si="4"/>
        <v>0</v>
      </c>
    </row>
    <row r="41" spans="2:12" x14ac:dyDescent="0.3">
      <c r="B41" s="48"/>
      <c r="C41" s="48"/>
      <c r="D41" s="48"/>
      <c r="E41" s="48">
        <f t="shared" si="0"/>
        <v>0</v>
      </c>
      <c r="F41" s="48"/>
      <c r="G41" s="48"/>
      <c r="H41" s="48"/>
      <c r="I41" s="48">
        <f t="shared" si="3"/>
        <v>0</v>
      </c>
      <c r="J41" s="48"/>
      <c r="K41" s="48"/>
      <c r="L41" s="48">
        <f t="shared" si="4"/>
        <v>0</v>
      </c>
    </row>
    <row r="42" spans="2:12" x14ac:dyDescent="0.3">
      <c r="B42" s="48" t="s">
        <v>146</v>
      </c>
      <c r="C42" s="48"/>
      <c r="D42" s="48">
        <f>E42*10.764</f>
        <v>0</v>
      </c>
      <c r="E42" s="61">
        <f>SUM(E6:E41)</f>
        <v>0</v>
      </c>
      <c r="F42" s="48"/>
      <c r="G42" s="48"/>
      <c r="H42" s="48">
        <f>I42*10.764</f>
        <v>0</v>
      </c>
      <c r="I42" s="60">
        <f>SUM(I6:I41)</f>
        <v>0</v>
      </c>
      <c r="J42" s="48"/>
      <c r="K42" s="48">
        <f>L42*10.764</f>
        <v>0</v>
      </c>
      <c r="L42" s="59">
        <f>SUM(L6:L41)</f>
        <v>0</v>
      </c>
    </row>
    <row r="44" spans="2:12" x14ac:dyDescent="0.3">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2025-09-17T06:25:24Z</cp:lastPrinted>
  <dcterms:created xsi:type="dcterms:W3CDTF">2019-07-16T09:29:46Z</dcterms:created>
  <dcterms:modified xsi:type="dcterms:W3CDTF">2025-09-17T06:25:25Z</dcterms:modified>
</cp:coreProperties>
</file>